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IU\Downloads\"/>
    </mc:Choice>
  </mc:AlternateContent>
  <xr:revisionPtr revIDLastSave="0" documentId="13_ncr:1_{146ECB3D-B1A6-41A9-A29F-C13C0C56E972}"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Sheet1!$C$1:$C$7351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OrLMH0Orb9x4mgxs6lg7S8I8dSAZEzg+MxW/GD/1JtA="/>
    </ext>
  </extLst>
</workbook>
</file>

<file path=xl/calcChain.xml><?xml version="1.0" encoding="utf-8"?>
<calcChain xmlns="http://schemas.openxmlformats.org/spreadsheetml/2006/main">
  <c r="B7351" i="1" l="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<sst xmlns="http://schemas.openxmlformats.org/spreadsheetml/2006/main" count="22055" uniqueCount="7075">
  <si>
    <t>Sentence</t>
  </si>
  <si>
    <t>Sentence(English Translation)</t>
  </si>
  <si>
    <t>Labels(English)</t>
  </si>
  <si>
    <t>Labels(Bangla)</t>
  </si>
  <si>
    <t>Labels</t>
  </si>
  <si>
    <t xml:space="preserve"> সেখানকার জানালা দিয়ে সমুদ্র দেখা যাইতেছিল</t>
  </si>
  <si>
    <t>Saint</t>
  </si>
  <si>
    <t>Sadhu(সাধু )</t>
  </si>
  <si>
    <t>আমি কিছু দেখিতে পারিতেছি না</t>
  </si>
  <si>
    <t>সকলেরই অনাবৃত দেহ সকলের সেই অনাবৃত বক্ষে আরশির ধুকধুকি চন্দ্রকিরণে এক একবার জ্বলিয়া উঠিতেছে</t>
  </si>
  <si>
    <t>মেয়েটি সেদিন ভিক্ষুককে সাহায্য করিয়াছিল</t>
  </si>
  <si>
    <t>তুমি প্রশংসা কর না কর বৃদ্ধ বসিয়া তোমায় পুরাতন কথা শুনাইবে</t>
  </si>
  <si>
    <t>নিজেকে আপনার মূল্যবোধের প্রতি সত্য থাকুন অন্য কারো জন্য আপনি কে আপস করবেন না</t>
  </si>
  <si>
    <t>Common</t>
  </si>
  <si>
    <t>Cholito(চলিত)</t>
  </si>
  <si>
    <t>আমি গোসল করে খেতে যাব</t>
  </si>
  <si>
    <t>সংবাদপত্রে স্বাধীনতা আন্দোলনের বিভিন্ন সংবাদ ছাপা হতো</t>
  </si>
  <si>
    <t>তাকে বলা যায় টারজান জীবনের চেয়েও বড় একজন মহানায়ক</t>
  </si>
  <si>
    <t>আমি এই ছুটিতে পরিবারের সাথে ঘুরতে গিয়েছিলাম</t>
  </si>
  <si>
    <t xml:space="preserve"> আমি তাহাকে তাহার কাজে সাহায্য করিবার চেষ্টা করিয়াছিলাম</t>
  </si>
  <si>
    <t>সে আমার কথাগুলো শুনিয়া আমার কষ্টে ব্যথিত হইয়াছিল</t>
  </si>
  <si>
    <t xml:space="preserve"> একটি কালোকালো বড় গোচের ভ্রমর তাহার চারি দিকে ঘুরিয়া বেড়াইতেছিল</t>
  </si>
  <si>
    <t>শুনিয়া অত্যন্ত পুলকিত হইলাম</t>
  </si>
  <si>
    <t xml:space="preserve"> বিদেশে আমার সম্বল ফুরাইয়া গিয়াছে</t>
  </si>
  <si>
    <t>সুমন আমাকে খাবার দিয়েছিল</t>
  </si>
  <si>
    <t>ফুটবলে এটিকে বলা হয় কিলার বল বা ফাইনাল বল</t>
  </si>
  <si>
    <t>রুমা আমার মাকে সব বলেছিল</t>
  </si>
  <si>
    <t>আকবর অনেক হিন্দু রাজপুত রাজ্যের সাথে মিত্রতা করেন</t>
  </si>
  <si>
    <t>সাহসে কুলাচ্ছে না</t>
  </si>
  <si>
    <t xml:space="preserve"> শিলা রবিনকে স্কুলে নিয়া গিয়াছিল</t>
  </si>
  <si>
    <t xml:space="preserve"> তাহার গায়ের রঙ যেন রঙ নহে তাহা আভা</t>
  </si>
  <si>
    <t xml:space="preserve"> সকলেই বাহিরে হইয়া রাস্তায় একধারে আসিয়া দাড়াইল</t>
  </si>
  <si>
    <t>সঙ্গে বাদ্য থাকে তাহা হইলে বর কনে দেখিবার নিমিত্ত পাল্কীর ভিতর দৃষ্টিপাত করে</t>
  </si>
  <si>
    <t>কুমারীর আত্মীয় বন্ধুরা বড় বড় বাঁশ কাটে তীর ধনুক সংগ্রহ করিয়া অস্ত্রশস্ত্রে শান দেয়</t>
  </si>
  <si>
    <t>কাজটি সহজ তারা বলেছিল</t>
  </si>
  <si>
    <t>শিক্ষাগত মূল্যায়ন জ্ঞান দক্ষতা উভয় পরিমাপ করা উচিত</t>
  </si>
  <si>
    <t>উদ্ভিদ প্রজননের লক্ষ্য রোগ প্রতিরোধের মত কাঙ্খিত বৈশিষ্ট্য সহ নতুন শস্যের জাত উদ্ভাবন করা</t>
  </si>
  <si>
    <t>হস্তনির্মিত কার্ড তৈরি করা উপভোগ্য</t>
  </si>
  <si>
    <t>তিনি আমার আগে ঘুম থেকে উঠে আমার গোসলের ব্যবস্থা করে রাখতেন</t>
  </si>
  <si>
    <t>মাথায় সে প্রায় ছয় ফুট লম্বা</t>
  </si>
  <si>
    <t>এই কথা শুনিয়া অনেকে চমকিয়া উঠিবেন</t>
  </si>
  <si>
    <t>ডাক্তারের পা উঠিল না</t>
  </si>
  <si>
    <t>সকল বৃক্ষই যে বাঙ্গালার রসপূর্ণ কোমল ভূমিতে জন্মগ্রহণ করিয়া বিনা কষ্টে কাল যাপন করিবে এমত সম্ভব নহে</t>
  </si>
  <si>
    <t>সেদিন রাতে মা আমাকে একটি গল্প বলিয়াছিল</t>
  </si>
  <si>
    <t>যেন তিনি মিছিলের একজন</t>
  </si>
  <si>
    <t>সিনেমা নাটক উভয় ক্ষেত্রেই তিনি পারদর্শিতা প্রদর্শন করেন</t>
  </si>
  <si>
    <t>ফেরিওয়ালা অবিশ্রাম হাঁকিয়া চলিয়াছে</t>
  </si>
  <si>
    <t>নিরাপত্তা অফিসার সম্ভাব্য অনুপ্রবেশকারীদের ঠেকাতে চত্বরে টহল দেন</t>
  </si>
  <si>
    <t>খ্রিষ্টাব্দে ইউনেস্কো এই সম্মান প্রদান করে</t>
  </si>
  <si>
    <t>অন্ধকার রাতে সে একটি বিশাল ছায়া দেখিয়া স্তম্ভিত হইয়াছিল</t>
  </si>
  <si>
    <t>ক্রমে ক্রমে নেশায় আমাকেও পাইল</t>
  </si>
  <si>
    <t>কে কি বলিয়া উপহাস বিদ্রূপ করিয়াছিল</t>
  </si>
  <si>
    <t>প্রণয় কথাটি ঠিক নহে</t>
  </si>
  <si>
    <t>আমি তাহাকে শুধাইলাম শুনিয়াছি বিড়ালের ভাগ্যে নাকি শিকে ছিড়ে তাহার ছিড়িবে মানে কপাল খুলিবে</t>
  </si>
  <si>
    <t>রনি আজ মাঠে আসবে না</t>
  </si>
  <si>
    <t>আপনার কমফোর্ট জোন থেকে বেরিয়ে আসুন</t>
  </si>
  <si>
    <t>দ্বন্দ্ব সমাধানের দক্ষতা একটি সুরেলা কাজের পরিবেশকে উন্নীত করে</t>
  </si>
  <si>
    <t>ইরতাজউদ্দিন সাহেব লক্ষ করলেন তাঁর ক্ষুধাবোধ হয়েছে</t>
  </si>
  <si>
    <t>এই তথ্যভাণ্ডার আমাকে বিস্মিত করে</t>
  </si>
  <si>
    <t>সাধু ভাষায় এইটুকু বলিতেই জানটা বাহির হইবার উপক্রম হইলো</t>
  </si>
  <si>
    <t>এইবার বুঝিলাম শব্দ কোন একটি বিশেষ স্তর অবলম্বন করিয়া যায়</t>
  </si>
  <si>
    <t>সানির পিতা আমার নিকটে আসিয়াছিল</t>
  </si>
  <si>
    <t>তাহারা যেরূপ বুক ফুলাইয়া মুখ তুলিয়া বায়ু ঠেলিয়া মহাদম্ভে চলিতেছিল আমি দুর্ব্বল বাঙ্গালী আমার সে দম্ভ সে শক্তি কোথায়</t>
  </si>
  <si>
    <t>রবিবার ভোরে জিনিসপত্র চাকরদের জন্য একখানি থার্ড ক্লাস মনিবদের জন্য একখানি সেকেণ্ড ক্লাস গাড়ি ভাড়া করিয়া আনা হইয়াছে</t>
  </si>
  <si>
    <t>ডেন্টিস্ট তাদের রোগীর দাঁতের নিয়মিত চেক আপ করেন</t>
  </si>
  <si>
    <t>এবার আসি একান্তই আমার নিজস্ব কিছু কথায়</t>
  </si>
  <si>
    <t>শিক্ষাগত গবেষণা প্রমাণ ভিত্তিক শিক্ষণ অনুশীলনকে অবহিত করে</t>
  </si>
  <si>
    <t>আমার শৈশবের স্মৃতি এর সাথে জড়িত মানুষগুলোর কথাও মনে পড়ে গেল</t>
  </si>
  <si>
    <t>এরা শহরে বাঁচে না বলেই মরা</t>
  </si>
  <si>
    <t>তাহার কথাকপকথন অনেক হাস্যকর</t>
  </si>
  <si>
    <t>সে এ জঙ্গল অতিক্রম করিতে পারে নাই</t>
  </si>
  <si>
    <t>সাধুদের তৃপ্তির নিমিত্ত সকল কথাই সাধু ভাষায় লেখা উচিত</t>
  </si>
  <si>
    <t>চুমকি আমাদের সঙ্গে অনেক কথা বলিলো</t>
  </si>
  <si>
    <t>আজ তাহার চক্ষু খুলিল না</t>
  </si>
  <si>
    <t>সঙ্গীতামোদী শ্রোতা দর্শকেরা এটি সাদরে গ্রহণ করে</t>
  </si>
  <si>
    <t>বাবর মুঘল সাম্রাজ্যের প্রতিষ্ঠা করেন</t>
  </si>
  <si>
    <t>অল্প বয়সেই সে মৃত্যবরণ করে</t>
  </si>
  <si>
    <t>ইরতাজউদ্দিনের জন্মের পর আরো পাঁচ ভাইবোনের পরের জন শাহেদ</t>
  </si>
  <si>
    <t>পুনরুদ্ধারের জন্য সর্বদা ঘুমকে অগ্রাধিকার দিন</t>
  </si>
  <si>
    <t>এতটুকু আসিয়াও আমার কোন সমস্যা ছিলনা</t>
  </si>
  <si>
    <t>চারি দিক্‌ চাহিলাম কোথায়ও কেহ নাই</t>
  </si>
  <si>
    <t>সকালে যেদিন আসিতে পারে না সেদিন দেখি সন্ধ্যার সময় আসিয়াছে</t>
  </si>
  <si>
    <t>শশী কহিল এখন তোমরা হরিবোল দিও না</t>
  </si>
  <si>
    <t>আমিনা ঘর হইতে দুয়ারে আসিয়া দাঁড়াইল</t>
  </si>
  <si>
    <t>শফিক স্যার আমাকে এটা পড়তে বলেছে</t>
  </si>
  <si>
    <t>এমনিভাবে তাদের পাঁচটি শহর ধ্বংস হয়ে যায়</t>
  </si>
  <si>
    <t>আমিতো এটা অবতীর্ণ করেছি এক বরকতময় রাতে</t>
  </si>
  <si>
    <t>অপরাধমূলক আচরণ ছোটখাটো অপরাধ থেকে গুরুতর অপরাধে পরিবর্তিত হতে পারে</t>
  </si>
  <si>
    <t>আর্থ সামাজিক শিক্ষা শিক্ষার্থীদের সামগ্রিক সুস্থতা বাড়ায়</t>
  </si>
  <si>
    <t>আমি সমস্যাটি সমাধান করিতে ব্যর্থ হইয়াছি</t>
  </si>
  <si>
    <t>মাখন তৎক্ষণাৎ ভূমিশয্যা ছাড়িয়া ফটিকের উপরে গিয়া পড়িল</t>
  </si>
  <si>
    <t>রহমত কলিকাতার এক গলির ভিতরে বসিয়া আফগানিস্থানের এক মরু পর্বতের দৃশ্য দেখিতে লাগিল</t>
  </si>
  <si>
    <t>তোর ডাক শুনে কেউ না আসে একলা চলো রে</t>
  </si>
  <si>
    <t>রুমা মেলার জন্য টাকা জমা করেছিল</t>
  </si>
  <si>
    <t>অনুপ্রেরণার জন্য একটি ফিটনেস ক্লাসে যোগ দিন</t>
  </si>
  <si>
    <t>সুডোকু পাজল মানসিক সুস্থতা বাড়ায়</t>
  </si>
  <si>
    <t>সেখানে দাঁড়িয়ে পুরো রামেশ্বরাম শহরটাকে দেখা যাবে</t>
  </si>
  <si>
    <t>বুনো গোলাপের ঘ্রাণ বাতাসে ভারী হয়ে ঝুলে আছে তাদের সূক্ষ্ম পাপড়িগুলি তাদের মিষ্টি গন্ধে বাতাসকে সুগন্ধি করে</t>
  </si>
  <si>
    <t>লালনও গগনের গান গগনের সান্নিধ্য খুব পছন্দ করতেন</t>
  </si>
  <si>
    <t>কুমারী সুতরাং এ অবস্থায় চীৎকার করিতে বাধ্য চীৎকারও সে করিতে লাগিল</t>
  </si>
  <si>
    <t>অর্থাৎ বাপ পুরা দাম দিত তো মেয়ে পুরা যত্ন পাইত</t>
  </si>
  <si>
    <t>পথের দুইদিকেই দুটি একটি শাখা পথ পাড়ার দিকে বাহির হইয়া যাইতে আরম্ভ করিয়াছে দেখা যায়</t>
  </si>
  <si>
    <t>হাত বিলক্ষণ চলে বিবিরা তাহার প্রমাণ দিতে পারেন</t>
  </si>
  <si>
    <t>চিঠিখানি আগাগোড়া দুইবার তিনবার পড়িয়া সেখানি ফিরাইয়া দিয়া কিছুক্ষণ স্তব্ধভাবে বসিয়া রহিল</t>
  </si>
  <si>
    <t>আরোহণ একটি দুঃসাহসিক সাধনা</t>
  </si>
  <si>
    <t>আপনার প্রিয় ইমোজি মন্তব্য করুন</t>
  </si>
  <si>
    <t>আমি রাজুকে খেলতে বলেছিলাম</t>
  </si>
  <si>
    <t>মানসিক বিকৃতিতে আক্রান্ত এক খুনীকে ঘিরে এর কাহিনী নির্মিত হয়েছে</t>
  </si>
  <si>
    <t>আপনার প্রিয় গান শেয়ার করুন</t>
  </si>
  <si>
    <t>তখন ধীরে ধীরে বন্দুক নামাইয়া অনিমিষলোচনে পক্ষীকে দেখিতে লাগিলাম</t>
  </si>
  <si>
    <t>সে আমাকে একটি প্রশ্ন সমাধান করতে বলেছিল</t>
  </si>
  <si>
    <t>আমার পশ্চাতে সেই চীৎকার অত্যাশ্চর্য্যরূপে প্রতিধ্বনিত হইল</t>
  </si>
  <si>
    <t>তোমরা কেন সঙ্গে গিয়ে সেই বিপদ বাড়িয়ে তুলবে</t>
  </si>
  <si>
    <t>কেহ কেহ সাধু ভাষায় পদ্য লিখিয়া পাঠাইতেছেন</t>
  </si>
  <si>
    <t>ডাক্তার রা তাদের দায়িত্ব ভালোমত পালন করে তবেই দেশে উন্নত চিকিৎসা সম্ভব</t>
  </si>
  <si>
    <t>টোপর খুব সাবধানে ব্যবহার করা হয়</t>
  </si>
  <si>
    <t>তীর্থ যাত্রা সালে একটি স্বপ্ন দেখে ভারত যাত্রার প্রতি আকৃষ্ট হন</t>
  </si>
  <si>
    <t>আমি এই প্রস্তাবটি গ্রহণ করতে চাই</t>
  </si>
  <si>
    <t>বিপদে গুলিটি চোখে লেগে অনেক সময়ই দুর্ঘটনা ঘটে</t>
  </si>
  <si>
    <t>তাহা বলিয়া ব্যাঘ্র ভুল্লুক সম্বন্ধে আমার কখন ভয় হয় নাই</t>
  </si>
  <si>
    <t>সে কাছে আসিয়া আস্তে আস্তে জিজ্ঞাসা করিল বাবু কি বাড়ি যাচ্ছেন</t>
  </si>
  <si>
    <t>সে সমুদ্রে ঘুরতে যেতে চাইয়াছিল</t>
  </si>
  <si>
    <t>দামিনীর যে অসহ্য দীপ্তি ছিল তার আলোটুকু রহিল তাপ রহিল না</t>
  </si>
  <si>
    <t>আমি তখন ভাবিতাম পালামৌ প্রবল সহর সাহেবসমাকীর্ণ সুখের স্থান</t>
  </si>
  <si>
    <t>প্রকল্প ভিত্তিক শিক্ষা হাতে কলমে শিক্ষাগত অভিজ্ঞতার প্রচার করে</t>
  </si>
  <si>
    <t>ভারতে অবস্থানকালে পরম নিষ্ঠার সঙ্গে তিনি সৃজনশীল সাহিত্য রচনা করেছেন</t>
  </si>
  <si>
    <t>কৃষি যন্ত্রপাতির অগ্রগতি ফসল রোপণ ফসল সংগ্রহ বা প্রক্রিয়াকরণে দক্ষতা বাড়ায়</t>
  </si>
  <si>
    <t>এরপর কিছুটা বেড়েছে</t>
  </si>
  <si>
    <t>এটি লরেন্সের তৃতীয় উপন্যাস তাঁর মাস্টারপিস রচনা হিসেবে পরিগণিত</t>
  </si>
  <si>
    <t>চণ্ডীর মা মাঝে মাঝে দুপুরবেলা এদিকে কাঠ কুড়াইতে আসে</t>
  </si>
  <si>
    <t>অদ্য প্রত্যুষেই রানা গাড়িতে চড়িয়া বেড়াইতে যাইবে</t>
  </si>
  <si>
    <t>এটাতে সর্বদাই তাহাদের যেন আরামের ব্যাঘাত করিত</t>
  </si>
  <si>
    <t>সেই পক্ষিণীতে যে রূপরাশি দেখিয়াছিলাম এই যুবতীতে ঠিক্‌ তাহাই দেখিলাম</t>
  </si>
  <si>
    <t>রানা আমার নিকটে আসিয়া বলিল</t>
  </si>
  <si>
    <t>সুমনের বাবা মাঠে কাজ করতে গিয়েছে</t>
  </si>
  <si>
    <t>অপরাধ প্রতিরোধের কৌশলের লক্ষ্য অবৈধ কার্যকলাপের সুযোগ কমানো</t>
  </si>
  <si>
    <t>লায়লীও মজনুর প্রতি গভীর আকর্ষণ অনুভব করে</t>
  </si>
  <si>
    <t>সে এক লম্বা গল্প</t>
  </si>
  <si>
    <t>আপনার প্রবৃত্তিকে বিশ্বাস করুন যুক্তিও শুনুন</t>
  </si>
  <si>
    <t>প্রাঙ্গণের এক পার্শ্বে ব্যাঘ্র নিরীহ ভাল মানুষের ন্যায় চোখ বুজিয়া আছে</t>
  </si>
  <si>
    <t>বনবর্ণনায় যেরূপ শাল তাল তমাল হিন্তাল শুনিয়াছিলাম সেরূপ কিছুই দেখিতে পাইলাম না</t>
  </si>
  <si>
    <t>চোখ মেলিয়া দেখিল ঘরের পূর্বদিকের সার্সীর গায়ে আলোর আভাস লাগিয়াছে</t>
  </si>
  <si>
    <t>সুমি তাহার পিতার সঙ্গে স্কুলে যাইবে</t>
  </si>
  <si>
    <t>তোমার মহিনদা কোনো কারবারে যান না–হাতে যা আছে তাতেই তিনি সন্তুষ্ট</t>
  </si>
  <si>
    <t>আজ আমাদের বিদ্যালয়ে পরীক্ষা ছিলো</t>
  </si>
  <si>
    <t>গোড়ালিতেই বিষাক্ত তির বিঁধে অ্যাকিলিসের মৃত্যু ঘটে</t>
  </si>
  <si>
    <t>অগ্ন্যাশয় প্রদাহ তীব্র বা দীর্ঘস্থায়ী হতে পারে অগ্ন্যাশয়ের প্রদাহ জড়িত যার ফলে পেটে গুরুতর ব্যথা হজম সংক্রান্ত সমস্যা হয়</t>
  </si>
  <si>
    <t>সালে মুক্তিযুদ্ধ চলাকালীন পাক হানাদাররা তাকে ধরে নিয়ে হত্যা করে</t>
  </si>
  <si>
    <t>চণ্ডীমঙ্গল দেবী চণ্ডীর মহিমা গীত</t>
  </si>
  <si>
    <t>দেশবাসী তাহাদের আনন্দ উৎসবের মধ্য দিয়ে বরণ করিয়া নিয়াছিল</t>
  </si>
  <si>
    <t>সে পরীক্ষায় ভালো ফলাফল করেছে。</t>
  </si>
  <si>
    <t>তাহাকে তাহার কালেজের পণ্ডিতমহাশয় রজতগিরি বলিয়া ডাকিতেন</t>
  </si>
  <si>
    <t>সকলে বোধ হয় এইবার সংসারের জোয়ালখানা তাহার কাঁধ হইতে নামাইয়া লইবে</t>
  </si>
  <si>
    <t>কেহ তাঁহার গল্প শুনিত না</t>
  </si>
  <si>
    <t>সে আমাকে কিছুক্ষণ বসার জন্য অনুরোধ করেছিল</t>
  </si>
  <si>
    <t>আমি সবসময় প্রকৃতই একজন ভাল শিশু ছিলাম বেশ দায়িত্ববানও</t>
  </si>
  <si>
    <t>তিনি বুঝতে পারছেন না</t>
  </si>
  <si>
    <t>আমি সর্বদা তোমার পাশে ছিলাম এখনও আছি</t>
  </si>
  <si>
    <t>কোল থেকে নামালেই সে চিৎকার করতে থাকে</t>
  </si>
  <si>
    <t>ঠিক যেন সেই স্তরটি শব্দ কন্‌ডক্‌টার</t>
  </si>
  <si>
    <t>বুঝিতে পারিল তাহার জ্বর আসিতেছে</t>
  </si>
  <si>
    <t>সকলগুলিই যেন কৃষ্ণঠাকুর বলিয়া বোধ হইতে লাগিল</t>
  </si>
  <si>
    <t>রবিন চুমকিকে গৃহে আসিতে বলিল</t>
  </si>
  <si>
    <t>যেরূপ নিত্য অপরাহ্ণে এই পাহাড়ে যাইতাম সেইরূপ এক দিন যাইতেছিলাম পথে দেখি একটি যুবা বীরদর্পে পাহাড়ের দিকে যাইতেছে</t>
  </si>
  <si>
    <t>সালে তিনি সাহিত্যে নোবেল পুরস্কার লাভ করেন</t>
  </si>
  <si>
    <t>আমি মাঠের পাশে হাটতেছিলাম</t>
  </si>
  <si>
    <t>মানসিক মানসিক সুস্থতাকে অগ্রাধিকার দিন</t>
  </si>
  <si>
    <t>বাড়িতে তৈরি পিজ্জা সবসময় ভাল স্বাদ</t>
  </si>
  <si>
    <t>তাঁর চোখদুটিকে ভয়ানক বলা হয়েছে</t>
  </si>
  <si>
    <t>ঐ অচেনা পাখির সুরটা মনের মধ্যে গুন্ গুন্ করিতে লাগিল</t>
  </si>
  <si>
    <t>রাত্রির নিস্তব্ধতা তাদেরকে ভীত করতে পারেনি。</t>
  </si>
  <si>
    <t>তাহাদের অন্নাভাব হইয়াছে সুতরাং বিবাহ পূর্ব্বমত সাধারণ থাকিবে না বলিয়া বোধ হয়</t>
  </si>
  <si>
    <t>তোমাকে দোষ দিব না সেজন্য তুমি ভাবিয়ো না</t>
  </si>
  <si>
    <t>স্কুলে তাহার এমন অবস্থা হইল যে তাহার মামাতো ভাইরা তাহার সহিত সম্বন্ধ স্বীকার করিতে লজ্জা বোধ করিত</t>
  </si>
  <si>
    <t>আশ্চর্যজনক একটা বিষয় হলো মাদ্রাজ ধনুশকরি মেইল কখনও সময়মতো পৌছায়নি</t>
  </si>
  <si>
    <t>শহরে মানুষ বেশি হয়ে গেছে</t>
  </si>
  <si>
    <t>সুমি কাজটি করতে পারবে</t>
  </si>
  <si>
    <t>শিশুটি পুতুল নিয়ে খেলা করছিলো</t>
  </si>
  <si>
    <t>হজ হল মক্কার তীর্থযাত্রা মুসলমানদের জন্য তাদের জীবনে অন্তত একবার বাধ্যতামূলক ধর্মীয় কর্তব্য</t>
  </si>
  <si>
    <t>একটু সন্ধ্যা করিয়া গেলে কি ক্ষতি আছে</t>
  </si>
  <si>
    <t>এই বিদায়ের পালাটা একদিন তাহাকে সমাপন করিতেই হইবে</t>
  </si>
  <si>
    <t>অনতিবিলম্বে দুটি গাল ফুলাইয়া কলিকায় ফুঁ দিতে দিতে রতনের প্রবেশ</t>
  </si>
  <si>
    <t>তুমি কি তাহাদের নিকট গিয়াছিলে</t>
  </si>
  <si>
    <t>অনতিকাল পরেই মহেন্দ্র তাহার ছাত্রাবাসে চেনা হাতের অক্ষরে একখানি চিঠি পাইল</t>
  </si>
  <si>
    <t>কর্ডাল গ্রাফ পারফেক্ট গ্রাফের একটি সাবসেট</t>
  </si>
  <si>
    <t>সে খুবই দায়িত্বশীলভাবে তার কাজটি করেছিল</t>
  </si>
  <si>
    <t>আপনার মন শরীর আত্মাকে রিচার্জ পুনরুজ্জীবিত করতে নিয়মিত স্ব যত্ন অনুশীলন করুন</t>
  </si>
  <si>
    <t>আমার বাবা মায়ের ভালোবাসা অটুট</t>
  </si>
  <si>
    <t>বিলাসপুর জেলে দিন অনশন করেছিলেন</t>
  </si>
  <si>
    <t>সেদিন সে এমন একটা কথাও বলে নাই যাহাতে তাহার বুদ্ধির কিছুমাত্র প্রমাণ হয়</t>
  </si>
  <si>
    <t>স্বর শুনিয়া তাঁহার আরও চমক লাগিয়া গেল</t>
  </si>
  <si>
    <t>বিশ্বম্ভরবাবু তাহার মনের ভাব বুঝিয়া তাহার কানের কাছে মুখ নত করিয়া মৃদুস্বরে কহিলেন ফটিক তোর মাকে আনতে পাঠিয়েছি</t>
  </si>
  <si>
    <t>সাধুদের গৃহিণীরা নাকি সাধুভাষা ব্যবহার করেন না</t>
  </si>
  <si>
    <t>এখন আমি অশ্বত্থটির প্রশংসা করি</t>
  </si>
  <si>
    <t>হাদিস বর্ণনাকারীরা আরো একটি উপায়ে লাভবান হতে পারে</t>
  </si>
  <si>
    <t>আমি তাকে একটি বই কিনতে দেখেছিলাম</t>
  </si>
  <si>
    <t>সেদিন তাদের বুক গর্বে সাহসে আত্মবিশ্বাসে ভরে উঠেছিল</t>
  </si>
  <si>
    <t>সে আমার বাবার সাথে কিছুক্ষণ বসে গল্প করল তারপর বাড়ি চলে গেলো</t>
  </si>
  <si>
    <t>এই গ্রামে একসময় অনেক লোক বাস করতো</t>
  </si>
  <si>
    <t>চারি দিকে বাঙ্গালীর উন্নতি লইয়া বাহবা পড়িয়া গিয়াছে</t>
  </si>
  <si>
    <t>আজ শীতের মধুর মধ্যাহ্নে বাসা নির্জন নিস্তব্ধ</t>
  </si>
  <si>
    <t>সম্মুখে একজন চাপরাসী একরূপ গৈরিক মৃত্তিকা হস্তে দাঁড়াইয়া আছে</t>
  </si>
  <si>
    <t>সুমনদের স্কুল ভাঙ্গিয়া যাইতে লাগিল</t>
  </si>
  <si>
    <t>সে রাত্রে সে কি একটা ভয়ঙ্কর স্বপ্ন দেখিয়াছিল</t>
  </si>
  <si>
    <t>পণ্যটি নিখুঁত অবস্থায় এসেছে আমার সমস্ত চাহিদা পূরণ করেছে</t>
  </si>
  <si>
    <t>বর্ণবাদের বিরুদ্ধে বাংলাদেশি তরুণরা বাংলাদেশ ইয়ুথ মুভমেন্ট গঠন করেন</t>
  </si>
  <si>
    <t>সে আমার জন্য চা নিয়ে অপেক্ষা করছিলো</t>
  </si>
  <si>
    <t>বাইবেল ওল্ড টেস্টামেন্ট নিউ টেস্টামেন্ট নিয়ে গঠিত যেখানে খ্রিস্টানদের জন্য পবিত্র ধর্মগ্রন্থ রয়েছে</t>
  </si>
  <si>
    <t>আমার মা নাস্তা নিয়ে আমার অপেক্ষায় থাকতেন</t>
  </si>
  <si>
    <t>রুমি ঢাকা গিয়া অনেক ভ্রমণ করিল</t>
  </si>
  <si>
    <t>বিহারী খবর পাইয়া গদাই ঘোষের চণ্ডীমণ্ডপ হইতে ছুটিয়া আসিল</t>
  </si>
  <si>
    <t>সে যে পরের পয়সা নষ্ট করিতেছে এই মনে করিয়া তাহার মায়ের উপর অত্যন্ত অভিমান উপস্থিত হইল</t>
  </si>
  <si>
    <t>নিত্য মুহূর্ত্তে এক একখানি নূতন পট আমাদের অন্তরে ফোটোগ্রাফ হইতেছে তথায় তাহা থাকিয়া যাইতেছে</t>
  </si>
  <si>
    <t>যেরূপ নিত্য অপরাহ্ণে এই পাহাড়ে যাইতাম সেইরূপ এক দিন যাইতেছিলাম</t>
  </si>
  <si>
    <t>মজা ফিটনেস জন্য নাচ</t>
  </si>
  <si>
    <t>একটি একাকী ঈগল পাহাড়ের উপরে উঠেছিল তার তীক্ষ্ণ চোখ নীচের ল্যান্ডস্কেপ স্ক্যান করছে</t>
  </si>
  <si>
    <t>সে তাদের পুকুরে মাছ ধরতে গিয়েছিল</t>
  </si>
  <si>
    <t>ছোটবেলায় ফুটবলের প্রতি তাঁর আকর্ষণ ছিল ভীষণ</t>
  </si>
  <si>
    <t>তাদেরকে আমার মুখ ফুটে কিছু বলা লাগত না</t>
  </si>
  <si>
    <t>রহমত একটা অনাবশ্যক চন্দ্রবিন্দু যোগ করিয়া হাসিতে হাসিতে উত্তর করিত হাঁতি</t>
  </si>
  <si>
    <t>ভূত প্রেত যে প্রকার নিজে দেহহীন</t>
  </si>
  <si>
    <t>আমাদের বাঙ্গালায়ও দেখিয়াছি পল্লিগ্রামে বালক বালিকারা প্রায় পাল্কী বেহারা দেখিয়া ক্ষান্ত হয়</t>
  </si>
  <si>
    <t>কোলের নৃত্য সম্বন্ধে যৎকিঞ্চিৎ বলা হইয়াছে এবার তাহাদের বিবাহের পরিচয় দিতে ইচ্ছা হইতেছে</t>
  </si>
  <si>
    <t>না সে কথা ঠিক নয় সুখের প্রত্যাশা ছাড়িব এতবড়ো অমানুষ আমি নই সুখ নিশ্চয়ই আশা করিতাম সুখ দাবি করিবার অধিকার আমি রাখি নাই</t>
  </si>
  <si>
    <t>ধারাবাহিক প্রচেষ্টা দীর্ঘস্থায়ী ফলাফল দেয়</t>
  </si>
  <si>
    <t>আমাকে তুমি দেখতে এসো না</t>
  </si>
  <si>
    <t>অন্যদের ক্ষমা করতে সক্ষম হওয়া অভ্যন্তরীণ শান্তি নিয়ে আসে</t>
  </si>
  <si>
    <t>এটি একটি বৈষ্ণবীয় মত</t>
  </si>
  <si>
    <t>আপনার প্রিয় গানের সাথে মন্তব্য করুন</t>
  </si>
  <si>
    <t>ছন্দটি উচ্চারণ মাত্রেই শ্লোকটি আমার মনে আসিয়াছিল সঙ্গে সঙ্গে কর্ণেও তাহার কার্য্য হইয়াছিল</t>
  </si>
  <si>
    <t>বেহারী চোখ মুছিতে মুছিতে বলিল বাবু আমি আপনার ছেলের মত</t>
  </si>
  <si>
    <t>কোল কুমারীর মাথা হইতে গাগরি পড়িয়া গেল</t>
  </si>
  <si>
    <t>তাহার ঘুম ভাঙ্গিলো নামায শুরু হইবার ঠিক মিনিট আগে</t>
  </si>
  <si>
    <t>বিশ্বম্ভরের এত বয়স হইল তবু কিছুমাত্র জ্ঞানকাণ্ড আছে</t>
  </si>
  <si>
    <t>বর্তমান মুহূর্ত এটি যা আছে তার জন্য কৃতজ্ঞতা গড়ে তুলুন</t>
  </si>
  <si>
    <t>এটি বাংলাদেশের সবচেয়ে নিম্নাঞ্চল</t>
  </si>
  <si>
    <t>নুরুল মোমেনের নাটক আলো ছায়া তার নির্দেশনায় দারুণ জনপ্রিয়তা পায়</t>
  </si>
  <si>
    <t>শিক্ষাগত হস্তক্ষেপের লক্ষ্য অর্জনের ফাঁক বন্ধ করা</t>
  </si>
  <si>
    <t>খাস্তা ভাজা ক্যালামারি সামুদ্রিক খাবার প্রেমীদের আনন্দ দেয়</t>
  </si>
  <si>
    <t>তাল হিন্তাল একেবারেই নাই</t>
  </si>
  <si>
    <t>কলিকাতায় মেডিকেল কলেজে পড়িতে যাওয়ার সময় তাহার হৃদয় ছিল সংকীর্ণ চিন্তাশক্তি ছিল ভোঁতা রসবোধ ছিল স্থূল</t>
  </si>
  <si>
    <t>যেরূপ ভঙ্গী করিয়া সে কথার উপসংহার করিল তাহাতে সকলেই উচ্চরবে হাসিয়া উঠিল</t>
  </si>
  <si>
    <t>তিন চারিটি নিরীহ ভদ্রলোক বোধ হয় তাঁহাদের বয়স হইয়া আসিতেছে</t>
  </si>
  <si>
    <t>তাহার পরিবার খায় কি</t>
  </si>
  <si>
    <t>কৃষি প্রকৌশল দক্ষ খামার পরিচালনার জন্য যন্ত্রপাতি কাঠামো ডিজাইন করে</t>
  </si>
  <si>
    <t>সুমাইয়া তাদের কাছে গিয়েছিল</t>
  </si>
  <si>
    <t>আমি তোমার কথা রানাকে বলেছি</t>
  </si>
  <si>
    <t>সুজন তার মাকে নিয়ে স্কুলে এসেছিল</t>
  </si>
  <si>
    <t>এই স্থানের প্রাকৃতিক সৌন্দর্য তাকে ছোটবেলাতেই বিমোহিত করেছে</t>
  </si>
  <si>
    <t>বৈকল্যে একবার দেখা করিবার সাধ জাগিয়াছে দেখা হইবে কি</t>
  </si>
  <si>
    <t>তাদের ইচ্ছে করিলো বাকিটা জীবন সেই অজানা শহরেই কাটিয়ে দিতে</t>
  </si>
  <si>
    <t>বাপের ম্লান মুখ দেখিয়া সে দূরে থাকিতে পারে না</t>
  </si>
  <si>
    <t>আলস্য জন্য পুরুষেরা বঙ্গমহিলাদের ন্যায় শীঘ্র বৃদ্ধ হইয়া যায়</t>
  </si>
  <si>
    <t>সবুজ আমাকে তাহার গৃহে বসিতে বলিয়াছিল</t>
  </si>
  <si>
    <t>ডিজিটাল যুগে সাইবার ক্রাইম একটি উল্লেখযোগ্য হুমকি হয়ে উঠেছে</t>
  </si>
  <si>
    <t>আরব নাবিকেরা এর বিকৃত নাম দেয় কালাম্বু</t>
  </si>
  <si>
    <t>কৃষি নীতি প্রবিধান ভর্তুকি শিল্পকে প্রভাবিত করে এমন বাণিজ্য চুক্তিগুলিকে প্রভাবিত করে</t>
  </si>
  <si>
    <t>এরপর আমি আমার এই দীর্ঘযাত্রার কথা স্মরণ করলাম</t>
  </si>
  <si>
    <t>পবিত্র রমজান মাস উপলক্ষে তার নিজের বাসাতেই এক প্রদর্শনীর আয়োজন করা হয়েছে</t>
  </si>
  <si>
    <t>সেই পরিখার নিম্নে গাঢ় ছায়া অল্প অন্ধকার বলিলেও বলা যায়</t>
  </si>
  <si>
    <t>পাপিষ্ঠ প্রতিবাসীরা যাহাদের প্রতিবাসী নাই তাহাদের ক্রোধ নাই তাহাদেরই নাম ঋষি</t>
  </si>
  <si>
    <t>একটা কথা জিজ্ঞাসা করিলে সে হাঁ করিয়া চাহিয়া থাকিত</t>
  </si>
  <si>
    <t>সুজনের ভ্রাতা আমার নিকটে আসিয়াছিল</t>
  </si>
  <si>
    <t>আমাকে সুজন রুমি ডাকিতে ছিল</t>
  </si>
  <si>
    <t>সম্পদের চেয়ে অভিজ্ঞতায় বিনিয়োগ করুন</t>
  </si>
  <si>
    <t>এমন সময় শামসউদ্দীন নতুন এক প্রস্তাব নিয়ে আসল</t>
  </si>
  <si>
    <t>সানির বাবা আমার কাছে এসেছিল</t>
  </si>
  <si>
    <t>আপনার স্ব যত্ন রুটিন লাইক মন্তব্য করুন</t>
  </si>
  <si>
    <t>সে চেয়েছিল পরীক্ষাতে সর্ব্বোচ্চ নম্বর পেতে</t>
  </si>
  <si>
    <t>আমি রাগত হইয়া চীৎকার করিয়া তাহাকে ডাকিলাম</t>
  </si>
  <si>
    <t>রানা অদ্য প্রত্যুষেই ঘুম হইতে উঠিয়াছে</t>
  </si>
  <si>
    <t>তিনি একজন জোয়ান মর্দ ছেলে</t>
  </si>
  <si>
    <t>আমি বহির ভাষা রপ্ত করিয়া সে ভাষাতে আলাপ আলোচনা কথাবার্তা করিয়া থাকি</t>
  </si>
  <si>
    <t>পুতুলটা শশী চিনিতে পারিল</t>
  </si>
  <si>
    <t>রুমা আমাকে তার কাছে বসতে বলল</t>
  </si>
  <si>
    <t>আমি আশা করি আগামীতে আমি আরও বিশ্বাস সংশ্লিষ্টতা তৈরি করতে পারবো</t>
  </si>
  <si>
    <t>সুগন্ধি মশলা সমৃদ্ধ তরকারিগুলিকে ছড়িয়ে দেয়</t>
  </si>
  <si>
    <t>ঘনিষ্ঠ বন্ধুর কাছ থেকে বিশ্বাসঘাতকতার অভিজ্ঞতা বিশ্বাসঘাতকতা নিয়ে আসে</t>
  </si>
  <si>
    <t>এমন সময় শামসউদ্দীন নতুন এক প্রস্তাব করল আমার কাছে</t>
  </si>
  <si>
    <t>ছয় বৎসরের এক নাতিনী আসিয়া সরোদনে কহিল পূজার নিমন্ত্রণে যাইবার মতো তাহার একখানিও ভালো কাপড় নাই</t>
  </si>
  <si>
    <t>মৌয়ার এত আদর অথচ তথায় ইহার বাগান নাই</t>
  </si>
  <si>
    <t>সাবধানতা অন্য বিষয়ে নহে</t>
  </si>
  <si>
    <t>মেয়েটি আপন মনে বসে গান করছিল。</t>
  </si>
  <si>
    <t>আজিকার সভা যেমন করিয়া জমিবার কথা ছিল</t>
  </si>
  <si>
    <t>নদীর পাশের বাড়িটি বন্যায় ধ্বংস হয়ে গিয়েছিল</t>
  </si>
  <si>
    <t>প্রযুক্তিগত একীকরণ অপারেশনাল তত্পরতা বাড়ায়</t>
  </si>
  <si>
    <t>সালে সর্বপ্রথম এই পদক প্রদান করা হয়</t>
  </si>
  <si>
    <t>এর স্ফটিক কিউব আকৃতির</t>
  </si>
  <si>
    <t>রুমি ম্যাডাম এটা পেয়েছিলেন</t>
  </si>
  <si>
    <t>তাহার পর আবার কতকদূর গিয়া দেখিলাম পথশ্রান্তা যুবতীরা মদের ভাঁটিতে বসিয়া মদ্য পান করিতেছে</t>
  </si>
  <si>
    <t>দেখিতে বড় চমৎকার হইল</t>
  </si>
  <si>
    <t>আমি তৎক্ষনাৎ তাঁহার বাটীতে গাড়ী লইয়া যাইতে অনুমতি করিলাম</t>
  </si>
  <si>
    <t>আমার চুল বেশি বড় দেখিয়া নাপিত মহোদয় খুবই উৎসাহের সাথে আমার চুলকে বিভিন্নভাবে নরম করিবার চেষ্টা করিতেছিলেন</t>
  </si>
  <si>
    <t>আমি রাত্রে একটা সুন্দর স্বপ্ন দেখিয়াছিলাম</t>
  </si>
  <si>
    <t>তুমি কি এখানে এটা পছন্দ কর</t>
  </si>
  <si>
    <t>আপনার প্রিয় উক্তি কমেন্ট করুন</t>
  </si>
  <si>
    <t>একজন বন্ধুকে ট্যাগ করুন যে সম্পর্ক করতে পারে</t>
  </si>
  <si>
    <t>আমার কাছে সুমন নেই</t>
  </si>
  <si>
    <t>পরে তিনি মৃত্যুর আগে পাপ স্বীকার করেন অনুশোচনা নিয়ে মৃত্যুবরণ করেন</t>
  </si>
  <si>
    <t>মা আমি এইটা লইয়া যাই</t>
  </si>
  <si>
    <t>শিল্পী বেগম বাজারে গিয়াছিলেন</t>
  </si>
  <si>
    <t>বড়ো বয়সে তাঁর ব্যামো ছিল না তিনি যে বড়োই কাহিল সংসার হইতে এ সংস্কার ঘুচিল না</t>
  </si>
  <si>
    <t>আমি তার সৌন্দর্য্যে মুগ্ধ হয়েছিলাম。</t>
  </si>
  <si>
    <t>মায়ের বলা শেষ কথাটা তাকে তীক্ষ্ণভাবে ভাবিয়ে তুলেছিল</t>
  </si>
  <si>
    <t>তারপর দুর্বল বা ছেঁড়া মাংসপেশি সেলাই করে ঠিক করে দেন</t>
  </si>
  <si>
    <t>পাখির কিচিরমিচির বাতাসে ভরে উঠল ভোরের আগমনের সংকেত</t>
  </si>
  <si>
    <t>বৃষ্টি নামলেও সমস্যা</t>
  </si>
  <si>
    <t>দেশবাসী তাদের আনন্দ উৎসবের মধ্য দিয়ে বরণ করে নিয়েছিল</t>
  </si>
  <si>
    <t>কোয়ান্টাম তড়িৎগতিবিজ্ঞানের উন্নয়নে তিনি বিশেষ ভূমিকা রেখেছেন</t>
  </si>
  <si>
    <t>রানা আমাকে ডাকিতে আসিয়াছিল</t>
  </si>
  <si>
    <t>সকলগুলি একত্র বলিয়া এই সুখ</t>
  </si>
  <si>
    <t>স্যার আজকে পড়াইতে আসিতে চাইয়াছিল</t>
  </si>
  <si>
    <t>বৈষ্ণবদের উচিত এ বংশকে আপন আপন কুঞ্জে স্থান দেন</t>
  </si>
  <si>
    <t>হারু ওইভাবে পড়িয়া থাকিত</t>
  </si>
  <si>
    <t>আইস স্কেটিং শীতের আনন্দ দেয়</t>
  </si>
  <si>
    <t>প্রথম পুস্তক অধ্যায় ন্যায়ের সংজ্ঞাঃ আলোচনার সূত্রপাত</t>
  </si>
  <si>
    <t>পরিশ্রম করে অজ্ঞান হয়ে পড়ো না</t>
  </si>
  <si>
    <t>এর কঠিনতা তুমি বুঝবে</t>
  </si>
  <si>
    <t>রাশি সংবাদ বিভিন্ন পাথরের গুনাগুণ</t>
  </si>
  <si>
    <t>সুতরাং এ কথা না বলিলে ভাল দেখায় না</t>
  </si>
  <si>
    <t>লোকটা অপ্রকৃতিস্থের মতো আমার দিকে তাকাইয়া হাসিল</t>
  </si>
  <si>
    <t>অপর পারে ঘাটের উপরেই একজন সাহেব বাঙ্গালায় বসিয়া পাইপ টানিতেছেন</t>
  </si>
  <si>
    <t>তুচ্ছ কতগুলি টাকার জন্য সে ই তো প্রতিমার মতো কিশোরীকে বুড়ো পাগলা যামিনী কবিরাজের বউ করিয়াছিল</t>
  </si>
  <si>
    <t>আমি একবার অনুসন্ধান করিয়া আসি</t>
  </si>
  <si>
    <t>বনসাই চাষ একটি শান্তিপূর্ণ শখ</t>
  </si>
  <si>
    <t>আমাদের শহর ছিল পূর্ব উপকূলে</t>
  </si>
  <si>
    <t>প্রাণী কল্যাণের জন্য স্বেচ্ছাসেবী সন্তুষ্ট</t>
  </si>
  <si>
    <t>সে আমাকে একটি সুন্দর চিঠি পাঠিয়েছিল</t>
  </si>
  <si>
    <t>শিহাব আমাকে দেখে আমার কাছে বসলো</t>
  </si>
  <si>
    <t>সেই ঘটনাটি দেখিয়া আমি খানিকক্ষণ চুপচাপ দাঁড়াইয়া ছিলাম</t>
  </si>
  <si>
    <t>আমি সুমনকে খাইতে দিয়াছিলাম</t>
  </si>
  <si>
    <t>যুবতীরা পরস্পর কাঁধ ধরাধরি করিয়া দেখিতে লাগিল</t>
  </si>
  <si>
    <t>সে এই খারাপ কাজটি করিয়া সবার বিশ্বাস হারাইয়া ফেলিয়াছে</t>
  </si>
  <si>
    <t>প্রত্যহ কিছুক্ষণ হাঁটিয়া আসা ভালো</t>
  </si>
  <si>
    <t>সে আকাশের দিকে তাকিয়ে বলল কী সুন্দর বৃষ্টি হচ্ছে</t>
  </si>
  <si>
    <t>আমি ক্লাসিক গাড়ির ভিনটেজ লুক পছন্দ করি তাদের অনেক চরিত্র আছে</t>
  </si>
  <si>
    <t>রাতভর ক্রিকেটের আওয়াজ তাদের কিচিরমিচির অন্ধকারের প্রশান্তিদায়ক পটভূমিতে</t>
  </si>
  <si>
    <t>কর্মক্ষমতা মেট্রিক্স সাংগঠনিক উদ্দেশ্যগুলির দিকে অগ্রগতির পরিমাণ নির্ধারণ করে</t>
  </si>
  <si>
    <t>হাইপারট্রফিক কার্ডিওমায়োপ্যাথি হল একটি জেনেটিক অবস্থা যেখানে হৃদপিন্ডের পেশী ঘন হয়ে যায় যা কার্যকরভাবে রক্ত ​​পাম্প করার ক্ষমতাকে প্রভাবিত করে</t>
  </si>
  <si>
    <t>তাহার মনটা চঞ্চল হইয়া উঠিয়াছিল</t>
  </si>
  <si>
    <t>সন্ধ্যার পরপরই সে নিজ ঘরে পড়িতে বসিয়াছিল</t>
  </si>
  <si>
    <t>শচীশ ছিল আমাদের ফুল সে যখন সরিয়া দাঁড়াইল তখন নিতান্ত কেবল আমাদের কাঁটাগুলো উগ্র উলঙ্গ হইয়া উঠিল</t>
  </si>
  <si>
    <t>ইতিহাসটা কিছুই না জানিয়াও শচীশের উপর আমার ভারি রাগ হইতে লাগিল</t>
  </si>
  <si>
    <t>কোন্‌ দিক হইতে ছবি লইলে ভালো হইবে</t>
  </si>
  <si>
    <t>যাদের হাত ধরে আমি এতটা পথ পাড়ি দিয়েছি</t>
  </si>
  <si>
    <t>এই জ্ঞানী লোকদের স্মৃতি এখনও আমার মনে গেঁথে আছে আজীবন থাকবে</t>
  </si>
  <si>
    <t>তিনি ছিলেন ইউনাইটেডের অধিনায়ক</t>
  </si>
  <si>
    <t>এর ফলশ্রুতিতে কলা স্থাপত্য প্রযুক্তিতে ব্যাপক উন্নতি সাধিত হয়</t>
  </si>
  <si>
    <t>বহির্বিশ্বের সাথে আমাদের যোগাযোগের একমাত্র মাধ্যম ছিল সংবাদপত্র</t>
  </si>
  <si>
    <t>ভাষার বাইরে একটা পাকা গাঁথুনির ভাষা বানানো নেহাত দরকার</t>
  </si>
  <si>
    <t>আকাশ খুঁজিলে হয়তো এখনো একটু ধূসর আভা চোখে পড়ে অন্ধকার দ্রুত গাঢ় হইয়া আসিতেছে</t>
  </si>
  <si>
    <t>শচীশ তখন বি এ ক্লাসে পড়িতেছে</t>
  </si>
  <si>
    <t>দুর্ভাগ্য বলিয়া সে একরকম করিয়া সান্ত্বনা লাভ করিতেছিল</t>
  </si>
  <si>
    <t>কেহ মহিষপৃষ্ঠে শয়ন করিয়া আছে কেহ বা মহিষপৃষ্ঠে বসিয়া আছে কেহ কেহ নৃত্য করিতেছে</t>
  </si>
  <si>
    <t>ক্যালোরি খুব কম</t>
  </si>
  <si>
    <t>অভিযোজিত নেতৃত্ব গতিশীল ব্যবসা ল্যান্ডস্কেপ নেভিগেট পন্থা</t>
  </si>
  <si>
    <t>দ্রুতবেগে তারা বনের সীমানা অতিক্রম করে শহরে গিয়েছিল</t>
  </si>
  <si>
    <t>ভাল খাওয়া নিয়মিত ব্যায়াম পর্যাপ্ত বিশ্রামের মাধ্যমে আপনার শারীরিক স্বাস্থ্যকে অগ্রাধিকার দিন</t>
  </si>
  <si>
    <t>বইটি পড়ে অনেক মজা পেয়েছিলাম</t>
  </si>
  <si>
    <t>আমরা দুই ভাই চুল কাটিবার মহৎ উদ্দেশ্য নিয়ে ঘর প্রস্থান করিলাম</t>
  </si>
  <si>
    <t>নেতার সম্মুখে দাড়াইয়া উর্ধ্ব গলায় কথা বলিবার সাহস শুধু তাহারই রইয়াছে</t>
  </si>
  <si>
    <t>সকলের সহিত সাক্ষাৎ করিয়া নানাপ্রকার আলাপ করিতেছিলেন</t>
  </si>
  <si>
    <t>আমি তাহার সম্মুখে গিয়া দাঁড়াইলাম আমায় দেখিয়া পক্ষী উড়িল না</t>
  </si>
  <si>
    <t>পরে তাহার লোভ পরিতৃপ্ত করিবার নিমিত্ত যত ইচ্ছা কাঁদি হইতে রম্ভা খাইতে অনুমতি করিলেন</t>
  </si>
  <si>
    <t>লোকবিশ্বাস এতে ভাঙা জিনিসটি নিয়ে কেউ ব্যবহারকারীর ক্ষতি করতে পারে না</t>
  </si>
  <si>
    <t>রুমি রানাকে দেখতে এসেছিল</t>
  </si>
  <si>
    <t>পূর্ণ সফলতা আসেনি</t>
  </si>
  <si>
    <t>সারাদিন কাজ করে সন্ধ্যার পর সে একটু স্বস্তির নিঃশ্বাস ফেলেছিল</t>
  </si>
  <si>
    <t>সুমি আমার বাবাকে এটা বলেছিল</t>
  </si>
  <si>
    <t>সকলেই এমন ভাব দেখায় যেন বধূর এখানে কোনো অধিকার নাই ফাঁকি দিয়া প্রবেশ করিয়াছে</t>
  </si>
  <si>
    <t>আমার বোধ হয় কোলজাতির ক্ষয় ধরিয়াছে</t>
  </si>
  <si>
    <t>রাস্তার পাশে বসিয়া একটি অসহায় শিশু আর্তনাদ করিতেছিল</t>
  </si>
  <si>
    <t>আমি তাহাকে দূর থেকে দেখিতে পাইয়াছিলাম</t>
  </si>
  <si>
    <t>সকালে শ্মশানে আসিলেও সে আসিতে পারবে না</t>
  </si>
  <si>
    <t>পুনরুদ্ধারমূলক ন্যায়বিচার ফৌজদারি কাজ দ্বারা সৃষ্ট ক্ষতি মেরামতের উপর দৃষ্টি নিবদ্ধ করে</t>
  </si>
  <si>
    <t>দুটা হাতই বন্ধ গলা চুলকানো সম্ভব না</t>
  </si>
  <si>
    <t>কৃষক মাঠ থেকে ফসল তুলেছেন</t>
  </si>
  <si>
    <t>লাইক ইতিবাচকতা শেয়ার করুন</t>
  </si>
  <si>
    <t>নৃত্য শ্রেণী সামাজিক সংযোগ বৃদ্ধি করে</t>
  </si>
  <si>
    <t>আমি প্রথমে তাহাকে চিনিতে পারিলাম না</t>
  </si>
  <si>
    <t>সংসারে টিকিবার জন্য দরকারি এই গুণগুলির জন্য শশীকে সকলে ভয় খাতির করিয়া চলে</t>
  </si>
  <si>
    <t>ধীরে ধীরে তাহার চাবির রিংটা বাঁধিয়া দিয়া একটা শান্তির নিশ্বাস ফেলিয়া পাশ ফিরিয়া শুইল</t>
  </si>
  <si>
    <t>এবার আমার ভ্রান্তি দূর হইল আমি মন্দাক্রান্তাচ্ছন্দের একটিমাত্র শ্লোক জানিতাম</t>
  </si>
  <si>
    <t>জঙ্গলের মধ্যে দুই একটি গ্রাম হইতে ধীরে ধীরে ধূম উঠিতেছে</t>
  </si>
  <si>
    <t>সুজন আমাদের কথা কান পেতে শুনেছিল</t>
  </si>
  <si>
    <t>রনি রানাকে বেড়াতে যেতে বলল</t>
  </si>
  <si>
    <t>বলিভীয়রা প্রতি আক্রমণ করে তাদের বাধা দেয়</t>
  </si>
  <si>
    <t>সেই গভীর বনে নানারকম বিচিত্র শব্দ শোনা যায়</t>
  </si>
  <si>
    <t>সংবাদপত্র কাঙিক্ষত পাঠকদের কাছে পৌছে যেত</t>
  </si>
  <si>
    <t>কাছে গিয়া হারুকে দেখিবামাত্র শশী চিনিতে পারিয়াছিল</t>
  </si>
  <si>
    <t>তাহাদের সকল জাতির মধ্যে একরূপ বিবাহ নহে</t>
  </si>
  <si>
    <t>জননীর আদেশে তাহাকে আদালত হইতে ফিরিয়া কাপড় ছাড়িয়া হাতমুখ ধুইয়া জলযোগ করিতে হইত</t>
  </si>
  <si>
    <t>কোন স্তরই সমসূত্র নহে প্রত্যেকটি কোথাও উঠিয়াছে কোথাও নামিয়াছে</t>
  </si>
  <si>
    <t>বৃদ্ধকে বিছানায় শোওয়ানো হইলে মেয়েটি চারি দিকে তাকাইয়া দেখিল</t>
  </si>
  <si>
    <t>মুড়ির টিন পুটলা পুটলি সঙ্গে নিয়েই বা কী হবে রিকশাওয়ালাটা থাকলে তাকে দিয়ে দেয়া যেত</t>
  </si>
  <si>
    <t>কারণ তার কনিষ্ঠ পুত্রটির জীবন রক্ষা হয়</t>
  </si>
  <si>
    <t>সংবাদপত্র স্থানীয় জাতীয় আন্তর্জাতিক সংবাদের গভীরভাবে কভারেজ সরবরাহ করে</t>
  </si>
  <si>
    <t>পাখি পর্যবেক্ষণ করা একটি শান্তিপূর্ণ শখ</t>
  </si>
  <si>
    <t>বাজারে পানি কিনতে যেয়ে অনেক সময় লেগেছিল</t>
  </si>
  <si>
    <t>শীতকাল নিকটে দুই তিন স্থানে হু হু করিয়া অগ্নি জ্বলিতেছে অগ্নির আলোকে নর্ত্তকীদের বর্ণ আরও কাল দেখাইতেছে</t>
  </si>
  <si>
    <t>চীৎকার আস্ফালনের সীমা থাকে না</t>
  </si>
  <si>
    <t>সে আমার জন্য কান্না করিয়াছিল</t>
  </si>
  <si>
    <t>শাকিব আমাকে তাহার সঙ্গে খাইতে বলিল</t>
  </si>
  <si>
    <t>সর্বাঙ্গে খাবলা খাবলা পচা মাংস কোথাও হাড় বাহির হইয়া পড়িয়াছে</t>
  </si>
  <si>
    <t>ওয়ার্কআউটের সময় গভীরভাবে শ্বাস নিন</t>
  </si>
  <si>
    <t>ইবাদত শান্তি প্রশান্তি দেয়</t>
  </si>
  <si>
    <t>অনেকে মানুষ নিখোঁজ হয়</t>
  </si>
  <si>
    <t>পরবর্তীতে ফরাসীদের চাপে পড়ে সালে থাইরা সরে আসতে বাধ্য হয়</t>
  </si>
  <si>
    <t>সাঁতার সারা শরীরে টোন দেয়</t>
  </si>
  <si>
    <t>সেদিন সে খুব ক্লান্ত ছিলো তাই গভীর ঘুমে অচেতন হইয়াছিল</t>
  </si>
  <si>
    <t>আমি গোসল করিয়া নামাজে যাইবো</t>
  </si>
  <si>
    <t>যামিনী মরিতে চায়</t>
  </si>
  <si>
    <t>গোপাল মহারাজা কৃষ্ণ চন্দ্রের রাজসভার ভাড় হইলেও তাহার বুদ্ধির জন্যেই বারবার রাজ্য বাঁচিয়া যাইতো</t>
  </si>
  <si>
    <t>মিনি চুপ করিয়া থাকিলে এমনি অস্বাভাবিক দেখিতে হয় যে সে আমার বেশিক্ষণ সহ্য হয় না</t>
  </si>
  <si>
    <t>রুমি আমাকে পড়তে বসালো</t>
  </si>
  <si>
    <t>নিষ্ক্রিয় আয়ের ধারা আর্থিক নিরাপত্তা স্বাধীনতা প্রদান করতে পারে</t>
  </si>
  <si>
    <t>সালে সাহিত্যে নোবেল পুরস্কার জয় করেন</t>
  </si>
  <si>
    <t>এটি ব্যাবসায়িকভাব স্বল্প সফলতা লাভ করে</t>
  </si>
  <si>
    <t>উচ্চ রক্তচাপ আপনার হৃদয় রক্তনালীগুলিকে ক্ষতি করতে পারে</t>
  </si>
  <si>
    <t>এদিকে বসতি কম</t>
  </si>
  <si>
    <t>তাই রামসুন্দর অবশেষে বসতবাড়ি বিক্রয়ের চেষ্টা করিতে লাগিলেন</t>
  </si>
  <si>
    <t>যাহারা আমাকে পায়ে ধরিয়া টানিয়া রাখিতে চায় তাহারা আমার কেহই নহে</t>
  </si>
  <si>
    <t>পরিশ্রম করিলে অজ্ঞান হইয়া পড়িবে</t>
  </si>
  <si>
    <t>পথের মোড়ে বকুলগাছটির গোড়া পাকা বাঁধানো</t>
  </si>
  <si>
    <t>অ্যাগামেনন রাজি হন</t>
  </si>
  <si>
    <t>এই মুভিটি ছিল সম্পূর্ণ সময়ের অপচয়</t>
  </si>
  <si>
    <t>তুমি কি আমার সাথে যাবে</t>
  </si>
  <si>
    <t>প্রেমমূলক কাহিনী কাব্য হিসেবে এর পরিচয়</t>
  </si>
  <si>
    <t>লোকটি সারাদিন কঠোর পরিশ্রম করে</t>
  </si>
  <si>
    <t>এমত সময় আমার একটা নেমকহারাম ফরাসিস কুক্কুর আপন ইচ্ছামতো তাঁবুতে চলিয়া</t>
  </si>
  <si>
    <t>তাহার মা অনেকসময় ধমক দিয়া তাহার মুখ বন্ধ করিয়া দেয় আমি তাহা পারি না</t>
  </si>
  <si>
    <t>কিছুদিন পূর্বেই পুরাণ সম্বন্ধে সে মাসীক পত্রিকার সমালোচনা পড়িয়াছিল</t>
  </si>
  <si>
    <t>এখনও ভালো লাগে কিনা বলিতে পারি না</t>
  </si>
  <si>
    <t>বৃষ্টি থামিতে বেলা কাবার হইয়া আসিল</t>
  </si>
  <si>
    <t>এই বইটির সফল অনুবাদের পেছনে অসামান্য অবদান রয়েছে</t>
  </si>
  <si>
    <t>এটা হিন্দু ধর্মালম্বিদের জন্যই বিরল এক সম্মানের ব্যাপার</t>
  </si>
  <si>
    <t>নুরুল আমিন এ প্রস্তাব প্রত্যাখ্যান করেন</t>
  </si>
  <si>
    <t>নির্জনে সান্ত্বনা খুঁজে পাওয়া অভ্যন্তরীণ শান্তি আনে</t>
  </si>
  <si>
    <t>জাতিলোপের হেতু দর্শনবিদ্‌গণের মধ্যে কেহ কেহ বলেন যে</t>
  </si>
  <si>
    <t>যুবার আত্মীয়েরাও নিকটে এখানে সেখানে লুকাইয়া ছিল</t>
  </si>
  <si>
    <t>গত রাত্রির উচ্ছৃঙ্খল অত্যাচার আজ অসময়েই তাহার চোখের পাতা দুটিকে ভারী করিয়া আনিতেছিল</t>
  </si>
  <si>
    <t>পলাণ্ডু পিঁয়াজ এক সামগ্রী কি না তাহা পশ্চিম প্রদেশে অনুসন্ধান হইতে পারে</t>
  </si>
  <si>
    <t>শাল তাল তমাল হিন্তাল শুনিয়াছিলাম সেরূপ কিছুই দেখিতে পাইলাম না</t>
  </si>
  <si>
    <t>কৃষি জমি ব্যবহারের পরিকল্পনা মাটির গুণাগুণ ভূগোল জলবায়ু বা বাজারের চাহিদার মতো বিষয়গুলিকে বিবেচনা করে</t>
  </si>
  <si>
    <t>হাইপোথাইরয়েডিজম ঘটে যখন থাইরয়েড গ্রন্থি যথেষ্ট থাইরয়েড হরমোন তৈরি করে না যার ফলে ক্লান্তি ওজন বৃদ্ধি পায়</t>
  </si>
  <si>
    <t>আমি আশা করি ভবিষ্যতে আমার লক্ষ্যগুলি সাফল্যে পরিণত হবে</t>
  </si>
  <si>
    <t>নিজের শহরে তিনি প্রচণ্ড রকমের জনপ্রিয়</t>
  </si>
  <si>
    <t>সেসময় দ্বিতীয় বিশ্বযুদ্ধ চলছিলো</t>
  </si>
  <si>
    <t>আমরা এখন স্কুলে প্রবেশ করিলাম</t>
  </si>
  <si>
    <t>সম্ভাব্য কাল অতীত হইলে এইরূপই তাহাদিগের হৃদয়ে স্থির সিদ্ধান্ত হইল</t>
  </si>
  <si>
    <t>পুরুষেরা স্ত্রীলোকের ন্যায় কেবল বসিয়া সন্তান রক্ষা করে</t>
  </si>
  <si>
    <t>সবুজ আমার নিকটে বল চাহিতে আসিয়াছিল</t>
  </si>
  <si>
    <t>বাইরে তখন অবিরাম বৃষ্টি পড়িতেছিল</t>
  </si>
  <si>
    <t>রুটিনে বিশ্রামের দিনগুলি অন্তর্ভুক্ত করুন</t>
  </si>
  <si>
    <t>আমার কাজ শেষ হতে হতে সূর্য থাকত একদম মধ্য আকাশে</t>
  </si>
  <si>
    <t>শুধু গলি কেন এই শহরের মানুষগুলিও একরকম লাগে</t>
  </si>
  <si>
    <t>রানা আজ ভোরে বগুড়া রওনা হবে</t>
  </si>
  <si>
    <t>অ্যাডভেঞ্চার দীর্ঘস্থায়ী স্মৃতি অবিস্মরণীয় অভিজ্ঞতা তৈরি করতে পারে</t>
  </si>
  <si>
    <t>খালের ধারে প্রকাণ্ড বটগাছের গুঁড়িতে ঠেস দিয়া হারু ঘোষ দাঁড়াইয়া ছিল</t>
  </si>
  <si>
    <t>সবুজ তোমাকে ডাকিতে বলিয়াছিল</t>
  </si>
  <si>
    <t>কাাজটি হইলেও হাস্যকর ঠেকে</t>
  </si>
  <si>
    <t>ভূতের গল্পটি পড়িয়া আমার অনেক ভালো লাগিয়াছে</t>
  </si>
  <si>
    <t>সম্মুখে যুবারা দাঁড়াইয়া যুবাদের পশ্চাতে মৃন্ময়মঞ্চোপরি বৃদ্ধেরা তৎসঙ্গে এই নরাধম</t>
  </si>
  <si>
    <t>সুউচ্চ পাহাড়গুলোকে স্কেল করে অভিযাত্রীরা অ্যাড্রেনালিনের ভিড় অনুভব করেছিল</t>
  </si>
  <si>
    <t>সংবাদ কভারেজ জনসাধারণের ধারণা নীতিগত সিদ্ধান্তকে প্রভাবিত করতে পারে</t>
  </si>
  <si>
    <t>পল্লী অঞ্চল হলে যে কোনো একটা বাড়িতে গিয়ে বিপদের কথা বললেই আশ্রয় পাওয়া যেত</t>
  </si>
  <si>
    <t>কড়ি পাঁচ গুটির মতই সমান জনপ্রিয় একটি খেলা</t>
  </si>
  <si>
    <t>অন্ধকার গুহাগুলির গভীরতায় তারা বায়োলুমিনেসেন্ট বিস্ময় আবিষ্কার করেছিল যা অন্ধকারকে আলোকিত করেছিল</t>
  </si>
  <si>
    <t>স্ত্রীলোকটি কেরোসিনের ডিবা হাতে করিয়া একপাশে দাঁড়াইয়া আছে</t>
  </si>
  <si>
    <t>হারুর বাড়ি পথের একেবারে শেষে</t>
  </si>
  <si>
    <t>প্রস্তাব করিল মাখনকে সুদ্ধ ঐ কাঠ গড়াইতে আরম্ভ করা যাক</t>
  </si>
  <si>
    <t>তিনি হাসিমুখে জেল খাটতে যান</t>
  </si>
  <si>
    <t>মেয়ের কাছে যখন বাপ অপরাধী তখন সে অপরাধের অনুতাপ কি গোপন রাখা যায়</t>
  </si>
  <si>
    <t>তারা মাঠ হতে ফিরেনি এখনো</t>
  </si>
  <si>
    <t>ক্রস কার্যকরী সহযোগিতা সম্পদ দক্ষতাকে সর্বাধিক করে তোলে</t>
  </si>
  <si>
    <t>আপনি কি কখনও একটি আরভিতে একটি রোড ট্রিপ নিয়েছেন</t>
  </si>
  <si>
    <t>মানসিক চাপ কমাতে সক্রিয় থাকুন</t>
  </si>
  <si>
    <t>তার কাছে গিয়ে গল্প শুনেছি</t>
  </si>
  <si>
    <t>তাহাতে একেবারে কোথাও কণামাত্র মৃত্তিকা নাই সমুদয় পরিষ্কার ঝর্‌ঝর্‌ করিতেছে</t>
  </si>
  <si>
    <t>সে যাহা চাহিত তাহাতে তিনি না করিতে পারিতেন না</t>
  </si>
  <si>
    <t>মোক্ষদা বলে একটু কেন মা বেশ পাগল পাগলের বংশ যে</t>
  </si>
  <si>
    <t>কেন হাত পাতিল তাহা সে জানে না সকলে হাত পাতিয়াছে দেখিয়া সেও হাত পাতিল</t>
  </si>
  <si>
    <t>রাত্রে একবার মেয়েকে ডাকিতে পাঠাইয়াছিলেন এলোকেশী সরোজিনীর সাড়া না পাইয়া ফিরিয়া আসিয়া জানাইল</t>
  </si>
  <si>
    <t>শেয়ালের একটি পরিবার ক্লিয়ারিংয়ে খেলেছিল তাদের কৌতুকপূর্ণ কার্যকলাপ দেখতে আনন্দের</t>
  </si>
  <si>
    <t>পৌঁছানোর পর প্যাকেজিং ক্ষতিগ্রস্ত হয়েছে যা ছিল হতাশাজনক</t>
  </si>
  <si>
    <t>ডেথ মেটালের বছরগুলো তাদের নাম শুরুতে ছিল ব্ল্যাক ডেথ</t>
  </si>
  <si>
    <t>ফৌজদারি আদালত ফৌজদারি আইন লঙ্ঘনের সাথে জড়িত মামলা পরিচালনা করে</t>
  </si>
  <si>
    <t>অন্যদের সাথে আপনার ভ্রমণের তুলনা করবেন না আপনার নিজের পথে ফোকাস করুন</t>
  </si>
  <si>
    <t>খাতক যে আজ্ঞা বলিয়া চলিয়া যায়</t>
  </si>
  <si>
    <t>গৃহপালিত পশু বনে পথ হারাইলে শব্দানুসরণ করিয়া তাহাদের অনুসন্ধান করিতে হয়</t>
  </si>
  <si>
    <t>তাঁবুতে শত কার্য্য থাকিলেও আমি তাহা ফেলিয়া যাইতাম</t>
  </si>
  <si>
    <t>বলিবে আপনি থাকতে আমাকে একটিবার না দেখিয়ে বাবাকে ওরা পুড়িয়ে ফেলেছিল গো</t>
  </si>
  <si>
    <t>রহিম মাঠে আসিবে খেলিতে</t>
  </si>
  <si>
    <t>আন্তর্জাতিক মহিলা মাস্টার জাতীয় বৃটিশ নারী দাবা চ্যাম্পিয়ন</t>
  </si>
  <si>
    <t>ডিলনের মা ছিলেন কোমল বন্ধুত্বপূর্ণ স্বভাবের</t>
  </si>
  <si>
    <t>নতুন অভিজ্ঞতা সুযোগের জন্য উন্মুক্ত থাকুন তারা আপনার জীবনকে সমৃদ্ধ করে</t>
  </si>
  <si>
    <t>মালয়েশিয়ার অর্থনীতি মূলত মুক্তবাজার অর্থনীতি</t>
  </si>
  <si>
    <t>পেশী মেরামতের জন্য পুনরুদ্ধারের অগ্রাধিকার দিন</t>
  </si>
  <si>
    <t>বঙ্গবাসীদের কেবল মাঠ দেখা অভ্যাস মৃত্তিকার সামান্য স্তূপ দেখিলেই তাহাদের আনন্দ হয়</t>
  </si>
  <si>
    <t>শরীফ আমাকে বইটি পড়িতে বলিয়াছিল</t>
  </si>
  <si>
    <t>বিশেষ যুবতীর মুখবিনির্গত হইলে যুবার কর্ণে উভয়ই সুধাবর্ষণ</t>
  </si>
  <si>
    <t>পত্র লিখিতে লিখতে তাহার হস্ত ব্যাথা হইয়া গেলো</t>
  </si>
  <si>
    <t>একটু অধিক বয়স হইলে এদিকে তাঁহার মন যাইত না</t>
  </si>
  <si>
    <t>আমি মেনুতে উপলব্ধ বিকল্পের অভাব দ্বারা হতাশ হয়েছিলাম</t>
  </si>
  <si>
    <t>সত্য দুর্লভ এটি লাভ করার রাস্তাও বন্ধুর</t>
  </si>
  <si>
    <t>তারা ঐ খেলায় নিউকাসল ইউনাইটেডের বিপক্ষে – গোলে জয় লাভ করে</t>
  </si>
  <si>
    <t>মার্কিন যুক্তরাষ্ট্রে পুলিশ জিজ্ঞাসাবাদের সময় মিরান্ডা অধিকার ব্যক্তিদের রক্ষা করে</t>
  </si>
  <si>
    <t>শহরের মানুষ অন্যকে ঠকাতে ভালোবাসে</t>
  </si>
  <si>
    <t>আমররা রাজশাহী ভ্রমণ করিতে গিয়াছিলাম</t>
  </si>
  <si>
    <t>সে পরীক্ষায় ভালো ফলাফল করিতে পারেনি</t>
  </si>
  <si>
    <t>বালিকার করুণ মুখচ্ছবি দেখিয়া লইল</t>
  </si>
  <si>
    <t>দশ বৎসর পূর্ব্বে যাহা আপনিই আসিয়া জুটিয়াছিল</t>
  </si>
  <si>
    <t>তিনি শত লোক সমভিব্যাহারে থাকিলেও আমার দৃষ্টি বোধ হয় প্রথমেই তাঁহার মুখের প্রতি পড়িত</t>
  </si>
  <si>
    <t>ঋতু মিনা একসাথে কাজ শুরু করলো</t>
  </si>
  <si>
    <t>আপনার শরীরের সংকেত শুনুন</t>
  </si>
  <si>
    <t>জুচিনি নুডলস কার্বোহাইড্রেট ভারী পাস্তা প্রতিস্থাপন করে</t>
  </si>
  <si>
    <t>সালে তিনি ম্যানচেস্টার ইউনাইটেড ক্লাবে যোগ দেন</t>
  </si>
  <si>
    <t>আমি তাকে আসতে নিষেধ করেছিলাম</t>
  </si>
  <si>
    <t>এই পাহাড়ের ক্রোড় অতি নির্জ্জন কোথাও ছোট জঙ্গল নাই সর্ব্বত্র ঘাস</t>
  </si>
  <si>
    <t>সে চোখ তুলিয়া দেখিতেও সাহস করিল না</t>
  </si>
  <si>
    <t>তাহার সেই বিশ্বাসের শিরে বজ্রপাত হইল সাবিত্রীকে স্বচক্ষে দেখিয়া</t>
  </si>
  <si>
    <t>আপনার বাগানে যথেষ্ট দেখিতেছি</t>
  </si>
  <si>
    <t>সমস্ত দিনের পর সন্ধ্যার সময় একটা গাড়ি আসিয়া বিশ্বম্ভরবাবুর বাড়ির সম্মুখে দাঁড়াইল</t>
  </si>
  <si>
    <t>সুভাষচন্দ্র ছিলেন মেধাবী ছাত্র</t>
  </si>
  <si>
    <t>স্টক মার্কেট অপ্রত্যাশিত হতে পারে তাই ওঠানামার জন্য প্রস্তুত থাকা গুরুত্বপূর্ণ</t>
  </si>
  <si>
    <t>আমি লেনদেনের নিশ্চিতকরণের জন্য অপেক্ষা করছি</t>
  </si>
  <si>
    <t>সে ছাত্রজীবনে পরিশ্রম করেনি তাই সে ব্যর্থ হয়েছে</t>
  </si>
  <si>
    <t>সুজন ঢাকাতে বেড়াতে গিয়েছে</t>
  </si>
  <si>
    <t>পরে তাহা স্পষ্ট স্মরণ হইয়াছিল</t>
  </si>
  <si>
    <t>ফটিক কিছু না বলিয়া চলিয়া আসিল</t>
  </si>
  <si>
    <t>সেই অবকাশে মহেন্দ্র সেই কম্পান্বিতা</t>
  </si>
  <si>
    <t>এমনসময় একটা বিদেশী নৌকা ঘাটে আসিয়া লাগিল</t>
  </si>
  <si>
    <t>আমার পিতা মাঠে কাজ করিয়াছিল</t>
  </si>
  <si>
    <t>পুরু আন্ডারব্রাশের মধ্য দিয়ে অতিক্রম করে তারা তাদের নিজস্ব পথ তৈরি করে ছুরি দিয়ে তাদের পথটি হ্যাক করে</t>
  </si>
  <si>
    <t>রোজ সকালে ভাবতাম কখন একটা গাড়ি কিনবো কখন আমার মা বাবা কে নিয়ে ওই গাড়িতে ঘুরবো</t>
  </si>
  <si>
    <t>এটা কি তোমার নতুন বল</t>
  </si>
  <si>
    <t>ধৈর্যের অনুশীলন করুন ভালো জিনিস প্রকাশ পেতে সময় লাগে</t>
  </si>
  <si>
    <t>সে একটা আর্তচিৎকার দিয়ে রাস্তার মাঝখানে বসে পড়ল</t>
  </si>
  <si>
    <t>নাবিকেরা প্রাণপণে তাহার বাহিরে আসিতে চেষ্টা করিল</t>
  </si>
  <si>
    <t>রিক্তহস্তে কেহই আসে নাই</t>
  </si>
  <si>
    <t>তাহার আজ বাসায় ফিরিতে একেবারেই ইচ্ছা ছিল না</t>
  </si>
  <si>
    <t>কোন কিছু বুঝিবার চাহিনা তোমাকে আসিতে হইবে</t>
  </si>
  <si>
    <t>শশী কলিকাতার কলেজে পাস করিয়া ডাক্তার হইয়াছে</t>
  </si>
  <si>
    <t>বিশেষ শিক্ষা প্রতিবন্ধী শিক্ষার্থীদের চাহিদা পূরণ করে</t>
  </si>
  <si>
    <t>এই শিল্পকর্মের কারুকার্যের মাত্রা দেখে আমি বিস্মিত হয়েছিলাম</t>
  </si>
  <si>
    <t>আমি তাকে তার নাম জিজ্ঞেস করেছিলাম</t>
  </si>
  <si>
    <t>আমি তার বাসায় যেতে চেয়েছিলাম বৃষ্টির জন্য যেতে পারিনি</t>
  </si>
  <si>
    <t>দরজার ফাঁকে তার স্ত্রীর মুখ দেখা যাচ্ছে</t>
  </si>
  <si>
    <t>তাই এক মুহূর্তে তাহাকে ভালোবাসিলাম</t>
  </si>
  <si>
    <t>প্রথমবার দেশের বাইরে আসিয়া মানুষের যেরকম ভীতিকর অভিজ্ঞতা হয় তাহার সেরকম কিছুই হলো না</t>
  </si>
  <si>
    <t>বরকর্ত্তা আমার পাল্‌কী লইয়া গেল আমায় নিমন্ত্রণ করিল না</t>
  </si>
  <si>
    <t>ন্যাকামো না করিয়া কাজে মনোযোগ বাড়াইয়া দাও</t>
  </si>
  <si>
    <t>রিক্সা হইতে পরিয়া তাহার হাস্তে প্রচন্ড আঘাত প্রাপ্ত হইয়াছে</t>
  </si>
  <si>
    <t>রুমি আজ ভোরে পড়তে বসেছিল</t>
  </si>
  <si>
    <t>আমি সুজন কে ঘর থেকে বাহির হতে দেখেছি</t>
  </si>
  <si>
    <t>নদী উপত্যকার মধ্য দিয়ে তার পথ খোদাই করে পাথরের উপর দিয়ে ঝাপিয়ে পড়া জলের শব্দ বাতাসে ভরে উঠল</t>
  </si>
  <si>
    <t>ট্যুর বাস ড্রাইভার ঐতিহাসিক উপাখ্যানের সাথে পর্যটকদের বিনোদন দেওয়ার সময় শহরের রাস্তায় চলাচল করে</t>
  </si>
  <si>
    <t>শাকিব আমাকে ক্রিকেট খেলতে ডাকছিল</t>
  </si>
  <si>
    <t>কেহ কেহ এই উপলক্ষে সামকনামা লিখিয়া দেয়</t>
  </si>
  <si>
    <t>সেইখানে গিয়া গল্প আরম্ভ করিতেন</t>
  </si>
  <si>
    <t>গাওদিয়াবাসী যাহাদের বিবাহিত কন্যাগুলি সারি সারি দাঁড়াইয়া চোখের জলে ভাসে</t>
  </si>
  <si>
    <t>চিঠিতে ভাজ করিয়া খামে পুরিতে পুরিতে বলিলেন</t>
  </si>
  <si>
    <t>বিলাতী মদে পা চলুক বা না চলুক</t>
  </si>
  <si>
    <t>প্রাচীন ধ্বংসাবশেষ অন্বেষণ করে তারা রহস্যময় শিলালিপির পাঠোদ্ধার করেছিল যা অকথ্য সম্পদের ইঙ্গিত দেয়</t>
  </si>
  <si>
    <t>দ্বিতীয় বিশ্বযুদ্ধের সময় সালে জাপান মালয়েশিয়া আক্রমণ করে</t>
  </si>
  <si>
    <t>উদারতার কাজগুলি দেখে মানবতার প্রতি আমার বিশ্বাস পুনরুদ্ধার করে</t>
  </si>
  <si>
    <t>আমি কাজ করার পথে একটি ফ্ল্যাট টায়ার পেয়েছি ধন্যবাদ আমি একটি অতিরিক্ত ছিল</t>
  </si>
  <si>
    <t>সে আমার দিকে তীব্র দৃষ্টিতে তাকিয়ে বলল এ যেন এক অবিশ্বাস্য ব্যাপার</t>
  </si>
  <si>
    <t>সে গৃহে বসিয়া দেখে উঠানে ছায়া পড়িতেছে আকাশে ছায়া পড়িতেছে</t>
  </si>
  <si>
    <t>ডাক্তার বলে গেছেন ঘুমুলে তাঁকে যেন জাগানো না হয়</t>
  </si>
  <si>
    <t>বোধ হয় কন্যার এই সকল অনাদর অপমানের কথা বাপের কানে গিয়া থাকিবে</t>
  </si>
  <si>
    <t>হয়তো ছোট ভগিনী বন হইতে নূতন ফুল আনিয়া মাথায় পরাইয়া দেয়</t>
  </si>
  <si>
    <t>রবিবারের সকালে জ্যোতিষের বসিবার ঘরটা বন্ধু বান্ধবে পরিপূর্ণ হইয়া উঠিতেছিল</t>
  </si>
  <si>
    <t>শরিফ আমাকে নিয়ে খেলতে গিয়েছিল</t>
  </si>
  <si>
    <t>নিজেকে আপনার ক্ষমতা বিশ্বাস আত্মবিশ্বাসই চাবিকাঠি</t>
  </si>
  <si>
    <t>কৃষি প্রক্রিয়াকরণ কৌশলের মাধ্যমে কৃষি পণ্যের মূল্য সংযোজন জড়িত</t>
  </si>
  <si>
    <t>মরিসন 76 বছর বয়সে প্যারিসে মৃত্যুবরণ করেন</t>
  </si>
  <si>
    <t>তিনি কৃষকদের ঐক্যবদ্ধ করে শক্তিশালী লাঠিয়াল বাহিনী গঠন করেন</t>
  </si>
  <si>
    <t>প্রণামি গ্রহন করিলে পাপ হইবে আমার</t>
  </si>
  <si>
    <t>চারিটা বাজিলে আমি অস্থির হইতাম</t>
  </si>
  <si>
    <t>সে কঠিন হইয়া তাহারই প্রতীক্ষা করিয়া দাঁড়াইয়া রহিল</t>
  </si>
  <si>
    <t>তখনো আকাশে আলো ছিল</t>
  </si>
  <si>
    <t>এক সপ্তাহ ধরিয়াই কাটিবার চেষ্টা করিতেছিলাম</t>
  </si>
  <si>
    <t>মেয়েটির নাম রত্নেশ্বরী সে ভিকারুন নিসা নুন স্কুলে ক্লাস টেন এ পড়ে রত্নেশ্বরী বড়ই অবাক হয়েছে</t>
  </si>
  <si>
    <t>দেখতে পাবেন দিগন্ত বিস্তৃত সমুদ্র</t>
  </si>
  <si>
    <t>তখন দলপতি লড়াই বা আত্মগোপনের চেষ্টা করতে পারে</t>
  </si>
  <si>
    <t>এই ধরনের অদ্ভুত চিন্তা মাথায় আসায় ইরতাজউদ্দিন মনে খুবই দুঃখ পেলেন</t>
  </si>
  <si>
    <t>বন্ধুর সাথে নীরবতার একটি মুহূর্ত ভাগ করে নেওয়া সান্ত্বনা নিয়ে আসে</t>
  </si>
  <si>
    <t>যখন নবকুমারের নিদ্রাভঙ্গ হইল তখন রজনী গভীরা</t>
  </si>
  <si>
    <t>যে ইহা লিখিয়া দিল সে রীতিমত গোলাম হইল</t>
  </si>
  <si>
    <t>তুমি নিশ্চয়ই আব্বাজানের সিদ্ধান্তকে উষ্ঠা মারিয়া তোমার সহিত দেখা করিতে বলিবে না</t>
  </si>
  <si>
    <t>মাছ তখন টোপও গিলিয়াছে বঁড়শিও তাকে বিধিয়াছে তাই এক পক্ষের টান যতই বাড়িল অপর পক্ষের বাঁধনও ততই আঁটিল</t>
  </si>
  <si>
    <t>ইরতাজউদ্দিন কটমট করে তার দিকে তাকালেন</t>
  </si>
  <si>
    <t>শিল্পী ক্যানভাসে একটি শ্বাসরুদ্ধকর প্রাকৃতিক দৃশ্য এঁকেছেন</t>
  </si>
  <si>
    <t>তুমি কি তাদের সাথে কথা বলেছো</t>
  </si>
  <si>
    <t>টোস্ট করা তিলের বীজ এশিয়ান খাবারকে উন্নত করে</t>
  </si>
  <si>
    <t>মা আমাকে ভাত খেতে বলল</t>
  </si>
  <si>
    <t>ফ্যাশন পছন্দ করে এমন একজন বন্ধুকে ট্যাগ করুন</t>
  </si>
  <si>
    <t>লোকে না শুনিয়া অনেক কথা বলে</t>
  </si>
  <si>
    <t>কুসুম হাসিয়া উঠিল সশব্দে</t>
  </si>
  <si>
    <t>বাহিরে গলা বাড়াইয়া অন্ধকারে যতদূর দেখা যায়</t>
  </si>
  <si>
    <t>পর্ব্বতের অতি নিভৃত স্থানে থাকে বলিয়া তাহাদের অনুসন্ধান করা কঠিন</t>
  </si>
  <si>
    <t>অনেকেই পলাইয়া রক্ষা পায়</t>
  </si>
  <si>
    <t>সে কিছুক্ষণ আকাশের দিকে তাকিয়ে ছিলো</t>
  </si>
  <si>
    <t>এই মতাবলম্বী বল্লভ সম্প্রদায় কৃষ্ণের পূজা করে থাকে</t>
  </si>
  <si>
    <t>ইরতাজউদিনের পেট মোচড় দিয়ে উঠল</t>
  </si>
  <si>
    <t>এটি দেখতে অনেকটা গম্বুজের মতো</t>
  </si>
  <si>
    <t>কমিউনিস্ট দল মুলত কমিউনিজম ভাবধারার একটি রাজনৈতিক দল</t>
  </si>
  <si>
    <t>বুঝি আজ কাল আমাদের দেশেরও দুই চারি ঘরের গৃহিণীরা ইহার স্বপক্ষ কথা বলিলেও বলিতে পারেন</t>
  </si>
  <si>
    <t>সুমন আমাকে একটি খাতা দিয়াছিল</t>
  </si>
  <si>
    <t>এক দিন অপরাহ্ণে এই পাহাড়ের মূলে দাঁড়াইয়া আছি গেল আমি রাগত হইয়া চীৎকার করিয়া তাহাকে ডাকিলাম</t>
  </si>
  <si>
    <t>সে তাহার পড়াশোনায় মনোযোগী ছিলো না</t>
  </si>
  <si>
    <t>সে রক্তশূণ্য বিবর্ণ মুখে আমার দিকে কিছুক্ষণ তাকিয়ে ছিলো。</t>
  </si>
  <si>
    <t>তুমি কি আমার সাথে খাবার খাবে</t>
  </si>
  <si>
    <t>পশুচিকিত্সক প্রযুক্তিবিদ অস্ত্রোপচার পদ্ধতির সময় পশুচিকিত্সককে সহায়তা করেছিলেন</t>
  </si>
  <si>
    <t>তার মৃত্যু ই ফেব্রুয়ারি সাল</t>
  </si>
  <si>
    <t>মানুষের তিনটা করে হাত থাকলে ভালো হতো</t>
  </si>
  <si>
    <t>কৃষি জৈবপ্রযুক্তি উন্নত বৈশিষ্ট্যের জন্য ফসলের জেনেটিক পরিবর্তন জড়িত</t>
  </si>
  <si>
    <t>যাহা চাহিয়াছিলাম তাহা পাই নাই</t>
  </si>
  <si>
    <t>তাহা যাহাই হউক আমি অবাক্‌ হইয়া পক্ষীর মুখে সংস্কৃত ছন্দ শুনিতে লাগিলাম</t>
  </si>
  <si>
    <t>চিঠি মনে করিয়া পড়িবার অনেক চেষ্টা করিল</t>
  </si>
  <si>
    <t>আশার জন্য করুণায় তাহার হৃদয় ব্যথিত</t>
  </si>
  <si>
    <t>তাহার মুখের ধূর্ত হাসিটা আরও বিস্তৃত হইয়াছিল</t>
  </si>
  <si>
    <t>শাকিব আমার কাছে এসেছিল বই নিতে</t>
  </si>
  <si>
    <t>সে গাছ থেকে একটি আম পেরেছিল。</t>
  </si>
  <si>
    <t>আমাদের স্কুলে খেলা হয়েছিল</t>
  </si>
  <si>
    <t>ডিজিটাল রূপান্তর উদ্যোগ ব্যবসায়িক প্রক্রিয়াকে আধুনিক করে</t>
  </si>
  <si>
    <t>তুমি কি রাতে বাইর হয়েছিলে</t>
  </si>
  <si>
    <t>শশীর চোখের ভুল</t>
  </si>
  <si>
    <t>বাড়ির বড়োবউ মরিয়াছে খুব ধুম করিয়া অন্ত্যেষ্টিক্রিয়া সম্পন্ন হইল</t>
  </si>
  <si>
    <t>তথায় ত্রিশ বত্রিশটি গৃহস্থ বাস করে</t>
  </si>
  <si>
    <t>সেদিন তাহাদের বুক গর্বে সাহসে আত্নবিশ্বাসে ভরিয়া উঠিয়াছিল</t>
  </si>
  <si>
    <t>প্রত্যাগমন করিলে পর সেই অঞ্চলের বৃত্তান্ত লিখিবার নিমিত্ত দুই এক জন বন্ধুবান্ধব আমাকে পুনঃ পুনঃ অনুরোধ করিতেন</t>
  </si>
  <si>
    <t>মনে রাখবেন যে বিপত্তিগুলি অস্থায়ী এগিয়ে যেতে থাকুন</t>
  </si>
  <si>
    <t>আসমানী কয়েক দিন ধরেই বলছে তিনটা আধা ইঞ্চি পেরেক আনতে</t>
  </si>
  <si>
    <t>এখনো অপু মাঠ হতে ফিরে নি</t>
  </si>
  <si>
    <t>ভ্রমণ অনুপ্রেরণার জন্য আমাদের অনুসরণ করুন</t>
  </si>
  <si>
    <t>দুর্বলতা আলিঙ্গন করা খাঁটি সংযোগের জন্য অনুমতি দেয়</t>
  </si>
  <si>
    <t>গাল ফুলাইয়া সবে সে শাখে তিনবার স্কু দেওয়া শেষ করিয়াছে উঠানে শোনা গেল শশীর গলা</t>
  </si>
  <si>
    <t>তুমি কি মনে কর আমি যেতে জানিনে</t>
  </si>
  <si>
    <t>এক্ষণে আমায় কেহ অনুরোধ করে না অথচ আমি সেই বৃত্তান্ত লিখিতে বসিয়াছি</t>
  </si>
  <si>
    <t>তাই অন্যের চাইতে নিজের উপর বেশী বিশ্বাস রাখেন</t>
  </si>
  <si>
    <t>আমার ঘরে খাবারের কিছু নেই</t>
  </si>
  <si>
    <t>আমি গভীরভাবে যত্নশীল কারো দ্বারা বিশ্বাসঘাতকতা করা আমাকে বিশ্বাসঘাতকতায় পূর্ণ করে</t>
  </si>
  <si>
    <t>ডুবরিরা পানির নিচে অনুসন্ধান নিয়ে আসে</t>
  </si>
  <si>
    <t>বিষ শাঁখামুঠির বিষ মারাত্মক</t>
  </si>
  <si>
    <t>কৃষি বাণিজ্য চুক্তি শুল্ক কোটা বা ভর্তুকি নিয়ন্ত্রণ করে বিশ্ববাজারকে প্রভাবিত করে</t>
  </si>
  <si>
    <t>চারিদিকে জোনাকি ঝিকমিক করিতে আরম্ভ করে</t>
  </si>
  <si>
    <t>যাহা সর্বসম্মত সর্বাঞ্চলবাসী বাঙালীর বােধ্য তাহা সাধু নহে</t>
  </si>
  <si>
    <t>সে কর্মক্ষেত্রে সততার সাথে কাজটি সম্পন্ন করিয়াছিল</t>
  </si>
  <si>
    <t>কেহ গীত গায় কেহ নৃত্য করে কেহ বা রহস্য করে</t>
  </si>
  <si>
    <t>তখন রামসুন্দর নানাস্থান হইতে বিস্তর সুদে অল্প অল্প করিয়া টাকা ধার করিতে লাগিলেন</t>
  </si>
  <si>
    <t>শস্যের দেবতা বাইলের পুনর্জন্মের অনুমোদন দেয়</t>
  </si>
  <si>
    <t>জগিং হার্টের উন্নতি করে</t>
  </si>
  <si>
    <t>আমি এই প্রতিষ্ঠানে কাজ করেছিলাম</t>
  </si>
  <si>
    <t>তার সুখ বেশি দিন স্থায়ী হয়নি</t>
  </si>
  <si>
    <t>ওখানে তারা আমাকে জিজ্ঞেস করলেন</t>
  </si>
  <si>
    <t>স্রোতের বেগে নৌকা মৃদু মৃদু দুলিতেছিল</t>
  </si>
  <si>
    <t>কোলদের দেখিলে তাহা বোধ হয় না</t>
  </si>
  <si>
    <t>তাহাদের মধ্যে একটি লম্বোদরী—সর্ব্বাপেক্ষ বয়োজ্যেষ্ঠা—মাথায় পূর্ণ কলস দুই হস্তে ধরিয়া হাস্যমুখে আমায় বলিল রাত্রে নাচ দেখিতে আসিবেন</t>
  </si>
  <si>
    <t>শুনিবারও কিছু তাহাতে থাকিত না</t>
  </si>
  <si>
    <t>আত্মীয় স্ত্রীলোক কেহ কাছে নাই–কাজেই লজ্জার মাথা খাইয়াা নিজেই খবরটা দিতে হইল</t>
  </si>
  <si>
    <t>দরিদ্র পরিবারে তিনি বেড়ে ওঠেন</t>
  </si>
  <si>
    <t>মাটির স্বাস্থ্যের মূল্যায়ন কৃষকদের তাদের মাটির অবস্থা বুঝতে সাহায্য করে ভালো ব্যবস্থাপনার সিদ্ধান্তের জন্য</t>
  </si>
  <si>
    <t>সেদিন তার মনের ভেতর এক অস্বস্তিকর অনুভূতি বিরাজ করছিল</t>
  </si>
  <si>
    <t>পরিষেবাটি সর্বোত্তমভাবে মাঝারি ছিল আমি সম্ভবত ফিরে আসব না</t>
  </si>
  <si>
    <t>ঘন জঙ্গলের গভীরে অভিযাত্রীরা একটি প্রাচীন মন্দির উন্মোচন করেছে</t>
  </si>
  <si>
    <t>কৃষক কন্যারা শুষ্ক গোময় সংগ্রহ করিয়া যে স্তূপ করে বৈরাগীর গোবর্দ্ধন তাহা অপেক্ষা কিছু বড়</t>
  </si>
  <si>
    <t>সেদিন সৃষ্টিকর্তার কোন্‌ বিশেষ কর্মটা স্মরণ করিয়া যে সে এতবড় ধন্যবাদ উচ্চারণ করিয়াছিল</t>
  </si>
  <si>
    <t>জঙ্গল ভাল চেনা গেল না</t>
  </si>
  <si>
    <t>সে চারি দিকের সকলকে যেন খাপছাড়া রকমে ছাড়াইয়া উঠিয়াছে</t>
  </si>
  <si>
    <t>বৃদ্ধ ইহার উপর কোনো কথা কহিলেন না</t>
  </si>
  <si>
    <t>আমার খালা চাচা আমার কাছে দ্বিতীয় বাবা মায়ের মতো</t>
  </si>
  <si>
    <t>পুরো শরীর ব্যায়ামের জন্য সাঁতার কাটুন</t>
  </si>
  <si>
    <t>শহরের প্রাণকেন্দ্র ছিল একটি শিবমন্দির</t>
  </si>
  <si>
    <t>জোড় ভেঙে একটাকে আনা ঠিক হয় নি</t>
  </si>
  <si>
    <t>সে আমার সাথে সহমত পোষণ করেছিল</t>
  </si>
  <si>
    <t>কখন তাহার ফল কি ফুল হয় নাই</t>
  </si>
  <si>
    <t>এইরূপ বন দিয়া যাইতে যাইতে এক স্থানে হঠাৎ কাষ্ঠঘণ্টার বিষণ্ণকর শব্দ কর্ণগোচর হইল কাষ্ঠঘণ্টা পূর্ব্বে মেদিনীপুর অঞ্চলে দেখিয়াছিলাম</t>
  </si>
  <si>
    <t>সুতরাং তাহার চেহারা ভাবখানা অনেকটা প্রভুহীন পথের কুকুরের মতো হইয়া যায়</t>
  </si>
  <si>
    <t>সে আমাকে একটি সুন্দর পরামর্শ দিয়াছিল</t>
  </si>
  <si>
    <t>ছেলেরা তাহার এইরূপ উদার ঔদাসীন্য দেখিয়া কিছু বিমর্ষ হইয়া গেল</t>
  </si>
  <si>
    <t>অপ্রত্যাশিত উপহার প্রাপ্তি আমাকে কৃতজ্ঞতায় পূর্ণ করে</t>
  </si>
  <si>
    <t>উচ্চ কোলেস্টেরলের মাত্রা আপনার হৃদরোগের ঝুঁকি বাড়াতে পারে</t>
  </si>
  <si>
    <t>সে বলল বৃষ্টিটা কমে এলেই সে বাড়ি ফিরে যাবে</t>
  </si>
  <si>
    <t>ল্যান্ডস্কেপার বাগানে ফুল ঝোপঝাড় রোপণ করেছিল</t>
  </si>
  <si>
    <t>মাঝেমধ্যে মানুষজন তাদের কাছে কোনো নির্দিষ্ট ঝামেলার মিমাংসার জন্য আসত</t>
  </si>
  <si>
    <t>বাড়িঘরের উন্নত অবস্থা চোখে পড়ে</t>
  </si>
  <si>
    <t>আমি ইহা করিতে চাইয়া ছিলাম</t>
  </si>
  <si>
    <t>শ্লোকটির সঙ্গে এই কুঞ্জকীরানুবাদের বড় সুসঙ্গতি হইয়াছে</t>
  </si>
  <si>
    <t>ছাত্রজীবনে কঠোর পরিশ্রম করিলে সফলতার দেখা পাওয়া সম্ভব হইবে</t>
  </si>
  <si>
    <t>রান্না চাপাইয়া দিয়া পুনর্বার স্তব্ধ হইয়া বসিল</t>
  </si>
  <si>
    <t>তার সবচেয়ে সফল সাহিত্যকর্ম পিটার্সবুর্গ একটি প্রতীকী উপন্যাস</t>
  </si>
  <si>
    <t>রিয়েল এস্টেট বিনিয়োগ সম্পদ তৈরির একটি লাভজনক উপায় হতে পারে</t>
  </si>
  <si>
    <t>ব্র্যান্ড পরিচালনার কৌশলগুলি ব্র্যান্ডের অখণ্ডতা ধারাবাহিকতা বজায় রাখে</t>
  </si>
  <si>
    <t>বিমান প্রশিক্ষনে সেরা কৃতিত্ব প্রদর্শনকারীকে এটি প্রদান করা হয়</t>
  </si>
  <si>
    <t>তার উল্লেখযোগ্য ছবির মধ্যে আছে তিনি দু বার অস্কার পুরস্কার বিজয়ী</t>
  </si>
  <si>
    <t>ক্ষুদ্র উদ্ভিদ মণ্ডলাকারে কোন কোন ভূমিখণ্ড ব্যাপিয়াছে</t>
  </si>
  <si>
    <t>আজ সন্ধ্যার পর তাহারা একত্রে বারান্দায় বসিয়া ছিলো</t>
  </si>
  <si>
    <t>হরিমোহন তাঁর বড়ো ছেলে পুরন্দরকে স্নেহের রসে একেবারে গলাইয়া দিয়াছিলেন</t>
  </si>
  <si>
    <t>রিতু আমাকে তাহার গৃহে খাইতে বলিল</t>
  </si>
  <si>
    <t>সুতরাং তাহার খোঁজ করিতে লোকজনকে অনর্থক অনেক ভিজিতে হইল</t>
  </si>
  <si>
    <t>আতিথ্যগ্রহণের রাত্রিতেই ম্যাকবেথ হত্যা করেন ডানকানকে</t>
  </si>
  <si>
    <t>কাশেরা বিশেষ ধরনের অন্তর্বাস</t>
  </si>
  <si>
    <t>ভোর টা নাগাদ আমি বাড়ি ফিরে আসতাম</t>
  </si>
  <si>
    <t>আমি তাকে জিজ্ঞেস করেছিলাম তার পরীক্ষার পড়া কতটুকু শেষ হয়েছে</t>
  </si>
  <si>
    <t>আমি সুমনকে ঘরে আসতে বলেছিলাম</t>
  </si>
  <si>
    <t>আমি তাহাই আমার সাহসের বিশেষ গৌরব করি না</t>
  </si>
  <si>
    <t>মদের একটা দোষ ইহার নেশায় হাত পা দুইয়ের একটিও ভাল চলে না</t>
  </si>
  <si>
    <t>শেষ পর্যন্ত রহিম করিমকে বিপদে ফেলিতে চাইয়াছিল</t>
  </si>
  <si>
    <t>আট দশ কলস তুলিলে কিছু থাকে না</t>
  </si>
  <si>
    <t>বর্ষাকালে কোথাও একহাঁটু কাদা হয় কোথাও এঁটেল মাটিতে বিপজ্জনক রকমের পিছল হইয়া থাকে</t>
  </si>
  <si>
    <t>ঠোঁট চাইপ্যা ধরলে ঠোকর দিব না</t>
  </si>
  <si>
    <t>এছাড়া যুদ্ধের অন্যান্য প্রকল্পে তার অবদান রয়েছে</t>
  </si>
  <si>
    <t>তিনি মানসিক বিষন্নতা রোগে নিমজ্জিত হয়ে যান</t>
  </si>
  <si>
    <t>রনি রুমিকে দেখে ওদিকে চলে গিয়েছে</t>
  </si>
  <si>
    <t>উদ্দেশ্য বোধ ছাড়া অস্থির বোধ করা অসন্তুষ্টির দিকে নিয়ে যায়</t>
  </si>
  <si>
    <t>ওর বাড়িতে একবার নামাতে হবে</t>
  </si>
  <si>
    <t>সে আমার কথা ভুলিয়া গিয়াছিল</t>
  </si>
  <si>
    <t>তুমি না আসিলে অন্য কোনো বালিকার হাত ধরিয়া হাঁটিব গাছের নিচে বসিয়া কাঠবাদাম চিবাইব</t>
  </si>
  <si>
    <t>তাহাতে এমন ভাব ব্যক্ত করিয়াছেন যে সমস্ত দিন তরুপল্লবের কম্পন আকাশের মেঘ দেখিয়া জীবন বড়ো সুখে কাটিয়া যায়</t>
  </si>
  <si>
    <t>দেখিল কেবল পাল্কী বেহারা</t>
  </si>
  <si>
    <t>আমি সবার সামনে অপরাধ স্বীকার করব আল্লাহ যেন আমার পুত্রের জীবন রক্ষা করে</t>
  </si>
  <si>
    <t>নির্মাণ শ্রমিক আকাশচুম্বী ভবনের জন্য ভারা তৈরি করেছিলেন</t>
  </si>
  <si>
    <t>সে পরমুহূর্তেই তার নিজের ভুলটি বুঝতে পেরেছিল</t>
  </si>
  <si>
    <t>তিনি না থাকলে হয়তো বইটি করা অসম্পূর্ণ থেকে যেত</t>
  </si>
  <si>
    <t>সে দেখল বনের ভেতর থেকে তার সামনে এক অপরূপ সুন্দরী এসে দাঁড়িয়েছিল</t>
  </si>
  <si>
    <t>নৃত্য হাস্য উপহাস্যের পর পরস্পর মনোনীত হইলে সঙ্গী সঙ্গিনীরা তাহা কাণাকাণি করিতে থাকে</t>
  </si>
  <si>
    <t>সজিবের পিতা আমাকে গৃহে বসিতে বলিল</t>
  </si>
  <si>
    <t>লিখিবার বিষয় এখন ত কিছুই মনে হয় না অথচ কিছু না কিছু লিখিতে হইতেছে</t>
  </si>
  <si>
    <t>সুমন সাহেব এখন গৃহ হইতে বাহির হইয়াছেন</t>
  </si>
  <si>
    <t>ব্যাপারটা বুঝিয়া দাখো গৃহস্থবাড়ি</t>
  </si>
  <si>
    <t>রাজহাঁসটা ঘাড় ঘুরিয়ে তাকিয়ে আছে তাঁর দিকে</t>
  </si>
  <si>
    <t>সিজলিং ফজিটারা সুস্বাদু নাটক তৈরি করে</t>
  </si>
  <si>
    <t>উচ্চ সুদের ঋণ পরিশোধ করা তাদের আর্থিক অবস্থার উন্নতির জন্য খুঁজছেন এমন যেকোন ব্যক্তির জন্য অগ্রাধিকার হওয়া উচিত</t>
  </si>
  <si>
    <t>সে যে কথা বলেছিল তা আমার মনে স্থায়ী হয়ে রয়েছে</t>
  </si>
  <si>
    <t>ছয় বার বিশ্বকাপ জিতে ব্রাজিল হচ্ছে বিশ্বকাপের সফলতম দল</t>
  </si>
  <si>
    <t>কোন কোনটি পূর্ব্ব দিক্‌ হইতে উঠিয়া পশ্চিম দিকে নামে নাই</t>
  </si>
  <si>
    <t>অন্যান্য পার্থিব গৌরবের ন্যায় ইহার আনুষঙ্গিক যে বিপদের সম্ভাবনাও আছে তাহা তাহার কিংবা কাহারো মনে উদয় হয় নাই</t>
  </si>
  <si>
    <t>এমন মানুষকে ভদ্র লোকের ছেলেটির মতো বেশ খাওয়াইয়া দাওয়াইয়া সুস্থ করিয়া রাখিবার ভার যে লইয়াছে ভগবান তার সহায় হোন</t>
  </si>
  <si>
    <t>কোনো খুনীকে কখনো প্রত্যক্ষ দেখি নাই ইহাকে দেখিয়া সমস্ত অন্তঃকরণ যেন সংকুচিত হইয়া গেল</t>
  </si>
  <si>
    <t>সবুজ আমাকে মাঠে যাইতে বলিল</t>
  </si>
  <si>
    <t>বাংলা ভাষা আন্দোলনের সময় এটি বিশেষ তাৎপর্যপূর্ণ ভূমিকা পালন করেছিল</t>
  </si>
  <si>
    <t>আমার ব্যক্তিগত জীবনে বন্ধুর সংখ্যা খুবই সামান্য</t>
  </si>
  <si>
    <t>আজ একুশ বছর বয়সে বাস্তবতাটা বুঝলাম</t>
  </si>
  <si>
    <t>একটি মৃদু বৃষ্টি পড়তে শুরু করে এর প্রশান্তিদায়ক প্যাট দিনের তাপ থেকে স্বাগত অবকাশ দেয়</t>
  </si>
  <si>
    <t>আরও দিয়েছিলাম তাদেরকে ধর্মের সুস্পষ্ট প্রমাণাদি</t>
  </si>
  <si>
    <t>দিনের পর দিন অতিবাহিত হইয়া গেল না আসিলেন বড়বাবু না আসিল তাঁহার একখণ্ড জবাব</t>
  </si>
  <si>
    <t>সে দেখিতে পাইলো তাহার সারা মুখে সূর্যাস্তের এক রক্তিম আভা</t>
  </si>
  <si>
    <t>বোধ হয় এতদিনে লোপ পাইয়া থাকিবে এত দিন থাকে অতি সামান্য অবস্থায় আছে</t>
  </si>
  <si>
    <t>সে আমার জন্য চা নিয়ে অপেক্ষা করিতেছিল</t>
  </si>
  <si>
    <t>তাহা তখন ভাল লাগিত কি না স্মরণ নাই</t>
  </si>
  <si>
    <t>ওয়ার্কআউটে মননশীলতা অন্তর্ভুক্ত করুন</t>
  </si>
  <si>
    <t>নির্মাণ কর্মী নির্মাণস্থলে ভারী যন্ত্রপাতি চালাতেন</t>
  </si>
  <si>
    <t>প্লী দর কষাকষি হল প্রসিকিউটর আসামীদের মধ্যে কার্যকরভাবে মামলাগুলি সমাধান করার জন্য চুক্তি</t>
  </si>
  <si>
    <t>এরপর স্টেশন থেকে সেই বান্ডিল সংগ্রহ করে পাঠকেদের কাছে পৌছে দেওয়া হতো</t>
  </si>
  <si>
    <t>এর আগেও আমি বেশ কিছু বই লিখেছি</t>
  </si>
  <si>
    <t>সেই সকল গদ্য মানুষকে ভাবিতে বাধ্য করিবে</t>
  </si>
  <si>
    <t>তাহার উড়ুনীর অঞ্চলে কপালের ঘাম মুছিয়া মেঝের উপর উপবেশন করিল</t>
  </si>
  <si>
    <t>দরকার আছে মা তুমি দাও না আমি পরে বলিব</t>
  </si>
  <si>
    <t>নদীর তীরে সুন্দর কাশফুল ফুটিয়া থাকে</t>
  </si>
  <si>
    <t>বাইরে বাতাসের অবিশ্রান্ত গর্জনের শব্দে তাহারা ঘুম হইতে জাগিয়া উঠিয়াছিল</t>
  </si>
  <si>
    <t>এই তিন মহৎ ব্যাক্তি প্রতি শুক্রবার মিলিত হতেন</t>
  </si>
  <si>
    <t>গুরমেট আইসক্রিম মিষ্টি দাঁতে প্রশ্রয় দেয়</t>
  </si>
  <si>
    <t>সালেই মোহামেডান মাও মনি কাপ চ্যাম্পিয়ন হয়</t>
  </si>
  <si>
    <t>মাটির আসবার পত্র তৈরি একটি শিথিল কার্যকলাপ</t>
  </si>
  <si>
    <t>আমরা সবাই একসাথে স্কুলে গিয়েছিলাম</t>
  </si>
  <si>
    <t>তথায় কতকগুলি কোলবালক একত্র মহিষ চরাইতেছিল</t>
  </si>
  <si>
    <t>বহুদিন হইতে তাহার ঠেলাগাড়িতে চড়িয়া হাওয়া খাইবার শখ হইয়াছে কিছুতেই তাহা মিটিবার উপায় হইতেছে না</t>
  </si>
  <si>
    <t>বিদ্যালয় পালাইয়া মধুসূদন হইতে পারিবেনা</t>
  </si>
  <si>
    <t>শশী তাড়াতাড়ি আগাইয়া গেল</t>
  </si>
  <si>
    <t>আমার গল্পে কাহার পুঁজি বাড়িবে না</t>
  </si>
  <si>
    <t>সূর্য দিগন্তের নীচে ডুবে গেছে অন্ধকার নেমে আসার সাথে সাথে ল্যান্ডস্কেপ জুড়ে দীর্ঘ ছায়া ফেলেছে</t>
  </si>
  <si>
    <t>ধারণা করা হয় মোরে যুদ্ধে আহত হয়ে সালের শীতে মারা যান</t>
  </si>
  <si>
    <t>সূর্য দিগন্তের নীচে ডুবেছে কমলা গোলাপী রঙের উজ্জ্বল বর্ণ দিয়ে আকাশকে আঁকছে</t>
  </si>
  <si>
    <t>ইভেন্ট পরিকল্পনাকারী একটি কর্পোরেট সম্মেলনের জন্য লজিস্টিক সমন্বয় করে</t>
  </si>
  <si>
    <t>সংবাদপত্রের শ্রেণীবদ্ধ বিভাগ চাকরি প্রার্থী বিজ্ঞাপনদাতাদের জন্য একটি দরকারী সম্পদ</t>
  </si>
  <si>
    <t>অত্যন্ত রাগবশত কিছু বাক্য বিনিময় করিয়া নিজেকে ছোট মনে হইতে লাগিল</t>
  </si>
  <si>
    <t>তাড়াতাড়ি ভাত বাড়ো বড় বেলা হয়ে গেছে</t>
  </si>
  <si>
    <t>হঠাৎ তিরস্কারের আকার ধরিতেই কথাগুলো অত্যন্ত শক্ত রুক্ষ হইয়া কিরণময়ীর কানে গিয়া বিঁধিল</t>
  </si>
  <si>
    <t>তাহারাও বাহির হইয়া পথরোধ করিল</t>
  </si>
  <si>
    <t>রেড ইণ্ডিয়ান নাটিক ইণ্ডিয়ান নিউ জিলাণ্ডার তাস্মানীয় প্রভৃতি কত জাতি লোপ পাইতেছে</t>
  </si>
  <si>
    <t>কৃষি বনায়ন একাধিক সুবিধার জন্য বৃক্ষ গুল্মকে কৃষি ব্যবস্থায় একীভূত করে</t>
  </si>
  <si>
    <t>আত্মকলহ গৃহযুদ্ধ গুপ্তহত্যা অত্যাচার প্রভৃতি চরমে ওঠে</t>
  </si>
  <si>
    <t>দুই বাংলায়ই তার নূরজাহান উপন্যাসটি ব্যাপক আলোড়ন সৃষ্টি করেছে</t>
  </si>
  <si>
    <t>সিরোসিস হল লিভারের টিস্যুর দাগ সাধারণত হেপাটাইটিস বা অ্যালকোহল অপব্যবহারের মতো অবস্থার কারণে দীর্ঘমেয়াদী লিভারের ক্ষতির কারণে হয়</t>
  </si>
  <si>
    <t>বরাবরের মতোই আমি আমার বাগানের বুড়ো অর্জুনগাছটার নিচে দাঁড়িয়ে পড়লাম</t>
  </si>
  <si>
    <t>শেষ আরও কতদূর গেলে বন স্পষ্ট দেখা গেল</t>
  </si>
  <si>
    <t>সেই নিরাবৃত বক্ষে পুতির সাতনরী তাহাতে ক্ষুদ্র ক্ষুদ্র আরসী ঝুলিতেছে কর্ণে ক্ষুদ্র ক্ষুদ্র বনফুল মাথায় বড় বড় বনফুল</t>
  </si>
  <si>
    <t>দেখিতে দেখিতে পশ্চিমে মেঘের মতো আমাকে ছাড়াইয়া গেলেন যেন সেইসঙ্গে একটু</t>
  </si>
  <si>
    <t>ঘাটও কিছুই নয় কোদাল দিয়া কয়েকটি ধাপ কাটিয়া দেওয়া হইয়াছে মাত্র ঘাটের উপরে একটা টিনের চালা আছে</t>
  </si>
  <si>
    <t>সচরাচর পটে কেবল রূপ অঙ্কিত হয়</t>
  </si>
  <si>
    <t>পুরস্কার বিজয়ীরা নির্বাচিত হন সাধারণ মানুষের ভোটে</t>
  </si>
  <si>
    <t>অমবস্যার রাতে তারা সবাই বাইরে বসেছিল কিছুক্ষণ</t>
  </si>
  <si>
    <t>লাইভ আপডেটের জন্য আমাদের অনুসরণ করুন</t>
  </si>
  <si>
    <t>তাঁর প্রশংসা অবদান বলে শেষ করা যাবে না</t>
  </si>
  <si>
    <t>সুফল সুজনের কাছে গিয়েছিল</t>
  </si>
  <si>
    <t>রহমত কাবুলিওয়ালা সম্বন্ধে তিনি সম্পূর্ণ নিঃসংশয় ছিলেন না</t>
  </si>
  <si>
    <t>ভেবেছিলুম আসব বলে গেলেও হয়ত আসতে পারবেন না</t>
  </si>
  <si>
    <t>তখন শ্লোকের স্পষ্টতা পূর্ব্বমত বোধ হইল না</t>
  </si>
  <si>
    <t>ক্লান্ত অবসন্ন হয়ে তারা সেই নিশ্চুপ শহরে ঘুমিয়ে পড়েছিল</t>
  </si>
  <si>
    <t>একখানি অন্ধকার আটচালার মধ্যে তাঁহার আপিস অদূরে একটি পানাপুকুর তাহার চারি পাড়ে জঙ্গল</t>
  </si>
  <si>
    <t>এই অভিজ্ঞতার পরে কোম্পানি সম্পর্কে আমার মতামত ব্যাপকভাবে পরিবর্তিত হয়েছে</t>
  </si>
  <si>
    <t>আমি আমার ছুটিতে ঘোড়ায় টানা গাড়িতে চড়েছিলাম এটা কমনীয় ছিল</t>
  </si>
  <si>
    <t>আজকের মিডিয়া পরিবেশে ভুয়া খবর একটি উদ্বেগজনক বিষয় হয়ে দাঁড়িয়েছে</t>
  </si>
  <si>
    <t>বইটি বিদগ্ধজনের প্রশংসা কুড়ায় যাদের মাঝে ছিলেন রবীন্দ্রনাথ ঠাকুর</t>
  </si>
  <si>
    <t>রুমি আমাকে খেলতে ডাকতে এসেছিল</t>
  </si>
  <si>
    <t>কাজটি সহজ তাহারা বলিয়াছিল</t>
  </si>
  <si>
    <t>দিবারাত্র বালকদের কাছে শিক্ষক থাকার আবশ্যকতা অনেকে বুঝেন না</t>
  </si>
  <si>
    <t>এমন সময়ে ফটিকের মাতা ঝড়ের মতো ঘরে প্রবেশ করিয়াই উচ্চকলরবে শোক করিতে লাগিলেন</t>
  </si>
  <si>
    <t>পঞ্চমী কি ষষ্ঠীর দিনে আবার চাদরের প্রান্তে গুটিকতক নোট বাঁধিয়া রামসুন্দর যাত্রার উদ্যোগ করিলেন</t>
  </si>
  <si>
    <t>অত্যন্ত ভারী মোটা গলায় জিজ্ঞাসা করিল আপনার পরিবার সঙ্গে আছেন বুঝি</t>
  </si>
  <si>
    <t>বাগানটি সুন্দর সুন্দর ফুলে ভরে গিয়েছে</t>
  </si>
  <si>
    <t>তার পুরুষ সঙ্গী ঝাঁপিয়ে পড়ল পুকুরে</t>
  </si>
  <si>
    <t>আকাশে মেঘ থাকার জন্যেই বোধহয় এই অস্বাভাবিক উত্তাপ</t>
  </si>
  <si>
    <t>বর্তমানেও কোনো জরুরি অবস্থার প্রেক্ষিতে এ ধরনের স্যাংশন বা অবরোধ জারি করা হয়</t>
  </si>
  <si>
    <t>কভার ক্রপিং মাটিতে জৈব পদার্থ যোগ করার সময় আগাছা দমন করে</t>
  </si>
  <si>
    <t>আমাদের দেশী মদ একবার বিলাতে পাঠাইতে পারিলে জন্ম সার্থক হয় অনেক অন্তরজ্বালা নিবারণ হয়</t>
  </si>
  <si>
    <t>কতকগুলি একত্রে গলাগলি করে বাস করে কতকগুলি বিধবার ন্যায় এখানে সেখানে একাকী থাকে</t>
  </si>
  <si>
    <t>আমাকে তুমি যাহা বলিয়াছো তাহাই করিয়াছি</t>
  </si>
  <si>
    <t>এমনি ঘাড় হেঁট করিয়া রহিল যে সে ইহার কিছুই দেখিতে পাইল না</t>
  </si>
  <si>
    <t>পশ্চাৎ ফিরিয়া পাহাড়ের প্রতি চাহিয়া আবার চীৎকার করিলাম</t>
  </si>
  <si>
    <t>আমি তার সফলতার গল্পগুলো শুনতে চেয়েছিলাম</t>
  </si>
  <si>
    <t>প্যাকেজিং নিরাপদ ছিল পণ্যটি নিখুঁত অবস্থায় পৌঁছেছে</t>
  </si>
  <si>
    <t>ক্রিস্পি ফ্রাইড চিকেন তৃষ্ণা পূরণ করে</t>
  </si>
  <si>
    <t>আমার বাবা রামেশ্বরামের মসজিদের ইমামের দায়িত্ব পালন করতেন</t>
  </si>
  <si>
    <t>রিকশাওয়ালা তাঁকে ঠকালো কিনা</t>
  </si>
  <si>
    <t>আব্বাজানের চুল যখন মেহেন্দিতে লাল হইবে তখন এই যুবতীর মনটা বৈকালীন ভ্রমণে যুবকের সঙ্গে ঘুরাফিরা করিবে</t>
  </si>
  <si>
    <t>চেহারার ভালো খারাপ বলতে কিছুই নেই সকল সৃষ্টিই সুন্দর</t>
  </si>
  <si>
    <t>যাহা জ্ঞানের কথা তাহা প্রচার হইয়া গেলেই তাহার উদ্দেশ্য সফল হইয়া শেষ হইয়া যায়</t>
  </si>
  <si>
    <t>নবীনমাধব রাধামাধব দুই ভাইয়ের তুলনা করিয়া বিদ্যাবুদ্ধি স্বভাব সম্বন্ধে রাধামাধবের সুখ্যাতি নবীনমাধবের নিন্দা করিলেন</t>
  </si>
  <si>
    <t>তাহারই উপরে নির্ভর করিয়া উপীনদা বাড়ি গিয়াছেন</t>
  </si>
  <si>
    <t>অনেকেই আমার অপেক্ষায় থাকত যে আমি কখন সংবাদপত্র নিয়ে যাব</t>
  </si>
  <si>
    <t>সূর্যালোক ঘন ছাউনির মধ্য দিয়ে ফিল্টার করে বনের মেঝেতে ছিমছাম ছায়া ফেলে</t>
  </si>
  <si>
    <t>রহিম করিম বেড়াতে যাবে</t>
  </si>
  <si>
    <t>স্কুল জীবনে বন্ধুরা মিলে এই নামটিকে পছন্দ করেন</t>
  </si>
  <si>
    <t>বিনিয়োগ ঝুঁকি ব্যবস্থাপনার জন্য সম্পদ বরাদ্দ একটি গুরুত্বপূর্ণ কৌশল</t>
  </si>
  <si>
    <t>বলিতে দুজনেই হাসিয়া উঠিলেন</t>
  </si>
  <si>
    <t>এই স্থলে বলা আবশ্যক এ অঞ্চলে মহিষ ভিন্ন গোরু নাই</t>
  </si>
  <si>
    <t>এই ছুটিতে আমি ঘুরতে যাওয়ার জন্য মাকে অনুরোধ করেছিলাম。</t>
  </si>
  <si>
    <t>বটগাছটার সামনাসামনি খালের পাড় অত্যন্ত ঢালু</t>
  </si>
  <si>
    <t>অপরাহ্ণে পালামৌয়ে প্রবেশ করিয়া উভয়পার্শ্বস্থ পর্ব্বতশ্রেণী দেখিতে দেখিতে বনমধ্য দিয়া যাইতে লাগিলাম</t>
  </si>
  <si>
    <t>আমাদের যাতায়াতের খরচ কমাতে আমি আমার সহকর্মীদের সাথে কারপুলিং করছি</t>
  </si>
  <si>
    <t>মাঝে মাঝেই সে ডানা ঝাপটাচ্ছে</t>
  </si>
  <si>
    <t>সন্ধ্যার পরপরই সে নিজ ঘরে পড়তে বসেছিল</t>
  </si>
  <si>
    <t>পাঠকেরা তা ইতিবাচকভাবেই নিয়েছিলেন</t>
  </si>
  <si>
    <t>মন্দার আগে সাধারণত স্থাবর সম্পত্তির বাজারও দুর্বল হয়ে পড়ে</t>
  </si>
  <si>
    <t>শেষ প্রাঙ্গণে একখানি বৃহৎ প্রস্তরে হাত দিয়া বলিল আসুন এইখানি ঠেলিয়া তুলি</t>
  </si>
  <si>
    <t>নাহয় ক্ষণকালের জন্য মনে পড়িলই বা</t>
  </si>
  <si>
    <t>ছোটবড় সকলেই একদিন তাঁর কাছে জবাবদিহি করিতে হয়</t>
  </si>
  <si>
    <t>আমি পশ্চাৎ ফিরিলাম দেখিলাম কেহই নাই</t>
  </si>
  <si>
    <t>একটু আছে সেই নির্জ্জন স্থানে মনকে একা পাইতাম বালকের ন্যায় মনের সহিত ক্রীড়া করিতাম</t>
  </si>
  <si>
    <t>প্রাকৃতিক গ্যাস খনিতে প্রাপ্ত গ্যাস</t>
  </si>
  <si>
    <t>সালে রামকৃষ্ণ পরমহংসের সঙ্গে তাঁর আলাপ হয়</t>
  </si>
  <si>
    <t>আমার চাচা আমাকে সবসময় হাসায়</t>
  </si>
  <si>
    <t>অতীতের ভুলগুলো মনে পড়ে আফসোস করে</t>
  </si>
  <si>
    <t>জায়ফল মশলাযুক্ত ডেজার্ট ছুটির উষ্ণতা জাগিয়ে তোলে</t>
  </si>
  <si>
    <t>কিছুক্ষণের মধ্যে শশীর মনে হইল হারুর পরলোক গমন ওদের কথার মধ্যেই এতক্ষণে শোচনীয় হইয়া উঠিতেছে</t>
  </si>
  <si>
    <t>যে কথার আলোচনা আরম্ভ করা গিয়াছিল তাহা শেষ হয় নাই</t>
  </si>
  <si>
    <t>সেই ঘরে সন্ধ্যার পর একে একে গ্রামের সমুদয় কুমারীরা আসিয়া উপস্থিত হয়</t>
  </si>
  <si>
    <t>সে অধিকারেও বাহিরের কাহারো হস্তক্ষেপ সহ্য করা নিজের উপরে অন্যায় করা</t>
  </si>
  <si>
    <t>কতকাল প্রিয় সহকর্মীবৃন্দের সহিত সাক্ষাৎলাভ ঘটে না</t>
  </si>
  <si>
    <t>আমাকে দেখে শাওন খেলতে ডাকলো</t>
  </si>
  <si>
    <t>বারিস্তা ক্যাফেতে গ্রাহকদের জন্য কফি তৈরি করে</t>
  </si>
  <si>
    <t>সেগুলো ছিলো চলচ্চিত্রটিতে তাঁর অভিনীত চরিত্রের মতোই</t>
  </si>
  <si>
    <t>সংবেদনশীল বুদ্ধি কার্যকর নেতৃত্ব দলের গতিশীলতা বৃদ্ধি করে</t>
  </si>
  <si>
    <t>এই ধরনের প্রথম যুদ্ধটি ছিল সালের সিনো সোভিয়েত সীমান্ত সংঘর্ষ</t>
  </si>
  <si>
    <t>কতকাল কর্মক্ষেত্রে যাওয়া হয় না</t>
  </si>
  <si>
    <t>তিনি ভাবিতেন নিশ্চয়ই এ পক্ষীটি রাধাকুঞ্জের শিক্ষিত পক্ষীর বংশ</t>
  </si>
  <si>
    <t>বাস্তবিক সমস্তদিন দুশ্চিন্তায় তাঁহার ভালোরূপ আহারাদি হয় নাই নিজের ছেলেদের সহিতও নাহক অনেক খিট্‌মিট্‌ করিয়াছেন</t>
  </si>
  <si>
    <t>তিনি যে কতকিছু ব্যবহার করিলেন তাহা আমি অন্তরদ্বারা উপলব্ধি করিলুম</t>
  </si>
  <si>
    <t>এমন কৌশলে চলিবেন যে তাঁহার মৃত্যুর পূর্বে এ কথা ছেলেরা জানিতে পারিবে না</t>
  </si>
  <si>
    <t>হাইড্রোপনিক্স একটি নিয়ন্ত্রিত পরিবেশে পুষ্টির সমাধান ব্যবহার করে মাটি ছাড়াই গাছপালা বৃদ্ধি করে</t>
  </si>
  <si>
    <t>অ্যাপটির ইউজার ইন্টারফেস ছিল স্বজ্ঞাত নেভিগেট করা সহজ</t>
  </si>
  <si>
    <t>প্রাচীন পিরামিডগুলিকে স্কেলিং করে তারা বহুদিন ধরে চলে যাওয়া সভ্যতার চাতুর্য দেখে বিস্মিত হয়েছিল</t>
  </si>
  <si>
    <t>ক্ষমা অনুশীলন করুন ক্ষোভ ধরে রাখা শুধুমাত্র আপনার ক্ষতি করে</t>
  </si>
  <si>
    <t>লাইক্স টেকম্যাকস ইত্যাদি এ ধরনের কিছু সফটওয়ার</t>
  </si>
  <si>
    <t>আর্য্যেরা নিরুপায় হইয়া কেবল ইন্দ্রকে ডাকিতেন কখন কখন দলবল জুটাইয়া লাঠালাঠিও করিতেন</t>
  </si>
  <si>
    <t>মনে হইল যেন এইমাত্র সে কাঁদিতেছিল</t>
  </si>
  <si>
    <t>ঐখানে তাহারা আমাকে জিজ্ঞাসিলেন</t>
  </si>
  <si>
    <t>যুবকের হৃদয় ভাঙিবার সাধ জাগিলে তোমারে বলপ্রয়োগপূর্বক দেখা করিবার প্রয়াস চালাইব না</t>
  </si>
  <si>
    <t>ভাই বোন সকলেই যখন চাকুরীতে যোগদান করিল তখন নিজের অজান্তেই কিঞ্চিৎ স্বপ্ন দেখিতে শুরু করিয়াছিল নজরুল</t>
  </si>
  <si>
    <t>সে আমাকে না বলেই বাড়ি ফিরে গিয়েছে</t>
  </si>
  <si>
    <t>সে বাড়িতে এসে দেখে সেখানে খানিকটা চাঞ্চল্য শুরু হয়েছে</t>
  </si>
  <si>
    <t>ব্যায়ামের মাধ্যমে সামগ্রিক সুস্থতাকে অগ্রাধিকার দিন</t>
  </si>
  <si>
    <t>ডিপ ভেইন থ্রম্বোসিস হল একটি রক্ত ​​​​জমাট যা একটি গভীর শিরায় সাধারণত পায়ে তৈরি হয় চিকিত্সা না করা হলে গুরুতর জটিলতা হতে পারে</t>
  </si>
  <si>
    <t>আপনার ট্রাকের তেল পরীক্ষা করার কথা মনে আছে</t>
  </si>
  <si>
    <t>আমি কেবল তাহার রূপ দেখিতে লাগিলাম</t>
  </si>
  <si>
    <t>খরচপত্রের অত্যন্ত টানাটানি পড়িয়াছে পাওনাদারদের দৃষ্টিপথ এড়াইবার জন্য সর্বদাই নানারূপ হীন কৌশল অবলম্বন করিতে হইতেছে</t>
  </si>
  <si>
    <t>কার্যালয় হইতে কার্যালয় ঘুরিয়াও কোন হদিস না করিতে পারিয়া বড় দুশ্চিন্তা গ্রস্থ হইয়া গিয়াছি</t>
  </si>
  <si>
    <t>জানু স্পর্শ করিয়া উপবেশন করা কোলজাতির স্ত্রীলোকদিগের রীতি</t>
  </si>
  <si>
    <t>মেয়েটা সেদিন ঘরের কাজ নিয়ে ব্যস্ত ছিলো</t>
  </si>
  <si>
    <t>আলি খামেনেই বর্তমানে ইরানের সর্বোচ্চ ধর্মীয় নেতা</t>
  </si>
  <si>
    <t>রহিম প্রতিবারই পরিক্ষায় সর্বোচ্চ নম্বর পায়</t>
  </si>
  <si>
    <t>ভাল ভাইবের জন্য রিটুইট করুন</t>
  </si>
  <si>
    <t>নবজাতকের হাইপোথাইরয়েডিজম যা জন্মগত হাইপোথাইরয়েডিজম নামে পরিচিত অবিলম্বে চিকিত্সা না করা হয় বিকাশে বিলম্ব হতে পারে</t>
  </si>
  <si>
    <t>একটু পরে বৃদ্ধ অল্পে অল্পে চক্ষু মেলিয়া মা বলিয়া দীর্ঘনিশ্বাস ফেলিলেন</t>
  </si>
  <si>
    <t>মা বাড়ি আসিয়া দালানে পা ছড়াইয়া বসিয়া পরিলেন</t>
  </si>
  <si>
    <t>এই হেতুবশতঃ নবকুমারের প্রত্যাগমনে বিলম্ব হইতে লাগিল</t>
  </si>
  <si>
    <t>দূরে চারি দিকে পাহাড়ের পরিখা যেন সেইখানে পৃথিবীর শেষ হইয়া গিয়াছে</t>
  </si>
  <si>
    <t>কেহ না বুজাইয়া দেয় হেথায় কিভাবে ঠিক করিবো</t>
  </si>
  <si>
    <t>গ্রীষ্মমন্ডলীয় স্মুদিগুলি গ্রীষ্মের বিকেলকে সতেজ করে</t>
  </si>
  <si>
    <t>আমি অবশ্যই ভবিষ্যতে এই আইটেমটি আবার ক্রয় করব</t>
  </si>
  <si>
    <t>আমি তাকে দূর থেকে দেখতে পেয়েছিলাম</t>
  </si>
  <si>
    <t>আমি আজকে খুব নিরাপদ থাকতে চাই</t>
  </si>
  <si>
    <t>দৈনিক অনুপ্রেরণার জন্য সাবস্ক্রাইব করুন</t>
  </si>
  <si>
    <t>যে সময়ের কথা বলিতেছি আমি তখন নিজে যুবা</t>
  </si>
  <si>
    <t>আমি ইহা করিতে আসিব না</t>
  </si>
  <si>
    <t>মাতা আমাকে স্কুলে যাইতে বলিল</t>
  </si>
  <si>
    <t>নৌকা মুক্ত হইতে না হইতে সম্মুখস্ত সৈকতভূমি জলপ্লাবিত হইয়া গেল</t>
  </si>
  <si>
    <t>কোনমতেই তা ফিরিয়ে নিতে পারব না এ কথা নিশ্চয় বললুম</t>
  </si>
  <si>
    <t>শেষ পর্যন্ত তিনি সফলকাম হলেন</t>
  </si>
  <si>
    <t>ঘাতকরা অন্যান্য হাউস টিউটরের বাসায়ও যায়</t>
  </si>
  <si>
    <t>সংবাদপত্রের সম্পাদকীয় কর্মীরা মানসম্পন্ন সামগ্রী তৈরি করতে অক্লান্ত পরিশ্রম করে</t>
  </si>
  <si>
    <t>আপনার বন্ধুদের এখানে ট্যাগ করুন</t>
  </si>
  <si>
    <t>শিক্ষাগত পন্থাগুলি শেখার উদ্দেশ্যগুলির সাথে সারিবদ্ধ হওয়া উচিত</t>
  </si>
  <si>
    <t>পাহাড় এখান হইতে অধিক দূর আপনি সন্ধ্যার মধ্যে তথায় পৌঁছিতে পারিবেন না</t>
  </si>
  <si>
    <t>রানা স্কুলে পড়াইতে যাইতেছে</t>
  </si>
  <si>
    <t>রাজা পাকশালার সম্মুখে দাঁড়াইলে একজন বাঙ্গালী পিঁয়াজের স্তূপ দেখাইয়া দিল</t>
  </si>
  <si>
    <t>কোলেরা প্রেম প্রীতের বড় সম্বন্ধ রাখে না</t>
  </si>
  <si>
    <t>বোধ করি মায়াও তাহা বুঝিয়াছিল</t>
  </si>
  <si>
    <t>এ লুডুও একইভাবে খেলা হয়</t>
  </si>
  <si>
    <t>নার্স অনুশীলনকারী গ্রামীণ সম্প্রদায়ের রোগীদের প্রাথমিক স্বাস্থ্যসেবা প্রদান করে</t>
  </si>
  <si>
    <t>আপনার কথা কাজ মনে রাখবেন তাদের ক্ষমতা আছে</t>
  </si>
  <si>
    <t>সুইজারল্যান্ডে বেকারত্বের হার কম</t>
  </si>
  <si>
    <t>প্রতিদিন বিশ মিনিটের জন্য লক্ষ্য রাখুন</t>
  </si>
  <si>
    <t>করিম বাজার হইতে মাকে নিয়ে আনিয়াছে</t>
  </si>
  <si>
    <t>রায়বাহাদুরের বাড়ি যখন পূজার নিমন্ত্রণ হইবে তখন তাঁহার বধূগণকে অতি যৎসমান্য অলংকারে অনুগ্রহপাত্র দরিদ্রের মতো যাইতে হইবে</t>
  </si>
  <si>
    <t>দোষ না করার মধ্যে যে একটা সত্যকার জোর প্রচ্ছন্ন হইয়া থাকে সেই জোর তাহার অজ্ঞাতসারেও তাহাকে আশ্রয় দিতেছিল</t>
  </si>
  <si>
    <t>মামি তাহাকে দেখিয়াই বলিয়া উঠিলেন কেন বাপু পরের ছেলেকে নিয়ে কেন এ কর্মভোগ দাও ওকে বাড়ি পাঠিয়ে দাও</t>
  </si>
  <si>
    <t>আমার স্মরণ নাই বোধ হয় যেন উরাঙ মুণ্ডা খেরওয়ার দোসাদ এই চারি জাতি তাহার মধ্যে প্রধান</t>
  </si>
  <si>
    <t>প্রিয়জনের কাছ থেকে উৎসাহ পাওয়া আমাকে অনুপ্রাণিত করে</t>
  </si>
  <si>
    <t>নিজের ক্যারিয়ারকে ভালোবাসুন কোনো মেয়েকে নয়</t>
  </si>
  <si>
    <t>খোদা বক্স মৃধা বাইশে মার্চ সালে মৃত্যুবরণ করেন</t>
  </si>
  <si>
    <t>বসন্তকালে প্রতিটি গাছ সুন্দর সবুজ হয়ে থাকে</t>
  </si>
  <si>
    <t>লোকটা সালামের জবাব দেয় নাই</t>
  </si>
  <si>
    <t>নদীর কিনারায় ভাঙিয়া যাইতে লাগিল</t>
  </si>
  <si>
    <t>নিত্য অপরাহ্ণে আমি লাতেহার পাহাড়ের ক্রোড়ে গিয়া বসিতাম</t>
  </si>
  <si>
    <t>তাহার বাড়িতে বসিয়া তাহাকেই ছুঁই ছুঁই করিয়া বাস করা সুখেরও নয় উচিতও নয়</t>
  </si>
  <si>
    <t>সেবা দেখিয়া আমারও কপাল ধরিয়া উঠিতেছে</t>
  </si>
  <si>
    <t>রহিম অদ্য প্রত্যুষেই বেড়াইতে যাইবে</t>
  </si>
  <si>
    <t>অনুপ্রেরণার জন্য গ্রুপ ক্লাসে নিযুক্ত হন</t>
  </si>
  <si>
    <t>তুমি কি এটা করতে পারবে</t>
  </si>
  <si>
    <t>বিশ্বব্যাপী রান্না রান্না করা আনন্দদায়ক</t>
  </si>
  <si>
    <t>তাদের উপরও আক্রমণ করা হয়</t>
  </si>
  <si>
    <t>ভয়াবহ ধরনের ঝগড়া</t>
  </si>
  <si>
    <t>সুমন আমার নিকটে আসিয়া বই দিয়াছে</t>
  </si>
  <si>
    <t>তুমি কি তাহাদের দেখিয়াছিলে</t>
  </si>
  <si>
    <t>বাবুটি তখন অন্য লোকের সাহায্য অবলম্বন করিয়া চক্রবর্তীদের গৃহের সন্ধানে চলিলেন</t>
  </si>
  <si>
    <t>একে বিধাতা আমাদের বঞ্চনা করেছেন আবার দেখ পোড়া পক্ষীও কত দগ্ধাচ্ছে</t>
  </si>
  <si>
    <t>কাজ করিতে করিতে মৃদুস্বরে কহিল ছোট তোরঙ্গে দুজনার কাপড় আঁটবে না —আমিও সঙ্গে যাব</t>
  </si>
  <si>
    <t>প্রশিক্ষণ উন্নয়ন কর্মসূচী কর্মীদের শ্রেষ্ঠত্বের ক্ষমতায়ন করে</t>
  </si>
  <si>
    <t>শিলা রবিনের কাছে এসেছিল</t>
  </si>
  <si>
    <t>আপনার সপ্তাহান্তের পরিকল্পনা মন্তব্য করুন</t>
  </si>
  <si>
    <t>ইনফ্লুয়েঞ্জা সাধারণত ফ্লু নামে পরিচিত একটি ভাইরাল সংক্রমণ যা আপনার শ্বাসযন্ত্রকে প্রভাবিত করে</t>
  </si>
  <si>
    <t>বিপণন বিশ্লেষণ লক্ষ্যযুক্ত বিপণন প্রচারাভিযান অবহিত</t>
  </si>
  <si>
    <t>নানান উদ্বেগ উত্তেজনায় তাঁর ক্ষুধার কথা এতক্ষণ মনে হয় নি এখন ক্ষুধা জানান দিচ্ছে</t>
  </si>
  <si>
    <t>সে গতকাল আমাদের বাড়িতে এসেছিল。</t>
  </si>
  <si>
    <t>অজানা সেই শহরে যেয়ে তাহাদের এক নতুন অভিজ্ঞতা হইয়াছে</t>
  </si>
  <si>
    <t>আমি ঢাকাতে ভ্রমণ করিতে যাইব</t>
  </si>
  <si>
    <t>বাড়িতে ফিরিয়া সে নিজেকে বার বার ধিক্কার দিতে লাগিল</t>
  </si>
  <si>
    <t>আমার দাদা দাদির বাড়িতে অনেক লালিত স্মৃতি রয়েছে</t>
  </si>
  <si>
    <t>সজীবের বাবা আমাকে ঘরে বসতে বলল</t>
  </si>
  <si>
    <t>বিশ্লেষণ নির্বাণ অব্যক্ত অনির্বচনীয় তৃষ্ণার বিনাশই নির্বাণ</t>
  </si>
  <si>
    <t>বন্ধুর কাছ থেকে আলিঙ্গনের উষ্ণতা আমাকে সান্ত্বনা দেয়</t>
  </si>
  <si>
    <t>আমি একটি সুন্দর গাড়ি কিনতে চাই</t>
  </si>
  <si>
    <t>এ বিষয়ে আমার বহুকালাবধি সংশয় আছে</t>
  </si>
  <si>
    <t>হঠাৎ একদিন তাহারা দেখিল একটু দূরেই চমৎকার এক দ্বীপ</t>
  </si>
  <si>
    <t>যত দিন তাহাদের মনে এ কথা না আইসে তত দিন লোকের নিকট তাহারা সাহসী</t>
  </si>
  <si>
    <t>আমাকে দেখিয়া শাকিব খেলিতে বলিয়াছিল</t>
  </si>
  <si>
    <t>সে সিঁড়ি বাহিয়া তথায় নামিয়া গেল নির্বাক বিস্ময়ে স্তব্ধ হইয়া রহিল</t>
  </si>
  <si>
    <t>ঋণ অন্যান্য আর্থিক পণ্য অ্যাক্সেস করার জন্য ভাল ক্রেডিট তৈরি করা অপরিহার্য</t>
  </si>
  <si>
    <t>তারা ফল কিনতে বাজারে গিয়েছিল</t>
  </si>
  <si>
    <t>সে আমাকে বলল আপনি নগরীর শেষ প্রান্তে চলে এসেছেন এখানে অপেক্ষা করার মতো জায়গা নেই</t>
  </si>
  <si>
    <t>তিনি এ পর্যন্ত তিনবার বৃটিশ নারী দাবা চ্যাম্পিয়ন হয়েছেন</t>
  </si>
  <si>
    <t>রোহিত আমার সাথে খেলেছে</t>
  </si>
  <si>
    <t>খাদিজা আমার সঙ্গে স্কুলে গিয়াছিল</t>
  </si>
  <si>
    <t>এ নিদ্রা ভাঙিল না</t>
  </si>
  <si>
    <t>রুমি ভলিবল খেলিতে মাঠে গিয়াছে</t>
  </si>
  <si>
    <t>ইহাদের মাঝখানে আমাকেও একটা স্থান লইতে হইবে</t>
  </si>
  <si>
    <t>আধুনিক সভ্যতার আবেষ্টনী অভিনয় ঘৃণিত সমাজ ব্যবস্থার</t>
  </si>
  <si>
    <t>প্রতিটি অভিজ্ঞতার মধ্যে পাঠ খুঁজুন</t>
  </si>
  <si>
    <t>সে স্কুলে গিয়েছিল প্রশ্নটি সমাধান করতে পারেনি</t>
  </si>
  <si>
    <t>মিম যাদের কথা মত অগ্রসর হয়েছিল</t>
  </si>
  <si>
    <t>এস্‌পানিয়ার গৃহযুদ্ধে তিনি ফ্রাংকোর অনুগামী ছিলেন</t>
  </si>
  <si>
    <t>বৈশিষ্ট্য ধীর শান্ত প্রকৃতির মোটাসোটা ভারী দেহ ত্বক পাতলা শিথি</t>
  </si>
  <si>
    <t>পূর্ব্বস্থানে যে সকল সুবিধা ছিল তাহার অভাবে ক্রমে তাহারা অবনত অবসন্ন হইয়া পড়ে</t>
  </si>
  <si>
    <t>চীৎকার করিয়া আমি তাহাদের তাড়াইয়া দিলাম</t>
  </si>
  <si>
    <t>সেই সময় চুল কাটিতে যাবার কোন উপায় ছিলনা</t>
  </si>
  <si>
    <t>ইহা আমার ভালো লাগিয়াছিল</t>
  </si>
  <si>
    <t>সে হাসিয়া বলিল পাহাড় এখান হইতে অধিক দূর আপনি সন্ধ্যার মধ্যে তথায় পৌঁছিতে পারিবেন না</t>
  </si>
  <si>
    <t>গুলিচালনার এক ঘণ্টার মধ্যেই তাঁর মৃত্যু হয়</t>
  </si>
  <si>
    <t>আমি তোমাকে দেখতে গিয়েছিলাম</t>
  </si>
  <si>
    <t>সহযোগিতামূলক শিক্ষা পিয়ার টু পিয়ার জ্ঞান বিনিময়কে উৎসাহিত করে</t>
  </si>
  <si>
    <t>আমার মামা একজন মহান গল্পকার</t>
  </si>
  <si>
    <t>সুস্থতা টিপস জন্য আমাদের অনুসরণ করুন</t>
  </si>
  <si>
    <t>অনেকের নিকট ইহা শিবের গীত বোধ হইবে</t>
  </si>
  <si>
    <t>আহারের পর অনুকূলবাবু ভিতরের দিকে চাহিয়া কহিলেন চুনি পান নিয়ে আয় তো রে</t>
  </si>
  <si>
    <t>ইতে লেখা আছে একজন বড়লোক জমিদার নৌকা করিয়া যাইতেছিলেন</t>
  </si>
  <si>
    <t>নতুন বাসার দক্ষিণের বারান্দা দিয়ে খুব সুন্দর বাতাস ঘরে প্রবেশ করিয়া থাকে</t>
  </si>
  <si>
    <t>কেননা বুদ্ধিমত্তার জন্য পানির চেয়ে স্থলভাগ এগিয়ে আছে</t>
  </si>
  <si>
    <t>ঢাকা শহরে তাঁর আসা হয় না</t>
  </si>
  <si>
    <t>এই রেস্তোরাঁয় খাবার কত সুস্বাদু ছিল তা দেখে আমি বিস্মিত হয়েছিলাম</t>
  </si>
  <si>
    <t>সূচনা আমাকে ভাত খেতে দিয়েছে</t>
  </si>
  <si>
    <t>ভগবদ্গীতা হল একটি শ্রদ্ধেয় হিন্দু ধর্মগ্রন্থ যা ভগবান কৃষ্ণ রাজকুমার অর্জুনের মধ্যে একটি কথোপকথন উপস্থাপন করে</t>
  </si>
  <si>
    <t>কিছুক্ষণ বাড়িতে কান পাতা যায় না</t>
  </si>
  <si>
    <t>সজীব আমার নিকট খাবার চাইয়াছিল</t>
  </si>
  <si>
    <t>অধোভাগমণ্ডনকারী বৃক্ষাদির মধ্যে ঝাটী</t>
  </si>
  <si>
    <t>হাফিজ কে তাহারাই বিপদে ফেলিল</t>
  </si>
  <si>
    <t>যে সময়ে উঠানে ছায়া পড়ে নিত্য সে সময় কুলবধূর মন মাতিয়া উঠে</t>
  </si>
  <si>
    <t>একটি ক্ষণস্থায়ী ইস্কেমিক আক্রমণ প্রায়ই মিনি স্ট্রোক হিসাবে উল্লেখ করা হয় মস্তিষ্কে রক্ত ​​​​প্রবাহের অস্থায়ী ব্যাঘাত ঘটায়</t>
  </si>
  <si>
    <t>তার মনের অব্যক্ত কথাগুলো সে প্রকাশ করতে পারেনি</t>
  </si>
  <si>
    <t>একটি বিপত্তির সম্মুখীন হওয়া আমার স্থিতিস্থাপকতাকে চ্যালেঞ্জ করে</t>
  </si>
  <si>
    <t>একজন মশালিধারী ইরতাজউদিনের কাছে চলে এসেছে</t>
  </si>
  <si>
    <t>কৌশলগত জোট আমাদের বাজারের নাগাল ক্ষমতা প্রসারিত করে</t>
  </si>
  <si>
    <t>উপসর্গ লক্ষণ দূর্বলতা</t>
  </si>
  <si>
    <t>এই উচ্চ স্থানে বসিলে পাঁচ সাত ক্রোশ পর্য্যন্ত দেখা যাইত</t>
  </si>
  <si>
    <t>পোস্টমাস্টার আপনিই তাহাকে বলিলেন তিনি বদলির জন্য দরখাস্ত করিয়াছিলেন দরখাস্ত নামঞ্জুর হইয়াছে</t>
  </si>
  <si>
    <t>তাহার পর যুবা একা তাহা ঠেলিয়া গর্ত্তের প্রান্তে নিঃশব্দে লইয়া গেল একবার ব্যাঘ্রের প্রতি চাহিল</t>
  </si>
  <si>
    <t>এখন আমার ঠিক স্মরণ হয় না বোধ হয় যেন দেখিয়াছিলাম সকল তরঙ্গগুলি পূর্ব্ব দিক হইতে উঠিয়াছিল</t>
  </si>
  <si>
    <t>অপরাধী আন্ডারওয়ার্ল্ড বৈধতার সীমানার বাইরে কাজ করে</t>
  </si>
  <si>
    <t>আপনার ক্রিয়া সিদ্ধান্তগুলি প্রতিফলিত করার জন্য সময় নিন</t>
  </si>
  <si>
    <t>কারণ শ্রেষ্ঠ শয্যাটি অতিথিদের সেবায় ব্যবহৃত হত</t>
  </si>
  <si>
    <t>শুধুমাত্র জীবনের ভাল জিনিসগুলির জন্যই নয় তারা যে চ্যালেঞ্জ শিক্ষা নিয়ে আসে তার জন্যও কৃতজ্ঞতার অনুশীলন করুন</t>
  </si>
  <si>
    <t>নিছক পাথুরে মুখের স্কেলিং তারা নীচের শ্বাসরুদ্ধকর দৃশ্যে বিস্মিত</t>
  </si>
  <si>
    <t>বিলাতী মদে পা চলুক বা না চলুক হাত বিলক্ষণ চলে বিবিরা তাহার প্রমাণ দিতে পারেন</t>
  </si>
  <si>
    <t>তাহারই চোখের পাতা ভারী দৃষ্টি ঝাপসা হইয়া আসিল</t>
  </si>
  <si>
    <t>বাহিরে অন্ধকার গলির মধ্যে যাইতে ঝির আপত্তি ছিল</t>
  </si>
  <si>
    <t>তুমি কি আমার নাম জানিয়েছিলে</t>
  </si>
  <si>
    <t>রানা এখন বাজারে যাইবে না</t>
  </si>
  <si>
    <t>আমার বাবা সানির বাড়ি গিয়েছিল</t>
  </si>
  <si>
    <t>সুস্বাদু টাকো ক্ষুধার্ত হৃদয়কে আনন্দ দেয়</t>
  </si>
  <si>
    <t>বাগান করা তার শখে পরিণত হয়েছে</t>
  </si>
  <si>
    <t>দেয়ালের কিছু অংশ নাশকতার জন্য ক্ষতিগ্রস্ত হচ্ছে</t>
  </si>
  <si>
    <t>পুলিশ অফিসার জনসাধারণের নিরাপত্তা নিশ্চিত করতে রাস্তায় টহল দেন</t>
  </si>
  <si>
    <t>কেহই কিছু জানে না তাহা সকেলেই স্বীকার করিল</t>
  </si>
  <si>
    <t>আমাদের এই ভীরুতা কি চিরদিনই থাকিয়া যাইবে</t>
  </si>
  <si>
    <t>শিহাব আমাকে দেখিয়া আমার নিকটে বসিলো</t>
  </si>
  <si>
    <t>সুজন ইহা আমার ভ্রাতাকে বলিয়া ছিল</t>
  </si>
  <si>
    <t>মেয়েটি তাহার মুখের দিকে চাহিয়া থাকাতে কথাটা ঠিকমত শেষ করিতেই পারিল না</t>
  </si>
  <si>
    <t>ছবিটি সমালোচনার জন্ম দেয়</t>
  </si>
  <si>
    <t>মননশীলতার অনুশীলন করুন বর্তমান মুহুর্তে বেঁচে থাকুন অতীত বা ভবিষ্যত সম্পর্কে উদ্বেগ ছেড়ে দিন</t>
  </si>
  <si>
    <t>রাজা রানী কে দেখতে গিয়েছিলেন</t>
  </si>
  <si>
    <t>প্রয়োজনে না বলতে ভয় পাবেন না সীমানা গুরুত্বপূর্ণ</t>
  </si>
  <si>
    <t>ইরতাজউদ্দিন অতি অল্পবয়স থেকেই সংসারের দায়িত্ব কাঁধে নেন</t>
  </si>
  <si>
    <t>পরদিন প্রাতে উঠিয়া নববধূ ছোট ভাইকে আদর করিল</t>
  </si>
  <si>
    <t>হাতে একেবারে কোথাও কণামাত্র মৃত্তিকা নাই সমুদয় পরিষ্কার ঝর্‌ঝর্‌ করিতেছে</t>
  </si>
  <si>
    <t>সুজন ঈদের জন্য টাকা জমা করিল</t>
  </si>
  <si>
    <t>বোধ হয় যেন সাঁওতালদিগেরও এই রীতি দেখিয়াছি</t>
  </si>
  <si>
    <t>এইজন্য আপনার অস্তিত্ব সম্বন্ধে সর্বদা লজ্জিত ক্ষমাপ্রার্থী হইয়া থাকে</t>
  </si>
  <si>
    <t>আপনার সময় সম্পদ দয়ার সাথে উদার হোন</t>
  </si>
  <si>
    <t>শেষ পর্যন্ত তিতুমীর নিহত হলে তাঁর দলের প্রতিরোধ ব্যবস্থা ভেঙে পড়ে</t>
  </si>
  <si>
    <t>রাত্রির প্রহর শেষে তারা বাড়ি ফিরে এসেছিল</t>
  </si>
  <si>
    <t>আমার খালা সবসময় সেরা পরামর্শ দেয়</t>
  </si>
  <si>
    <t>ব্রঙ্কাইটিস হল ব্রঙ্কিয়াল টিউবের আস্তরণের প্রদাহ যার ফলে কাশি শ্বাস নিতে অসুবিধা হয়</t>
  </si>
  <si>
    <t>রামসুন্দর কিছুমাত্র বিবেচনা না করিয়া তাহাতেই সম্মত হইলেন</t>
  </si>
  <si>
    <t>আমি কি তোমাকে কোনো দোষ দিতে পারিতাম</t>
  </si>
  <si>
    <t>পাহাড়ে সূর্য ডোবার পর খুব দ্রুত তাপমাত্রা নামিয়া যায়</t>
  </si>
  <si>
    <t>আমি তাহাদের দেখি নাই</t>
  </si>
  <si>
    <t>সুফলের গান শনিবার ইচ্ছা থাকে তাহা হইলে আসো</t>
  </si>
  <si>
    <t>দুর্বলতার মধ্যে শক্তি খুঁজে পাওয়া সত্যতা নিয়ে আসে</t>
  </si>
  <si>
    <t>আমার পছন্দের কিছু করার সময় সময়ের ট্র্যাক হারানো তৃপ্তি নিয়ে আসে</t>
  </si>
  <si>
    <t>বাইরের দুনিয়ায় যে ধরনের বিভেদ জাতিবিদ্বেষ দেখা যায় তার ছিটেফোঁটাও এখানে ছিল না</t>
  </si>
  <si>
    <t>আমি লেনদেনের জন্য একটি নিশ্চিতকরণ ইমেল পেয়েছি</t>
  </si>
  <si>
    <t>বাইরে বাতাসের অবিশ্রান্ত গর্জনের শব্দে তারা ঘুম হতে জেগে উঠেছিল</t>
  </si>
  <si>
    <t>আমি তাহাদের প্রতি চাহিবামাত্র উভয়ে দ্বারের নিকট অগ্রসর হইয়া যোড়হস্তে নতশিরে আমায় সেলাম করিয়া দাঁড়াইল</t>
  </si>
  <si>
    <t>মহাজন তাহাকে কেবল যৎসামান্য খোরাকি দিবে</t>
  </si>
  <si>
    <t>একে একে গাড়িগুলি ছাড়িয়া দিলে আমার গাড়ি চলতে শুরু করিল</t>
  </si>
  <si>
    <t>বাসায় ফিরে এসে আমি বাবাকে আমার দুঃখের কথাটি বলেছিলাম。</t>
  </si>
  <si>
    <t>সে প্রতিনমস্কার করিতে পারিল না</t>
  </si>
  <si>
    <t>আমি রহিমের সাথে কথা বলেছি</t>
  </si>
  <si>
    <t>করিম রহিমকে একটি বই পড়তে দিয়েছিল</t>
  </si>
  <si>
    <t>ফৌজদারি আপিল দোষী সাব্যস্ত ব্যক্তিদের তাদের রায় বা সাজা চ্যালেঞ্জ করার অনুমতি দেয়</t>
  </si>
  <si>
    <t>বিস্ময়কর ঘটনা হলো তাদের মাঝখানের পাঁচ ভাইবোন জন্মের এক মাসের ভেতর মারা গেছে</t>
  </si>
  <si>
    <t>অপরাধমূলক অনুপ্রবেশ ঘটে যখন কেউ বেআইনিভাবে অন্য ব্যক্তির সম্পত্তিতে প্রবেশ করে</t>
  </si>
  <si>
    <t>সে ট্রেনের জানালা দিয়ে একজন ভিক্ষুককে দেখিতে পাইলো</t>
  </si>
  <si>
    <t>শশী বলিল তোমার শাঁখের শব্দেও মতির ঘুম ভাঙল না পরাণের বউ</t>
  </si>
  <si>
    <t>নৌকার সন্ধানে নদীর তারে তীরে ফিরিতে লাগিলেন</t>
  </si>
  <si>
    <t>প্রতিদিন সে স্কুলে যাওয়ার পূর্বে স্কুলের পড়া শেষ করিয়া থাকে</t>
  </si>
  <si>
    <t>সে একটা আর্তচিৎকার দিয়ে রাস্তার মাঝখানে বসে পড়ল。</t>
  </si>
  <si>
    <t>আমিও তাদেরকে দেখতাম ভিন্ন দৃষ্টিভঙ্গিতে</t>
  </si>
  <si>
    <t>অবশেষে সালে একোল নরমাল সুপেরিয়র এ ফিরে আসেন</t>
  </si>
  <si>
    <t>তুমি কি আমার নাম জেনে ছিলে</t>
  </si>
  <si>
    <t>সঠিকভাবে ব্যবস্থাপনা না করা হলে ক্ষেত্র থেকে কৃষি রাসায়নিক প্রবাহ পানির উত্সকে দূষিত করতে পারে</t>
  </si>
  <si>
    <t>পানি কোথায় পাওয়া যায় ইরতাজউদ্দিন জানেন না</t>
  </si>
  <si>
    <t>সতীশের কথাগুলা বিছার কামড়ের মত রহিয়া রহিয়া জ্বলিয়া উঠিতে লাগিল</t>
  </si>
  <si>
    <t>পরে চারি পাঁচ ক্রোশ অগ্রসর হইয়া আবার পালামৌ দেখিবার নিমিত্ত পাল্কী হইতে অবতরণ করিলাম</t>
  </si>
  <si>
    <t>পুরাতন কথা এইরূপে থেকে যায় সমাজের পুঁজি বাড়ে</t>
  </si>
  <si>
    <t>ইতিমধ্যে বাটীতে কত কি ঘটিয়া থাকিতে পারে</t>
  </si>
  <si>
    <t>খোলা আকাশের নিচে কিছুক্ষণ বসিয়া থাকিলে তাহার মনের দুঃখগুলো দূর হইয়া যায়</t>
  </si>
  <si>
    <t>তুমি কি কাজটি করেছিলে</t>
  </si>
  <si>
    <t>তিনি ছাতা আনেন নি</t>
  </si>
  <si>
    <t>তারা আমাকে দেখে হেসে উঠলো</t>
  </si>
  <si>
    <t>ভাইবোনদের একটি অনন্য বন্ধন রয়েছে যা প্রতিলিপি করা কঠিন</t>
  </si>
  <si>
    <t>তাঁহার ফিরিয়া ফিরিয়া কেবলি মনে হইতে লাগিল সে কাল আসে নাই</t>
  </si>
  <si>
    <t>এখনকার প্রায় সকল ট্রেনই সময়মতো পৌছে যায়</t>
  </si>
  <si>
    <t>এরকমটা সব জায়গায়ই হয়ে থাকে</t>
  </si>
  <si>
    <t>তাহারা সবাই তাহাদের নিজ নিজ কাজে ব্যস্ত ছিলো</t>
  </si>
  <si>
    <t>কাজেই পর্ব্বতের চূড়া অপেক্ষা ফণাটি বড় হইয়া পড়িয়াছে তাহা মিস্ত্রির গুণ নহে বৈরাগীরও দোষ নহে</t>
  </si>
  <si>
    <t>মৃত্যু তিনি নভেম্বর ঢাকায় ইন্তেকাল করেন</t>
  </si>
  <si>
    <t>ঘোড়ার মত উটের পিঠে দৌড় অন্যান্য বিনোদন খুবই উপভোগ্য</t>
  </si>
  <si>
    <t>আমি তার একাকিত্বে সঙ্গ দিয়েছিলাম</t>
  </si>
  <si>
    <t>সুজন এটা আমার ভাইকে বলেছিল</t>
  </si>
  <si>
    <t>তাদের যাওয়ার কিছুদিন পর মহিতোষের সহকারী তড়িৎ মারা যায়</t>
  </si>
  <si>
    <t>অদ্য যাহা সুখ বলিয়া স্বীকার করিলাম না</t>
  </si>
  <si>
    <t>বৃদ্ধ শিকারীরা কত দিন পাহাড়ে একাকী যাইতে আমায় নিষেধ করিয়াছে</t>
  </si>
  <si>
    <t>সে সকল রাগের কথা এখন যাক</t>
  </si>
  <si>
    <t>রানা সাহেব ইহা করিতে বলিয়াছিল</t>
  </si>
  <si>
    <t>যুবতীর মুখ দেখিয়া বোধ হইল যেন বড় ভয় পাইয়াছে</t>
  </si>
  <si>
    <t>আমার প্রকৃত আত্ম প্রকাশ করতে সক্ষম হওয়া মুক্তি এনে দেয়</t>
  </si>
  <si>
    <t>বৃদ্ধির সুযোগ হিসাবে পরিবর্তনকে আলিঙ্গন করুন</t>
  </si>
  <si>
    <t>সংবাদপত্রের ক্রীড়া বিভাগ সবসময় ক্রীড়া উত্সাহীদের জন্য একটি হাইলাইট</t>
  </si>
  <si>
    <t>টেকের মত ল্যাটেকও একটি মুক্ত সফটওয়ার</t>
  </si>
  <si>
    <t>মন খোলা রাখা সবসময় নতুন কিছু শেখার আছে</t>
  </si>
  <si>
    <t>সে জানালা দিয়ে গাছটার দিকে অদ্ভুত দৃষ্টিতে তাকিয়া ছিলো</t>
  </si>
  <si>
    <t>রুবিনা অনেক খাবার নষ্ট করিয়া ছিল</t>
  </si>
  <si>
    <t>সেরূপ প্রসন্নতাব্যঞ্জক ওষ্ঠ আমি অতি অল্প দেখিয়াছি</t>
  </si>
  <si>
    <t>কুটুম্বগৃহে এমন করিয়া অপমান তো সহা যায় না</t>
  </si>
  <si>
    <t>পক্ষীগুলি গাছে গাছে বসিয়া কলকাকলি করিতেছে</t>
  </si>
  <si>
    <t>অসুস্থতার কারনে সে কালকে স্কুলে উপস্থিত হতে পারেনি</t>
  </si>
  <si>
    <t>আমার অর্ডার সম্পর্কে কোম্পানির কাছ থেকে যোগাযোগের অভাবের কারণে আমি হতাশ হয়েছি</t>
  </si>
  <si>
    <t>মৃদু বৃষ্টি পড়তে শুরু করল পৃথিবীর তৃষ্ণা নিবারণ করল গাছপালা বৃক্ষকে পুষ্ট করল</t>
  </si>
  <si>
    <t>পুনরুদ্ধারের জন্য বিশ্রামের দিনগুলি অন্তর্ভুক্ত করুন</t>
  </si>
  <si>
    <t>ফৌজদারি শাস্তির লক্ষ্য শাস্তি প্রতিরোধ পুনর্বাসনের ভারসাম্য বজায় রাখা</t>
  </si>
  <si>
    <t>বৃদ্ধেরা ইঙ্গিত করিলে যুবাদের দলে মাদল বাজিল</t>
  </si>
  <si>
    <t>তখন তাঁহার সব কথা মনে পড়িল</t>
  </si>
  <si>
    <t>লোকে সেজন্য তাহাকে মনে মনে অপরাধ না দিয়া থাকিতে পারে না</t>
  </si>
  <si>
    <t>করিম সাহেব এই কাজ করিবার নির্দেশ দিয়াছিলেন</t>
  </si>
  <si>
    <t>তাঁর পিতার অল্পবয়সে মৃত্যুর নজিরের জোরে মা মাসির সমস্ত সেবাযত্ব তিনি নিজের দিকে টানিয়া লইলেন</t>
  </si>
  <si>
    <t>তন্মধ্যে আলাওলের কাব্যই সমধিক পরিচিত</t>
  </si>
  <si>
    <t>আমার মা আমাকে ঘুম থেকে তুলে দিতেন</t>
  </si>
  <si>
    <t>সুস্থ জীবনের জন্য সক্রিয় থাকুন</t>
  </si>
  <si>
    <t>ফাইব্রোমায়ালজিয়া একটি দীর্ঘস্থায়ী অবস্থা যা ব্যাপক ব্যথা ক্লান্তি দ্বারা চিহ্নিত করা হয়</t>
  </si>
  <si>
    <t>এ ময়দান বিশেষ খ্যাতি অর্জন করে সালে</t>
  </si>
  <si>
    <t>অবশেষে মস্ত এক রায়বাহাদুরের ঘরের একমাত্র ছেলেকে সন্ধান করিয়া বাহির করিয়াছেন</t>
  </si>
  <si>
    <t>চঞ্চলহৃদয়া মিনির আচরণ যে অত্যন্ত লজ্জাজনক তাহা তাহার বাপকেও স্বীকার করিতে হয়</t>
  </si>
  <si>
    <t>বিলাত যাইতেছে বাঙ্গালী সভ্যতার সোপানে উঠিতেছে</t>
  </si>
  <si>
    <t>ঐ অন্ধকার মেঘমধ্যে এখনই যাইব এই মনে করিয়া আমার কতই আহ্লাদ হইতে লাগিল</t>
  </si>
  <si>
    <t>দ্বিতীয় সিদ্ধান্ত কাহারও নিকট মানহানিকর বা আপত্তিজনক ঠেকিলে অবশিষ্টাংশ না পড়িবার পরামর্শ রহিলো</t>
  </si>
  <si>
    <t>পুটলা পুটলি পানির পিপাসা কনুইয়ে হাঁসের কামড় নিয়ে তিনি বড়ই বিব্রত বোধ করছেন</t>
  </si>
  <si>
    <t>এরা এত বড় স্টেশন বানিয়ে রেখেছে পানির ব্যবস্থা রাখে নি</t>
  </si>
  <si>
    <t>স্টক বন্ডের একটি বৈচিত্রপূর্ণ পোর্টফোলিওতে বিনিয়োগ আপনাকে আপনার দীর্ঘমেয়াদী আর্থিক লক্ষ্য অর্জনে সহায়তা করতে পারে</t>
  </si>
  <si>
    <t>মৃত্যু সারা জীবন লড়াই করেছেন ডায়াবেটিস জন্ডিস সহ নানাবিধ রোগে</t>
  </si>
  <si>
    <t>ইউনাইটেডে খেলা বছরের ক্যারিয়ারের জন্যই আজ তিনি সুপরিচিত</t>
  </si>
  <si>
    <t>একেবারে দেহমন কেন ছাই করিয়া দিল না</t>
  </si>
  <si>
    <t>সে জানালা দিয়ে আম গাছটার দিকে অদ্ভুত দৃষ্টিতে তাকিয়া ছিলো</t>
  </si>
  <si>
    <t>ব্যক্তিবিশেষের জীবনীশক্তি যেরূপ কমিয়া যায় জাতিবিশেষেরও জীবনীশক্তি সেইরূপ ক্ষয়প্রাপ্ত হয় ক্রমে ক্রমে লোপ পায়</t>
  </si>
  <si>
    <t>আমি তাকে তার পড়া লেখায় সাহায্য করিয়াছিলাম</t>
  </si>
  <si>
    <t>মহারাজ জরুরি তলব করিলেও সে যাইতে অস্বীকার করিয়াছে</t>
  </si>
  <si>
    <t>তখন করে বড় ভুল</t>
  </si>
  <si>
    <t>আমি তাকে একটি কলম কিনে দিয়েছিলাম</t>
  </si>
  <si>
    <t>শাকিব তার ভাইয়ের সাথে বাজারে যাবে</t>
  </si>
  <si>
    <t>যেখানে সেখানে থুথু ফেলনা</t>
  </si>
  <si>
    <t>কৃষি সম্প্রসারণ পরিষেবাগুলি কৃষকদের আরও ভাল অনুশীলনের জন্য তথ্য প্রশিক্ষণ প্রদান করে</t>
  </si>
  <si>
    <t>তিনি দশ ক্রোশ দূরে একা থাকিতেন</t>
  </si>
  <si>
    <t>তাঁহার নিজের তিনটি ছেলে লইয়া তিনি নিজের নিয়মে ঘরকন্না পাতিয়া বসিয়া আছেন</t>
  </si>
  <si>
    <t>ক্রমে গ্রামে রাষ্ট্র হইয়া পড়ে</t>
  </si>
  <si>
    <t>সেই ক্ষুদ্র পাহাড়গুলি দেখিয়া যে তৎকালে আমার যথেষ্ট আনন্দ হইবে ইহা আশ্চর্য্য কি</t>
  </si>
  <si>
    <t>তাহার পর্বতগৃহবাসিনী ক্ষুদ্র পার্বতীর সেই হস্তচিহ্ন আমারই মিনিকে স্মরণ করাইয়া দিল</t>
  </si>
  <si>
    <t>আমি পণ্যটির সাথে বেশ কয়েকটি সমস্যার সম্মুখীন হয়েছি এটি ব্যবহার করা কঠিন করে তুলেছে</t>
  </si>
  <si>
    <t>আপনার জীবনের সময় বিশ্বাস করুন সবকিছু একটি কারণে ঘটে</t>
  </si>
  <si>
    <t>জঙ্গলের মধ্যে দুই বন্ধু হারিয়ে গিয়েছিল</t>
  </si>
  <si>
    <t>আমি এই কাজটি করতে সক্ষম হয়নি</t>
  </si>
  <si>
    <t>তাঁর পছন্দের বিভাগ হল মানবিক</t>
  </si>
  <si>
    <t>মন যখন তাহার ছিঁড়িয়া পড়িতেছিল তখনও নিয়মিত কোন কাজেই অবহেলা করিবার পথ ছিল না</t>
  </si>
  <si>
    <t>মতি জানিতে পরিবে তাহারই জন্য বর খুঁজিতে গিয়া ফিরিবার পথে হারু অপঘাতে প্রাণ দিয়াছে</t>
  </si>
  <si>
    <t>তাহার এক স্থান অনেক দূর পর্য্যন্ত ফাটিয়া গিয়াছে</t>
  </si>
  <si>
    <t>চুল কাটিতে আমাকে বসাইতে দিয়া আমার মেজ ভাই উধাও হইয়া গেলেন</t>
  </si>
  <si>
    <t>রাঁচি হইতে পালামৌ যাইতে যাইতে যখন যখন বাহকগণের নির্দ্দেশমত দূর হইতে পালামৌ দেখিতে পাইলাম</t>
  </si>
  <si>
    <t>রামেশ্বরামের কেউই এই ধরনের মনোভাব পোষণ করলেন না</t>
  </si>
  <si>
    <t>সুউচ্চ পর্বতমালা স্বর্গের দিকে প্রসারিত তাদের তুষারাবৃত চূড়াগুলি সূর্যের আলোতে জ্বলজ্বল করছে</t>
  </si>
  <si>
    <t>সিতারা বেগম ডা ক্যাপ্টেন সিতারা রহমান একজন নারী মুক্তিযোদ্ধা</t>
  </si>
  <si>
    <t>ড্রিপ ইরিগেশন সরাসরি গাছের গোড়ায় পানি সরবরাহ করে পানির অপচয় কমায়</t>
  </si>
  <si>
    <t>এ ঝড়ে প্রায় গৃহপালিত পশু হাঁসমুরগী মারা গেছে</t>
  </si>
  <si>
    <t>আমার একটি বই পরিবর্তন করিতে হইবে</t>
  </si>
  <si>
    <t>হয়ত দেখিয়াও দেখিল না আমি বাঁচিলাম</t>
  </si>
  <si>
    <t>রাত্রি শেষ না হইতেই সে বাইরে বের হইয়াছিল কাজের সন্ধানে</t>
  </si>
  <si>
    <t>সে তখন আমকে বলিয়াছিল সবকিছু তাহার স্বপ্নের মতো লাগিতেছিল</t>
  </si>
  <si>
    <t>যুবতীরা পরস্পর কাঁধ ধরাধরি করিয়া দেখিতে লাগিল দেখিল কেবল পাল্কী বেহারা</t>
  </si>
  <si>
    <t>একটি জলপ্রপাতের শব্দ গিরিখাতের মধ্য দিয়ে প্রতিধ্বনিত হয়েছিল এর গর্জন দেয়াল থেকে প্রতিধ্বনিত হচ্ছে</t>
  </si>
  <si>
    <t>এন্ডোমেট্রিওসিস একটি বেদনাদায়ক ব্যাধি যেখানে জরায়ুর আস্তরণের অনুরূপ টিস্যু জরায়ুর বাইরে বৃদ্ধি পায়</t>
  </si>
  <si>
    <t>বোম্বেটে জাহাজ ব্যবসায়িকভাবে বিরাট সাফল্য লাভ করে</t>
  </si>
  <si>
    <t>সংবাদপত্রে বিশ্বযুদ্ধের খবরও থাকত</t>
  </si>
  <si>
    <t>চক্রবৃদ্ধি সুদ আপনার সঞ্চয় সময়ের সাথে সাথে দ্রুত বৃদ্ধি পেতে দেয়</t>
  </si>
  <si>
    <t>নিজেদের মর্যাদা সম্বন্ধে তিনি এতই কড়া ছিলেন</t>
  </si>
  <si>
    <t>দুটা হাঁস আনেন নি</t>
  </si>
  <si>
    <t>সে তাহার পরীক্ষা নিয়ে এখন খুবই ব্যস্ত হইয়া গিয়াছে</t>
  </si>
  <si>
    <t>স্কুল হইতে ফিরিয়া সেই রাত্রে তাহার মাথাব্যথা করিতে লাগিল গা সির্‌সির্‌ করিয়া আসিল</t>
  </si>
  <si>
    <t>সুজন আমাকে তাহার বই দিতে আসিয়াছিল</t>
  </si>
  <si>
    <t>অনেক ইসরাইলী তাঁকে সন্ত্রাসবাদী হিসাবে অভিহিত করে থাকে</t>
  </si>
  <si>
    <t>মিউচুয়াল ফান্ডে বিনিয়োগ বৈচিত্র্য পেশাদার ব্যবস্থাপনা প্রদান করতে পারে</t>
  </si>
  <si>
    <t>অন্যদের সত্যিকার অর্থে বুঝতে সক্রিয় শোনার অনুশীলন করুন</t>
  </si>
  <si>
    <t>থিয়েটার গ্রুপ অভিনয় দক্ষতা বাড়ায়</t>
  </si>
  <si>
    <t>আমি তাকে একটি লাল গোলাপ কিনতে বলেছিলাম</t>
  </si>
  <si>
    <t>কাবুলিওয়ালার সহিত মিনির যেদিন প্রথম সাক্ষাৎ হইয়াছিল আমার সেই দিনের কথা মনে পড়িল</t>
  </si>
  <si>
    <t>সকলকে খুশি করিবার শক্তি সকলের থাকে না বাছা</t>
  </si>
  <si>
    <t>শচীশের সঙ্গে যারা পড়ে তাদের অনেকেরই তার উপরে একটা বিষম বিদ্বেষ</t>
  </si>
  <si>
    <t>তাহাকে বারণ করিবার সত্যেও সে কাজখানা করিয়া বসিলো</t>
  </si>
  <si>
    <t>তোরা কি এখনো তেমনি ছেলেমানুষ আছিস</t>
  </si>
  <si>
    <t>তাঁহার সে রচনা অতি কোমল মধুর</t>
  </si>
  <si>
    <t>আমার বাগানে আমি একটা নতুন গোলাপ ফুলের গাছ লাগিয়েছি</t>
  </si>
  <si>
    <t>সেটা নির্ভর করে তোমার কাজ নিয়মশৃংখলা দৃঢ়তার উপর</t>
  </si>
  <si>
    <t>সনাতন ধারনা অনুযায়ী পদার্থ শক্তি আলাদা</t>
  </si>
  <si>
    <t>সুজন তার বইটি আমাকে দিতে চেয়েছিল</t>
  </si>
  <si>
    <t>সত্য সত্যই পাগল নাকি কুসুম</t>
  </si>
  <si>
    <t>আহারান্তে সেই বটগাছের তলায় তাস খেলিবার প্রস্তাব হইল</t>
  </si>
  <si>
    <t>শ্বশুরবাড়ি যাইবার সময় নিরুপমাকে বুকে টানিয়া লইয়া বাপ চোখের জল রাখিতে পারিলেন না</t>
  </si>
  <si>
    <t>ফটিককে দেখিবামাত্র তাহার মা অগ্নিমূর্তি হইয়া কহিলেন আবার তুই মাখনকে মেরেছিস</t>
  </si>
  <si>
    <t>পাগলের প্রলাপ বকিবেনা মেগাবাইট ফুরিয়া অসিতেছে</t>
  </si>
  <si>
    <t>প্রবৃদ্ধি উন্নয়নের সুযোগ খুঁজতে সক্রিয় হন</t>
  </si>
  <si>
    <t>ক্রিমিনাল ডিফেন্স অ্যাটর্নি অভিযুক্তদের অধিকার রক্ষার জন্য কাজ করে</t>
  </si>
  <si>
    <t>গ্রিলড সামুদ্রিক খাবার গ্রীষ্মের ভোজকে মোহিত করে</t>
  </si>
  <si>
    <t>সে আমাকে একটি সুন্দর গোলাপ দিয়েছিল</t>
  </si>
  <si>
    <t>লেনদেন বাস্তব সময়ে সম্পন্ন হয়েছে</t>
  </si>
  <si>
    <t>টাকাটা যে তাহাকে লইতেই হইবে সে সম্বন্ধে কোনো সংশয় রহিল না</t>
  </si>
  <si>
    <t>আমি পড়া শেষ করিয়া খেলতে গিয়াছিলাম</t>
  </si>
  <si>
    <t>রাঙাচেলি পরা কপালে চন্দন আঁকা বধূবেশিনী মিনি সলজ্জ ভাবে আমার কাছে আসিয়া দাঁড়াইল</t>
  </si>
  <si>
    <t>বালকদিগের সর্দার ফটিক চক্রবর্তীর মাথায় চট করিয়া একটা নূতন ভাবোদয় হইল নদীর ধারে একটা প্রকাণ্ড শালকাষ্ঠ মাস্তুলে রূপান্তরিত হইবার প্রতীক্ষায় পড়িয়া ছিল</t>
  </si>
  <si>
    <t>ফৌজদারি বিচার সংস্কার প্রচেষ্টা পদ্ধতিগত সমস্যা যেমন জাতিগত পক্ষপাতিত্ব জনাকীর্ণ কারাগারের মতো সমস্যাগুলি সমাধান করতে চায়</t>
  </si>
  <si>
    <t>বিদ্যার ধন লাভ করে ফিরে আসবে</t>
  </si>
  <si>
    <t>কৃষি বৈচিত্র্য বিভিন্ন ধরনের ফসল বাড়ানো বা বিভিন্ন পশুসম্পদ বৃদ্ধির মাধ্যমে ঝুঁকি হ্রাস করে</t>
  </si>
  <si>
    <t>রাসেল গোসল করে নামাজে যাচ্ছে</t>
  </si>
  <si>
    <t>ডায়াবেটিস এমন একটি অবস্থা যেখানে আপনার রক্তে শর্করার মাত্রা খুব বেশি</t>
  </si>
  <si>
    <t>সমস্ত রাত্রি প্রলাপ বকিতে লাগিল বিশ্বম্ভরবাবু চিকিৎসক লইয়া আসিলেন</t>
  </si>
  <si>
    <t>বৃদ্ধেরা বলেন ইহা জন্মান্তরীণ সুখস্মৃতি</t>
  </si>
  <si>
    <t>জন্ডিসের কারণে এক মাস গৃহে বিশ্রামে থাকিতে হইয়াছিলো</t>
  </si>
  <si>
    <t>এই ছিনেমাটি দেখতে অনেক মজা লাগছে</t>
  </si>
  <si>
    <t>যে কোনো কারণেই হোক তিনি ভয় পাচ্ছেন</t>
  </si>
  <si>
    <t>রানা আমার সাথে কাজ করেছিল</t>
  </si>
  <si>
    <t>মিম তাকে আসতে বলেছিল</t>
  </si>
  <si>
    <t>এখন দরজার আড়ালে চলে গেলেন</t>
  </si>
  <si>
    <t>পূজার ছুটির মধ্যেই তাহার বিবাহ হইবে</t>
  </si>
  <si>
    <t>সে দুপুরের খাবার খাইয়া আবার কাজে চলিয়া গিয়াছে</t>
  </si>
  <si>
    <t>তাহার মধ্যস্থানে প্রস্তরনির্ম্মিত একটি কুটীর</t>
  </si>
  <si>
    <t>কেবল সুর ছন্দ শুনা গেল</t>
  </si>
  <si>
    <t>তাহারা কোলদের সহিত বা অন্য কোন বন্য জাতির সহিত বাস করে না</t>
  </si>
  <si>
    <t>সুমি তার বাবার সাথে স্কুলে যাবে</t>
  </si>
  <si>
    <t>আমাদের কর্মক্ষেত্রে সহযোগিতা উদ্ভাবন উৎপাদনশীলতা বৃদ্ধি করে</t>
  </si>
  <si>
    <t>না চাওয়া সত্ত্বেও অনেক দায়িত্ব কাধে এসে পড়ে</t>
  </si>
  <si>
    <t>সোশ্যাল মিডিয়া ব্লগিং প্ল্যাটফর্মের উত্থানের সাথে সাথে নাগরিক সাংবাদিকতা আরও প্রচলিত হয়েছে</t>
  </si>
  <si>
    <t>তুহিন আসবে বলে রনি ভরসা করছে না</t>
  </si>
  <si>
    <t>কখন কখন অন্য ডালে গিয়া বসিতেছে</t>
  </si>
  <si>
    <t>এই প্রত্যাশায় কিয়ৎক্ষণ তথায় বসিয়া প্রতীক্ষা করিতে লাগিলেন</t>
  </si>
  <si>
    <t>অবিলম্বে বাঘা বাগদি আসিয়া কহিল ফটিকদাদা মা ডাকছে</t>
  </si>
  <si>
    <t>প্রথম দিন প্রতিবাসীর ছাগলে পুষ্পবৃক্ষ নিষ্পত্র করিবে</t>
  </si>
  <si>
    <t>এই সময় দলে দলে গ্রামস্থ যুবতীরা আসিয়া জমিতে লাগিল</t>
  </si>
  <si>
    <t>নির্মাণ ফোরম্যান বিল্ডিং প্রকল্পের অগ্রগতি তদারকি করেন</t>
  </si>
  <si>
    <t>আমার কাজিনরা সাধারণ দিনগুলিকে অসাধারণ করে তোলে</t>
  </si>
  <si>
    <t>প্রয়োজনে অন্যদের সাহায্য করা আমাকে সহানুভূতিতে পূর্ণ করে</t>
  </si>
  <si>
    <t>জীবনে ভারসাম্য বজায় রাখতে স্ব যত্নকে অগ্রাধিকার দিন</t>
  </si>
  <si>
    <t>অপরাধমূলক বিচার ব্যবস্থায় নির্দোষতার অনুমান একটি মৌলিক নীতি</t>
  </si>
  <si>
    <t>এই সময় আমার গাড়ী অপর পাড়ে গিয়া উঠিল</t>
  </si>
  <si>
    <t>তাহাদের সেই জাহাজটি ছুটিয়া চলিল তীরের বেগে আকাশ থেকে ছিটকে পড়া তারার পলকহীন দ্রুততায়</t>
  </si>
  <si>
    <t>সে রাতের অন্ধকারে একা বাড়ি ফিরতে ভয় পেয়েছিল</t>
  </si>
  <si>
    <t>বিবাহের পরদিন প্রাতে সে পূর্ব্বমতো দুরন্ত ছুঁড়ী নাই</t>
  </si>
  <si>
    <t>সজীব ওইখানে গিয়া অনেক ভ্রমণ করিল</t>
  </si>
  <si>
    <t>হেয়ারড্রেসার একটি বিশেষ অনুষ্ঠানের জন্য তাদের ক্লায়েন্টের চুল স্টাইল করে</t>
  </si>
  <si>
    <t>আপনার পছন্দের খাবার কমেন্ট করুন</t>
  </si>
  <si>
    <t>কৃষি ব্যবসা কৃষি উৎপাদন বিতরণের সাথে জড়িত সমস্ত ক্রিয়াকলাপকে অন্তর্ভুক্ত করে</t>
  </si>
  <si>
    <t>সজীব ওখানে গিয়ে অনেক বেড়ালো</t>
  </si>
  <si>
    <t>যে সিদ্ধান্তে বেশীরভাগ মত দিবে সেটাই আপনি গ্রহন করবেন</t>
  </si>
  <si>
    <t>এতবড় শহরে একখানি চিঠি পড়িয়ে নেবার কি লোক পেলে না</t>
  </si>
  <si>
    <t>শুকাইয়া রাখিলে এই ফুল অনেক দিন পর্য্যন্ত থাকে</t>
  </si>
  <si>
    <t>আমাদের সুবিশাল পরিবারেও তখন নিজেদের প্রয়োজন মেটাতে গিয়ে অসুবিধার সম্মুখিন হলো</t>
  </si>
  <si>
    <t>দিনরাত এমন করিয়া খাটিলে শেষকালে তুমিই যে অসুখে পড়িবে</t>
  </si>
  <si>
    <t>বলিয়া নিজেই একটু হাসিয়া কহিল আচ্ছা কথাগুলো মুখ দিয়ে বার করতেও কি একটু কষ্ট হয় না</t>
  </si>
  <si>
    <t>নতুন বাসার দক্ষিণের বারান্দা দিয়ে খুব সুন্দর বাতাস ঘরে প্রবেশ করে</t>
  </si>
  <si>
    <t>মৃদু হাওয়া পাতায় মরিচা ধরেছে বাতাসে একটা প্রশান্তিময় সুর তৈরি করছে</t>
  </si>
  <si>
    <t>এই সামগ্রীটি অভূতপূর্ব জনপ্রিয়তা লাভ করে</t>
  </si>
  <si>
    <t>সে অন্ধ ব্যক্তিকে সাহায্য করেছিল</t>
  </si>
  <si>
    <t>সুমি আমাদের সাথে খেললো</t>
  </si>
  <si>
    <t>এক সময় পৃথিবীর সর্ব্বত্র এই বিবাহ প্রচলিত ছিল</t>
  </si>
  <si>
    <t>এখনোও সবুজ স্কুল হইতে ফিরে নাই</t>
  </si>
  <si>
    <t>নাক দিয়া বেহারীর ঝরঝর করিয়া রক্ত ঝরিয়া পড়িল</t>
  </si>
  <si>
    <t>ছুটির পরে কলেজের ফটকের নিকটে আসিয়া দেখিল তাহাদের বি এ ক্লাসের ছাত্রের দল দূরে দাঁড়াইয়া তর্ক কোলাহল করিতেছে</t>
  </si>
  <si>
    <t>শেষে তারাই আমাকে বিপদে ফেলল</t>
  </si>
  <si>
    <t>একটি অ্যাডভেঞ্চারের সময় ভয়ের মুখোমুখি হওয়া ব্যক্তিগত সাফল্যের দিকে নিয়ে যেতে পারে</t>
  </si>
  <si>
    <t>সংবাদপত্রগুলি তাদের অনুভূত পক্ষপাতিত্ব সম্পাদকীয় অবস্থানের জন্য সমালোচনার সম্মুখীন হয়</t>
  </si>
  <si>
    <t>মাটির উর্বরতা বজায় রাখার জন্য ফসলের আবর্তন কৃষিতে একটি সাধারণ অভ্যাস</t>
  </si>
  <si>
    <t>তিনি এক বছর আমাদেরকে পড়াবেন</t>
  </si>
  <si>
    <t>দিবাকর প্রস্তুত হইবার জন্য ধীরে ধীরে বাহির হইয়া গেল</t>
  </si>
  <si>
    <t>ভাবিলাম জঙ্গলী পাখি হয়ত কখন মানুষ দেখে নাই</t>
  </si>
  <si>
    <t>আমি তোমার সঙ্গে ক্রিকেট খেলিয়াছিলাম</t>
  </si>
  <si>
    <t>মিটমিট করিয়া প্রদীপ জ্বলিতে লাগিল একস্থানে ঘরের জীর্ণ চাল ভেদ করিয়া একটি মাটির সরার উপর টপ টপ করিয়া বৃষ্টির জল পড়িতে লাগিল</t>
  </si>
  <si>
    <t>সে ট্রেনের জানালা দিয়ে এক অপরূপ সৌন্দর্য্য দেখিতে পাইলো</t>
  </si>
  <si>
    <t>আমি গ্রাহক পরিষেবাটিকে অসহায় প্রতিক্রিয়াহীন বলে মনে করেছি৷</t>
  </si>
  <si>
    <t>এর কবিতাগুলি পাশ্চাত্যে খুবই সমাদৃত হয়</t>
  </si>
  <si>
    <t>মৌসুমে তারা লীগ জিতে নেয়</t>
  </si>
  <si>
    <t>জৈন ধর্ম মৌলিক নীতি হিসাবে অহিংসা সত্য অ সম্পত্তিকে প্রচার করে</t>
  </si>
  <si>
    <t>সুফল আমাকে ভাত খেতে বলেছিল</t>
  </si>
  <si>
    <t>রহিম সুজনকে পড়িতে যাইতে বলিল</t>
  </si>
  <si>
    <t>পূর্ব্বে কাহার বাটীতেও পাওয়া যাইত না</t>
  </si>
  <si>
    <t>শেষ পর্যন্ত যখন বাসাটা খুঁজে পেয়েছি তখন অন্ধকার নেমে এসেছিল。</t>
  </si>
  <si>
    <t>সুমি আমাদের সঙ্গে খেলিলো</t>
  </si>
  <si>
    <t>আমি রহিমের সঙ্গে কথা বলিয়াছি</t>
  </si>
  <si>
    <t>আমি বর্তমানে আমার ক্যারিয়ারের উন্নতির প্রতি মনোনিবেশ করতে চাই</t>
  </si>
  <si>
    <t>তাদের সকলের কাছেই সংবাদপত্র পৌছে দেয়া হতো</t>
  </si>
  <si>
    <t>সে আমাকে সঠিক উত্তরটি বলতে পারেনি。</t>
  </si>
  <si>
    <t>সে পরীক্ষায় ভালো ফলাফল করতে পারেনি</t>
  </si>
  <si>
    <t>ঘোড়ায় চড়া একটি আনন্দদায়ক সাধনা</t>
  </si>
  <si>
    <t>মহাজন গোলামকে কেবল আহার দেন</t>
  </si>
  <si>
    <t>সে কলিকাতা হইতে পালাইয়া আসিয়া অজ্ঞাতবাস করিতেছিল</t>
  </si>
  <si>
    <t>গ্রামের পৌঁছিতে আধ মাইলও হাঁটিতে হয় না</t>
  </si>
  <si>
    <t>গোবর্ধনের কাছে ব্যাপারটা আগাগোড়া শুনিয়াছিল</t>
  </si>
  <si>
    <t>তুহিন আসিবে বলিয়া রনি ভরসা করিতেছে না</t>
  </si>
  <si>
    <t>এই কাজটি আমি সঠিক ভাবে সম্পন্ন করার চেষ্টা করছি</t>
  </si>
  <si>
    <t>মৃত্যু হারকিউলিস পরবরতীতে ডিয়ানাইরাকে বিয়ে করে</t>
  </si>
  <si>
    <t>শামসউদ্দীন আমাকে ভীষণ পছন্দ করতেন</t>
  </si>
  <si>
    <t>শুভ গান শুনবে তো এসো</t>
  </si>
  <si>
    <t>বৈষ্ণবরা এই ঘটনাকে সত্য বলে মনে করেন</t>
  </si>
  <si>
    <t>আমি নিজেও বাক্তিগত ভাবে তেমনই এক অনুষ্ঠানে উপস্থিথ ছিলাম</t>
  </si>
  <si>
    <t>আমার নিকটে সুমন নাই</t>
  </si>
  <si>
    <t>আমি তাহাকে উদ্ধার করিলাম না</t>
  </si>
  <si>
    <t>আমি রীতিমত অবাক হস্তে তখন ছিল চল্লিশ খানা টাকা</t>
  </si>
  <si>
    <t>বুদ্ধিমান বালক কথা কম বলিয়া কাজ বেশি করিয়া থাকে</t>
  </si>
  <si>
    <t>আমাকে দেখে শাকিব খেলতে বলেছিল</t>
  </si>
  <si>
    <t>এই মোটেলের মালিক বেট্‌স মানসিক বিকৃতিগ্রস্ত একজন খুনী</t>
  </si>
  <si>
    <t>মৌমাছিরা ফুলের মধ্যে গুঞ্জন করে তাদের মৌচাকে ফিরে যাওয়ার জন্য অমৃত সংগ্রহ করে</t>
  </si>
  <si>
    <t>শিক্ষাগত তহবিল সম্পদ বরাদ্দ শিক্ষার সুযোগকে প্রভাবিত করে</t>
  </si>
  <si>
    <t>এই যুদ্ধে তিনি স্বয়ং অংশগ্রহণ করেন</t>
  </si>
  <si>
    <t>সে সকল রাগের কথা এখন যাক যে হারে সেই রাগে</t>
  </si>
  <si>
    <t>পরাজিত অসুরগণ ভাল ভাল স্থান আর্য্যদের ছাড়িয়া দিয়া আপনারা দুর্গম পাহাড় পর্ব্বতে গিয়া বাস স্থাপন করে</t>
  </si>
  <si>
    <t>মানুষে একেবারে চুপ করে থাকতেও পারে না পারা উচিতও নয়</t>
  </si>
  <si>
    <t>বেহারী সংক্ষেপে জানি না বলিয়াই চলিয়া গেল</t>
  </si>
  <si>
    <t>তুমি কি খাবার খাইয়াছো</t>
  </si>
  <si>
    <t>এ ছাড়া সত্যকার ধর্মনিষ্ঠা পরকালমুখী</t>
  </si>
  <si>
    <t>চারিদিকে মৃদু বাতাস বইতে থাকত</t>
  </si>
  <si>
    <t>পরবর্তী দিনগুলো আমার মায়ের কথামতো চলতে শুরু করেছিল</t>
  </si>
  <si>
    <t>গতির চেয়ে ফর্মকে সর্বদা অগ্রাধিকার দিন</t>
  </si>
  <si>
    <t>বন্ধ গেটের সামনে দাঁড়িয়ে থাকার কোনো অর্থ হয় না</t>
  </si>
  <si>
    <t>এখনো অপু মাঠ হইতে ফিরে নাই</t>
  </si>
  <si>
    <t>দুই হাতের মুঠার মধ্যে প্রকাণ্ড খরিস সাপটা শুকাইয়া হইয়া আছে একেবারে দড়ি</t>
  </si>
  <si>
    <t>আমার লেখা পড়িতে গেলে এরূপ প্রলাপবাক্য মধ্যে মধ্যে সহ্য করিতে হইবে</t>
  </si>
  <si>
    <t>মায়ের আঁচল ধরিয়া বসিয়া থাকিবার অভ্যাস কেন</t>
  </si>
  <si>
    <t>এখন যামিনী করিরাজের মরণ হইলেই ব্যাপারটা পুরোপুরি ইতিহাসের গর্ভে তলাইয়া যাইতে পারে</t>
  </si>
  <si>
    <t>ইভেন্ট সমন্বয়কারী একটি দাতব্য তহবিল সংগ্রহকারীর জন্য রসদ পরিচালনা করেন</t>
  </si>
  <si>
    <t>আমি কষ্টে যত্নশীল কাউকে দেখলে আমার হৃদয় ভেঙ্গে যায়</t>
  </si>
  <si>
    <t>সেখানে তার প্রিয় বিষয় ছিল গণিত</t>
  </si>
  <si>
    <t>এবারই ভুল করে ছাতা আনেন নি</t>
  </si>
  <si>
    <t>স্মর্তব্য যে লর্ডসেও দলটি সর্বোচ্চ রান তাড়া করে জয়লাভ করেছিল</t>
  </si>
  <si>
    <t>আজ সুজন তনু ভ্রমণ করিতে গিয়াছে</t>
  </si>
  <si>
    <t>জল আনিতে যাইবে জল আছে বলিলেও তাহারা জল ফেলিয়া জল আনিতে যাইবে</t>
  </si>
  <si>
    <t>তুমি কোথায় যাইবার জন্য গৃহ ত্যাগ করিতেছ</t>
  </si>
  <si>
    <t>ললাটে ফোঁড়ন উঠিয়াছে বাকি সব গতকল্য মোতাবেক সঠিক রহিয়াছে</t>
  </si>
  <si>
    <t>বধূ কাছে আসিয়া ঝুঁকিয়া পড়িয়া আস্তে আস্তে বলিল মা ঘুমুচ্ছেন</t>
  </si>
  <si>
    <t>প্রিয়জনের কাছ থেকে প্রত্যাখ্যানের অভিজ্ঞতা হৃদয়ে ব্যথার কারণ হয়</t>
  </si>
  <si>
    <t>তার আগেই তিনি মৃত্যুবরণ করেন</t>
  </si>
  <si>
    <t>অস্টিওপোরোসিস হাড়কে দুর্বল করে দেয় তাদের ফ্র্যাকচারের প্রবণতা তৈরি করে</t>
  </si>
  <si>
    <t>একটি আরামদায়ক ভবিষ্যত নিশ্চিত করার জন্য অবসর পরিকল্পনা তাড়াতাড়ি শুরু করা উচিত</t>
  </si>
  <si>
    <t>রাব্বি মাদ্রাসা হতে ফিরেনি</t>
  </si>
  <si>
    <t>অথচ এই বয়সেই স্নেহের জন্য কিঞ্চিৎ অতিরিক্ত কাতরতা মনে জন্মায়</t>
  </si>
  <si>
    <t>কতকগুলি বিধবার ন্যায় এখানে সেখানে একাকী থাকে</t>
  </si>
  <si>
    <t>কিছুক্ষণ স্থির থাকিয়া অঘোরময়ী বলিলেন ঝিকে একবার ডেকে দিয়ে যাব</t>
  </si>
  <si>
    <t>প্রতি বৎসর মাঘ মাসের মাঝামাঝি রহমত দেশে চলিয়া যায়</t>
  </si>
  <si>
    <t>তুমি কি আমার সাথে হাঁটতে যাবে</t>
  </si>
  <si>
    <t>সামগ্রিকভাবে আমি আমার অভিজ্ঞতা নিয়ে বেশ হতাশ ছিলাম</t>
  </si>
  <si>
    <t>একটি চিৎকারের জন্য পুনঃটুইট করুন</t>
  </si>
  <si>
    <t>রফিক আমাকে খেলতে ডাকছে</t>
  </si>
  <si>
    <t>প্রেস কনফারেন্স হল সরকারী কর্মকর্তা সংস্থাগুলির মিডিয়ার সাথে যোগাযোগের একটি সাধারণ উপায়</t>
  </si>
  <si>
    <t>সে আসার আগেই ট্রেনটি ছাড়িয়া দিয়াছিল</t>
  </si>
  <si>
    <t>বলিয়াই মুখ ফিরাইয়া হাসিতে লাগিল</t>
  </si>
  <si>
    <t>আমি তাহাকে দেখিতে পাইয়া আমার নিকটে ডাকিলাম</t>
  </si>
  <si>
    <t>আমি দাঁড়াইয়া থাকিলাম যুবা চলিয়া গেল</t>
  </si>
  <si>
    <t>নদী অতি ক্ষুদ্র তৎকালে অল্পমাত্র জল ছিল সকলেই হাঁটিয়া পার হইতেছে</t>
  </si>
  <si>
    <t>তারা স্থানীয়ভাবে রাজনীতিতে অনেক সক্রিয় হয়ে উঠেছে</t>
  </si>
  <si>
    <t>সালে সালমান মাইক্রোসফট টেক অ্যাওয়ার্ড লাভ করেন</t>
  </si>
  <si>
    <t>পরে পূর্ববঙ্গ উত্তরবঙ্গেও এই কাব্যের জনপ্রিয়তা বৃদ্ধি পায়</t>
  </si>
  <si>
    <t>আইডেন্টিটি চুরি হল সাইবার ক্রাইমের একটি প্রচলিত রূপ যা মারাত্মক পরিণতি ঘটাতে পারে</t>
  </si>
  <si>
    <t>আমাকে তুমি ডাকতে এসো না</t>
  </si>
  <si>
    <t>তাহা দুই হাতের অধিক গভীর করিতে হয় না</t>
  </si>
  <si>
    <t>একদিন রামসুন্দরকে কহিল বাবা আমাকে একবার বাড়ি লইয়া যাও</t>
  </si>
  <si>
    <t>সে মনে মনে জ্বলিয়া উঠিয়াও শান্তভাবেই বলিল তুমি কি করে বুক বাঁধবে</t>
  </si>
  <si>
    <t>গোপালের সঙ্গেই তার নামটা জড়ানো হয় বেশি সময়</t>
  </si>
  <si>
    <t>বাবা আমাকে মসজিদে যেতে বলল</t>
  </si>
  <si>
    <t>গুরু গ্রন্থ সাহেব শিখ ধর্মের কেন্দ্রীয় ধর্মগ্রন্থ যাকে চিরন্তন গুরু বলে মনে করা হয়</t>
  </si>
  <si>
    <t>পুলিশ তাদের গ্রেফতার করে</t>
  </si>
  <si>
    <t>সমালোচনা থেকে শিখুন এটি আপনাকে সংজ্ঞায়িত করতে দেবেন না</t>
  </si>
  <si>
    <t>অতঃপর বশিষ্ঠের সাথে তার মৈত্রীয় সম্পর্ক স্থাপিত হয়</t>
  </si>
  <si>
    <t>গ্রামের প্রান্তভাগে এক বটবৃক্ষতলে গ্রামস্থ যুবারা সমুদয়ই আসিয়া একত্র হইয়াছে</t>
  </si>
  <si>
    <t>ইহার নিকট নীরস পাষাণেরও নিস্তার নাই</t>
  </si>
  <si>
    <t>বাড়ির বধূ যে নিজের উদ্যত বিপদের আশঙ্কা হইতে শুদ্ধমাত্র আত্মরক্ষার জন্যও দুটা রূঢ় কথা বলিতে পারে</t>
  </si>
  <si>
    <t>শুভ গান শনিবার ইচ্ছা থাকে তাহা হইলে আসো</t>
  </si>
  <si>
    <t>আমি তাকে জিজ্ঞেস করেছিলাম তার পরীক্ষা কবে থেকে শুরু হবে</t>
  </si>
  <si>
    <t>নতুন স্থান সংস্কৃতি অন্বেষণ একটি রূপান্তরকারী অভিজ্ঞতা হতে পারে</t>
  </si>
  <si>
    <t>বেশ কিছুদিন আগে সমাধিক্ষেত্রটি পরিত্যক্ত ধ্বংসপ্রাপ্ত ছিল</t>
  </si>
  <si>
    <t>তিনি দুটি উদ্যান তৈরি করেন</t>
  </si>
  <si>
    <t>প্রতি বছর কার্তিক পূর্ণিমা তিথিতে এই উৎসব পালন করা হয়</t>
  </si>
  <si>
    <t>মৃত্যু এক এক জনকে এক এক ভাবে বিচলিত করে</t>
  </si>
  <si>
    <t>সুমন সাহেব রাত্রিতে ঘুমাইতে যাইতেছিলেন</t>
  </si>
  <si>
    <t>সেই ফাটার উপর বৃহৎ এক অশ্বত্থগাছ জন্মিয়াছে</t>
  </si>
  <si>
    <t>যে বিশ্বাস করে সেও সত্যামিথ্যা যাচাই করে না যে অবিশ্বাস করে সেও নয়</t>
  </si>
  <si>
    <t>আমার মাথা ইহা করিতেছিল</t>
  </si>
  <si>
    <t>মেধা সম্পত্তি সুরক্ষা আমাদের উদ্ভাবনগুলিকে রক্ষা করে</t>
  </si>
  <si>
    <t>দিব্যোকের ভ্রাতুস্পুত্র ভীম জনপ্রিয় শাসক ছিলেন</t>
  </si>
  <si>
    <t>শরিফ আমাকে নিয়ে মসজিদে গিয়েছিল</t>
  </si>
  <si>
    <t>সাংবাদিকরা তাদের জীবনের ঝুঁকি নিয়ে সংঘাতপূর্ণ এলাকা বিপজ্জনক পরিস্থিতি থেকে রিপোর্ট করার জন্য</t>
  </si>
  <si>
    <t>তিনি একুশ সালে মারা যান</t>
  </si>
  <si>
    <t>একবার মাত্র এসেছিলাম</t>
  </si>
  <si>
    <t>তাহার পর পরিবার আহার পায় না</t>
  </si>
  <si>
    <t>পরদিন প্রাতঃকালে ফটিককে দেখা গেল না</t>
  </si>
  <si>
    <t>রোগের সময় এই অকর্মণ্য অদ্ভুত নির্বোধ বালক পৃথিবীতে নিজের মা ছাড়া কাহারো কাছে সেবা পাইতে পারে এরূপ প্রত্যাশা করিতে তাহার লজ্জা বোধ হইতে লাগিল</t>
  </si>
  <si>
    <t>সে আমাকে আমার পছন্দের বইটি কিনিয়া দিয়াছিল</t>
  </si>
  <si>
    <t>এর মাঝে দুটি অভিযোগে তাকে মৃত্যুদন্ড আদেশ দেয়া হয়</t>
  </si>
  <si>
    <t>তার নাম রিফা রাফিয়া মনির</t>
  </si>
  <si>
    <t>ঢাকা শহরের সব গলি তাঁর কাছে একরকম লাগে</t>
  </si>
  <si>
    <t>সালে তিনি অধ্যাপক পদে উন্নীত হন</t>
  </si>
  <si>
    <t>বিপজ্জনক চ্যালেঞ্জ মোকাবেলা করে তারা বাধা অতিক্রম করার জন্য টিমওয়ার্ক সাহসের উপর নির্ভর করেছিল</t>
  </si>
  <si>
    <t>মেয়েটি খুব মনোযোগ দিয়ে গল্পের বই পড়ছিল。</t>
  </si>
  <si>
    <t>তাঁহারও বসিবার জো ছিল না তাই তিনিও উঠি উঠি করিতেছিলেন</t>
  </si>
  <si>
    <t>আমায় বলিল মাথা নত করিয়া আসুন নতুবা প্রাঙ্গণে ছায়া পড়িবে</t>
  </si>
  <si>
    <t>সবুজ সুজনের সঙ্গে ফুটবল খেলিতে ছিল</t>
  </si>
  <si>
    <t>আমি তোমার কথা বলিতে আসিয়াছিলাম</t>
  </si>
  <si>
    <t>এভাবেই আমি প্রথম নিজ কাঁধে দায়িত্ব নিতে শিখি</t>
  </si>
  <si>
    <t>গ্রাহক পরিষেবা দল আমার অনুসন্ধানের জন্য প্রতিক্রিয়াশীল ছিল না</t>
  </si>
  <si>
    <t>সে দীর্ঘ সময় কোনো কথা না বলে বিবর্ণ মুখে বসে ছিলো</t>
  </si>
  <si>
    <t>এটি ছিল তার প্রথম উপন্যাস</t>
  </si>
  <si>
    <t>এটা আমাদের কাজে লাগবে</t>
  </si>
  <si>
    <t>সন্ধ্যার পর আমি নৃত্য দেখিতে গেলাম</t>
  </si>
  <si>
    <t>আমি পশ্চাৎ ফিরিলাম দেখিলাম কেহই নাই চারি দিক্‌ চাহিলাম কোথায়ও কেহ নাই</t>
  </si>
  <si>
    <t>মাখন মনে করিল ইহাতে তাহার গৌরব আছে</t>
  </si>
  <si>
    <t>তাহাদের নৃত্য আমাদের চক্ষে নূতন</t>
  </si>
  <si>
    <t>যেখানে ইংরেজেরা প্রথম উপনিবাস স্থাপন করেন সেইখানে একদিন অপরাহ্ণে বন্দুক স্কন্ধে পক্ষী শিকার করিতে গিয়াছিলাম</t>
  </si>
  <si>
    <t>কখনও কখনও অন্যান্য পৌরাণিক কাহিনিও অভিনীত হয়</t>
  </si>
  <si>
    <t>দাম দেখা ছাড়া জিনিস কিনতে চাইলে ঘড়ি দেখা ছাড়া কাজ করতে শিখ</t>
  </si>
  <si>
    <t>আমার ভাইবোন আমি আলাদা</t>
  </si>
  <si>
    <t>ট্রিনিটি হল খ্রিস্টধর্মের একটি কেন্দ্রীয় মতবাদ যা তিন ব্যক্তির মধ্যে এক ঈশ্বরে বিশ্বাসকে নিশ্চিত করে পিতা পুত্র পবিত্র আত্মা</t>
  </si>
  <si>
    <t>বন্ধুদের সাথে বোর্ড গেমস বিনোদন</t>
  </si>
  <si>
    <t>পক্ষিণী তাহাকে ডানা মারিয়া সরিয়া যাইতেছে</t>
  </si>
  <si>
    <t>এখন হরিমোহন তার জ্যাঠার হাত হইতে উদ্ধার করিবার জন্য লাগিলেন</t>
  </si>
  <si>
    <t>বাহিরে ডাক্তারের পায়ের শব্দ যখন তাহার কানে দূরে চলিয়া গেল তখন সে একটা দীর্ঘনিশ্বাস ফেলিয়া চাহিয়া দেখিল</t>
  </si>
  <si>
    <t>সে নতুন সব অভিযানে অংশগ্রহণ করতে চায়。</t>
  </si>
  <si>
    <t>তাহার পিতা রামসুন্দর মিত্র অনেক খোঁজ করেন পাত্র কিছুতেই মনের মতন হয় না</t>
  </si>
  <si>
    <t>তথ্য বিশ্লেষণ তথ্য প্রমাণ ভিত্তিক সিদ্ধান্ত গ্রহণকে জানায়</t>
  </si>
  <si>
    <t>সাইক্লিং একটি দুর্দান্ত কার্ডিও ব্যায়াম</t>
  </si>
  <si>
    <t>শুধুমাত্র সন্তান বললে ঠিক হবে না</t>
  </si>
  <si>
    <t>রিসেপশনিস্ট সামনের ডেস্কে উষ্ণ হাসি দিয়ে অভ্যর্থনা জানালেন</t>
  </si>
  <si>
    <t>ডিজিটাল যুগে বিজ্ঞাপনের আয় কমে যাওয়ায় সংবাদপত্র আর্থিক চ্যালেঞ্জের সম্মুখীন হয়</t>
  </si>
  <si>
    <t>বিনোদিনী কোনোমতেই রাজি হইল না</t>
  </si>
  <si>
    <t>সুজন ঢাকাতে ভ্রমণ করিতে গিয়াছে</t>
  </si>
  <si>
    <t>অদ্য যাহা ভাল লাগিতেছে না</t>
  </si>
  <si>
    <t>জাহিদ কোন কাল থাকিয়া লম্ফ প্রদান করিতেছে</t>
  </si>
  <si>
    <t>তাহারা আমার সঙ্গে দেখা করিতে আসিয়াছিল</t>
  </si>
  <si>
    <t>স্পষ্ট লক্ষ্য নির্ধারণ করুন সেগুলি অর্জনের জন্য অধ্যবসায়ীভাবে কাজ করুন</t>
  </si>
  <si>
    <t>ফ্যাশন ডিজাইনার পরবর্তী পোশাক লাইনের জন্য ধারনা স্কেচ আউট</t>
  </si>
  <si>
    <t>আর্থিক লক্ষ্য নির্ধারণ আপনাকে অনুপ্রাণিত মনোযোগী থাকতে সাহায্য করতে পারে</t>
  </si>
  <si>
    <t>ঘন কুয়াশা সমুদ্র থেকে ভেসে এসেছে কুয়াশার এক ভয়ঙ্কর আবরণে ল্যান্ডস্কেপ ঢেকেছে</t>
  </si>
  <si>
    <t>আমি আমার পূর্বপুরুষদের গল্প শুনতে ভালোবাসি</t>
  </si>
  <si>
    <t>আমি ভাবিলাম যখন স্ত্রীলোক সাধিতেছে তখন যুবার রাগ নিশ্চয় ভাতের উপর হইয়াছে</t>
  </si>
  <si>
    <t>সে যে আজ যাও বলিতেই গেল এমন অসম্ভব কেমন করিয়া হইল</t>
  </si>
  <si>
    <t>সে ভেতরে একটা চাপা আর্তনাদ শুনতে পেলো শিশুর কান্না。</t>
  </si>
  <si>
    <t>পড়িয়া গেলে হারুর সর্বাঙ্গ কাদামাখা হইয়া যাইবে</t>
  </si>
  <si>
    <t>রাত্রিশেষে ঘোরতর কুজ্ঝটিকা দিগন্ত ব্যাপ্ত করিয়া ছিল</t>
  </si>
  <si>
    <t>স্তম্ভিত ম্যাকবেথ চুপ করে যান</t>
  </si>
  <si>
    <t>আমি আমার পরিবারের ভালবাসা সমর্থনের জন্য কৃতজ্ঞ</t>
  </si>
  <si>
    <t>আমি মেনুতে বৈচিত্র্যের অভাব দ্বারা আচ্ছন্ন হয়ে পড়েছিলাম</t>
  </si>
  <si>
    <t>ম্যাকবেথ প্রথমে রাজহত্যায় রাজি ছিলেন না</t>
  </si>
  <si>
    <t>তুমি কি আমার কথা শুনতেছ</t>
  </si>
  <si>
    <t>কাল্পনিক লোকের জন্য হৃদয়ের বাজে খরচ করিয়ো না</t>
  </si>
  <si>
    <t>ডাক্তার মুখখানা অতি ভীষণ করিয়া পুনর্বার কহিলেন আমি তাঁর কাছ থেকেই আসচি</t>
  </si>
  <si>
    <t>লোকে শুনতে পাবে বোধ হয় তার উপায় হবে কি</t>
  </si>
  <si>
    <t>একটুখানি হাসি গোপন করিয়া বাড়ির মধ্যে চলিয়া গেল</t>
  </si>
  <si>
    <t>তাহার হাই তোলাকে বিরক্তির লক্ষণ মনে করিয়া গোবর্ধন কিছু বলিতে সাহস পাইল না</t>
  </si>
  <si>
    <t>স্বদেশ সংস্কৃতির এই উৎসব আজও কর্ণাটকে নবরাত্রি উপলক্ষে পালিত হয়</t>
  </si>
  <si>
    <t>সুজন আমাকে ব্যাট টি দিয়ে গেছে</t>
  </si>
  <si>
    <t>স্টেকহোল্ডার ব্যস্ততা প্রান্তিককরণ সমর্থনকে উৎসাহিত করে</t>
  </si>
  <si>
    <t>শেষে করিম রহিম হতে ভালো ফলাফল করল</t>
  </si>
  <si>
    <t>ভবিষ্যৎ সম্পর্কে অনিশ্চিত বোধ শঙ্কা নিয়ে আসে</t>
  </si>
  <si>
    <t>কাছে সরিয়া আসিয়া চুপি চুপি জিজ্ঞাসা করিল ডাক্তার আছে না গেছে রে</t>
  </si>
  <si>
    <t>গ্রামের বাহিরে হারুকে এ অবস্থায় আবিষ্কার করিয়া তাহার মনে অত্যন্ত আঘাত লাগিয়াছিল</t>
  </si>
  <si>
    <t>পালামৌ পরগণায় পাহাড় অসংখ্য পাহাড়ের পর পাহাড় তাহার পর পাহাড় আবার পাহাড়</t>
  </si>
  <si>
    <t>তোমার মন হয়তো ঠিক বুঝি নাই</t>
  </si>
  <si>
    <t>আমার ইচ্ছা করিতে লাগিল আজিকার এই শুভদিনে এ লোকটা এখান হইতে গেলেই ভালো হয়</t>
  </si>
  <si>
    <t>সালে মোহামেডান আবারো লীগ শিরোপা জিতে</t>
  </si>
  <si>
    <t>মৃত্যুর কিছুদিন আগ থেকেই তিনি টাইফোয়েড নিউমোনিয়াতে ভুগছিলেন</t>
  </si>
  <si>
    <t>বর্তমানে হ্রদটি প্রবলভাবে দূষিত</t>
  </si>
  <si>
    <t>আইন প্রয়োগকারী সংস্থা অপরাধ দমনে গুরুত্বপূর্ণ ভূমিকা পালন করে</t>
  </si>
  <si>
    <t>বাইরে তখন অবিরাম বৃষ্টি পড়ছিল</t>
  </si>
  <si>
    <t>বাঘা তাহাকে বলপূর্বক আড়কোলা করিয়া তুলিয়া লইয়া গেল ফটিক নিষ্ফল আক্রোশে হাত পা ছুঁড়িতে লাগিল</t>
  </si>
  <si>
    <t>শুভ আমাকে দেখিয়া আমার নিকটে আসিলো</t>
  </si>
  <si>
    <t>এ দিকে শ্বশুরবাড়ি উঠিতে বসিতে মেয়েকে খোঁটা লাগাইতেছে</t>
  </si>
  <si>
    <t>আজকের ইহা খুব ভালো লাগিয়াছে</t>
  </si>
  <si>
    <t>শিশুটি মাটিতে একা বসিয়া খেলিতেছিল</t>
  </si>
  <si>
    <t>সে রক্তশূণ্য বিবর্ণ মুখে আমার দিকে কিছুক্ষণ তাকিয়ে ছিলো</t>
  </si>
  <si>
    <t>তাদের সেই অভিযান সফল হয়েছে তাই তাদের মন আনন্দে পূর্ণ</t>
  </si>
  <si>
    <t>ট্রেনের জানালা দিয়ে সেদিন সূর্য ডোবার দৃশ্যটা খুবই চমৎকার ছিলো</t>
  </si>
  <si>
    <t>পণ্যের গুণমান ব্যতিক্রমী ছিল আমি এটি অন্যদের কাছে সুপারিশ করব</t>
  </si>
  <si>
    <t>আপনার সাফল্যের গল্প শেয়ার করুন</t>
  </si>
  <si>
    <t>আমি তাহার জন্য স্টেশনে অপেক্ষা করিয়াছিলাম</t>
  </si>
  <si>
    <t>আমি যাঁর কথা রাত্রিদিন ভাবি তিনি কি আমার মনের কথা জানেন না</t>
  </si>
  <si>
    <t>অনেকক্ষণ কেহ কোনো কথা কহিল না</t>
  </si>
  <si>
    <t>হইয়াছে সন্ধান পাইয়াছি শীঘ্র আসুন বাঘ নিদ্রা যাইতেছে</t>
  </si>
  <si>
    <t>হঠাৎ দিব্যি করতে গেলাম কেন এ রকম দুর্বুদ্ধি ত আমার হবার কথা নয়</t>
  </si>
  <si>
    <t>কথায় কথায় ভুল ধরা তোমার স্বভাব</t>
  </si>
  <si>
    <t>আমার কাছে এটা নেই</t>
  </si>
  <si>
    <t>তাঁর ওপর অমানুষিক নির্যাতন চালানো হয়</t>
  </si>
  <si>
    <t>পুলিশ তদন্ত করে জানায় যে বাঘের আক্রমণে সে মারা গেছে</t>
  </si>
  <si>
    <t>লক্ষ্মণ সেন তাঁর অসামান্য গুণাবলী দানশীলতার জন্য খ্যাত ছিলেন</t>
  </si>
  <si>
    <t>কোথাও কেহ যে জাগিয়া আছে এমন মনে হইল না</t>
  </si>
  <si>
    <t>বিজ্ঞের মত কিছু বলা আবশ্যক</t>
  </si>
  <si>
    <t>আমি অনেকক্ষণ দাঁড়াইয়া সেই মনোহর দৃশ্য দেখিতে লাগিলাম</t>
  </si>
  <si>
    <t>ক্লান্ত অবসন্ন হইয়ে তাহারা সেই নিশ্চুপ শহরে ঘুমাইয়া পড়িয়াছিল</t>
  </si>
  <si>
    <t>এই অধমের চাহিতেও স্বল্পভাষী ডাক্‌তার মশাই দিন তিনেকের ছুটিতে গিয়াছেন জ্ঞাত হইয়া কষ্ট আরও বাড়িলো বৈ কমিলো না</t>
  </si>
  <si>
    <t>তাই অপহরণের একটি প্রচেষ্টার পর থেকে তাঁকে লুকিয়ে রাখা হয়</t>
  </si>
  <si>
    <t>তিনি ভিয়েতনাম যুদ্ধের বিরুদ্ধে কথা বলেছিলেন</t>
  </si>
  <si>
    <t>বহুসাংস্কৃতিক শিক্ষা বিশ্বব্যাপী সচেতনতা বোঝাপড়াকে উৎসাহিত করে</t>
  </si>
  <si>
    <t>বন্দনা প্রথম অংশ হল বন্দনা এতে রয়েছে দেবীর বা সম্মানিতের অর্চনা</t>
  </si>
  <si>
    <t>সংবাদপত্রের সম্পাদকীয় বিভাগ বিভিন্ন বিষয়ে অন্তর্দৃষ্টিপূর্ণ মন্তব্য প্রদান করে</t>
  </si>
  <si>
    <t>মরিবার সময় হারু কী ভাবিতেছিল কে জানে</t>
  </si>
  <si>
    <t>বুকের ভিতরটা কাঁপিয়া উঠিল সহসা প্রবেশ করিতে পারিল না</t>
  </si>
  <si>
    <t>এখন রফিক মসজিদে যাইতেছে</t>
  </si>
  <si>
    <t>সে তাহার কাজের প্রতি খুবই দায়িত্বশীল ছিলো</t>
  </si>
  <si>
    <t>রিতা রিনা একসঙ্গে গৃহে প্রবেশ করিল</t>
  </si>
  <si>
    <t>চলচ্চিত্রটি সালে আনিমেজ আনিমে গ্রান্ড প্রিক্স পুরস্কার অর্জন করে</t>
  </si>
  <si>
    <t>দেশবাসী তাদের আনন্দ উৎসবের মধ্য দিয়ে বরণ করে নিয়েছিল。</t>
  </si>
  <si>
    <t>আমি বর্তমানে আমার পরিবারের সাথে সময় কাটানোর সুযোগ পাচ্ছি</t>
  </si>
  <si>
    <t>শিক্ষা প্রতিষ্ঠান সমাজ গঠনে গুরুত্বপূর্ণ ভূমিকা পালন করে</t>
  </si>
  <si>
    <t>তুমি কাদের দেখেছিলে</t>
  </si>
  <si>
    <t>কৈলাসবাসিনীর সঙ্গে সঙ্গে আমার ঘরের আনন্দময়ী পিতৃভবন অন্ধকার করিয়া পতিগৃহে যাত্রা করিবে</t>
  </si>
  <si>
    <t>একদিন ভোরে নিদ্রাভঙ্গে সেই শব্দে যেন স্বপ্নবৎ কি একটা অষ্পষ্ট সুখ আমার স্মরণ হইতে হইতে হইল না</t>
  </si>
  <si>
    <t>যাঁহারা বয়োগুণে কেবল শোভা সৌন্দর্য্য প্রভৃতি ভাল বাসেন বৃদ্ধের লেখায় তাঁহাদের কোনো প্রবৃত্তি পরিতৃপ্ত হইবে না</t>
  </si>
  <si>
    <t>এই সিনেমাটি দেখতে অনেক মজা লাগছে。</t>
  </si>
  <si>
    <t>তুমি কি আমার গৃহে আসিয়াছিলে</t>
  </si>
  <si>
    <t>আপনার বিনিয়োগ পোর্টফোলিওকে নিয়মিতভাবে ভারসাম্য বজায় রাখা আপনাকে আপনার পছন্দসই সম্পদ বরাদ্দ বজায় রাখতে সাহায্য করতে পারে</t>
  </si>
  <si>
    <t>নম্র থাকুন আপনার মূল্যও চিনুন</t>
  </si>
  <si>
    <t>প্রাণীদের সাহায্য করা বিশুদ্ধ আনন্দ নিয়ে আসে</t>
  </si>
  <si>
    <t>ভাগ করা শেষ হলে শুরু হতো বিতরণের কাজ</t>
  </si>
  <si>
    <t>বিচারে তার যাবজীবন হয়</t>
  </si>
  <si>
    <t>সে ধরিয়া ফেলিয়া বলিল চলুন বাবু আপনাকে দিয়ে আসি</t>
  </si>
  <si>
    <t>আমি আমার লিখিবার ঘরে বসিয়া হিসাব দেখিতেছি এমন সময় রহমত আসিয়া সেলাম করিয়া দাঁড়াইল</t>
  </si>
  <si>
    <t>শেষকালে সমস্ত রাগ মাতার উপরে পড়িল</t>
  </si>
  <si>
    <t>রাষ্ট্র কথা শুনিয়া উভয় পক্ষের পিতৃকুল সাবধান হইতে থাকে</t>
  </si>
  <si>
    <t>অল্প বিলম্বেই অর্ধশুষ্ক তৃণাবৃত একটি ক্ষুদ্র প্রান্তর দেখা গেল এখানে সেখানে দুই একটি মধু বা মৌয়াবৃক্ষ ভিন্ন সে প্রান্তরে গুল্ম কি লতা কিছুই নাই সর্ব্বত্র অতি পরিষ্কার</t>
  </si>
  <si>
    <t>রুমি আমার কথা তার ভাইকে বলেছে</t>
  </si>
  <si>
    <t>তিনি সালে পদার্থবিজ্ঞানে নোবেল পুরস্কার লাভ করেন</t>
  </si>
  <si>
    <t>রাসেলের মা ঘরে কাজ করছে</t>
  </si>
  <si>
    <t>একতলায় বাড়িওয়ালা থাকেন</t>
  </si>
  <si>
    <t>খুন হয় সামুরাই</t>
  </si>
  <si>
    <t>তুমি কাহাদের সঙ্গে খেলিতে গিয়াছিলে</t>
  </si>
  <si>
    <t>সে শূন্য দৃষ্টিতে তাহার দিকে তাকাইয়া ছিলো</t>
  </si>
  <si>
    <t>আমি তাকে অনেক বিশ্বাস করেছিলাম সে আমাকে মিথ্যা বলেছিল。</t>
  </si>
  <si>
    <t>এমত সময় গৃহস্থ কাছারি হইতে প্রত্যাগত হইলেন</t>
  </si>
  <si>
    <t>অনতিকাল পরেই জুতার শব্দ দ্বারের কাছে আসিয়া থামিল</t>
  </si>
  <si>
    <t>সালে তিনি দুর্ঘটনায় মারা যান</t>
  </si>
  <si>
    <t>সমন্বিত কৃষি ব্যবস্থা দক্ষতার জন্য পশুসম্পদ বা জলজ চাষের সাথে ফসল উৎপাদনকে একত্রিত করে</t>
  </si>
  <si>
    <t>সে গাছটার দিকে মুগ্ধ দৃষ্টিতে তাকিয়ে ছিলো</t>
  </si>
  <si>
    <t>এই একবছর এই শর্ত পালন করে যেতে হবে</t>
  </si>
  <si>
    <t>তার বাসা দেখতে অনেক সুন্দর লাগছে</t>
  </si>
  <si>
    <t>সবুজ আমাকে খেলিতে ডাকিয়া ছিল</t>
  </si>
  <si>
    <t>আমি দেখিলাম ইহা সংকুচিত হয়</t>
  </si>
  <si>
    <t>যে ডাক্তার হারানের চিকিৎসা করিতেছিল সে যে কি আশায় বিনা ব্যয়ে ঔষধপথ্য যোগাইতেছে</t>
  </si>
  <si>
    <t>আমি তাহাকে অনেক বিশ্বাস করিয়াছিলাম সে আমাকে মিথ্যা বলিয়াছিল</t>
  </si>
  <si>
    <t>আমি তাহার একাকিত্বে সঙ্গ দিয়াছিলাম</t>
  </si>
  <si>
    <t>আমি অনেক দিন ধরেই একটা ব্যাপার লক্ষ করছিলাম</t>
  </si>
  <si>
    <t>আমি আশা করি আগামীতে আরো উন্নতি করতে পারব</t>
  </si>
  <si>
    <t>কঠোর পরিশ্রমের পরে সাফল্যের অভিজ্ঞতা পূর্ণতা নিয়ে আসে</t>
  </si>
  <si>
    <t>রানা সাহেব এটা করতে বলেছিল</t>
  </si>
  <si>
    <t>মনের উপর বাসস্থানের আধিপত্য বিলক্ষণ আছে</t>
  </si>
  <si>
    <t>যে ছিল সভাপতি তাহার নাম গৌরমোহন তাহাকে আত্মীয়বন্ধুরা গোরা বলিয়া ডাকে</t>
  </si>
  <si>
    <t>রাফি নেহা ফুটবল খেলিতে গিয়াছে</t>
  </si>
  <si>
    <t>মাঠে ফুটবল খেলা হইতেছে</t>
  </si>
  <si>
    <t>তিনি তো ইচ্ছা নানাপ্রকারেই ব্যক্ত করিয়াছেন</t>
  </si>
  <si>
    <t>শাহেদের ঠিকানা বের করতে ইরতাজউদ্দিন সাহেবের প্রায় চব্বিশ ঘণ্টা লেগেছে</t>
  </si>
  <si>
    <t>ঘন কুয়াশার মধ্য দিয়ে নেভিগেট করার জন্য তারা বিপজ্জনক জলের মধ্য দিয়ে তাদের গাইড করার জন্য প্রবৃত্তির উপর নির্ভর করেছিল</t>
  </si>
  <si>
    <t>মাল্টিপল স্ক্লেরোসিস একটি দীর্ঘস্থায়ী অটোইমিউন রোগ যা কেন্দ্রীয় স্নায়ুতন্ত্রকে প্রভাবিত করে যার ফলে পেশী দুর্বলতা সমন্বয় সমস্যা হয়</t>
  </si>
  <si>
    <t>আমি তাকে জিজ্ঞেস করেছিলাম সে এখন কি চাই</t>
  </si>
  <si>
    <t>তাই আমার বাবা আমার জন্য আলাদা গণিতের শিক্ষকের ব্যবস্থা করলেন</t>
  </si>
  <si>
    <t>এখন বোধহয় অশ্বত্থগাছটি আপন অবস্থানুরূপ কার্য্য করিতেছে</t>
  </si>
  <si>
    <t>পক্ষী বর্ণ উচ্চারণ করে নাই কেবল ছন্দ উচ্চারণ করিয়াছিল</t>
  </si>
  <si>
    <t>তাহারা আপনার পুত্রবধূকে উত্তম বস্ত্রালঙ্কার দেয়</t>
  </si>
  <si>
    <t>শ্রীযুক্ত বিহারীবাবু সরলা আশার চোখের জল দেখিতে পারেন না</t>
  </si>
  <si>
    <t>ইহার প্রমাণ পালামৌ গিয়া আমি পুনঃ পুনঃ পাইয়াছিলাম</t>
  </si>
  <si>
    <t>ক্লাস থ্রিতে পড়ার সময় শাহেদের একবার টাইফয়েড হলো</t>
  </si>
  <si>
    <t>মিছিল হুট করে একটা গলির ভেতর ঢুকে গেল</t>
  </si>
  <si>
    <t>অপেক্ষার এক পর্যায়ে দূরে ট্রেনের ইঞ্জিনের ধোয়া দেখতে পেতাম</t>
  </si>
  <si>
    <t>ভেলভেটি চকোলেট মুস স্বাদের কুঁড়িকে মোহিত করে</t>
  </si>
  <si>
    <t>সেই শব্দে বধূ চকিত হইয়া দেখিল শাশুড়ী দাঁড়াইয়া</t>
  </si>
  <si>
    <t>তাহাকে ঠিক পূর্বের মতো তেমনটি পাইবে না</t>
  </si>
  <si>
    <t>হস্তে মারিব এই কথায় বুঝাইয়াছিল যে পরহস্তে বাঘ মারা সম্ভব</t>
  </si>
  <si>
    <t>সন্ধা আসিয়াছে</t>
  </si>
  <si>
    <t>সবাই মিলেমিশে ঐক্যবদ্ধ হয়ে বসবাস করত</t>
  </si>
  <si>
    <t>ফসলের ঘূর্ণন স্কিমগুলি মাটির গঠন উর্বরতা উন্নত করার সাথে সাথে কীটপতঙ্গের চক্র ভাঙতে সাহায্য করে</t>
  </si>
  <si>
    <t>আপনার চিন্তাভাবনা শব্দ কর্ম সম্পর্কে সচেতন হন তারা আপনার বাস্তবতা গঠন করে</t>
  </si>
  <si>
    <t>আমি তোমাকে দেখতে পেয়েছিলাম</t>
  </si>
  <si>
    <t>পরিবহন রেলপথে ভুটানে কোনো রেল পথ নেই</t>
  </si>
  <si>
    <t>অধরা শিকার শিকার করে তারা ঘন বন বিস্তীর্ণ সমভূমি জুড়ে তাদের খনি ট্র্যাক করেছিল</t>
  </si>
  <si>
    <t>একটি পাহাড় দেখিয়া চমৎকৃত হইয়াছিলাম</t>
  </si>
  <si>
    <t>গোপাল তাহাকে ডাকিয়া লইয়া গিয়াছিল নিজের বাড়ি আদর যত্ন করিয়াছিল ঘরের লোকের মতো</t>
  </si>
  <si>
    <t>হারু শ্মশান যাত্রা করেনি বাড়ি যাচ্ছেকথাটা এমন করিয়া শশী ইচ্ছা করিয়া বলে নাই</t>
  </si>
  <si>
    <t>ভাঙ্গা দেওয়ালের গায়ে টিন মারা আছে খুব সম্ভব ইহাতে একদিন গলির নাম লেখা ছিল</t>
  </si>
  <si>
    <t>সে একটু বিশ্রাম নিয়ে আবার খেলতে গিয়েছিল</t>
  </si>
  <si>
    <t>তারা ভীষণ উত্তেজিত অবস্খায় ছিল</t>
  </si>
  <si>
    <t>ঝুঁকি কমানোর জন্য একটি বৈচিত্রপূর্ণ বিনিয়োগ পোর্টফোলিও থাকা গুরুত্বপূর্ণ</t>
  </si>
  <si>
    <t>খাস্তা বেকন ব্রাঞ্চ মেনু পরিপূরক</t>
  </si>
  <si>
    <t>ভাজা সবজি স্বাস্থ্যকর স্বাদ যোগ করে</t>
  </si>
  <si>
    <t>এই গানের সুরকার হিসেবেই তিনি সমধিক পরিচিত</t>
  </si>
  <si>
    <t>একজন পাদরি আমাদের দেশী জাম হইতে শ্যামপেন প্রস্তুত করিয়াছিলেন</t>
  </si>
  <si>
    <t>নববধূর পরিবর্ত্তন সকলের নিকট স্পষ্ট নহে সত্য</t>
  </si>
  <si>
    <t>আমি তাহাকে বিষয়টা বুঝাইয়া দিয়াছিলাম</t>
  </si>
  <si>
    <t>সেদিনে আবার রাত্রি হইতে মুষলধারে শ্রাবণের বৃষ্টি পড়িতেছে</t>
  </si>
  <si>
    <t>বলিল জ্বর কমেছে ঘুমোচ্ছে এখন</t>
  </si>
  <si>
    <t>আমি সবসময় ভুলে যাই যে আমি এই বিশাল লটে আমার গাড়ি কোথায় পার্ক করি</t>
  </si>
  <si>
    <t>এই কাজটি সঠিকভাবে সমাপ্ত করার জন্য আমি সম্পূর্ণ প্রস্তুতি নিয়ে চলেছি</t>
  </si>
  <si>
    <t>সুজন সাহেব আমাদের স্কুলে আসবেন</t>
  </si>
  <si>
    <t>ক্রনিক ব্রঙ্কাইটিস হল এক ধরনের সিওপিডি যা ক্রমাগত কাশি শ্লেষ্মা উৎপাদন দ্বারা চিহ্নিত করা হয়</t>
  </si>
  <si>
    <t>আমি তাকে তার পড়াটা শিখিয়ে দিয়েছিলাম</t>
  </si>
  <si>
    <t>রাফি আমাকে মাঠে যেতে বলিয়াছিল</t>
  </si>
  <si>
    <t>যে পটের কথা বলিতেছি তাহাতে গন্ধ স্পর্শ সকলই থাকে</t>
  </si>
  <si>
    <t>যে স্থানে নবকুমারকে ত্যাগ করিয়া যাত্রীরা চলিয়া যান</t>
  </si>
  <si>
    <t>তখন জানিতাম না যে এক দিন আপনার অহঙ্কারে আপনি হাসিব</t>
  </si>
  <si>
    <t>বোধহয় সেই প্রথম আমি বৃদ্ধকে সুন্দর দেখি</t>
  </si>
  <si>
    <t>বাস্তবসম্মত লক্ষ্য নির্ধারণ করুন সেগুলি অর্জনের জন্য ধারাবাহিক পদক্ষেপ নিন</t>
  </si>
  <si>
    <t>তারা খুব শীঘ্রই ধনী রাজনীতিতে প্রভাবশালী হয়ে উঠে</t>
  </si>
  <si>
    <t>করোনারি আর্টারি ডিজিজ এমন একটি অবস্থা যেখানে ধমনীতে প্লাক তৈরি হয় যা হৃৎপিণ্ডে রক্ত ​​প্রবাহকে সীমাবদ্ধ করে</t>
  </si>
  <si>
    <t>শাস্তির নির্দেশিকা অপরাধীদের শাস্তির ক্ষেত্রে ধারাবাহিকতা নিশ্চিত করা</t>
  </si>
  <si>
    <t>তার হাতে ম্যারিয়ন ক্রেইন খুন হয়</t>
  </si>
  <si>
    <t>স্নান গোছলখানায় ইংরেজী মতেই হইল</t>
  </si>
  <si>
    <t>কখনো কখনো দুটো একটা কবিতা লিখিতে চেষ্টা করেন</t>
  </si>
  <si>
    <t>এইবার হরিমোহন দাদার সঙ্গে কোমর বাঁধিয়া লাগিয়া গেলেন</t>
  </si>
  <si>
    <t>আমার নিকট তাহা নহে</t>
  </si>
  <si>
    <t>তাহার মনে বুঝি বিশ্বাস ছিল মিনি সেই ভাবেই আছে</t>
  </si>
  <si>
    <t>এই ঘটনায় কর্ণ দুর্যোধনের বিশ্বস্ত অকৃত্রিম বন্ধুতে পরিণত হন</t>
  </si>
  <si>
    <t>রানা সুজনকে ডাকতেছিল</t>
  </si>
  <si>
    <t>প্রথমেই আমাকে উল্লেখ করতে হবে আরিফ ভাইয়ের নাম</t>
  </si>
  <si>
    <t>আগে চলাকালীন পরে ভালভাবে হাইড্রেট করুন</t>
  </si>
  <si>
    <t>আমাদের ব্যাঙ্ক স্টেটমেন্টের সাথে লেনদেনের সমন্বয় করতে হবে</t>
  </si>
  <si>
    <t>পরে জুম্মার নামাজে ইমামতি করতে যান</t>
  </si>
  <si>
    <t>দাসীরা যখন মাঝে মাঝে খাবার আনিতে ভুলিয়া যাইত তখন যে তাহাদের একবার মুখ খুলিয়া স্মরণ করাইয়া দেওয়া তাহাও সে করিত না</t>
  </si>
  <si>
    <t>খানিকক্ষণ সে উদ্দেশ্যহীনভাবে দাঁড়াইয়া থাকিয়া হঠাৎ তাহার ঘরে চলিয়া গেলো</t>
  </si>
  <si>
    <t>শেষ পর্যন্ত আমি রহিম হইতে ভালো ফলাফল করিলাম</t>
  </si>
  <si>
    <t>বিলাতী মদের সহিত তুলনায় এ মদের দোষ কি</t>
  </si>
  <si>
    <t>একটি ইতিবাচক মানসিকতা গড়ে তুলতে প্রতিদিন কৃতজ্ঞতার অনুশীলন করুন</t>
  </si>
  <si>
    <t>এরা উঁচু গাছের মাথায় থাকতে পছন্দ করে</t>
  </si>
  <si>
    <t>শিক্ষা কেউ কাউকে দিতে পারেনা</t>
  </si>
  <si>
    <t>এটি একটি গ্যাস পরিচালিত স্বয়ংক্রিয় অস্ত্র</t>
  </si>
  <si>
    <t>গরম ধোঁয়া উঠা ভাতের সঙ্গে ডাল</t>
  </si>
  <si>
    <t>তোমার পতাকা যারে দাও তারে বহিবারে দাও শকতি</t>
  </si>
  <si>
    <t>রাজু অদ্য স্কুলে যাইবে না</t>
  </si>
  <si>
    <t>কিছু বলিতে চাহিয়াও বলিতে পারিলাম না</t>
  </si>
  <si>
    <t>আমি তাহাকে দেখে প্রথমে অবাক হইয়া গিয়াছিলাম</t>
  </si>
  <si>
    <t>উপরে আসিয়া অঘোরময়ী তীব্রকণ্ঠে ডাক দিলেন কোথায় আছ একবার বার হও না বৌমা</t>
  </si>
  <si>
    <t>নিচে আপনার চিন্তা মন্তব্য করুন</t>
  </si>
  <si>
    <t>নেতৃত্ব একটি ইতিবাচক প্রেরণাদায়ক কর্ম সংস্কৃতি গড়ে তোলে</t>
  </si>
  <si>
    <t>আমি স্কুল মাঠে খেলতে ছিলাম</t>
  </si>
  <si>
    <t>কৃষি পর্যটন ক্রিয়াকলাপের মধ্যে রয়েছে খামার ভ্রমণ কর্মশালা খামারে থাকা বা খামার পণ্যের সরাসরি বিক্রয়</t>
  </si>
  <si>
    <t>নিজেকে স্বাধীনভাবে প্রকাশ করতে পারা মুক্তি এনে দেয়</t>
  </si>
  <si>
    <t>আমার একাকী বসিয়া বসিয়া ভালো লাগিতেছিল না</t>
  </si>
  <si>
    <t>পরিশ্রম করিয়া অজ্ঞান হইয়া পড়িও না</t>
  </si>
  <si>
    <t>আমাদের কথা মিম কর্ণপাত করিয়া শুনিতেছিল</t>
  </si>
  <si>
    <t>মালিবাগে অনেকক্ষণ ধরেই রিকশা ঘুরছে</t>
  </si>
  <si>
    <t>রিতু আমাকে বসিতে দিয়াছিল</t>
  </si>
  <si>
    <t>আমি সপ্তাহান্তে ছুটির জন্য একটি ভাড়া গাড়ি পেয়েছি এটা একটা মসৃণ যাত্রা</t>
  </si>
  <si>
    <t>আর্থিক লক্ষ্য অর্জনের জন্য একটি বাজেট তৈরি করা তাতে লেগে থাকা অপরিহার্য</t>
  </si>
  <si>
    <t>অ্যানাফিল্যাক্সিস একটি গুরুতর এলার্জি প্রতিক্রিয়া যার জন্য অবিলম্বে চিকিৎসার প্রয়োজন</t>
  </si>
  <si>
    <t>শিলা রবিনকে স্কুলে নিয়ে গিয়েছিল</t>
  </si>
  <si>
    <t>নাম্বারের কোনো ঠিক ঠিকানা নেই</t>
  </si>
  <si>
    <t>এমন কি এখন তাহার বাবার লিখিবার ঘরেও তাহাকে দেখিতে পাওয়া যায় না</t>
  </si>
  <si>
    <t>কথা কাটাকাটি করিতে তাহার ভাল লাগিতেছিল না</t>
  </si>
  <si>
    <t>এই টাকাটা দান করিয়া হিসাব হইতে উৎসব সমারোহের দুটো একটা অঙ্গ ছাঁটিয়া দিতে হইল</t>
  </si>
  <si>
    <t>গ্রামের বাহিরে খালের এপাড়ের ঘন জঙ্গল গভীর নির্জনতাকে তাহারা এই কাজে লাগাইয়াছে</t>
  </si>
  <si>
    <t>সজীব আমার কথা তাহার পিতাকে বলিয়াছে</t>
  </si>
  <si>
    <t>এ অঞ্চলের জনসাধারণ তখন মিথ্যা ছলচাতুরীর আশ্রয় নিতে জানত না</t>
  </si>
  <si>
    <t>আমার সাফল্যের পেছনে আমার পরিবারের সমর্থন গুরুত্বপূর্ণ ভূমিকা পালন করেছে</t>
  </si>
  <si>
    <t>পাখিটি গাছের ডালে বসে কিচিরমিচির করছিল</t>
  </si>
  <si>
    <t>আপনি সহজেই দেখতে পাবেন পুরো শহর জুড়ে কিভাবে নারকেলের বাগান বেড়ে উঠেছে</t>
  </si>
  <si>
    <t>তাদের থেকে আমরা ভালো কাজ করেছি</t>
  </si>
  <si>
    <t>নৌকার ভিতর হইতে আরোহীরা এ সকল বিষয় কিছুই জানিতে পারেন নাই</t>
  </si>
  <si>
    <t>তাঁহার আজো সন্ধ্যায় জ্বর আসে নাই</t>
  </si>
  <si>
    <t>পর দিবস বাহকস্কন্ধে ব্যাঘ্রটি আমার তাঁবু পর্য্যন্ত আসিয়াছিলেন</t>
  </si>
  <si>
    <t>বাবা অত্যন্ত বিচক্ষণতার সাথে দুই ভাইয়ের ঝগড়া মীমাংসা করিয়া দিয়াছিল</t>
  </si>
  <si>
    <t>আমি ইহা অনেক ভালো পারিব</t>
  </si>
  <si>
    <t>প্রজন্মের পড় প্রজন্ম ধরে এই শান্তির ধারা অব্যাহত আছে</t>
  </si>
  <si>
    <t>তার দুই পুত্র আগেই মৃত্যুবরণ করেন</t>
  </si>
  <si>
    <t>মিছিল দেখে রাজহাঁস উত্তেজিত হয়ে পড়েছে</t>
  </si>
  <si>
    <t>লেনদেনটি এনক্রিপশন প্রযুক্তি ব্যবহার করে নিরাপদে প্রক্রিয়া করা হয়েছিল</t>
  </si>
  <si>
    <t>আমি পার্কের মধ্য দিয়ে সাইকেল চালানো উপভোগ করি এটি সক্রিয় থাকার একটি দুর্দান্ত উপায়</t>
  </si>
  <si>
    <t>সেদিন যে সাহেব ডাক্তারকে এনেছিলেন তিনিও ত ভাল কথা কিছুই বলে গেলেন না</t>
  </si>
  <si>
    <t>কতক্ষণে পৌঁছিব মনে করিয়া আবার কতই ব্যস্ত হইলাম</t>
  </si>
  <si>
    <t>রহিম করিমকে বাঁধিয়া রাখিয়াছিল</t>
  </si>
  <si>
    <t>বোধ হয় যেন দেখিয়াছিলাম সকল তরঙ্গগুলি পূর্ব্ব দিক হইতে উঠিয়াছিল কোন কোনটি পূর্ব্ব দিক্‌ হইতে উঠিয়া পশ্চিম দিকে নামে নাই</t>
  </si>
  <si>
    <t>কারণ পূর্বাপেক্ষা একটা ভালো খেলা মাথায় উদয় হইয়াছে তাহাতে একটু বেশি মজা আছে</t>
  </si>
  <si>
    <t>প্রত্যাশার দ্বারা অভিভূত বোধ চাপের দিকে নিয়ে যায়</t>
  </si>
  <si>
    <t>আমি এটি অফার কি জন্য পণ্য অতিরিক্ত মূল্য খুঁজে পেয়েছি</t>
  </si>
  <si>
    <t>সে আমাকে আমার পছন্দের বইটি কিনে দিয়েছিল</t>
  </si>
  <si>
    <t>একটাকে ধরা গেল না</t>
  </si>
  <si>
    <t>তার মৃত্যুর কারণ আত্মহত্যা না অপঘাত­ এ নিয়ে বিতর্ক রয়েছে</t>
  </si>
  <si>
    <t>এমন সময়ে সেই কাঁচাপাকা বাবুটি ঘরে ঢুকিলেন</t>
  </si>
  <si>
    <t>সে কেন মাটির সঙ্গে মাটি হইয়া মিশিয়া গেল না</t>
  </si>
  <si>
    <t>দ্রুতবেগে তাহারা বনের সীমানা অতিক্রম করিয়া শহরে গিয়াছিল</t>
  </si>
  <si>
    <t>আমি মাকে রান্নার কাজে সাহায্য করিয়াছিলাম</t>
  </si>
  <si>
    <t>সবুজ আমাকে অনেক বলিয়াছিল ইহা</t>
  </si>
  <si>
    <t>নীতিবাক্য তখন দেওয়া উচিত যখন তুমি সেটা মানো</t>
  </si>
  <si>
    <t>আমি প্লটফর্ম থেকে সংবাদপত্রের বান্ডিলগুলো তুলে নিতাম</t>
  </si>
  <si>
    <t>সবুজ আমাকে তার ঘরে বসতে বলেছিল</t>
  </si>
  <si>
    <t>ফুটবল খেলতে চাইলে এসো</t>
  </si>
  <si>
    <t>ভাই আমাকে পড়তে বসতে বলেছিল</t>
  </si>
  <si>
    <t>ইহা কি তোমার নতুন বই</t>
  </si>
  <si>
    <t>লতাকে এইরূপ সচেতনের ন্যায় রঙ্গ করিতে দেখিয়া আমি হাসিতেছিলাম</t>
  </si>
  <si>
    <t>মুঘল সাম্রাজ্য পারস্যের ভাষা শিল্প সংস্কৃতি দ্বারা প্রভাবিত ছিল</t>
  </si>
  <si>
    <t>তাহার সাড়া পাইয়া কান্নার রোল তুলিবে না এমন একটি পরিবারের খবর না লইয়া হারুর বাড়ির দিকে চলিতে সে যেন জোর পাইতেছিল না</t>
  </si>
  <si>
    <t>আপনার ভ্রমণ অভিজ্ঞতা শেয়ার করুন</t>
  </si>
  <si>
    <t>এমনকি রাগ বা হতাশার মুহুর্তগুলিতেও দয়া চয়ন করুন</t>
  </si>
  <si>
    <t>ক্রিমিনাল প্রোফাইলিং হল সম্ভাব্য সন্দেহভাজনদের সনাক্ত করার জন্য ব্যবহৃত একটি কৌশল</t>
  </si>
  <si>
    <t>সজীব আমার কাছে খাবার চেয়েছিল</t>
  </si>
  <si>
    <t>সজল স্কুল থেকে এসে মসজিদে যাচ্ছে</t>
  </si>
  <si>
    <t>বিজয়ী বীরদের অভ্যর্থনার জন্য চারদিকের মানুষ ব্যতিব্যস্ত হইয়া উঠিয়াছিল</t>
  </si>
  <si>
    <t>আমি পৃথিবীতে ভাষার বিভিন্নতা সম্বন্ধে তাহাকে জ্ঞানদান করিতে প্রবৃত্ত হইবার পূর্বেই সে দ্বিতীয় প্রসঙ্গে উপনীত হইল</t>
  </si>
  <si>
    <t>আমি কি পাগল যে মনে করব তুমি যেতে জান না</t>
  </si>
  <si>
    <t>সেই সময়ের সঙ্গিগণ</t>
  </si>
  <si>
    <t>সে নীরবে নতমুখে আঁচলে বাঁধা কতকগুলা অলঙ্কার ডাক্তারের পায়ের কাছে উজাড় করিয়া দিয়া আস্তে আস্তে কহিল এই নিন আপনি</t>
  </si>
  <si>
    <t>আমি ভবিষ্যতে নতুন প্রকল্পে প্রবেশ করতে চাই</t>
  </si>
  <si>
    <t>বর্তমানে তিনি ক্লাব পর্যায়ে ম্যানচেস্টার ইউনাইটেডে খেলেন</t>
  </si>
  <si>
    <t>কোন কোন সময়ে ই নভেম্বর বাংলাদেশে সরকারি ছুটি হিসেবে পালিত হয়েছে</t>
  </si>
  <si>
    <t>পণ্যটি আমার প্রত্যাশা ছাড়িয়ে গেছে</t>
  </si>
  <si>
    <t>গুরমেট বার্গার নৈমিত্তিক ডাইনিংকে পুনরায় সংজ্ঞায়িত করে</t>
  </si>
  <si>
    <t>পরীক্ষকের ডাক শুনিয়া অপরাধীর মতো আশা ভয়ে ভয়ে বইখানি লইয়া মহেন্দ্রের চৌকির পাশে আসিয়া উপস্থিত হয়</t>
  </si>
  <si>
    <t>পাখিটি গাছের ডালে বসিয়া কিচিরমিচির করিতেছিল</t>
  </si>
  <si>
    <t>প্রকাণ্ড একটা ধাউস ঘুড়ি লইয়া বোঁ বোঁ শব্দে উড়াইয়া বেড়াইবো</t>
  </si>
  <si>
    <t>অনেকের এই প্রকার রুচিবিকার আছে</t>
  </si>
  <si>
    <t>ডাক্তারি বইগুলাকে নানা অসম্ভব স্থান হইতে উদ্ধার করিয়া ধুলা ঝাড়িতে লাগিল</t>
  </si>
  <si>
    <t>শিক্ষাগত সংস্কারের জন্য স্টেকহোল্ডারদের মধ্যে সহযোগিতা প্রয়োজন</t>
  </si>
  <si>
    <t>দ্রুত বেয়ামের জন্য দড়ি লাফ</t>
  </si>
  <si>
    <t>অজানা জলের মধ্য দিয়ে যাত্রা করে তারা অটল দৃঢ়তার সাথে অজানাকে সাহস করে</t>
  </si>
  <si>
    <t>অস্বস্তি বোধ করার কিছুই নেই হাঁসটা নিয়ে আমি বিপদে পড়েছি</t>
  </si>
  <si>
    <t>ফ্রেডি যখন এডব্লিউওএল এ চলে যান তখন চেক পাঠানো বন্ধ হয়ে যায়</t>
  </si>
  <si>
    <t>গোরু ছাগল মানুষ—যাহার খুশি ব্যবহার করে কেহ বারণ করিতে আসে না</t>
  </si>
  <si>
    <t>যে না পলাইল সে জন্মের মত মহাজনের নিকট বিক্রীত থাকিল</t>
  </si>
  <si>
    <t>আজকে সবাই আমার সঙ্গে কথা বলিয়া ছিল</t>
  </si>
  <si>
    <t>মাঝে মাঝে মাসিমার তীব্র ভর্ৎসনা মনে পড়িয়া চিত্ত বিচলিত হয়</t>
  </si>
  <si>
    <t>ফটিক গোটাকতক কাশ উৎপাটন করিয়া লইয়া একটা অর্ধনিমগ্ন নৌকার গলুইয়ের উপরে চড়িয়া বসিয়া চুপচাপ করিয়া কাশের গোড়া চিবাইতে লাগিল</t>
  </si>
  <si>
    <t>এখান থেকেই আমার ভূমিকা শুরু</t>
  </si>
  <si>
    <t>কাজের বিরতির সময় সক্রিয় থাকুন</t>
  </si>
  <si>
    <t>হাইব্রিড গাড়িটি তার জ্বালানি দক্ষতার সাথে শহরের গাড়ি চালানোর জন্য দুর্দান্ত</t>
  </si>
  <si>
    <t>আপনার পছন্দের বইটি লাইক কমেন্ট করুন</t>
  </si>
  <si>
    <t>নমনীয়তা ব্যায়াম পরিসীমা উন্নত</t>
  </si>
  <si>
    <t>তাঁহাকে বড় সুন্দর দেখিয়াছিলাম</t>
  </si>
  <si>
    <t>মিনি চলিয়া গেলে একটা গভীর দীর্ঘনিশ্বাস ফেলিয়া রহমত মাটিতে বসিয়া পড়িল</t>
  </si>
  <si>
    <t>আমার কাজটি সবার ভালো লাগিবে</t>
  </si>
  <si>
    <t>বৈশাখ মাসে বাজিতপুরের মেলায় শ্রীনাথের দোকানে বসিয়া একঘণ্টা বিশ্রাম করার মূল্যস্বরূপ তাহার মেয়েকে পুতুলটা কিনিয়া দিয়াছিল</t>
  </si>
  <si>
    <t>সবুজের কথা মনে পড়িয়া যাইতেছে</t>
  </si>
  <si>
    <t>পুষ্টিকর শস্য সুষম খাদ্যে অবদান রাখে</t>
  </si>
  <si>
    <t>তার ওপর আবার এই যুদ্ধাবস্থার কারণে বাড়তি বিপদ দেখা দিল</t>
  </si>
  <si>
    <t>সে আমাকে একটি উপদেশ দিয়েছিল</t>
  </si>
  <si>
    <t>সরকার রামেশ্বরাম স্টেশনে ট্রেন থামানোর ওপর নিষেধাজ্ঞা জারি করে</t>
  </si>
  <si>
    <t>আজ সুজন তনু বেড়াতে গিয়েছে</t>
  </si>
  <si>
    <t>তুমি আসিবে ভুলিয়া আমার ভরসা হইতেছে না</t>
  </si>
  <si>
    <t>আদিম অবস্থায় সকল পুরুষই সাহসী ছিল তাহাদের তখন ফলাফলজ্ঞান হয় নাই</t>
  </si>
  <si>
    <t>হরেকৃষ্ণের বাড়িতে একটা মস্ত চুরি হইয়া গিয়াছে তাহার আদ্যোপান্ত বিবরণ বলিলেন</t>
  </si>
  <si>
    <t>তাহার বুদ্ধি সংযম হিসাবি প্রকৃতির পরিচয় মানুষ সাধারণত পায়</t>
  </si>
  <si>
    <t>আপনি এইখানে দাঁড়ান আমি একবার অনুসন্ধান করিয়া আসি</t>
  </si>
  <si>
    <t>আমার মা শাওনের বাড়ি গিয়েছিল</t>
  </si>
  <si>
    <t>দরিদ্র পিতা সেখানকার একটি ট্যানারিতে চাকুরি করতেন</t>
  </si>
  <si>
    <t>তাদের সাথে খেলা নিয়েছিল</t>
  </si>
  <si>
    <t>দেশটিতে সাংঘাতিক অপরাধ সংঘটনের হার বেশ কম</t>
  </si>
  <si>
    <t>মাএ দুটি লাইফবোট আবার উদ্ধার কাজে ফিরে এসেছিল</t>
  </si>
  <si>
    <t>সুজন আমাকে দেখিল ডাকিল</t>
  </si>
  <si>
    <t>রাসেল গোসল করিয়া নামাজে যাইতেছে</t>
  </si>
  <si>
    <t>চাপরাশি তাহার বাহুতে সেই মৃত্তিকাদ্বারা কী অঙ্কপাত করিতেছে পারার্থীর মধ্যে বন্য লোকই অধিক</t>
  </si>
  <si>
    <t>ইতিমধ্যে আরো এক চিঠি আসিয়া উপস্থিত হইল</t>
  </si>
  <si>
    <t>রনি রাজুর সঙ্গে মাঠে খেলিতে যাইবে</t>
  </si>
  <si>
    <t>রুমি আমাদের মাঠে খেলতে আসবে</t>
  </si>
  <si>
    <t>কারো মতে তিনি গৃহযুদ্ধ প্রসূত দুর্ভিক্ষে মারা যান</t>
  </si>
  <si>
    <t>সালে সারা ভারত সেরা এনসিসি ক্যাডেট সম্মানে সম্মানিত হন জয়া</t>
  </si>
  <si>
    <t>যাত্রার উপর আস্থা রাখুন বিশ্বাস রাখুন যে সবকিছু যেমন উন্মোচন করা উচিত আপনার জীবনের সময় বিশ্বাস</t>
  </si>
  <si>
    <t>প্রতিদিনের খবরের জন্য সাবস্ক্রাইব করুন</t>
  </si>
  <si>
    <t>আমার অদৃষ্টদোষে বগলে বন্দুক পায়ে বুট পরিধানে কোট পেণ্টুলন বাস তাঁবুতে</t>
  </si>
  <si>
    <t>গল্পের বই পড়াটা তাহার অভ্যাসে পরিণত হইয়াছে</t>
  </si>
  <si>
    <t>দিগন্তে বৃক্ষরাজি বাঁশঝাড় অন্ধকার করিয়া আছে</t>
  </si>
  <si>
    <t>কোনো কথা না বলিয়া বাহিরে চলিয়া যাইতে উদ্যত</t>
  </si>
  <si>
    <t>তিনি এই কারণেই সত্য কথা বলেন</t>
  </si>
  <si>
    <t>শাস্তি প্রক্রিয়ার অভিযুক্ত এই বইয়ে পাওয়া যায়</t>
  </si>
  <si>
    <t>একটি গোলকধাঁধা গুহা ব্যবস্থায় হারিয়ে তারা একটি উপায় খুঁজে বের করার জন্য তাদের বুদ্ধির উপর নির্ভর করেছিল</t>
  </si>
  <si>
    <t>সকাল টা নাগাদ আমার সংবাদপত্র বিলি করার কাজ শেষ হয়ে যেত</t>
  </si>
  <si>
    <t>অ্যাডভেঞ্চার থেকে অ্যাড্রেনালিন রাশ কারও কারও জন্য আসক্তি হতে পারে</t>
  </si>
  <si>
    <t>গলিত পনির পিজা পরিপূর্ণতা শীর্ষে</t>
  </si>
  <si>
    <t>আপনার নিকট ভিক্ষার নিমিত্ত আসিয়াছিল</t>
  </si>
  <si>
    <t>পূর্ব্বকালে যখন আর্য্যেরা প্রথমে ভারতবর্ষে আসেন তখন অসুরগণ অতি প্রবল তাহাদের সংখ্যা অসীম ছিল</t>
  </si>
  <si>
    <t>রাব্বি মাদ্রাসা হইতে ফিরে নাই</t>
  </si>
  <si>
    <t>অবশেষে ঘরে ফিরিলাম এক টা সাবান একটা মিনি শ্যাম্পু এক দিস্তা কাগজ</t>
  </si>
  <si>
    <t>ইতিবাচকতার দৈনিক ডোজ জন্য রিটুইট করুন</t>
  </si>
  <si>
    <t>নিচে আপনার চিন্তা শেয়ার করুন</t>
  </si>
  <si>
    <t>তিনি মসজিদে ছুটে গিয়ে ইমাম সাহেবকে বললেন আমি আমার জীবনে একটা ভয়ঙ্কর পাপ করেছি</t>
  </si>
  <si>
    <t>আমার ভাগ্নির হাসি সবচেয়ে সুন্দর</t>
  </si>
  <si>
    <t>তার সুন্দর মুখ দেখে ভুলনা</t>
  </si>
  <si>
    <t>আমি ব্রাহ্মণ সন্তান সে বাঘ না মারিয়া কোন্ মুখে জল গ্রহণ করিব</t>
  </si>
  <si>
    <t>আপনার সম্পূর্ণ পরিচয় তো এখনো পাইলাম না</t>
  </si>
  <si>
    <t>যখন সেই ঘরে গেল তখন দেখিল মাতার সম্মুখে কতকগুলি লুচি সন্দেশ রহিয়াছে</t>
  </si>
  <si>
    <t>কোলদের দেখিলে তাহা বোধ হয় না তাহাদের স্ত্রীজাতিরাই বলিষ্ঠা আশ্চর্য্য কান্তিবিশিষ্টা</t>
  </si>
  <si>
    <t>ফাহিম আমি স্কুলে গিয়াছিলাম</t>
  </si>
  <si>
    <t>ভদ্ৰলোক দরজার আড়াল থেকে বের হয়ে এলেন</t>
  </si>
  <si>
    <t>আমি আমি তোমাকে অনেক ভালবাসি</t>
  </si>
  <si>
    <t>আপনার ক্ষমতার উপর আস্থা রাখুন নির্দেশিকা চাইতে ইচ্ছুক হন</t>
  </si>
  <si>
    <t>তিনি দারুণ মেধা সম্পন্ন ছিলেন</t>
  </si>
  <si>
    <t>এখন কিছুই ভাবা যাবে না</t>
  </si>
  <si>
    <t>সুজন তোমার মাতাকে ডাকিয়াছিল</t>
  </si>
  <si>
    <t>বাড়ি যাও বউ ভাত পোড়া লাগবে</t>
  </si>
  <si>
    <t>তাহা কল্পনা করিতে লাগিলাম</t>
  </si>
  <si>
    <t>চাষ করে মোট বহে সর্ব্বত্র সঙ্গে যায়</t>
  </si>
  <si>
    <t>কালেজে আমার রাত্রের কাজ পড়িয়াছে</t>
  </si>
  <si>
    <t>একটি বাড়িতে একটি ডাউন পেমেন্ট জন্য সঞ্চয় অনেক মানুষের জন্য একটি সাধারণ আর্থিক লক্ষ্য</t>
  </si>
  <si>
    <t>সেদিন সে তার জীবনের শেষ অধ্যায়টি সমাপ্ত করেছিল</t>
  </si>
  <si>
    <t>শাহেদের ইচ্ছা করছে তার ভাইয়ের গায়ে হাত দিয়ে জ্বর দেখতে</t>
  </si>
  <si>
    <t>আমি সুমনকে ভাত খেতে বলেছিলাম</t>
  </si>
  <si>
    <t>এই ছুটিতে আমি ঘুরতে যাওয়ার জন্য মাকে অনুরোধ করেছিলাম</t>
  </si>
  <si>
    <t>তাহাদের কাহারো কিছুই জানা ছিল না</t>
  </si>
  <si>
    <t>সকলকে করে কি না তাহা বলিতে পারি না</t>
  </si>
  <si>
    <t>সংবাদ দিবার প্রয়োজন হয় নাই বলিয়াই দাও নাই</t>
  </si>
  <si>
    <t>মেয়ের জন্য পাত্ৰ দেখিতে হারু বাজিতপুরে গিয়াছিল এটা শশী জানিত</t>
  </si>
  <si>
    <t>সাংবাদিক একটি আসন্ন সংবাদ নিবন্ধের জন্য উত্স সাক্ষাৎকার</t>
  </si>
  <si>
    <t>এই রোগের কারণেই তিনি সালের মার্চ তারিখে মৃত্যুবরণ করেন</t>
  </si>
  <si>
    <t>কঠোর স্বরে সে আমাকে একটি প্রশ্ন করেছিল আমি উত্তর দিতে ব্যর্থ হয়েছিলাম</t>
  </si>
  <si>
    <t>কাজিনরা অন্তর্নিহিত বন্ধুর মতো</t>
  </si>
  <si>
    <t>আপনার গল্প এখানে শেয়ার করুন</t>
  </si>
  <si>
    <t>তাল পাহাড়ে ঠেকা অনেকের নিকট রহস্যের কথা</t>
  </si>
  <si>
    <t>মাস্টার প্রতিদিন তাহাকে অত্যন্ত মারধোর অপমান করিতে আরম্ভ করিলেন</t>
  </si>
  <si>
    <t>আমার বাগানে আমি একটা নতুন গোলাপ ফুলের গাছ লাগাইয়াছি</t>
  </si>
  <si>
    <t>সেই নিরাবৃত বক্ষে পুতির সাতনরী তাহাতে ক্ষুদ্র ক্ষুদ্র আরসী ঝুলিতেছে</t>
  </si>
  <si>
    <t>আমি রাজুকে খেলিতে বলিয়াছিলাম</t>
  </si>
  <si>
    <t>অ্যাডভেঞ্চার ভাগ করা অভিজ্ঞতার মাধ্যমে সম্পর্ককে শক্তিশালী করতে পারে</t>
  </si>
  <si>
    <t>আমার অ্যাকাউন্ট থেকে লেনদেনের পরিমাণ কেটে নেওয়া হয়েছে</t>
  </si>
  <si>
    <t>বাটারি পপকর্ন সিনেমার রাতকে উন্নত করে</t>
  </si>
  <si>
    <t>গ্রন্থটি প্রকাশ করেন চতুর্দশ খ্রিস্টাব্দে</t>
  </si>
  <si>
    <t>ধূমাবতী প্রলয়ের প্রতীক</t>
  </si>
  <si>
    <t>আমাদের গৃহটি ভাঙ্গিয়া যাইতে লাগিল</t>
  </si>
  <si>
    <t>হাস্য উপহাস্য শেষ হইলে নৃত্যের উদ্যোগ আরম্ভ হইল</t>
  </si>
  <si>
    <t>সে বলিয়া চলিল এই অনুপস্থিতিতে কে কিরূপ নিন্দা করিয়াছিল</t>
  </si>
  <si>
    <t>তার জন্য সর্বদাই তাঁর চোখে যেন জল ছল্ল্ করিত</t>
  </si>
  <si>
    <t>একা একা বসিয়া সে অসম্ভব সব কল্পনা করিতেছিল</t>
  </si>
  <si>
    <t>কাঠের কারুশিল্প আমাকে সৃজনশীলভাবে পরিপূর্ণ করে</t>
  </si>
  <si>
    <t>রুমি আমাকে বই পড়তে বলল</t>
  </si>
  <si>
    <t>হঠাৎ করেই শত্রুর মর্টারের একটি গোলা এসে লাগে তাঁর ডান কাঁধে</t>
  </si>
  <si>
    <t>অ্যাডভেঞ্চার উত্সাহীরা প্রায়শই জয়ের জন্য নতুন চ্যালেঞ্জগুলি সন্ধান করে</t>
  </si>
  <si>
    <t>সে আমাকে একটি সুন্দর পাখি দেখিয়েছিল</t>
  </si>
  <si>
    <t>রামসুন্দর স্থির করিলেন যেমন করিয়া হউক টাকাটা শোধ করিয়া দিতে হইবে</t>
  </si>
  <si>
    <t>শুধু মত বিশ্বাসের কথা হইত হরিমোহন আপত্তি করিতেন না</t>
  </si>
  <si>
    <t>তাহাই বলিতেছিলাম বিহঙ্গচ্ছন্দে বিহঙ্গের উক্তি বড় সুন্দর হইয়াছিল</t>
  </si>
  <si>
    <t>আমার গল্পে কাহার পুঁজি বাড়িবে না কেন না আমার নিজের পুঁজি নাই</t>
  </si>
  <si>
    <t>অপরিচিত শহরে সে কোথায় গিয়ে থাকিবে এই নিয়ে সে চিন্তামগ্ন ছিলো</t>
  </si>
  <si>
    <t>দক্ষিণ এশীয়দের কাছে জনপ্রিয় একটি নাস্তা</t>
  </si>
  <si>
    <t>পৃথিবীতে অন্যায় দেখে আমার রাগে ভরে যায়</t>
  </si>
  <si>
    <t>খাদ্য নিরাপত্তা একটি বিশ্বব্যাপী উদ্বেগ যা টেকসই কৃষি অনুশীলনের মাধ্যমে সমাধান করা হয়</t>
  </si>
  <si>
    <t>ছেলেবেলা থেকেই শিল্পকলার প্রতি তাঁর গভীর আগ্রহ ছিল</t>
  </si>
  <si>
    <t>ঝিকিমিকি অরোরার নীচে ক্যাম্পিং করে তারা অনুভব করেছিল যে মরুভূমির জাদু তাদের আচ্ছন্ন করে রেখেছে</t>
  </si>
  <si>
    <t>সজীব স্কুল হইতে ফিরে নাই</t>
  </si>
  <si>
    <t>সেই মুহূর্ত্তে তাহাকে ইহার বিশেষ প্রতিফল পাইতে হইত</t>
  </si>
  <si>
    <t>আমি তোমার কথা রানাকে বলিয়াছি</t>
  </si>
  <si>
    <t>এখানে সেখানে দুই একটি মধু বা মৌয়াবৃক্ষ ভিন্ন সে প্রান্তরে গুল্ম কি লতা কিছুই নাই</t>
  </si>
  <si>
    <t>সে আমার কথা ভুলে গিয়াছিল</t>
  </si>
  <si>
    <t>পারিবারিক ভ্রমণ সর্বদা হাসি ভালবাসায় পূর্ণ হয়</t>
  </si>
  <si>
    <t>তাঁর পছন্দের বিভাগ হল মিটার</t>
  </si>
  <si>
    <t>সমালোচনা গ্রহণ করা আমাকে নিরাপত্তাহীন বোধ করতে পারে</t>
  </si>
  <si>
    <t>এই মুভিটি আমাকে পুরো সময় আমার আসনের প্রান্তে রেখেছিল</t>
  </si>
  <si>
    <t>অনুসন্ধানী সাংবাদিকতা ক্ষমতায় থাকা ব্যক্তিদের জবাবদিহি করতে গুরুত্বপূর্ণ ভূমিকা পালন করে</t>
  </si>
  <si>
    <t>সে একটা আর্তচিৎকার দিয়ে রাস্তার মাঝখানে বসিয়া পড়িল</t>
  </si>
  <si>
    <t>ইহা করা ঠিক হইতেছে না</t>
  </si>
  <si>
    <t>শুধু ভাবিলে হইবে না করিতে হইবে কাজ</t>
  </si>
  <si>
    <t>সুমন ভাত খাইতে চাইয়াছিল</t>
  </si>
  <si>
    <t>সুতরাং এখনকার মত বেগে পথ চলা বাঙ্গালীর মধ্যে বড় ফেসন হয় নাই—আসিতে আসিতে পশ্চাতে একটা অল্প টক টক শব্দ শুনিতে পাইলাম</t>
  </si>
  <si>
    <t>নার্স হাসপাতালে রোগীদের সহানুভূতিশীল যত্ন প্রদান করেন</t>
  </si>
  <si>
    <t>বনসাই চাষ একটি শান্ত শখ</t>
  </si>
  <si>
    <t>কৃষি শিক্ষা কৃষক গবেষক নীতিনির্ধারকদের ভবিষ্যত প্রজন্মকে প্রশিক্ষণ দেয়</t>
  </si>
  <si>
    <t>বইমেলা থেকে সে তার পছন্দের বইটি সংগ্রহ করতে পেরেছে</t>
  </si>
  <si>
    <t>পাখির কিচিরমিচির তাদের গানে সুরে বাতাস ভরে ওঠে বন</t>
  </si>
  <si>
    <t>সে তাহার ভবিষ্যৎ নিয়ে সর্বদা চিন্তিত হইয়া থাকে</t>
  </si>
  <si>
    <t>বিনি পয়সার চিকিৎসায় বুঝি ভাল শেখার দরকার নেই</t>
  </si>
  <si>
    <t>তাহার স্বামীর মৃত্যু হইয়াছে একবারও দাদার সাক্ষাৎ পায় নাই</t>
  </si>
  <si>
    <t>গুলি কি তরবার তাহার অঙ্গে প্রবিষ্ট হইবে এ কথা তাহাদের মনে আইসে না</t>
  </si>
  <si>
    <t>গ্রামের লোক ভয় করিতে ভালবাসে</t>
  </si>
  <si>
    <t>তুমি আমার জন্য খুব গুরুত্বপূর্ণ হয়ে থাকবে</t>
  </si>
  <si>
    <t>ভাড়া সম্পত্তি বিনিয়োগ নিষ্ক্রিয় আয় একটি স্থির প্রবাহ প্রদান করতে পারেন</t>
  </si>
  <si>
    <t>পরবর্তীতে সদস্য সংখ্যা বৃদ্ধি করে করা হয়</t>
  </si>
  <si>
    <t>ব্যাতিহার বহুব্রীহি লাঠালাঠি লাঠিতে লাঠিতে লড়াই</t>
  </si>
  <si>
    <t>আরো বিষয়বস্তু অন্বেষণ করতে ক্লিক করুন</t>
  </si>
  <si>
    <t>এই পরগণায় পর্ব্বতে স্থানে স্থানে অসুরেরা বাস করে আমি তাহাদের দেখি নাই</t>
  </si>
  <si>
    <t>কল্পনা করিয়া সে ব্যাকুল হইয়া উঠিতেছিল</t>
  </si>
  <si>
    <t>বেড়াইতে বেড়াইতে সন্ধ্যা হইয়া আসিল</t>
  </si>
  <si>
    <t>পরক্ষণেই ডেকের উপরে খালাসীরা ব্যস্ত হইয়া যাতায়াত করিতে লাগিল</t>
  </si>
  <si>
    <t>কিরণময়ী মৃদু মৃদু হাসিতে লাগিল</t>
  </si>
  <si>
    <t>খোলা আকাশের নিচে কিছুক্ষণ বসে থাকলে তার মনের দুঃখগুলো দূর হয়ে যায়</t>
  </si>
  <si>
    <t>সবুজ আমাকে অনেক বলেছিল এটা</t>
  </si>
  <si>
    <t>আইটি বিশেষজ্ঞ অফিসের কম্পিউটারগুলির প্রযুক্তিগত সমস্যাগুলির সমাধান করেছেন৷</t>
  </si>
  <si>
    <t>ভালো থাকার জন্য আল্লাহর রহমত প্রয়োজন মানুষের সঙ্গ নয়</t>
  </si>
  <si>
    <t>চ্যালেঞ্জিং ক্রসওয়ার্ডগুলি সমাধান করা আমাকে বিনোদন দেয়</t>
  </si>
  <si>
    <t>নদীর ওপার বসি দীর্ঘশ্বাস ছাড়ে কহে যাহা কিছু সুখ সকলি ওপারে</t>
  </si>
  <si>
    <t>তাই বলিয়া বিনা দোষে রহমতকে আমাদের বাড়িতে আসিতে নিষেধ করিতে পারিলাম না</t>
  </si>
  <si>
    <t>রুমি তাহার মাথার সঙ্গে স্কুলে যাইবে</t>
  </si>
  <si>
    <t>একদা মরণ সমুদ্রের বেলা ভূমিতে দড়াইয়া কোন এক আরবীয় সাধক বলিয়াছিলেন</t>
  </si>
  <si>
    <t>আমি তাহার অপেক্ষাই রাস্তায় দাঁড়াইয়া ছিলাম</t>
  </si>
  <si>
    <t>রহিম মাঠে আসবে খেলতে</t>
  </si>
  <si>
    <t>উদ্ভাবন কেন্দ্রগুলি সৃজনশীল চিন্তাভাবনা পরীক্ষাকে উৎসাহিত করে</t>
  </si>
  <si>
    <t>আমি তাকে কাজটি করতে নিষেধ করেছিলাম</t>
  </si>
  <si>
    <t>বন্ধুদের সাথে হাসি ভাগাভাগি করে আনন্দ নিয়ে আসে</t>
  </si>
  <si>
    <t>বাংলাদেশের নাটক অনেক মান সম্মত</t>
  </si>
  <si>
    <t>এই সুখখানাও বদরুলের কপালে সহিল না</t>
  </si>
  <si>
    <t>শশী খানিক পরে বিদায় নেয়</t>
  </si>
  <si>
    <t>সুমন আমাদের কথা শুনিতে পারিয়াছিল</t>
  </si>
  <si>
    <t>অনেক আদিম জাতির লোপ হইয়া গিয়াছে অদ্যাপি হইতেছে</t>
  </si>
  <si>
    <t>আমি তাহাকে একটি অপ্রত্যাশিত উপহার দিয়াছিলাম</t>
  </si>
  <si>
    <t>আমাদের রামেশ্বরামে সকল সম্প্রদায়ের মানুষের মধ্যে শান্তি বিরাজমান ছিল</t>
  </si>
  <si>
    <t>ভিড়ের মধ্যে অদৃশ্য বোধ করা বিচ্ছিন্নতার দিকে পরিচালিত করে</t>
  </si>
  <si>
    <t>ফ্লিপ করা ক্লাসরুম মডেল সক্রিয় ছাত্র অংশগ্রহণ উত্সাহিত করে</t>
  </si>
  <si>
    <t>যতবারই তার কথা মনে করেছি ততবারই থমকে গিয়েছি</t>
  </si>
  <si>
    <t>আমি অত্যন্ত একটি নির্ভরযোগ্য সমাধান প্রয়োজনে যে কেউকে এই পণ্য সুপারিশ করবো</t>
  </si>
  <si>
    <t>মানুষের ভিতরকার দীপ্যমান সত্যপুরুষটি স্থূলতা ভেদ করিয়া যখন দেখা দেয় তখন অকারণে কেহ বা তাহাকে প্রাণপণে পূজা কর</t>
  </si>
  <si>
    <t>কোলে তুলে নিলেই শান্ত</t>
  </si>
  <si>
    <t>সবেমাত্র তিন হাজার টাকার নোট দেখিয়া রায়বাহাদুর অট্টহাস্য করিয়া উঠিলেন</t>
  </si>
  <si>
    <t>মহাজন যে অন্যায় করিবে ইহা তাহার বুদ্ধিতে আইসে না</t>
  </si>
  <si>
    <t>রতনের মনে কোনো তত্ত্বের উদয় হইল না</t>
  </si>
  <si>
    <t>অগ্রগতির দিকে মনোনিবেশ করুন পরিপূর্ণতা নয়</t>
  </si>
  <si>
    <t>একটি অ্যাডভেঞ্চারের সময় চ্যালেঞ্জগুলি অতিক্রম করা স্থিতিস্থাপকতা সংকল্প তৈরি করে</t>
  </si>
  <si>
    <t>আমরা বাইরে যাওয়ার আগে আমার গাড়িতে গ্যাস ভরতে হবে</t>
  </si>
  <si>
    <t>বাহাত্তর সালে আমস্টারডামে কাপ্টাইন মৃত্যুবরণ করেন</t>
  </si>
  <si>
    <t>আমি তার বুদ্ধি দেখে মুগ্ধ হয়েছিলাম</t>
  </si>
  <si>
    <t>সন্ধ্যা হইতে বিলম্ব নাই</t>
  </si>
  <si>
    <t>ভদ্রলোকে কি কখন সন্ধ্যার সময় বাসায় থাকে</t>
  </si>
  <si>
    <t>দশ বৎসর পরে তাহার স্মৃতি ভাল লাগিবে</t>
  </si>
  <si>
    <t>প্রয়োজনের অনুরোধে যে পাপ নিজের ঘরে ডাকিয়া আনিয়া বড় করিয়াছে</t>
  </si>
  <si>
    <t>ইচ্ছা ছিল এই উপলক্ষে বাঙ্গালীর কথা কিছু বলি</t>
  </si>
  <si>
    <t>আমিও কিছু না বলে মুখে হাসি নিয়ে আমার দায়িত্ব পালন করছিলাম</t>
  </si>
  <si>
    <t>দূরের বজ্রধ্বনি দিগন্তে ভেসে উঠল আসন্ন ঝড়ের আশ্রয়স্থল</t>
  </si>
  <si>
    <t>তাদের থেকে আমরা ভালো খেলেছিলাম</t>
  </si>
  <si>
    <t>নরম প্রিটজেল স্ন্যাকিংয়ে মোচড় যোগ করে</t>
  </si>
  <si>
    <t>এটা কি তোমার নতুন বই</t>
  </si>
  <si>
    <t>নববধূ জিজ্ঞাসা করিল মা লুচি নেব</t>
  </si>
  <si>
    <t>রান্নাঘরে শশীকে শোনাইয়া কুসুম করে যাত্রার দলের গান টানা গুনগুনানো সুরে অস্পষ্ট ভীরু গলায়</t>
  </si>
  <si>
    <t>আমি তখন তাঁহাদের উপহাস করিতাম</t>
  </si>
  <si>
    <t>শিশুটি কী সুন্দর নিজ মনে বসিয়া খেলিতেছে</t>
  </si>
  <si>
    <t>সানির মাতা আমাকে গৃহে বসিতে বলিয়াছিল</t>
  </si>
  <si>
    <t>অন্যদের থেকে সংযোগ বিচ্ছিন্ন বোধ একাকীত্বের দিকে নিয়ে যায়</t>
  </si>
  <si>
    <t>থেরাপিস্ট অনুরূপ সংগ্রামে আক্রান্ত ব্যক্তিদের জন্য গ্রুপ থেরাপি সেশন পরিচালনা করেন</t>
  </si>
  <si>
    <t>গ্লুকোমা হল চোখের অবস্থার একটি গ্রুপ যা অপটিক স্নায়ুর ক্ষতি করে যার ফলে দৃষ্টিশক্তি নষ্ট হয়</t>
  </si>
  <si>
    <t>এর গঠন অনেকটা স্যান্ডউইচের মতো</t>
  </si>
  <si>
    <t>শাহেদ রোজই বলছে নিয়ে আসব আনছে না</t>
  </si>
  <si>
    <t>মিনি আগ্‌ডুম বাগ্‌ডুম খেলা রাখিয়া জানালার ধারে ছুটিয়া গেল চীৎকার করিয়া ডাকিতে লাগিল কাবুলিওয়ালা কাবুলিওয়ালা</t>
  </si>
  <si>
    <t>এই কারণে স্থানীয় লোকের সহিত তাঁহার মেলামেশা হইয়া উঠে না</t>
  </si>
  <si>
    <t>দাদার সম্বন্ধে রঙবেরঙের নিন্দায় পাড়া ছাইয়া দিলেন</t>
  </si>
  <si>
    <t>বাঁধা দিয়া বিক্রয় করিয়া অনেক চেষ্টাতেও হাজার ছয় সাত বাকি রহিল</t>
  </si>
  <si>
    <t>হেতু ফলাফলবোধ নাই</t>
  </si>
  <si>
    <t>ইউলিসিস তালিকার শীর্ষে স্থান পায়</t>
  </si>
  <si>
    <t>আমার বাবাও খুব ভোরে ঘুম থেকে উঠতেন</t>
  </si>
  <si>
    <t>গোসল শেষে আমাকে আমার গণিত শিক্ষকের কাছে পাঠাতেন</t>
  </si>
  <si>
    <t>কাজ শেষ আমি সোজা বাড়ি চলে আসতাম</t>
  </si>
  <si>
    <t>শিক্ষাগত মান শিক্ষার্থীদের অর্জনের জন্য মানদণ্ড নির্ধারণ করে</t>
  </si>
  <si>
    <t>আজিকার পানের মধ্যেও কেয়া খয়েরের একটু বিশেষ নূতন গন্ধ পাওয়া গেল</t>
  </si>
  <si>
    <t>এক্ষণে এ সকল কথা যাউক অনেকের নিকট ইহা শিবের গীত বোধ হইবে</t>
  </si>
  <si>
    <t>সে পরীক্ষায় ভালো ফলাফল করিয়াছে</t>
  </si>
  <si>
    <t>তার কেন জানি মনে হচ্ছে বন্ধ দরজা আবার খুলে যাবে</t>
  </si>
  <si>
    <t>অধিক কথাবার্তা না হইয়া কাজটা সম্পন্ন হইয়া গেলেই ভালো হয়</t>
  </si>
  <si>
    <t>যাতে করে সেগুলো বিপজ্জনক কিছু ঘটাতে না পারে</t>
  </si>
  <si>
    <t>আরও দেখতে পাবেন সুবিশাল রামনাথস্বোয়ামি মন্দিরের আকাশচুম্বি গপুরাম</t>
  </si>
  <si>
    <t>এই রেস্তোরাঁটি আমার খাওয়া দাওয়ার জায়গাগুলির মধ্যে একটি হয়ে উঠেছে</t>
  </si>
  <si>
    <t>তিনি সালের এপ্রিল টেগেলে মৃত্যুবরণ করেন</t>
  </si>
  <si>
    <t>আমরা ফুটবল খেলতে মাঠে গিয়েছিলাম</t>
  </si>
  <si>
    <t>আমি হাসিয়া সম্মত হইলাম</t>
  </si>
  <si>
    <t>তাহার যুগ্ম ভ্রূ দেখিয়া আমার মনে হইল যেন অতি ঊর্দ্ধে নীল আকাশে কোনো বৃহৎ পক্ষী</t>
  </si>
  <si>
    <t>নিজের কথায় নিজেরই চোখদুটি তাহার সজল হইয়া উঠিলরাস্তাটি চওড়া মন্দ নয় কাঁচা</t>
  </si>
  <si>
    <t>পথে আসিতে আসিতে মনে হইল এখানে কেহ ডারউইন সাহেবের ছাত্র থাকিতেন</t>
  </si>
  <si>
    <t>বিদ্যুদ্বেগে উঠিয়া দাঁড়াইল—কেন পারবেন না</t>
  </si>
  <si>
    <t>আমি বর্তমানে আমার বন্ধুদের সাথে কিছু সময় কাটানোর সুযোগ পাচ্ছি</t>
  </si>
  <si>
    <t>মাঝে মাঝে নিজেকে অনেক একা মনে হয় আমি একা নই。</t>
  </si>
  <si>
    <t>আপনি শুক্রবার পছন্দ করেন রিটুইট করুন</t>
  </si>
  <si>
    <t>অপরিচিতদের প্রতি সদয় আচরণ দেখা আশা নিয়ে আসে</t>
  </si>
  <si>
    <t>স্যাঁতসেঁতে মাটির মাটির ঘ্রাণ বন্য ফুলের মিষ্টি সুগন্ধের সাথে মিশেছে একটি সুগন্ধি তৈরি করেছে যা বাতাসকে পূর্ণ করেছে</t>
  </si>
  <si>
    <t>এখন তাহা জুটে না সেই জন্য তাহার স্মৃতিই সুখদ</t>
  </si>
  <si>
    <t>সে আঘাত খাইয়া চলিয়া গিয়াছে ফিরিয়া আসিয়া</t>
  </si>
  <si>
    <t>ভাঁজ খুলিয়া মহেন্দ্র চিঠি পড়িল</t>
  </si>
  <si>
    <t>মামি অধরের দুই প্রান্তে বিরক্তির রেখা অঙ্কিত করিয়া বলিলেন বেশ করেছ আমি তোমাকে মাসের মধ্যে পাঁচবার করে বই কিনে দিতে পারি নে</t>
  </si>
  <si>
    <t>ক্রমাগত শিক্ষা পেশাদার বৃদ্ধি বিকাশকে উৎসাহিত করে</t>
  </si>
  <si>
    <t>পারিবারিক ঐতিহ্য ছুটিকে বিশেষ করে তোলে</t>
  </si>
  <si>
    <t>ফ্লোরিনের একটি উৎকৃষ্ট আকর হচ্ছে ফ্লোরাইট</t>
  </si>
  <si>
    <t>তার রকমারি পোশাকের বাহার দেখে সে অবাক হয়ে গিয়েছিল</t>
  </si>
  <si>
    <t>মে সিপাহিরা দিল্লি অধিকার করে বহু ইংরেজকে হত্যা বিতাড়ন করেন</t>
  </si>
  <si>
    <t>মৌরিনামক আদিম জাতি বলিষ্ঠ বুদ্ধিমান্‌ কর্ম্মঠ বলিয়া পরিচিত</t>
  </si>
  <si>
    <t>জাতিলোপ মধ্যে মধ্যে হইয়া থাকে</t>
  </si>
  <si>
    <t>তাহাদের সঙ্গে খেলা নিইয়াছিল</t>
  </si>
  <si>
    <t>পথে এক যুবকের সহিত তাহার সাক্ষাৎ হইল</t>
  </si>
  <si>
    <t>শুভ আমাকে তাহার নিকটে যাইতে বলিলো</t>
  </si>
  <si>
    <t>একটি ডিজিটাল ওয়ালেট ব্যবহার করে লেনদেন প্রক্রিয়া করা হয়েছিল</t>
  </si>
  <si>
    <t>আপনার মানসিক সুস্থতা সমর্থন করার জন্য আপনার শারীরিক স্বাস্থ্যের যত্ন নিন</t>
  </si>
  <si>
    <t>আমি শিপিং প্রক্রিয়ার গতি দক্ষতা দ্বারা প্রভাবিত হয়েছিলাম</t>
  </si>
  <si>
    <t>একটি মৃদু স্রোত পাথরের মধ্য দিয়ে প্রবাহিত হয় তার বজ্রপাত জল একটি প্রশান্তিময় লুলাবি</t>
  </si>
  <si>
    <t>আমার কালো রঙ একদমই পছন্দ না</t>
  </si>
  <si>
    <t>প্রধান জাতির সংস্পর্শে আসিলে সামান্য জাতিরা কতকটা উদ্যমভঙ্গ অবসন্ন হইয়া পড়ে</t>
  </si>
  <si>
    <t>এরূপ কথা আমার সর্ব্বদা মনে হইত</t>
  </si>
  <si>
    <t>অবশেষে একদিন সে তাহার বাবার খোঁজ পাইয়াছিল</t>
  </si>
  <si>
    <t>তাহাদের নিকট একবার কর্জ্জ করিলে উদ্ধার নাই</t>
  </si>
  <si>
    <t>বাহির হইয়া সে তাহা দেখিতে পাইল না</t>
  </si>
  <si>
    <t>আমি ছাড়া আমার শিক্ষকের আরও চারজন ছাত্র ছিল</t>
  </si>
  <si>
    <t>কিশোর অপরাধের সাথে অপ্রাপ্তবয়স্করা বেআইনি আচরণে জড়িত</t>
  </si>
  <si>
    <t>প্রতিদ্বন্দ্বী অভিযাত্রীদের বিরুদ্ধে রেসিং তারাই প্রথম হতে চেয়েছিল যে বিপুল মূল্যের প্রাচীন নিদর্শনগুলি আবিষ্কার করেছিল৷</t>
  </si>
  <si>
    <t>ট্রাফলের একটি স্পর্শ থালা বাসন উন্নত করে</t>
  </si>
  <si>
    <t>গত পনেরো বছর ধরেই তিনি এই কাজ করছেন</t>
  </si>
  <si>
    <t>আমি তাহার মুখের প্রতি চাহিয়া ভাবিতেছি কতক্ষণে কলিকা আলবোলায় বসাইয়া দিবে</t>
  </si>
  <si>
    <t>একজন আসিয়া ভয়ে ভয়ে তাহাকে একটু আধটু ঠেলিল কিন্ত সে তাহাতে কিছুমাত্র বিচলিত হইল না</t>
  </si>
  <si>
    <t>নিজে সেই অবস্থায় পড়িলে কী যন্ত্রণা পাইতাম</t>
  </si>
  <si>
    <t>এক্ষণে সে সকল কথা যাক্‌</t>
  </si>
  <si>
    <t>শশী বাহিরে গিয়া একটু বসে</t>
  </si>
  <si>
    <t>ডেন্টাল হাইজিনিস্ট রোগীদের রুটিন পরিচ্ছন্নতা পরীক্ষা করেন</t>
  </si>
  <si>
    <t>সে অন্যমনস্কভাবে রাস্তা দিয়ে হেঁটে যাচ্ছিল</t>
  </si>
  <si>
    <t>শুভ আমাকে তার কাছে যেতে বলল</t>
  </si>
  <si>
    <t>আমার বাবা মা সবসময় আমাকে বিশ্বাস করেছেন</t>
  </si>
  <si>
    <t>সম্ভাব্য দায়বদ্ধতার বিরুদ্ধে আইনি সম্মতি সুরক্ষা</t>
  </si>
  <si>
    <t>বিপিনের মত অনাচারী মদ্যপকে সে মনে মনে ভালবাসিয়াছিল এ কথা বিশ্বাস করিব কি করিয়া</t>
  </si>
  <si>
    <t>আমার মাথা গৃহে কাজ করিতেছে</t>
  </si>
  <si>
    <t>তোমার কী শরীর আজ ভালো নাই</t>
  </si>
  <si>
    <t>সন্ধ্যার সময় শশী তাহাকে দেখিতে গেল</t>
  </si>
  <si>
    <t>কুমারীরা গালি আরম্ভ করিলে কুমারেরা আনন্দে মাতিয়া উঠে</t>
  </si>
  <si>
    <t>ছানি চোখের লেন্স মেঘলা সৃষ্টি করে দৃষ্টি প্রভাবিত করে</t>
  </si>
  <si>
    <t>সালে এই পুরস্কারটি দেওয়া শুরু হয়</t>
  </si>
  <si>
    <t>ইরতাজউদ্দিন বিরক্তমুখে হাঁসের গলা চেপে ধরে বসে আছেন</t>
  </si>
  <si>
    <t>আমি আশা করি আগামীতে নতুন সুযোগ আমার পথে পড়বে</t>
  </si>
  <si>
    <t>আমি তাকে বাজারে যাওয়ার জন্য বলেছিলাম সে যায়নি。</t>
  </si>
  <si>
    <t>আমি মন্দাক্রান্তাচ্ছন্দের একটিমাত্র শ্লোক জানিতাম</t>
  </si>
  <si>
    <t>রনি আমার কথা শুনিয়া ছিল না</t>
  </si>
  <si>
    <t>আমাকে উত্তর দক্ষিণ পূর্ব পশ্চিম সব দিকেই যাইতে হয়</t>
  </si>
  <si>
    <t>ছন্দ কি গীত শিখাইলে অনেক পক্ষী তাহা শিখিতে পারে</t>
  </si>
  <si>
    <t>আমি এইখানেই আছি বাবু আমার মাদুরটা দোর গোড়াতেই পেতেছি</t>
  </si>
  <si>
    <t>সুজনের ভাই আমার কাছে এসেছিল</t>
  </si>
  <si>
    <t>এটি রুচিকর মনে হচ্ছে</t>
  </si>
  <si>
    <t>আমি তাকে তার কাজে সাহায্য করার চেষ্টা করেছিলাম</t>
  </si>
  <si>
    <t>জঙ্গ অর্থ যুদ্ধ পুর অর্থ নগর বা শহর</t>
  </si>
  <si>
    <t>তিনিই প্রথম আমেরিকান যিনি বিজ্ঞানে নোবেল পুরস্কার লাভ করেন</t>
  </si>
  <si>
    <t>শ্রেণীকক্ষে শিক্ষক আমাদের সাথে গল্প করছিলেন</t>
  </si>
  <si>
    <t>হাসিমুখে বলিল আমার খবর দেবার দরকার নেই—তিনিই আমাকে খবর দিতে বাইরে পাঠিয়েছেন</t>
  </si>
  <si>
    <t>তাহাকে অপরিসীম লজ্জায় একেবারে অভিভূত করিয়া ফেলিল</t>
  </si>
  <si>
    <t>তাহাদের হইতে আমরা ভালো কাজ করিয়াছি</t>
  </si>
  <si>
    <t>নদীর পাশে একটি সুন্দর ফুল গাছ হইয়াছে</t>
  </si>
  <si>
    <t>শিক্ষা ব্যক্তিগত বিকাশের মাধ্যমে নিজের মধ্যে বিনিয়োগ করলে আরও আর্থিক সাফল্য হতে পারে</t>
  </si>
  <si>
    <t>তারপরেও তাকে বাস করতে হবে মানুষের সঙ্গে</t>
  </si>
  <si>
    <t>মৃত্যু মৃত্যু বলতে জীবনের সমাপ্তি বুঝায়</t>
  </si>
  <si>
    <t>চীনের দুঃখ হুয়াংহো নদী অর্থাৎ পীতনদীকে চীনের দু খ বলা হত</t>
  </si>
  <si>
    <t>নিজের সেই অল্প বয়স</t>
  </si>
  <si>
    <t>তাাহারে আমার খুব ভাল লাগে</t>
  </si>
  <si>
    <t>রনি আজ স্কুলে যাইবে না</t>
  </si>
  <si>
    <t>আমি তাহাকে বিরক্ত না করিয়া ঘর থেকে বাইরে চলিয়া আসিলাম</t>
  </si>
  <si>
    <t>লতা আহ্লাদে তাহা গোপন করিতে পারে নাই যেন কাহারে দেখাইবার জন্য ডালটি বাড়াইয়া দিয়াছিল</t>
  </si>
  <si>
    <t>তারপরের ইতিহাস খুবই করুণ বেদনাদায়ক</t>
  </si>
  <si>
    <t>আমি বলেছিলামঃ তোমরা লাঞ্ছিত বানর হয়ে যাও</t>
  </si>
  <si>
    <t>প্রাচুর্যের দিকে আপনার দৃষ্টিভঙ্গি পরিবর্তন করতে প্রতিদিন কৃতজ্ঞতা অনুশীলন করুন</t>
  </si>
  <si>
    <t>আপনার মূল্যবোধের প্রতি সত্য থাকুন এমনকি যখন এটি চ্যালেঞ্জিং হয়</t>
  </si>
  <si>
    <t>সাথে রেড ক্রশ এ উদ্ধার তৎপরতায় গুরুত্বপূর্ণ ভূমিকা পালন করেছে</t>
  </si>
  <si>
    <t>যৌবনে যখন পৃথিবী সুন্দর ছিল যখন প্রতি পুষ্পে পুষ্পে সুগন্ধ পাইতাম</t>
  </si>
  <si>
    <t>ছেঁড়া বিছানায় একটা লোক মর মর হইয়া পড়িয়া আছে</t>
  </si>
  <si>
    <t>এই দুর্ঘটনায় অন্তঃপুরে একটা কান্না পড়িয়া গেল</t>
  </si>
  <si>
    <t>তখন দাঁড়াইয়া দাঁড়াইয়া কত কি ভাবিয়া চলিয়া যাইবে মনে করিয়া হাতব্যাগটা তুলিয়া লইয়া মুখ তুলিয়াই দেখিল</t>
  </si>
  <si>
    <t>আজ সমস্ত দিন ধরিয়া সে অভ্যাসমত কথা বলিতে পায় নাই</t>
  </si>
  <si>
    <t>সবারই একই অসুখ–হাত পা ঠাণ্ড হয়ে শরীরে খিচুনি</t>
  </si>
  <si>
    <t>কে জানত ঢাকা শহরে ফায়ুন মাসের শুরুতে শীত থাকে না</t>
  </si>
  <si>
    <t>সে নতুন কিছু আবিষ্কার করতে চায়</t>
  </si>
  <si>
    <t>রনি নতুন পোশাক কিনতে যাবে</t>
  </si>
  <si>
    <t>এই জ্বীন আদিতে সৃষ্টিকর্তার অনুগত ছিল</t>
  </si>
  <si>
    <t>তথায় কতকগুলি কোলবালক একত্র মহিষ চরাইতেছিল সেরূপ কৃষ্ণবর্ণ কান্তি কখন দেখি নাই</t>
  </si>
  <si>
    <t>তাঁহার সাথে চলিতে চলিতে কথো হইতেছিল</t>
  </si>
  <si>
    <t>তার চোখ যারা দেখে নাই তারা বুঝিবে না এই দৃষ্টি যে কী</t>
  </si>
  <si>
    <t>আমি তাহাকে কাজটি করিতে নিষেধ করিয়াছিলাম</t>
  </si>
  <si>
    <t>তিনি সেলুনের প্রায় সকল অস্ত্র শস্ত্র নিয়াই আমার চুল নিধনে নামিলেন</t>
  </si>
  <si>
    <t>নিউজ ওয়েবসাইটগুলি সারা বিশ্ব থেকে উন্নয়নশীল গল্পের রিয়েল টাইম আপডেট অফার করে</t>
  </si>
  <si>
    <t>সুস্থ গণতন্ত্র সচেতন নাগরিকের জন্য সংবাদপত্রের স্বাধীনতা অপরিহার্য</t>
  </si>
  <si>
    <t>কৃষি সম্প্রসারণ কর্মসূচি কৃষকদের সর্বোত্তম অনুশীলন বা নতুন প্রযুক্তি সম্পর্কে জ্ঞান প্রদান করে</t>
  </si>
  <si>
    <t>জঙ্গল জীবন্ত ছিল প্রাণীদের আড্ডায় প্রতিটি প্রজাতি প্রকৃতির সিম্ফনিতে তাদের নিজস্ব স্বতন্ত্র কণ্ঠস্বর যুক্ত করেছিল</t>
  </si>
  <si>
    <t>ফার্সি জারি শব্দের অর্থ শোক</t>
  </si>
  <si>
    <t>মতে অনৈক্য হলে আমরা যেখানে ভদ্রতার দোহাই পাড়ি</t>
  </si>
  <si>
    <t>আমরা ফুটবল খেলিতে মাঠে গিয়াছিলাম</t>
  </si>
  <si>
    <t>গড়গড় করিয়া মুখস্থ বুলির মতো একরাশ তোষামোদের কথা কুসুম বলিয়া যায় শুনিতে মন্দ লাগে না শশীর</t>
  </si>
  <si>
    <t>সে রাতের অন্ধকারে একা বাড়ি ফিরিতে ভয় পাইলো</t>
  </si>
  <si>
    <t>সুমন অদ্য আমাকে যাইতে বলিয়াছিল</t>
  </si>
  <si>
    <t>এ নিয়ে আপনাকে মাথা ঘামাতে হবে না</t>
  </si>
  <si>
    <t>এমন কাউকে ট্যাগ করুন যে আপনাকে অনুপ্রাণিত করে</t>
  </si>
  <si>
    <t>শুদ্ধ বাংলা বলতে পারো না ঠিকিই ইংরেজি নিয়ে লাফালাফি</t>
  </si>
  <si>
    <t>অনবরত গল্প করা তার রোগ ছিল</t>
  </si>
  <si>
    <t>সামগ্রিক সুস্থতার জন্য সক্রিয় থাকুন</t>
  </si>
  <si>
    <t>প্রথমটা শশী একটু উদভ্ৰান্ত হইয়া গেল</t>
  </si>
  <si>
    <t>বাবা আমাকে এই কলমটি কিনিয়া দিয়াছিল</t>
  </si>
  <si>
    <t>কৃষ্ণচন্দ্র কর্ম্মকার কৃত পাহাড় দেখিয়াছেন যাঁহাদের গৃহপার্শ্বে শৃগালশ্রান্তিসংবাহক ভাটভেরাণ্ডার জঙ্গল আছে</t>
  </si>
  <si>
    <t>আমার মেসের ছেলেরা বুঝিয়াছিল আমি শচীশকে মনে মনে ভক্তি করি</t>
  </si>
  <si>
    <t>ফুটবল খেলিবার ইচ্ছা থাকলে আসো</t>
  </si>
  <si>
    <t>এটা আমার ভালো লেগেছিল</t>
  </si>
  <si>
    <t>ফিটনেসের উপর ভিত্তি করে তীব্রতা সামঞ্জস্য করুন</t>
  </si>
  <si>
    <t>বৃষ্টির সময় আমি গাড়ি থেকে নেমে বারান্দায় দাঁড়িয়েছিলাম</t>
  </si>
  <si>
    <t>আমি ভাত খেয়ে নামাজে যাবো</t>
  </si>
  <si>
    <t>আমি তার অপেক্ষাই রাস্তায় দাঁড়িয়ে ছিলাম</t>
  </si>
  <si>
    <t>আমি তার অপেক্ষাই রাস্তায় দাঁড়াইয়া ছিলাম</t>
  </si>
  <si>
    <t>বিনোদিনীর কথা আমি মাঝে মাঝে ভাবি</t>
  </si>
  <si>
    <t>এইজন্য আমার সঙ্গে তাহার কথোপকথনটা কিছু উৎসাহের সহিত চলে</t>
  </si>
  <si>
    <t>শ্রেণিকক্ষে ছাত্ররা অনেক্ষন ধরিয়া কোলাহল করিতেছিল</t>
  </si>
  <si>
    <t>আমার তখন স্পষ্ট বোধ হইতে লাগিল যেন সুর কখন পাহাড়ের মূল পর্য্যন্ত কখন বা পাহাড়ের বক্ষ পর্য্যন্ত গিয়া ঠেকিতেছে</t>
  </si>
  <si>
    <t>রহিম আজ ভোরে বেড়াতে যাবে</t>
  </si>
  <si>
    <t>অ্যাডভেঞ্চার হল একটি রোমাঞ্চকর সাধনা যাতে প্রায়ই ঝুঁকি উত্তেজনা জড়িত থাকে</t>
  </si>
  <si>
    <t>নদীর অগভীর জলে উটটারদের একটি পরিবার খেলা করত তাদের মসৃণ দেহগুলি জলের মধ্য দিয়ে স্বাচ্ছন্দ্যে ঘুরে বেড়াত</t>
  </si>
  <si>
    <t>আমি গাছটির নিচে দাঁড়িয়ে এর ডালপালার দিকে তাকালাম</t>
  </si>
  <si>
    <t>অবশেষে একদিন সে তার বাবার খোঁজ পেয়েছিল</t>
  </si>
  <si>
    <t>ফেলে দিয়ে হারুকে কাদা মাখিও না যেন</t>
  </si>
  <si>
    <t>আমি তার অসুস্থ মাকে দেখার জন্য তাদের বাসায় গিয়েছিলাম。</t>
  </si>
  <si>
    <t>আবার জল ক্রমে আসিয়া জমে</t>
  </si>
  <si>
    <t>আট টাকা দশ টাকা কখন কখন পনর টাকা পর্য্যন্ত ব্যয় হয়</t>
  </si>
  <si>
    <t>অবশেষে বিবাহের দিন উপস্থিত হইল</t>
  </si>
  <si>
    <t>কোরআন পাঠ শেষে আমি তড়িঘড়ি করে রেল স্টেশনে ছুটতাম</t>
  </si>
  <si>
    <t>তার জন্মদিনে আমি তাকে একটি পুতুল কিনে দিয়েছিলাম</t>
  </si>
  <si>
    <t>তীব্র ওয়ার্কআউটের আগে ওয়ার্ম আপ করুন</t>
  </si>
  <si>
    <t>মূল্যায়ন পদ্ধতি বিভিন্ন শিক্ষা শৈলী প্রতিফলিত করা উচিত</t>
  </si>
  <si>
    <t>হাঁপানি শ্বাসনালীতে প্রদাহ সংকীর্ণতা সৃষ্টি করে যার ফলে শ্বাস নিতে কষ্ট হয়</t>
  </si>
  <si>
    <t>সঙ্গে সঙ্গে যুবতীরা তীব্র তানে ধুয়া ধরিল</t>
  </si>
  <si>
    <t>তাঁহাদের নিকট হইতে উপেক্ষা অত্যন্ত দুঃসহ বোধ হয়</t>
  </si>
  <si>
    <t>আমার ইহা করিতে ভালো লাগিয়াছে</t>
  </si>
  <si>
    <t>রতন দ্বারে বসিয়া এই ডাকের জন্য অপেক্ষা করিয়া থাকিত এক ডাকেই ঘরে আসিত না</t>
  </si>
  <si>
    <t>বৈরাগীর এই গিরিগোবর্দ্ধন দেখিয়া বাল্যকালেই পর্ব্বতের অনুভব হইয়াছিল</t>
  </si>
  <si>
    <t>ইরিটেবল বাওয়েল সিনড্রোম আইবিএস হল একটি গ্যাস্ট্রোইনটেস্টাইনাল ব্যাধি যা পেটে ব্যথা অন্ত্রের অভ্যাসের পরিবর্তন দ্বারা চিহ্নিত করা হয়</t>
  </si>
  <si>
    <t>আগামীকাল ক্লাসে গল্পটা কীভাবে বলবে তা ভেবেই তার মাথা গরম হয়ে যাচ্ছে</t>
  </si>
  <si>
    <t>সংবাদপত্রের ওয়েবসাইটের শিরোনামগুলি সর্বশেষ সংবাদ প্রতিফলিত করার জন্য ক্রমাগত আপডেট করা হয়</t>
  </si>
  <si>
    <t>করিম আমাকে স্কুলে যেতে বলেছিল</t>
  </si>
  <si>
    <t>সাফি আমাকে স্কুলে নিয়ে গিয়েছিল</t>
  </si>
  <si>
    <t>দেখিতে কুৎসিত কি রূপবান্‌ তাহা আমি মীমাংসা করিতে পারি না</t>
  </si>
  <si>
    <t>তাহাকে দেখিয়া কাবুলিওয়ালা প্রথমটা থতমত খাইয়া গেল তাহাদের পুরাতন আলাপ জমাইতে পারিল না</t>
  </si>
  <si>
    <t>বিশ্বম্ভরবাবু প্রায় কোলে করিয়া তাহাকে অন্তঃপুরে লইয়া গেলেন</t>
  </si>
  <si>
    <t>সেইটে দেখিতে পারি না বলিয়াই সময় পাইলে দুই এক কথা বলি</t>
  </si>
  <si>
    <t>আমার মাতা শাওনের বাড়ি গিয়াছিল</t>
  </si>
  <si>
    <t>সে আমাকে একটি মিথ্যা বলেছিল</t>
  </si>
  <si>
    <t>কার্যকর প্রতিনিধিদল দলের সদস্যদের ক্ষমতায়ন করে স্বায়ত্তশাসনকে উৎসাহিত করে</t>
  </si>
  <si>
    <t>টেবিলের উপর হতে খবরের কাগজটা হাতে নিয়ে সে বাইরের ঘরে চলে গেলো。</t>
  </si>
  <si>
    <t>ঘুমিয়ে ঘুমিয়ে সে একটি অদ্ভুত স্বপ্ন দেখলো</t>
  </si>
  <si>
    <t>আরবি ফারসি থেকে মুঘল শব্দটি এসেছে</t>
  </si>
  <si>
    <t>যাহার ভাগ্যে কঠিন পাষাণ পাষাণই তাহার অবলম্বন এখন আমি অশ্বত্থটির প্রশংসা করি</t>
  </si>
  <si>
    <t>দৈন্যপীড়িত গৃহের ক্রন্দনধ্বনি কানে লইয়া বৃদ্ধ তাঁহার বেহাইবাড়িতে প্রবেশ করিলেন</t>
  </si>
  <si>
    <t>তুমি কি আমার সঙ্গে যাইবে</t>
  </si>
  <si>
    <t>ফাল্গুন চৈত্র মাসে বাতাসে ধুলা উড়িয়া দুপাশের গাছগুলিকে বিবর্ণ করিয়া দেয়</t>
  </si>
  <si>
    <t>মন্দ ছেলেটি তাঁর মৃত্যুর সময় সাজগোজ করে টিপ পরে ঘুরে বেড়াবে না</t>
  </si>
  <si>
    <t>রানা আজ ভোরে খেলতে গেছে</t>
  </si>
  <si>
    <t>সোরিয়াসিস একটি দীর্ঘস্থায়ী ত্বকের অবস্থা যা লাল আঁশযুক্ত দাগ দ্বারা চিহ্নিত করা হয় যা চুলকানি বেদনাদায়ক হতে পারে</t>
  </si>
  <si>
    <t>এসময়ও এদের এলাকাকাতরতা প্রকাশ পায়</t>
  </si>
  <si>
    <t>গান শুনা মাঝে মাঝে আনন্দ দেয়</t>
  </si>
  <si>
    <t>বিশ সালে সংস্কৃতে সাম্মানিক হন</t>
  </si>
  <si>
    <t>প্রতিকূলতাকে অতিক্রম করে সে আজ সফলতার চূড়ান্ত শিকড়ে পৌঁছাতে সক্ষম হইয়াছে</t>
  </si>
  <si>
    <t>বাকিদের কর্মের কোন নতুন তথ্য না পাইয়া ক্রুদ্ধ হইয়া গেলাম</t>
  </si>
  <si>
    <t>পরদিন মধ্যাহ্নেই তিনি দেশে যাইবার জন্য প্রস্তুত</t>
  </si>
  <si>
    <t>পাহাড় জঙ্গল বলিলে কে কী অনুভব করেন বলিতে পারি না যাঁহারা</t>
  </si>
  <si>
    <t>অনেক দিনের পর একটি ছাগশিশুতে সেই রূপরাশি দেখিয়া আহ্লাদে তাহাকে বুকে করিয়াছিলাম</t>
  </si>
  <si>
    <t>একটি জরুরী তহবিল তৈরি করা আপনাকে ঋণে না গিয়ে আর্থিক ঝড়ের মোকাবেলায় সহায়তা করতে পারে</t>
  </si>
  <si>
    <t>আসমানীর সঙ্গে শাহেদের ঝগড়ার কারণ অতি তুচ্ছ</t>
  </si>
  <si>
    <t>আমি সবসময়ই বই পড়তে ভালোবাসি</t>
  </si>
  <si>
    <t>বটবৃক্ষের শাখা প্রশাখার ন্যায় গড়ে ওঠা আমার পাঠকদেরকে</t>
  </si>
  <si>
    <t>আমি তাহাকে আমার বাড়িতে আসার জন্য অনুরোধ করিয়াছিলাম</t>
  </si>
  <si>
    <t>সকলের উপর তাহার সম্পূর্ণ বিশ্বাস</t>
  </si>
  <si>
    <t>পাহাড়ের গায়ে নিম্নে সর্ব্বত্র জঙ্গল কোথাও ছেদ নাই</t>
  </si>
  <si>
    <t>নৌকার গলুইএ সে দোলন একটা জীবন্ত প্রাণের অস্থিরতার মতো পৌঁছিতেছে</t>
  </si>
  <si>
    <t>ঋণের বোঝা যাহাতে বাড়িয়া না যায় সেই ব্যবস্থা নিজ হাতে করিয়া দিলেন পাঁচ মাস অতিক্রম হইবার পর</t>
  </si>
  <si>
    <t>তারা আমাকে গল্পের বই দিয়েছিল</t>
  </si>
  <si>
    <t>অন্যদের মধ্যে স্থিতিস্থাপকতার কাজগুলি দেখে আমার মধ্যে শক্তি অনুপ্রাণিত করে</t>
  </si>
  <si>
    <t>একজিমা হল একটি ত্বকের অবস্থা যা চুলকানি লালভাব প্রদাহ দ্বারা চিহ্নিত করা হয়</t>
  </si>
  <si>
    <t>অনুসন্ধান ভিত্তিক শিক্ষা কৌতূহল অন্বেষণকে উত্সাহিত করে</t>
  </si>
  <si>
    <t>আমাকে ইহা করিতে দিও না</t>
  </si>
  <si>
    <t>এই সময় একটি দুইবৎসরবয়স্ক শিশু আসিয়া আকাশের দিকে মুখ তুলিয়া হাত পাতিয়া দাঁড়াইল</t>
  </si>
  <si>
    <t>তাহার পর এক রাত্রে ভাবান্তর</t>
  </si>
  <si>
    <t>হাজার বছরের পরিক্রমায় আমরা পাল্টে ফেলেছি আমাদের পোশাক</t>
  </si>
  <si>
    <t>সে আমাকে বিষয়টি বুঝিয়ে দিয়েছিল。</t>
  </si>
  <si>
    <t>পচাত্তর সালে তিনি মৃত্যুবরণ করেন</t>
  </si>
  <si>
    <t>শিক্ষাগত অংশীদারিত্ব সম্প্রদায়ের বন্ধন সমর্থন নেটওয়ার্কগুলিকে শক্তিশালী করে৷</t>
  </si>
  <si>
    <t>সালে তিনি দেমিদভ পুরস্কার লাভ করেন</t>
  </si>
  <si>
    <t>সালে মুঘল সাম্রাজ্যের ধ্রুপদি যুগ শুরু হয়</t>
  </si>
  <si>
    <t>আমরা এক সঙ্গে চিড়িয়াখানায় প্রবেশ করিলাম</t>
  </si>
  <si>
    <t>নতুবা কেবল মৌমাছির শব্দে সুখ নহে</t>
  </si>
  <si>
    <t>মামা বলিয়াছিলেন স্কুলের ছুটি হোক</t>
  </si>
  <si>
    <t>পরে আমাকে সমভিব্যাহারে লইয়া বাগান পুষ্করিণী সমুদয় দেখাইতে লাগিলেন</t>
  </si>
  <si>
    <t>তুমি কি আমার কথা শুনিয়াছিলে</t>
  </si>
  <si>
    <t>এই সংবাদগুলোও সমান আগ্রহ নিয়ে আলোচিত হতো</t>
  </si>
  <si>
    <t>বিল নেয়া শেষ হলে আমি তার সাথে দেখা করতাম</t>
  </si>
  <si>
    <t>রিতু আমাকে তার ঘরে খেতে বললো</t>
  </si>
  <si>
    <t>যাত্রী স্বাচ্ছন্দ্য দুরন্তে চারটি শ্রেণি রয়েছে</t>
  </si>
  <si>
    <t>সন্ধ্যার পর সে চা খেতে গিয়েছিল</t>
  </si>
  <si>
    <t>সে মৃত্যুর কথা শুনিয়া দুঃখিত হইয়া কহিল ছি ভাই চোখের বালি অমন কথা বলিতে নাই</t>
  </si>
  <si>
    <t>সে দিবস এরূপ ধর্ম্মবিরুদ্ধ কার্য্য ঘটিয়াছিল</t>
  </si>
  <si>
    <t>আমি কখন অঙ্গ বাছিয়া রূপ তল্লাস করি নাই</t>
  </si>
  <si>
    <t>আজও তাকাইত</t>
  </si>
  <si>
    <t>দেয়ালের মধ্যে আটকা পড়িয়া কেবলই তাহার সেই গ্রামের কথা মনে পড়িত</t>
  </si>
  <si>
    <t>কখন যে বড় হবো বাবা কে বলতে পারবো না বাবা এবার রেস্ট নাও পরিবারের দায়িত্ব আমি নিলাম</t>
  </si>
  <si>
    <t>পার্থক্য নির্বিশেষে অন্যদের সাথে দয়া সম্মানের সাথে আচরণ করুন</t>
  </si>
  <si>
    <t>পায়ের তলায় পাতা কুঁচকে যাওয়ার শব্দ বনের মধ্য দিয়ে প্রতিধ্বনিত হয়ে শরতের আগমনের ঘোষণা দেয়</t>
  </si>
  <si>
    <t>স্থায়ী সুবিধার জন্য প্রতিশ্রুতিবদ্ধ থাকুন</t>
  </si>
  <si>
    <t>দূর্ভাগ্যবশতঃ সালে তারা উভয়েই আকস্মিকভাবে মৃত্যুবরণ করেন</t>
  </si>
  <si>
    <t>বাড়িওয়ালার শালা মজনুকে একটা টাকা দিলে সে এনে দিত</t>
  </si>
  <si>
    <t>শশী বলিল নৌকা ওদিকে সরিয়ে নিয়ে যা গোবর্ধন</t>
  </si>
  <si>
    <t>আমার স্কুলের ঠিকানায় একখানা কার্ড লিখে ফেলে দেবেন</t>
  </si>
  <si>
    <t>অনেক সাধু জীবন্তীবৃক্ষ বুঝিবেন</t>
  </si>
  <si>
    <t>নিরুপমার পক্ষে তাহার শ্বশুরবাড়ি শরশয্যা হইয়া উঠিল</t>
  </si>
  <si>
    <t>আপনার স্বপ্নের গন্তব্যে লাইক কমেন্ট করুন</t>
  </si>
  <si>
    <t>রহস্যময় গুহায় প্রবেশ করে তারা এমন কিছু ধ্বংসাবশেষ আবিষ্কার করেছিল যা ব্যাখ্যাকে অস্বীকার করেছিল</t>
  </si>
  <si>
    <t>সে আমার বাসায় আসতে চেয়েছিল পরীক্ষার জন্য আসতে পারেনি</t>
  </si>
  <si>
    <t>মহেন্দ্রনাথের অসুস্থতার জন্য পঞ্চম খণ্ডটির প্রকাশ বিলম্বিত হয়</t>
  </si>
  <si>
    <t>সীমানা নির্ধারণ করুন আপনার চাহিদা জাহির করুন প্রয়োজনে না বলা ঠিক আছে</t>
  </si>
  <si>
    <t>অদ্য রহিম ঢাকা যাত্রা করিবে</t>
  </si>
  <si>
    <t>বিনয় তখনই সেই গাড়িতে উঠিয়া তাঁহাদের বাড়িতে যাইতে প্রস্তুত ছিল</t>
  </si>
  <si>
    <t>এই কাজ করিয়া সে জেনো খাল কাটিয়া কুমির লইয়া আসিলো</t>
  </si>
  <si>
    <t>আমাদের স্কুলে খেলা হইয়াছিল</t>
  </si>
  <si>
    <t>তখন হয়তো আদর পায় নাই</t>
  </si>
  <si>
    <t>তাজা ভাজাভুট্টা গ্রীষ্মের প্রতীক</t>
  </si>
  <si>
    <t>পণ্যের সাথে প্রদত্ত নির্দেশাবলী পরিষ্কার অনুসরণ করা সহজ ছিল</t>
  </si>
  <si>
    <t>মাত্র একটি ক্লিকেই অগণিত তথ্য পেয়ে যাবেন আপনি</t>
  </si>
  <si>
    <t>কারো দ্বারা বোঝার অনুভূতি অপরিমেয় স্বস্তি নিয়ে আসে</t>
  </si>
  <si>
    <t>তাই শিশু অপেক্ষাকৃত দুর্বল জিরাফই সিংহের আক্রমণে মারা পড়ে</t>
  </si>
  <si>
    <t>মুখ ফিরাইয়া অভিমানের সুরে বলিল আমি গেলুম শিখতে</t>
  </si>
  <si>
    <t>আমি নতুন জামা কিনিতে গিয়াছিলাম</t>
  </si>
  <si>
    <t>এমন সময় রামসুন্দরের জ্যেষ্ঠপুত্র হরমোহন তার দুটি ছোটো ছেলে সঙ্গে লইয়া সহসা ঘরে প্রবেশ করিলেন</t>
  </si>
  <si>
    <t>সেই স্তর যেখানে উঠিয়াছে বা নামিয়াছে শব্দও সেইখানে উঠিতে নামিতে থাকে</t>
  </si>
  <si>
    <t>আমি বিনা পরিচয়ে তার কাছে আবোল তাবোল কী যে বকিলাম তার ঠিক নাই</t>
  </si>
  <si>
    <t>তাকে দেখেও লোকজন ভয় পেতে পারেএই চিন্তাটা ইরতাজউদ্দিনকে পীড়িত করছে</t>
  </si>
  <si>
    <t>বিপদের আশঙ্কা দেখে সে খুবই চিন্তিত হয়েছিল</t>
  </si>
  <si>
    <t>তীরে আছড়ে পড়া ঢেউয়ের শব্দ ছিল সমুদ্রের শক্তির অবিরাম অনুস্মারক</t>
  </si>
  <si>
    <t>পরিশ্রম করতে করতে সুজন অজ্ঞান হয়ে পড়লেন</t>
  </si>
  <si>
    <t>সালে জোন্সের মৃত্যুর পর তাঁর খালি স্থান পূরণ করেন মাইক টেইলর</t>
  </si>
  <si>
    <t>নানা বয়সের নানা কণ্ঠে গুন্‌ গুন্‌ শব্দে হরিনাম মিশিয়া কেমন একটা গম্ভীর সুর নিত্য প্রাতে জমিত</t>
  </si>
  <si>
    <t>বিদ্যার ধন লাভ করিয়া ফিরিয়া আসিবে</t>
  </si>
  <si>
    <t>এইরূপ অর্দ্ধপাহাড় লাতেহারগ্রামপার্শ্বে একটি আছে আমি প্রায় নিত্য তথায় গিয়া বসিয়া থাকিতাম</t>
  </si>
  <si>
    <t>তুমি কি ইহা করিতে পারিবে</t>
  </si>
  <si>
    <t>সেই লজ্জিত শঙ্কিত শীর্ণ দীর্ঘ অসুন্দর বালকের অন্তরে কেবলই আলোড়িত হইত</t>
  </si>
  <si>
    <t>গুরুত্ব ভাগবত পুরাণ সর্বাধিক পরিচিত সর্বাধিক প্রভাবশালী পুরাণ</t>
  </si>
  <si>
    <t>আপনার কর্ম সিদ্ধান্তের জন্য দায়বদ্ধ হন</t>
  </si>
  <si>
    <t>সুমি আজ আমার সাথে যাবে</t>
  </si>
  <si>
    <t>সমালোচনামূলক চিন্তা দক্ষতা শিক্ষাগত উন্নয়নে মৌলিক</t>
  </si>
  <si>
    <t>শ্রেনীকক্ষে অতিমাত্রায় দুষ্টুমি করায় সানিকে বহিষ্কার করা হইয়াছে</t>
  </si>
  <si>
    <t>আমি যাব কোথায় বাড়ি আমার যেতে হলে তোমাকেই হয়</t>
  </si>
  <si>
    <t>সে কিছুক্ষণ বসে তাহার স্যারের সাথে গল্প করিতেছিলো</t>
  </si>
  <si>
    <t>আমি মাঠের পাশে হাঁটিতে ছিলাম</t>
  </si>
  <si>
    <t>তারপর বউ লইয়া সেই যে সে কলিকাতায় গেল –গাওদিয়ার সঙ্গে কোনো সম্পর্ক রাখিল না</t>
  </si>
  <si>
    <t>একটি একাকী হরিণ অগভীর জায়গায় স্থির হয়ে দাঁড়িয়ে ছিল তার লম্বা ঘাড় আঘাত করার নিখুঁত মুহূর্তের জন্য প্রস্তুত</t>
  </si>
  <si>
    <t>শরিফ আমাকে আজ ডেকেছিল</t>
  </si>
  <si>
    <t>রফিক শাওন ভলিবল খেলতে গিয়েছে</t>
  </si>
  <si>
    <t>জাতি হিসেবে বাঙালির উপদেশগ্ৰীতি আছে</t>
  </si>
  <si>
    <t>তিনি একজন মুক্তিযোদ্ধাও বটে</t>
  </si>
  <si>
    <t>রাত্রে বিছানায় শুইয়া আমার কান্না আসিল</t>
  </si>
  <si>
    <t>সিফাত তাহাদের কথা শুনিয়া ছিল</t>
  </si>
  <si>
    <t>তাহারই হৃদয়ের অন্ধকার অন্তঃস্থলে নামিয়া আঁচড়াইয়া আঁচড়াইয়া কি যেন একটা রত্ন খুঁজিয়া ফিরিতে লাগিল</t>
  </si>
  <si>
    <t>আবার অন্যের অঙ্গে সেই অঙ্কপাত কিরূপ দেখাইতেছে তাহাও এক একবার দেখিতেছে</t>
  </si>
  <si>
    <t>খানিকক্ষণ সে উদ্দেশ্যহীনভাবে দাঁড়িয়ে থেকে হঠাৎ তার ঘরে চলে গেলো</t>
  </si>
  <si>
    <t>শাকিব সজীব একসাথে হাঁটছে</t>
  </si>
  <si>
    <t>আমি গত সপ্তাহে একটি দ্রুত টিকিট পেয়েছি আমার আরও সতর্ক হওয়া দরকার</t>
  </si>
  <si>
    <t>বৈচিত্র্য অন্তর্ভুক্তি উদ্যোগ একটি গতিশীল কর্মক্ষেত্রকে উন্নীত করে</t>
  </si>
  <si>
    <t>এই খবরের কাগজের অধিকাংশই ইংরেজি তামিল</t>
  </si>
  <si>
    <t>মোবাইলের দোকানে গিয়া আরোও চার টাকার কথা কহিলেন</t>
  </si>
  <si>
    <t>আমি স্কুল মাঠে খেলিতে ছিলাম</t>
  </si>
  <si>
    <t>জগমোহন বিধর্মী আচারভ্রষ্ট সেই কারণে সেবায়েত হইবার অযোগ্য</t>
  </si>
  <si>
    <t>এই পরগণায় পর্ব্বতে স্থানে স্থানে অসুরেরা বাস করে</t>
  </si>
  <si>
    <t>রাফি আমার নিকটে আসিয়া গল্প করিল</t>
  </si>
  <si>
    <t>তোমাকে শতবার বারন করেও খেলতে যেতে আটকাতে পারি না</t>
  </si>
  <si>
    <t>সালের তেশরা এপ্রিল থেকে সাত ই জুন পর্যন্ত এই যুদ্ধ চলে</t>
  </si>
  <si>
    <t>সংগত কারণেই আদিবাসীদের আচার সংস্কৃতি নিয়ে সমতলের মানুষদের আগ্রহ</t>
  </si>
  <si>
    <t>অনলাইন মন্তব্য বিভাগগুলি পাঠকদের সংবাদ নিবন্ধগুলির সাথে জড়িত আলোচনা করার অনুমতি দেয়</t>
  </si>
  <si>
    <t>দীর্ঘস্থায়ী কিডনি রোগ হল সময়ের সাথে সাথে কিডনির কার্যকারিতা ধীরে ধীরে হ্রাস যা তরল ধারণ ইলেক্ট্রোলাইট ভারসাম্যহীনতার মতো জটিলতার দিকে পরিচালিত করে</t>
  </si>
  <si>
    <t>ইহা তো ভাষান্দোলনের মাস বসন্তের মাস ভালোবাসার মাসও বৈকি</t>
  </si>
  <si>
    <t>উহার পরিধানে ধড়া কর্ণে বনফুল</t>
  </si>
  <si>
    <t>বিশ বৎসর পরে হাজার হইয়া গিয়াছিল</t>
  </si>
  <si>
    <t>সুখ যখন তোমার হাতেই আছে তখন এমন করিয়া ভোগ করো যাহাতে পরের হিংসা না হয়</t>
  </si>
  <si>
    <t>আমি শাওনকে আমার নিকটে রাখিলাম</t>
  </si>
  <si>
    <t>সে জনতার দিকে তাকিয়ে বলল জোড়া সাথে না থাকনে এই অবস্থা</t>
  </si>
  <si>
    <t>এটি প্রার্থনার এক বিশেষ পদ্ধতি</t>
  </si>
  <si>
    <t>কানাডাতে একটি মুক্ত বাজার অর্থনীতি বিদ্যমান</t>
  </si>
  <si>
    <t>যারা আমাকে জানতে চায়</t>
  </si>
  <si>
    <t>ছাউনি ওভারহেড জ্বলন্ত সূর্য থেকে আশ্রয় প্রদান করে নীচে একটি শীতল মরূদ্যান তৈরি করে</t>
  </si>
  <si>
    <t>পথ সংক্ষেপ করিবার জন্য ওই বিপথে সে পাড়ি জমাইয়াছিল</t>
  </si>
  <si>
    <t>বাঁকের মুখে গ্রামের ঘাট</t>
  </si>
  <si>
    <t>কি করিব ভারাক্রান্ত মনে দোকানে গেলাম খাতা কিনিতে</t>
  </si>
  <si>
    <t>কেবল অনুভবে স্থির করিলাম যে যুবারা ঠকিয়া গেল</t>
  </si>
  <si>
    <t>তারা নিজেদের প্রয়োজনীয় পুষ্টি আমাদেরকে ভাগ করে দিচ্ছিলেন</t>
  </si>
  <si>
    <t>আমি তাকে আমার নতুন বাসাটি সম্পূর্ণ ঘুরে দেখিয়েছিলাম</t>
  </si>
  <si>
    <t>র্যাকেটিয়ারিং এর সাথে সংগঠিত গোষ্ঠীগুলির দ্বারা পরিচালিত অবৈধ ব্যবসায়িক অনুশীলন জড়িত</t>
  </si>
  <si>
    <t>আমি তার কাজে খুবই অসন্তুষ্ট হয়েছিলাম</t>
  </si>
  <si>
    <t>সে আমাকে মিথ্যা আশা দিয়েছিল</t>
  </si>
  <si>
    <t>সভ্য যুগে আমাদের আচার আচরণ এমন কেন</t>
  </si>
  <si>
    <t>তাহাতে নিজের কোন ক্ষতি হইত না</t>
  </si>
  <si>
    <t>রনি নতুন পোশাক কিনতে যাইবে</t>
  </si>
  <si>
    <t>বেশি পরিশ্রম করিয়া তিনি অজ্ঞান হইয়া পড়িলেন</t>
  </si>
  <si>
    <t>সুমন অদ্য বাড়িতে নাই</t>
  </si>
  <si>
    <t>সে দেখতে পেলো তার সারা মুখে সূর্যাস্তের এক রক্তিম আভা</t>
  </si>
  <si>
    <t>আমি নির্দেশাবলী অস্পষ্ট অনুসরণ করা কঠিন বলে মনে হয়েছে</t>
  </si>
  <si>
    <t>শহরে প্রায় হাজারের অধিক শিক্ষিত লোক ছিল</t>
  </si>
  <si>
    <t>ইতিহাস শিল্পকলা ঠাকুরকে আশৈশব খুব টানতো</t>
  </si>
  <si>
    <t>আবার কোনদিন কোন গ্রাহক টাকা দেয়নি তাও আমার মনে থাকত</t>
  </si>
  <si>
    <t>তাদের সেই অভিযান সফল হইয়াছে তাই তাহাদের মন আনন্দে পূর্ণ</t>
  </si>
  <si>
    <t>বালকের জ্বর অত্যন্ত বাড়িয়া উঠিল</t>
  </si>
  <si>
    <t>বিনয় তাঁহাকে ডাকিয়া আনিতে বেহারা পাঠাইয়া দিল</t>
  </si>
  <si>
    <t>এই দুটো দিনে অনেক সহ্য করিলাম অনেক ভাবিলাম</t>
  </si>
  <si>
    <t>আমি ভাত আহার করাইয়া খেলিতে যাইবো</t>
  </si>
  <si>
    <t>আমি তার কথা বিশ্বাস করতে পারিনি</t>
  </si>
  <si>
    <t>বাধ্য হয়ে তিনি নিজ গ্রামে ফিরে যান</t>
  </si>
  <si>
    <t>ব্যায়ামের সময় ভালো ভঙ্গিতে অগ্রাধিকার দিন</t>
  </si>
  <si>
    <t>টাটকা চেপে দেওয়া রস সকালে পুনরুজ্জীবিত করে</t>
  </si>
  <si>
    <t>ব্যবসায়িক লক্ষ্য অর্জনের জন্য কার্যকর যোগাযোগ সর্বাগ্রে</t>
  </si>
  <si>
    <t>সকলে বুঝিয়া চারি পার্শ্বে দাঁড়ায়</t>
  </si>
  <si>
    <t>তাহারা জুতা খুলিয়া ঘরে প্রবেশ করিলো</t>
  </si>
  <si>
    <t>আলো লইয়া গোবর্ধন চলিয়া গেল</t>
  </si>
  <si>
    <t>কিছুক্ষণ পরে দেখি পাল্‌কীতে বর আসিতেছে</t>
  </si>
  <si>
    <t>তখন তিনি চাকরকে ডাকিয়া চুরির জন্য জরিমানা করিলেন</t>
  </si>
  <si>
    <t>ভ্যান পারিবারিক ভ্রমণের জন্য উপযুক্ত আমাদের অনেক জায়গা আছে</t>
  </si>
  <si>
    <t>সূর্য দিগন্তের নীচে ডুবে গেছে ল্যান্ডস্কেপ জুড়ে দীর্ঘ ছায়া ফেলে পৃথিবী অন্ধকারে বসতি স্থাপন করেছে</t>
  </si>
  <si>
    <t>আমি এই মুহূর্তে খুব অসহায় অনুভব করছি。</t>
  </si>
  <si>
    <t>সালের উপসালা শহরের অগ্নিকান্ডে বাগানটি ক্ষতিগ্রস্ত হয়</t>
  </si>
  <si>
    <t>লায়লী মজনু প্রেমকাহিনী সারা বিশ্ব জুড়ে পরিচিত</t>
  </si>
  <si>
    <t>ফিরিয়া দেখি গবর্ণর জেনেরল কাউন্‌সলের অমুক মেম্বারের কুলকন্যা একা আসিতেছেন</t>
  </si>
  <si>
    <t>উক্ত রায়বাহাদুরের পৈতৃক বিষয় আশয় যদিও অনেক হ্রাস হইয়া আসিয়াছে বনেদি ঘর বটে</t>
  </si>
  <si>
    <t>মারকিন অন্যান্য দেশে যেখানে সাহেবেরা গিয়া রাজ্য স্থাপন করিয়াছেন</t>
  </si>
  <si>
    <t>শুনিবামাত্র আবার রাগ পূর্ব্বমত গর্জ্জিয়া উঠিল</t>
  </si>
  <si>
    <t>পুরাতন কথা বলিতে বড় সুখ আবার বিশেষ সুখ এই যে আমি শ্রোতা পাইয়াছি</t>
  </si>
  <si>
    <t>আমি যখন আমার লক্ষ্য অর্জন করি তখন আমি আনন্দিত বোধ করি</t>
  </si>
  <si>
    <t>তুমি কি তাদের চিনবে</t>
  </si>
  <si>
    <t>উপকারিতা বাওবাব গাছ মরু অঞ্চলের মানুষের অনেক উপকারে আসে</t>
  </si>
  <si>
    <t>আমার দাদা দাদির গল্পগুলো অতীতের এক ঝলকের মতো</t>
  </si>
  <si>
    <t>স্টারগেজিং শান্ত মুহুর্তগুলি সরবরাহ করে</t>
  </si>
  <si>
    <t>যুদ্ধকালে আত্মীয়কে বর্ম পরাইয়া দিতে</t>
  </si>
  <si>
    <t>ভ্রাতা আমাকে ইহা করিতে বলিল</t>
  </si>
  <si>
    <t>এমন সময় বেহারা নিয়মমত আলো আনিয়া টিপাইয়ের উপর রাখিয়া চলিয়া গেল</t>
  </si>
  <si>
    <t>বাল্যকাল আমি যে পল্লীগ্রামে অতিবাহিত করিয়াছি</t>
  </si>
  <si>
    <t>পিঁয়াজ যাবনিক শব্দ এই ভয়ে পলাণ্ডুর উল্লেখ করিয়া সাধুগণের মুখ পবিত্র রাখিয়াছি</t>
  </si>
  <si>
    <t>এই মিছিল কোন দিকে যাচ্ছে তিনি জানেন না</t>
  </si>
  <si>
    <t>আমি তাকে আমার জন্য অপেক্ষা করতে বলেছিলাম</t>
  </si>
  <si>
    <t>মনে করা হতে থাকে জাহাজে কোনো অশুভ শক্তির আবির্ভাব ঘটেছে</t>
  </si>
  <si>
    <t>পণ্যটি কতটা সাশ্রয়ী মূল্যের দ্বারা আমি আনন্দিতভাবে অবাক হয়েছিলাম</t>
  </si>
  <si>
    <t>পারিবারিক সমাবেশ সবসময় আমার মুখে হাসি নিয়ে আসে</t>
  </si>
  <si>
    <t>রহিম আমাকে কথাটি জিজ্ঞাসিলেন</t>
  </si>
  <si>
    <t>কি যেন তাহাকে চীৎকার করিয়া বলিতে গেল</t>
  </si>
  <si>
    <t>যেখানে কেহ একা আছে দেখিতেন</t>
  </si>
  <si>
    <t>আমার শরীর রোমাঞ্চ হইল</t>
  </si>
  <si>
    <t>সন্ধ্যার সময় হারুর বাড়িতে প্রদীপ জ্বলে নাই</t>
  </si>
  <si>
    <t>ক্ষমা প্রার্থনাকারীদের ক্ষমা করেন রাহমাত প্রার্থনাকারীদের রহম করেন</t>
  </si>
  <si>
    <t>এক ঈশ্বরে বিশ্বাস সেবার গুরুত্বের ওপর জোর দিয়ে পাঞ্জাব অঞ্চলে শিখ ধর্মের উদ্ভব ঘটে</t>
  </si>
  <si>
    <t>তখন এই ধরনের সংবাদ বহুল আলোচিত সংবাদ</t>
  </si>
  <si>
    <t>মাথা গরম হয়ে আছে</t>
  </si>
  <si>
    <t>এরপর ফ্রান্স দুইটি বিশ্বযুদ্ধের কেন্দ্রীয় জাতি হিসেবে অংশ নেয়</t>
  </si>
  <si>
    <t>ছুটিতে বাবা আমাদের ঘুরতে নিয়ে যাওয়ার সিদ্ধান্ত নিয়েছেন。</t>
  </si>
  <si>
    <t>কোলের অনেক শাখা আছে</t>
  </si>
  <si>
    <t>এ কথা সে যতই মনে করিয়াছে ততই মন তাহার তিক্ত বিষাক্ত হইয়া উঠিয়াছে</t>
  </si>
  <si>
    <t>যাঁহার বাটীতে যাইতেছি তাঁহার সহিত আমার কখনও চাক্ষুষ হয় নাই</t>
  </si>
  <si>
    <t>লোকের সংস্কার ছিল যে এই প্রস্তরময় মৃত্তিকায় কলার গাছ রস পায় না শুকাইয়া যায়</t>
  </si>
  <si>
    <t>কম্পিউটারে কাজ করতে হলে আগে কম্পিউটার জিনিসটা কি সেটা জানতে হবে</t>
  </si>
  <si>
    <t>অনুমোদন করার আগে আমাকে লেনদেনের বিবরণ পর্যালোচনা করতে হবে</t>
  </si>
  <si>
    <t>আমার মা এটা করতেছিল</t>
  </si>
  <si>
    <t>করিম ফুটবল খেলতে এসেছে</t>
  </si>
  <si>
    <t>কৃষি বাস্তুসংস্থানিক চাষ পদ্ধতি প্রাকৃতিক বাস্তুতন্ত্রের অনুকরণ করে পরিবেশগত স্থায়িত্বকে অগ্রাধিকার দেয়</t>
  </si>
  <si>
    <t>সকলগুলিই সম উচ্চ সকলগুলিই পাথুরে কাল</t>
  </si>
  <si>
    <t>বালক রশি ফেলিয়া কোথাও তাহার তল পাইতেছে না</t>
  </si>
  <si>
    <t>এমন চন্দনকাষ্ঠের চিতা এ মুলুকে কেহ কখনো দেখে নাই</t>
  </si>
  <si>
    <t>সেদিন সে তাহার জীবনের শেষ অধ্যায়টি সমাপ্ত করিয়াছিল</t>
  </si>
  <si>
    <t>সেই পরিখার নিম্নে গাঢ় ছায়া অল্প অন্ধকার বলিলেও বলা যায় তাহার পর জঙ্গল</t>
  </si>
  <si>
    <t>মেকানিক বলল আমার ব্রেক শীঘ্রই বদলাতে হবে</t>
  </si>
  <si>
    <t>প্রচলিত অনেক ধারাকেই অস্বীকার করেছিলো এই ছবি</t>
  </si>
  <si>
    <t>যুদ্ধে এসএফএফের জন সৈন্য নিহত হন</t>
  </si>
  <si>
    <t>অবস্থা বেশ খারাপ ছিল</t>
  </si>
  <si>
    <t>নামাজ পড়ে সে শুয়ে পরলেও আমি শুইনি</t>
  </si>
  <si>
    <t>পূর্ব্বে একবার লাতেহার নামক পাহাড়ের উল্লেখ করিয়াছিলাম</t>
  </si>
  <si>
    <t>টপ করিয়া সুরবালার কপালের উপর ঝরিয়া পড়িল</t>
  </si>
  <si>
    <t>এ কথা অনেক স্থলে সত্য সন্দেহ নাই</t>
  </si>
  <si>
    <t>আমি সেদিন রাস্তায় একটা বিড়াল দেখিয়াছিলাম</t>
  </si>
  <si>
    <t>অনেক দূরে থাকায় সূর্যের আকর্ষণ চাঁদের আকর্ষণের থেকে কম কার্যকর</t>
  </si>
  <si>
    <t>এবড়োখেবড়ো ভূখণ্ডের মধ্য দিয়ে ট্রেকিং করে তারা দুঃসাহসিক কাজ করার জন্য তাদের দেহকে সীমার দিকে ঠেলে দেয়</t>
  </si>
  <si>
    <t>এতে প্রথম স্থান অধিকার করেন যশোরের ছেলে মোহাম্মদ সুমন</t>
  </si>
  <si>
    <t>তার বাবার সাথে সে বাজারে গিয়েছিল</t>
  </si>
  <si>
    <t>টেকসই খাদ্য উৎপাদনের জন্য অ্যাকোয়াপনিক্স জলজ চাষ হাইড্রোপনিক্সকে একত্রিত করে</t>
  </si>
  <si>
    <t>আমি তোমাকে বোঝাতে পারিতেছি না</t>
  </si>
  <si>
    <t>গ্রামের ছেলে বুড়ো তখন ঈর্ষার চোখে চাহিয়া দেখিয়াছিল</t>
  </si>
  <si>
    <t>পীড়িত সন্তানের উল্লেখে জননী আঘাত পাইয়া ব্যস্ত হইয়া বলিলেন তাই যাই</t>
  </si>
  <si>
    <t>প্রত্যুষেই সে বিহারীর বাসায় আসিয়া উপস্থিত</t>
  </si>
  <si>
    <t>সফ্টওয়্যার বিকাশকারী মোবাইল ডিভাইসের জন্য একটি নতুন অ্যাপ্লিকেশন কোড করেছে৷</t>
  </si>
  <si>
    <t>এটি সক্রিয় অংশগ্রহণের মাধ্যমে শারীরিক সুস্থতা সামগ্রিক সুস্থতার প্রচার করে</t>
  </si>
  <si>
    <t>আমি তাকে দেখতে তার বাড়িতে গিয়েছিলাম</t>
  </si>
  <si>
    <t>সমস্তদিনের কাজকর্মের পর রাত্রে না ঘুমালে তার বড় অসুখ করতো</t>
  </si>
  <si>
    <t>রানা আমাকে দেখে চলে গিয়েছে</t>
  </si>
  <si>
    <t>জীবনে বহুবার বহুক্ষণে বহুলোকে আঘাত করিয়াছে তাহা সহ্য করিয়া লইছি</t>
  </si>
  <si>
    <t>কেহ মুখ ফুটিয়া মনের কথা বলিয়াও ফেলে</t>
  </si>
  <si>
    <t>সোজা মশানবিলে নিয়ে যাব কি ছোটবাবু</t>
  </si>
  <si>
    <t>সে আমাকে বিপদে ফেলিয়া চলিয়া গিয়াছিল</t>
  </si>
  <si>
    <t>সাহেদ আমাকে দেখিতে আসিয়াছে</t>
  </si>
  <si>
    <t>দোষী সাব্যস্ত হওয়ার জন্য একটি যুক্তিসঙ্গত সন্দেহের বাইরে ফৌজদারি অভিযোগ প্রমাণিত হতে হবে</t>
  </si>
  <si>
    <t>সে ঘরে যেয়ে দেখল তার মেয়ে অমূল্য ভয়ে বিবর্ণ হয়ে একপাশে দাঁড়িয়ে ছিলো</t>
  </si>
  <si>
    <t>চারটি বিড়াল ছানা আছে আমার ঘরে</t>
  </si>
  <si>
    <t>সিরাজ আমাদের সাথে খেলতে চেয়েছে</t>
  </si>
  <si>
    <t>আপনার পছন্দের রেসিপি কমেন্ট করুন</t>
  </si>
  <si>
    <t>সে কোনদিনই কিছু চাহে না সুতরাং এ কথার তাৎপর্য বুঝিতে না পারিয়া সতীশ আশ্চর্য হইয়া গেল</t>
  </si>
  <si>
    <t>তাহার অপেক্ষা করিয়া থাকিতে আপত্তি ছিল না</t>
  </si>
  <si>
    <t>বুঝিতে পারিল ব্যামো বাধাইলে তাহার মামির প্রতি অত্যন্ত অনর্থক উপদ্রব করা হইবে</t>
  </si>
  <si>
    <t>কাল যাহা পণ্ডিতের অগম্য ছিল আজ তাহা অর্বাচীন বালকের কাছেও নূতন নহে</t>
  </si>
  <si>
    <t>সেখানে সহস্র সহস্র মাছি মৌমাছি ঘুরিয়া ফিরিয়া উড়িয়া বেড়ায় তাহাদের কোলাহলে বন পূরিয়া যায়</t>
  </si>
  <si>
    <t>এটা করা ঠিক হচ্ছে না</t>
  </si>
  <si>
    <t>আকাশ জুড়ে একটি রংধনু খিলান এর প্রাণবন্ত রং প্রকৃতির সৌন্দর্যের একটি অত্যাশ্চর্য প্রদর্শন</t>
  </si>
  <si>
    <t>অপ্রত্যাশিত ব্যয়ের জন্য একটি জরুরি তহবিল থাকা গুরুত্বপূর্ণ</t>
  </si>
  <si>
    <t>শিক্ষাগত বৈচিত্র্য সকল শিক্ষার্থীর শেখার অভিজ্ঞতাকে সমৃদ্ধ করে</t>
  </si>
  <si>
    <t>পতিত পাতার কম্বল দিয়ে পৃথিবী কার্পেট করা হয়েছিল তাদের প্রাণবন্ত রং শীতের নিঃশব্দ সুরের সম্পূর্ণ বিপরীত</t>
  </si>
  <si>
    <t>সেই প্রাতঃকাল কুসুমবাসিত সেই প্রাতর্বায়ু</t>
  </si>
  <si>
    <t>হারুর মেয়ে মতির জ্বর</t>
  </si>
  <si>
    <t>একবার আমি দুই বৎসরের একটি শিশু গৃহে রাখিয়া বিদেশে গিয়াছিলাম</t>
  </si>
  <si>
    <t>সে কিছুক্ষণ আকাশের দিকে তাকাইয়া ছিলো</t>
  </si>
  <si>
    <t>শেষে বলিলেন একটা মারাত্মক দোষও আছে</t>
  </si>
  <si>
    <t>অন্তর ভাত খেয়ে নামাজে গিয়েছিল</t>
  </si>
  <si>
    <t>বিজয়ীদের তালিকা বব হোপকে চারটি ভিন্ন অনুষ্ঠানে সম্মাননা দেওয়া হয়</t>
  </si>
  <si>
    <t>লোকটি আমাকে থামতে বলল</t>
  </si>
  <si>
    <t>তাঁর ছিল হুঁকোবিলাস জুতা ইংরেজিপ্রীতি</t>
  </si>
  <si>
    <t>আমার ছেলে সুমন মাঠে খেলতে গেছে</t>
  </si>
  <si>
    <t>আমি তোমাকে দেখিতে গিয়াছিলাম</t>
  </si>
  <si>
    <t>আমি তাহা কখনও গ্রাহ্য করি নাই নিত্য একাকী যাইতাম</t>
  </si>
  <si>
    <t>প্রথমে মনে হইল যিনি উদ্ধবদূত লিখিয়াছেন তিনি হয়ত এই জাতি পক্ষীর নিকট ছন্দদ পাইয়াছিলেন</t>
  </si>
  <si>
    <t>নগরস্থ ভদ্রলোকেরাও তাঁহার পশ্চাদ্বর্ত্তী হইলেন</t>
  </si>
  <si>
    <t>পরিবার শুধু রক্তের নয় ভালোবাসা সমর্থনের</t>
  </si>
  <si>
    <t>অপর্যাপ্ত তহবিলের কারণে লেনদেনটি প্রত্যাখ্যান করা হয়েছে</t>
  </si>
  <si>
    <t>রাজু রাতে বাজারে গিয়েছিলাম</t>
  </si>
  <si>
    <t>বাজার গবেষণা পণ্য উন্নয়ন বিপণন কৌশল অবহিত করে</t>
  </si>
  <si>
    <t>একজন সহকর্মীর মৃত্যুর খবর শুনে তারা অনেক দুঃখ পেয়েছিল</t>
  </si>
  <si>
    <t>স্ত্রীলোকটি মেঝের উপর কেরোসিনের ডিবাটা রাখিয়া দিয়া কহিল একটু অপেক্ষা করুন আমি সংবাদ দিই</t>
  </si>
  <si>
    <t>আমায় বলিল একবার ব্যাঘ্রের প্রতি চাহিল তাহার পর প্রস্তর ঘোর রবে প্রাঙ্গণে পড়িল</t>
  </si>
  <si>
    <t>চোখ দুটো অমন লাল কেন</t>
  </si>
  <si>
    <t>সেদিন আমি জানালা দিয়ে একটি চিৎকার শুনতে পেয়েছিলাম。</t>
  </si>
  <si>
    <t>সে আমাকে একটি প্রশ্ন সমাধান করিতে বলিয়াছিল</t>
  </si>
  <si>
    <t>রাহুলের মনের মধ্যে সীমার জন্য ভালোবাসা জন্ম নেয়</t>
  </si>
  <si>
    <t>দুঃসাহসিক কাজের জন্য তাদের অনুসন্ধান তাদের সর্বোচ্চ শিখর গভীরতম মহাসাগরে নিয়ে গেছে</t>
  </si>
  <si>
    <t>তিনি শিবের চাহিদামতো মুকুট নির্মাণে ব্যর্থ হন</t>
  </si>
  <si>
    <t>সে তার ভুল বুঝতে পেরে অনুতপ্ত হয়েছিল</t>
  </si>
  <si>
    <t>নিউকাসল ইউনাইটেডের সমর্থকেরা নিজেদের টুন আর্মি হিসেবে পরিচয় দেয়</t>
  </si>
  <si>
    <t>রাজপুত তাঁহার কেশত্যাগ করিলেন তরবারি নামাইলেন</t>
  </si>
  <si>
    <t>তাহার শেষ কথাটায় দিবাকর মনে মনে জ্বলিয়া উঠিল</t>
  </si>
  <si>
    <t>আমি ত তার আশা ছাড়িয়াই ছিলাম</t>
  </si>
  <si>
    <t>যে সকল কোল কলিকাতা আইসে বা চা বাগানে যায় তাহাদের মধ্যে আমি কাহাকেও রূপবান্‌ দেখি নাই</t>
  </si>
  <si>
    <t>তিরস্কারের কিছু থাকে তিরস্কার করো</t>
  </si>
  <si>
    <t>ছোটবেলায় গোল্লাছুট ছিলো আমার প্রিয় খেলা。</t>
  </si>
  <si>
    <t>এরপর আমি উল্লেখ করব আমার আরেক বন্ধু নিয়াজ রশীদের নাম</t>
  </si>
  <si>
    <t>চাচামিয়া ঠোঁট চাইপ্যা ধরেন</t>
  </si>
  <si>
    <t>গভীর স্তরে কারও সাথে সংযোগ ঘনিষ্ঠতা নিয়ে আসে</t>
  </si>
  <si>
    <t>রবিন চুমকিকে ঘরে আসতে বলল</t>
  </si>
  <si>
    <t>বীভৎস বন্ধনপাশ হইতে নিজেকে মুক্ত করিয়া লইবার মত জোর সে নিজের মধ্যে কিছুতেই খুঁজিয়া পায় নাই</t>
  </si>
  <si>
    <t>আমি সেই ছায়ায় বসিয়া দুনিয়া দেখিতাম</t>
  </si>
  <si>
    <t>বিছানার কাছে গিয়া কুসুম বলিল সন্ধে হতে না হতে খোঁজ নিতে এসেছে মতি</t>
  </si>
  <si>
    <t>পথিমধ্যে কতকগুলি কোলকন্যার সহিত সাক্ষাৎ হইল</t>
  </si>
  <si>
    <t>তারা অনর্গল সাধু ভাষায় লিখিয়া যাইতে পারিতেন</t>
  </si>
  <si>
    <t>সাহসিকতার সাক্ষ্য দেওয়া আমার মধ্যে সাহসকে অনুপ্রাণিত করে</t>
  </si>
  <si>
    <t>ভাজা কুমড়ার বীজ স্বাস্থ্যকর খাবার সরবরাহ করে</t>
  </si>
  <si>
    <t>এতটা ক্ষিধে পেয়েছে তিনি বুঝতেই পারেন নি</t>
  </si>
  <si>
    <t>কৃষি বিপণন ভোক্তা বা ব্যবসার কাছে কৃষি পণ্যের প্রচার বিক্রয় জড়িত</t>
  </si>
  <si>
    <t>আপনার ইমোজি প্রতিক্রিয়া মন্তব্য করুন</t>
  </si>
  <si>
    <t>সে আমাকে বিষয়টি বুঝাইয়া দিয়াছিল</t>
  </si>
  <si>
    <t>এ সময়ে পলায়ন ছাড়া পরিত্রাণ নাই বিচ্ছেদ ছাড়া ঔষধ নাই</t>
  </si>
  <si>
    <t>কোন প্রশ্ন না করিয়া উঠিয়া ভিতরে চলিয়া গেল</t>
  </si>
  <si>
    <t>তাহার সুন্দর মুখ দেখিয়া ভুলিয়া যাইও না</t>
  </si>
  <si>
    <t>নৌকায় বসিয়াই সে দেখিতে পায় খালের মনুষ্যবর্জিত তীরে সন্ধ্যার আবছা আলোয় গাছে ঠেস দিয়া ভূতের মত একটা লোক দাঁড়াইয়া আছে</t>
  </si>
  <si>
    <t>এই পুরস্কারটি সেরা বিদেশী ভাষার চলচ্চিত্র হিসেবে দেয়া হয়েছিল</t>
  </si>
  <si>
    <t>ফাহিম আমি স্কুলে গিয়েছিলাম</t>
  </si>
  <si>
    <t>আরেকজনের কথা উল্লেখ না করলেই নয়</t>
  </si>
  <si>
    <t>এর সাহিত্যগুণ আজও চিত্তাকর্ষক</t>
  </si>
  <si>
    <t>তাদের যাত্রাটি অপ্রত্যাশিত মোড় বাঁক দিয়ে পূর্ণ ছিল এটিকে একটি অবিস্মরণীয় অ্যাডভেঞ্চার করে তুলেছে</t>
  </si>
  <si>
    <t>গল্প করা এ বয়সের রোগ কেহ শুনুন বা না শুনুন বৃদ্ধ গল্প করে</t>
  </si>
  <si>
    <t>সন্ধ্যার আকাশের সেই চাঁদটা খুব সুন্দর লাগিতেছিল</t>
  </si>
  <si>
    <t>এখন এ সকল কচকচি যাক</t>
  </si>
  <si>
    <t>সাড়া দিয়া ধীরে ধীরে বাহিরে আসিয়া দাঁড়াইল</t>
  </si>
  <si>
    <t>এদিকে শ্বশুরবাড়ি উঠিতে বসিতে মেয়েকে খোঁটা দিতেছে</t>
  </si>
  <si>
    <t>রনি রহমানের কাছে গিয়েছিল</t>
  </si>
  <si>
    <t>সে আমাকে সঠিক উত্তরটি বলতে পারেনি</t>
  </si>
  <si>
    <t>আমি কাজটি ভালো করে করেছি</t>
  </si>
  <si>
    <t>এরপর প্রথম উপন্যাস</t>
  </si>
  <si>
    <t>তিনি প্রাতিষ্ঠানিক শিক্ষায় শিক্ষিত ছিলেন না</t>
  </si>
  <si>
    <t>তিনি কোন মতে কাষ্ঠভার বহিয়া আনিতে লাগিলেন</t>
  </si>
  <si>
    <t>সে গাছ থেকে একটি আম পারিয়াছিল</t>
  </si>
  <si>
    <t>রৌদ্র উঠিয়া শিশির মরিয়া গেছে গাছপালা নির্মল আলোকে ঝলমল করিতেছে</t>
  </si>
  <si>
    <t>সংবাদটা পেয়ে সে খুবই ব্যথিত হইয়াছিল</t>
  </si>
  <si>
    <t>অপ্রকাশিত কথাগুলো সে আমাকে বলিতে ব্যর্থ হইয়াছে</t>
  </si>
  <si>
    <t>সতের বছর বয়সে ভাবতাম জীবনে খুব আরামে থাকবো কোনো টেনশন থাকবে না</t>
  </si>
  <si>
    <t>এক অসাধারণ পরিবেশ বিরাজ করত</t>
  </si>
  <si>
    <t>কৃষি বীমা কৃষকদের আবহাওয়ার ঘটনা বা বাজারের ওঠানামার কারণে ক্ষতির হাত থেকে রক্ষা করে</t>
  </si>
  <si>
    <t>তার জীবনে এমন বিস্ময়কর ঘটনা ঘটে নি</t>
  </si>
  <si>
    <t>শুভ অল্প বয়সেই মারা যান তার তিন সন্তান রয়েছে</t>
  </si>
  <si>
    <t>মা চীৎকার করিয়া কহিলেন অ্যাঁ তুই আমার গায়ে হাত তুলিস</t>
  </si>
  <si>
    <t>তাহারা ফল কিনিতে বাজারে গিয়াছিলাম</t>
  </si>
  <si>
    <t>পথে দেখি একটি যুবা বীরদর্পে পাহাড়ের দিকে যাইতেছে</t>
  </si>
  <si>
    <t>সে সেই পোস্টআপিস গৃহের চারি দিকে কেবল অশ্রুজলে ভাসিয়া ঘুরিয়া ঘুরিয়া বেড়াইতেছিল</t>
  </si>
  <si>
    <t>চাহিয়া দেখি আমাদের রহমতকে দুইপাহারাওয়ালা বাঁধিয়া লইয়া আসিতেছে</t>
  </si>
  <si>
    <t>মাঝে মাঝে নিজেকে অনেক একা মনে হয় আমি একা নই</t>
  </si>
  <si>
    <t>রুমা আমার কথা তার মাকে বলেছে</t>
  </si>
  <si>
    <t>বয়সের সঙ্গে সঙ্গে ক্ষিধে সহ্য করার ক্ষমতাও মানুষের কমে যায়</t>
  </si>
  <si>
    <t>তুমি কি পড়া শুরু করেছো</t>
  </si>
  <si>
    <t>সাকিব মসজিদে গিয়ে নামাজ পড়েছে</t>
  </si>
  <si>
    <t>তাহাদের কথা মত অগ্রসর হইলাম</t>
  </si>
  <si>
    <t>আমার চুলের যে অবস্থা হয়েছিল তাহা বলিবার অপেক্ষা রাখেনা</t>
  </si>
  <si>
    <t>সে কিছুই টের পাইল না</t>
  </si>
  <si>
    <t>অথচ কেহ চলে না দোলে না টলে না</t>
  </si>
  <si>
    <t>গগণে চাঁদ উঠিলেই সে দৌড়াইয়া তাহা দেখিতে যায়</t>
  </si>
  <si>
    <t>যুদ্ধের কারণে এভাবেই আমরা নানা সমস্যায় জর্জরিত হয়েছিলাম</t>
  </si>
  <si>
    <t>প্রতিক্রিয়া গঠনমূলক সমালোচনার জন্য উন্মুক্ত থাকুন এটি শেখার বৃদ্ধির সুযোগ হিসাবে ব্যবহার করুন</t>
  </si>
  <si>
    <t>শিক্ষা ব্যক্তিগত বিকাশের মাধ্যমে নিজের মধ্যে বিনিয়োগ করা বৃহত্তর উপার্জনের সম্ভাবনার দিকে নিয়ে যেতে পারে</t>
  </si>
  <si>
    <t>উন্নতির এই অগ্রযাত্রায় আমি অংশ নিতে চাই</t>
  </si>
  <si>
    <t>সত্য বলে ধরে নেয়া হয় বা স্বীকার করে নেয়া হয়</t>
  </si>
  <si>
    <t>একটি বৃদ্ধ আবক্ষ শ্বেত শ্মশ্রুতে পরিপ্লুত মাথায় প্রকাণ্ড পাগড়ি তাহার পার্শ্বে একটি স্ত্রীলোক বোধ হয় যেন যুবতী</t>
  </si>
  <si>
    <t>তাহার ঘরের দ্বারে করাঘাত করিয়া সত্বর হইবার জন্য অনুরোধ করিয়া আসিয়াছিল</t>
  </si>
  <si>
    <t>রামসুন্দর প্রায়ই মেয়েকে দেখিতে যান বেহাইবাড়িতে তাঁর কোনো প্রতিপত্তি নাই</t>
  </si>
  <si>
    <t>তোমার যাইতে ইচ্ছা করে না</t>
  </si>
  <si>
    <t>শহর তাহার মনে যে ছাপ দিয়াছিল তাহা মুছিবার নয় সে শুধু ছাপ দাগা নয়</t>
  </si>
  <si>
    <t>বিশেষ আপেক্ষিকতা বিশেষ আপেক্ষিকতা</t>
  </si>
  <si>
    <t>হঠাৎ চারদিক শান্ত হয়ে গেল</t>
  </si>
  <si>
    <t>তাপমাত্রা আরেকটু বাড়লেই মনে হচ্ছে সেদ্ধ হয়ে যাবো</t>
  </si>
  <si>
    <t>সে বলল আত্নীয় পরিজন ছেড়ে সুদূর বিদেশে যাওয়া আমার ঠিক হবে না</t>
  </si>
  <si>
    <t>দেশের জন্য শহীদ হওয়ার মর্যদা অনেক</t>
  </si>
  <si>
    <t>সে গৃহে বসিয়া দেখে উঠানে ছায়া পড়িতেছে</t>
  </si>
  <si>
    <t>ইহাতে তোমার ভাগ্য খুলিলেও খুলিতে পারে</t>
  </si>
  <si>
    <t>এ মদ এত সস্তা আমাদের ধেনোরও সেই দোষ</t>
  </si>
  <si>
    <t>সত্য করিয়া বলো আমার চোখের বালিকে কেমন লাগিল</t>
  </si>
  <si>
    <t>সে দীর্ঘ সময় কোনো কথা না বলিয়া বিবর্ণ মুখে বসিয়া ছিলো</t>
  </si>
  <si>
    <t>সংবাদ সম্প্রচার বিশ্বজুড়ে সর্বশেষ ঘটনা সম্পর্কে আপডেট প্রদান করে</t>
  </si>
  <si>
    <t>এরা চাগতাই খান তৈমুরের মাধ্যমে নিজেদের চেঙ্গিস খানের বংশধর বলে দাবি করতেন</t>
  </si>
  <si>
    <t>আমি আমার গাড়ির ইঞ্জিনের শব্দ ভালোবাসি এটা আমার কানে সঙ্গীত</t>
  </si>
  <si>
    <t>আপনার ভুলের মালিকানা নিন সেগুলি থেকে শিখুন</t>
  </si>
  <si>
    <t>গ্রাফিক ডিজাইনার মার্কেটিং প্রচারাভিযানের জন্য দৃশ্যত অত্যাশ্চর্য গ্রাফিক্স তৈরি করেছেন</t>
  </si>
  <si>
    <t>দৃষ্টি নিক্ষেপ করিতেই টেবিলের উপর রক্ষিত হলদে খামখানা চোখে পড়িল</t>
  </si>
  <si>
    <t>রানা আমার সঙ্গে কাজ করিয়াছিল</t>
  </si>
  <si>
    <t>মায়ের চেয়ে বাপ তাহাকে বেশি ভালোবাসিত বাপকে অল্প অল্প মনে আছে</t>
  </si>
  <si>
    <t>যুবা কোন কথা না বলিয়া চলিল</t>
  </si>
  <si>
    <t>রহিম এখন মাদ্রাসা হতে ফিরে আসবে</t>
  </si>
  <si>
    <t>ব্যাসদেব চাইলেন এই মহান কাহিনি সিদ্ধিদাতা গণেশের দ্বারা লিপিবদ্ধ হোক</t>
  </si>
  <si>
    <t>আপনার সেভিংস অ্যাকাউন্টে স্বয়ংক্রিয় স্থানান্তর সেট আপ করা আপনাকে ধারাবাহিকভাবে সঞ্চয় করতে সহায়তা করতে পারে</t>
  </si>
  <si>
    <t>অস্টিওআর্থারাইটিস একটি ডিজেনারেটিভ জয়েন্ট রোগ যা তরুণাস্থি ভাঙ্গন জয়েন্টে ব্যথার কারণ হয়</t>
  </si>
  <si>
    <t>বাবা তার মেয়েকে বলেছিল তুমি আমার মেয়ে হয়েও অপরিচিত শত্রুদের সাহায্য করেছ</t>
  </si>
  <si>
    <t>উহাদের মধ্যে আরো একটা কথা প্রচলিত ছিল</t>
  </si>
  <si>
    <t>সেই পাহাড়ের কথা আবার লিখিতে বসিয়াছি বলিয়া আমার আহ্লাদ হইতেছে</t>
  </si>
  <si>
    <t>আমাকে তুমি ডাকিতে আসিও না</t>
  </si>
  <si>
    <t>ছেলেরা কোমর বাঁধিয়া ঠেলিতে আরম্ভ করিল</t>
  </si>
  <si>
    <t>আসুন এইখানি ঠেলিয়া তুলি</t>
  </si>
  <si>
    <t>আপনি জানেন কি আপনার জন্য সেরা</t>
  </si>
  <si>
    <t>তাদের দুঃসাহসিক মনোভাব সংক্রামক ছিল অন্যদের তাদের যাত্রায় তাদের সাথে যোগ দিতে অনুপ্রাণিত করেছিল</t>
  </si>
  <si>
    <t>শিল্পী বেগম বাজারে গিয়েছিলেন</t>
  </si>
  <si>
    <t>ভাত ডালের ব্যবস্থা করত</t>
  </si>
  <si>
    <t>রনি তার ভাইয়ের সাথে স্কুলে যাবে</t>
  </si>
  <si>
    <t>তখনো ঝুপ্‌ ঝুপ্‌ করিয়া অবিশ্রাম বৃষ্টি পড়িতেছে রাস্তায় একহাঁটু জল দাঁড়াইয়া গিয়াছে</t>
  </si>
  <si>
    <t>তাহার কেরোসিনের হিসাব বুঝিয়া লইলেই সে সরকারবাবুর কাছ হইতে বেতন চুকাইয়া লইয়া কাজ ছাড়িয়া দিয়া চলিয়া যাইবে</t>
  </si>
  <si>
    <t>রহিম করিমকে দেখিতে গিয়াছিল</t>
  </si>
  <si>
    <t>প্রচুরতম লোকের প্রভূততম সুখসাধনের প্রধান চেলা ছিল তাঁর শচীশ</t>
  </si>
  <si>
    <t>আইন ই আকবরিতে হিন্দুস্তান নামটি উল্লেখ রয়েছে</t>
  </si>
  <si>
    <t>পরে তিনি ধর্মীয় অণুমোদন চান</t>
  </si>
  <si>
    <t>সালের সাতই জুন দুই পক্ষ যুদ্ধ থামায়</t>
  </si>
  <si>
    <t>সজল নামাজ পড়ে স্কুলে যাবে</t>
  </si>
  <si>
    <t>কর্ম হল হিন্দুধর্ম বৌদ্ধধর্মের কারণ প্রভাবের আইন যা একজনের ভাগ্যকে গঠন করে</t>
  </si>
  <si>
    <t>বকবিকি করিলে সবসময় কানেও তোলে না নিজের মনে ঘরের কাজ করিয়া যায়</t>
  </si>
  <si>
    <t>রতন কোনো কথা জিজ্ঞাসা করিল না</t>
  </si>
  <si>
    <t>শুনিয়াছি অন্যজাতীয় মনুষ্য দেখিলে তাহারা পলায়</t>
  </si>
  <si>
    <t>কেন না আমার একজন পরিচারক এক দিন এই মদ্য পান করিয়া বিস্তর কান্না কাঁদিয়াছিল</t>
  </si>
  <si>
    <t>বিশেষ চাহিদা সম্পন্ন ব্যক্তিগণ মেট্রোরেলে বৈধ পরিচয় পত্র প্রদর্শন করিয়া শতাংশ ভাড়া ছাড় পাইয়া থাকিবে</t>
  </si>
  <si>
    <t>তারা তাদের পরীক্ষা নিয়ে খুবই চিন্তিত ছিলো</t>
  </si>
  <si>
    <t>আমার চাচার পরামর্শ আমার জন্য অমূল্য হয়</t>
  </si>
  <si>
    <t>সেদিন রাতে অনেক বৃষ্টি হয়েছিলো。</t>
  </si>
  <si>
    <t>সাহিত্যে অবদানের জন্য সালে তিনি নোবেল পুরস্কার লাভ করেন</t>
  </si>
  <si>
    <t>প্রতিদিনের অনুপ্রেরণার জন্য অনুসরণ করুন</t>
  </si>
  <si>
    <t>খুড়ির এইরূপ দূরভাব দেখিয়া মহেন্দ্র রাগ করিল আশাও অভিমান করিয়া রহিল</t>
  </si>
  <si>
    <t>সে পরমুহূর্তেই তার নিজের ভুলটি বুঝতে পেরেছিল。</t>
  </si>
  <si>
    <t>বিস্তর বমি করিয়াছিল তাহার প্রাণও যথেষ্ট খুলিয়াছিল</t>
  </si>
  <si>
    <t>সে সতর্কতার সাথে তার কাজটি সম্পন্ন করেছিল。</t>
  </si>
  <si>
    <t>আপনি যা কিছু করেন তাতে মননশীলতা উপস্থিতি অনুশীলন করুন প্রতিটি মুহূর্ত উপভোগ করুন</t>
  </si>
  <si>
    <t>এর মধ্যে একজন উপদেশ দিতে এগিয়ে এলো</t>
  </si>
  <si>
    <t>আজকে প্রথম স্যালারি পেলাম বাবার হাতে টাকাটা দিয়ে বললাম বাবা এই নাও</t>
  </si>
  <si>
    <t>শাহেদের বাবার মৃত্যু হয়</t>
  </si>
  <si>
    <t>নাজনীন একজন সুদর্শন পোশাক কর্মীর প্রেমে পড়ে যে তার ফ্ল্যাটে আসে</t>
  </si>
  <si>
    <t>একবার একজন শ্রোতা রাগ করিয়া বলিয়াছিলেন</t>
  </si>
  <si>
    <t>যাহা কিছু আমরা ভালোবাসি তাহা সমুদয় অবিকল সেই পটে থাকিতেছে</t>
  </si>
  <si>
    <t>জঙ্গল নামিয়া ক্রমে স্পষ্ট হইয়াছে</t>
  </si>
  <si>
    <t>পর্ব্বতছায়ায় সে প্রান্তর আরও রম্য হইয়াছে</t>
  </si>
  <si>
    <t>আমিও হাসিয়া তাহাদের সঙ্গে চলিলাম</t>
  </si>
  <si>
    <t>কর্পোরেট শাসন কাঠামো নৈতিক মান জবাবদিহিতা বজায় রাখে</t>
  </si>
  <si>
    <t>প্রাকৃতিক উত্স থেকে প্রাপ্ত বায়োপেস্টিসাইডগুলি কীটপতঙ্গ নিয়ন্ত্রণের জন্য পরিবেশ বান্ধব বিকল্প সরবরাহ করে</t>
  </si>
  <si>
    <t>এই বইতে আমার জীবনের ক্ষুদ্র অজানা ঘটনাগুলো রয়েছে</t>
  </si>
  <si>
    <t>সালে লাভ করেন লন্ডন নগরীর অনারারি ফ্রিডম উপাধি</t>
  </si>
  <si>
    <t>বিপর্যস্ত ঢেউয়ের উপরে বর্ধিত ক্লিফগুলি প্রকৃতির শক্তির প্রমাণ</t>
  </si>
  <si>
    <t>কাল তোমাদের কী কথা হইল ভাই</t>
  </si>
  <si>
    <t>রামসুন্দর তাহা জানিতেন সে সম্বন্ধে তামাক খাইতে খাইতে বৃদ্ধ অনেক চিন্তা করিয়াছেন</t>
  </si>
  <si>
    <t>তুই নিজের চোখে দেখেছিস না শুনেছিস</t>
  </si>
  <si>
    <t>তদনুসারে আমি নতশিরে চলিলাম</t>
  </si>
  <si>
    <t>পায়ের নীচে খোলা নর্দমা চলিবার পথ</t>
  </si>
  <si>
    <t>ইরতাজউদ্দিন কাশেমপুরীর হাতে ধবধবে সাদা রঙের একটা রাজহাঁস</t>
  </si>
  <si>
    <t>আমি তার মঙ্গল কামনা করেছিলাম</t>
  </si>
  <si>
    <t>অধিকাংশ ক্ষেত্র ভয়ে হার্ট অ্যাটাক মৃত্যুর কারণ</t>
  </si>
  <si>
    <t>স্বল্পভাষী লাজুক স্বভাবের ছিলেন</t>
  </si>
  <si>
    <t>মাই জার্নি আমার অন্য সকল বইয়ের মতো না</t>
  </si>
  <si>
    <t>আমাকে কখনো কাহারো সঙ্গে বিবাহের জন্য অনুরোধ করিয়ো না</t>
  </si>
  <si>
    <t>উদ্ধব মথুরা হইতে বৃন্দাবনে আসিয়া রাধার কুঞ্জে উপস্থিত হইলে গোপীগণ আপনাদের দুঃখের কথা তাঁহার নিকট বলিতেছেন</t>
  </si>
  <si>
    <t>সাঁওতালেরাও এক সময় আর্য্যগণ কর্ত্তৃক বিতাড়িত হইয়া দামিনীকোতে পলায়ন করিয়াছিল</t>
  </si>
  <si>
    <t>কোন একটি দ্রব্য দেখিয়া বা কোন একটি সুর শুনিয়া অনেকের মনে হঠাৎ একটা সুখের আলোক আসিয়া উপস্থিত হয়</t>
  </si>
  <si>
    <t>কলাগাছে ঝড় শিমূল গাছে সমীরণ</t>
  </si>
  <si>
    <t>তারা ইরতাজউদ্দিনকে ঘিরে দাঁড়িয়ে রইল</t>
  </si>
  <si>
    <t>নামকরণ গ্রেট হোয়াইট সবসময় নামে পরিচিত ছিল না</t>
  </si>
  <si>
    <t>একজনও যেন বাদ না যায়</t>
  </si>
  <si>
    <t>আমি আমার পিতামাতার শক্তি</t>
  </si>
  <si>
    <t>সে আমাকে একটি গল্পের বই কিনে দিয়েছিল</t>
  </si>
  <si>
    <t>সে তাড়াতাড়ি উঠিয়া বসিয়া জানালা খুলিয়া মুখ বাড়াইয়া দেখিল</t>
  </si>
  <si>
    <t>তাহার একটি ডালে অনেক দিনের পর চারি পাঁচটি ফুল ফুটিয়াছিল</t>
  </si>
  <si>
    <t>অপরিচিত স্থানে গেলে হয় উদ্ধত নয় অপ্রতিভ হইয়া থাকে</t>
  </si>
  <si>
    <t>একজন কর্মজীবী লোকের জীবন কেমন হয়</t>
  </si>
  <si>
    <t>ঐ মৌসুমে সিটি লীগ কাপ শিরোপাও জিতে</t>
  </si>
  <si>
    <t>আমাকে এটা করতে দিও না</t>
  </si>
  <si>
    <t>আমার ত্বকও আগের তুলনায় অধিক বাদামি হয়ে গেল</t>
  </si>
  <si>
    <t>মূলত যুদ্ধে ব্যবহৃত রথে এধরণের চাকা তারা ব্যবহার করতো</t>
  </si>
  <si>
    <t>রুমি আমার সঙ্গে পড়িতে বসিয়াছিল</t>
  </si>
  <si>
    <t>যে একবার পাঁচ টাকা মাত্র কর্জ্জ করিল সে সেই দিন হইতে আপন গৃহে কিছুই লইয়া যাইতে পাইবে না</t>
  </si>
  <si>
    <t>সুফল আমাকে ভাত খাইতে বলিয়াছিল</t>
  </si>
  <si>
    <t>যেখানে কেহ একা আছে দেখিতেন সেইখানে গিয়া গল্প আরম্ভ করিতেন</t>
  </si>
  <si>
    <t>শুনিয়াছি দুই একবার নাকি সত্য সত্যই মাথা ফাটাফাটিও হইয়া গিয়াছে</t>
  </si>
  <si>
    <t>আমার কথা শুনে রহিম এটা বলল</t>
  </si>
  <si>
    <t>একটি ইতিবাচক মানসিকতা গড়ে তুলুন</t>
  </si>
  <si>
    <t>মেয়েটার জন্য আমি একটা চকলেট কিনেছিলাম</t>
  </si>
  <si>
    <t>কৃষি অর্থনীতি কৃষি উৎপাদনে সম্পদের বরাদ্দ নিয়ে গবেষণা করে</t>
  </si>
  <si>
    <t>ফ্রিম্যাসনরি ফ্রিম্যাসনরি একটি গুপ্ত ভ্রাতৃসংঘ</t>
  </si>
  <si>
    <t>মনে মনে কেবলই বৃথা আন্দোলন করিতে লাগিল</t>
  </si>
  <si>
    <t>এই ভাবনায় ডুবিয়া দিন রাত কঠোর পরিশ্রম করিতেও গায়ে বাধিত না</t>
  </si>
  <si>
    <t>তাহার মা বাপের কথা মনে পড়ে না</t>
  </si>
  <si>
    <t>নদীর পাশের বাড়িটি বন্যায় ধ্বংস হইয়া গিয়াছিল</t>
  </si>
  <si>
    <t>শান্ত চোরকে বাঁধিয়া রাখিয়াছিল</t>
  </si>
  <si>
    <t>আমি এটা করতে আসব না</t>
  </si>
  <si>
    <t>সংবাদপত্রের জনস্বার্থের জন্য একটি প্রহরী হিসাবে কাজ করার দীর্ঘ ইতিহাস রয়েছে</t>
  </si>
  <si>
    <t>মানুষ খারাপ কাজ শয়তানের ধোকায় করে বলে এ ধর্মগুলোতে বলা হয়</t>
  </si>
  <si>
    <t>মিশ্রিত ভিনেগার গুরমেট ছোঁয়া যোগ করে</t>
  </si>
  <si>
    <t>এরমধ্যে বাবাও ঘুম থেকে উঠে যেতেন</t>
  </si>
  <si>
    <t>কেহই কোন কথা কহিল না</t>
  </si>
  <si>
    <t>একবার ব্যাঘ্রের প্রতি চাহিল তাহার পর প্রস্তর ঘোর রবে প্রাঙ্গণে পড়িল</t>
  </si>
  <si>
    <t>আমার ইহা পরিবর্তন করিতে হইবে</t>
  </si>
  <si>
    <t>বৈকল্যে সুরভী উদ্যানে বসিয়া থাকিব</t>
  </si>
  <si>
    <t>সে রাস্তার একপাশে নিঃশব্দে দাঁড়াইয়া রহিল</t>
  </si>
  <si>
    <t>বিজ্ঞানী তাদের অনুমান পরীক্ষা করার জন্য পরীক্ষা চালান</t>
  </si>
  <si>
    <t>টেকসই কৃষির লক্ষ্য ভবিষ্যৎ প্রজন্মের সাথে আপস না করে বর্তমান চাহিদা মেটানো</t>
  </si>
  <si>
    <t>রিনা সুন্দর মুখ দেখে ভুলনা</t>
  </si>
  <si>
    <t>বাগান করা আনন্দ সন্তুষ্টি নিয়ে আসে</t>
  </si>
  <si>
    <t>ক্রাইসিস ম্যানেজমেন্ট প্রোটোকল দ্রুত কার্যকর প্রতিক্রিয়া নিশ্চিত করে</t>
  </si>
  <si>
    <t>অসুস্থ ব্যক্তির জন্য আমি কিছু ফল কিনিয়াছিলাম</t>
  </si>
  <si>
    <t>রাত্রে অন্ধকার বারান্দায় সাবিত্রী চুপ করিয়া বসিয়াছিল</t>
  </si>
  <si>
    <t>তখন মেঘভ্রম হইল না পাহাড়গুলি স্পষ্ট চেনা যাইতে লাগিল</t>
  </si>
  <si>
    <t>দুয়ার খুলিয়া দেখি সে দাঁড়িয়ে রইয়াছে</t>
  </si>
  <si>
    <t>রশিদ রহিম গল্প পড়িতেছে</t>
  </si>
  <si>
    <t>নির্বাণের ধারণা বৌদ্ধধর্মে দুঃখকষ্ট থেকে মুক্তি পুনর্জন্মের প্রতিনিধিত্ব করে</t>
  </si>
  <si>
    <t>এই অবস্থানে আক্রমণকে গুরুত্ব দেয়া হয়েছে</t>
  </si>
  <si>
    <t>এই সংবাদগুলো মানুষজন মন দিয়ে পড়ত উৎসাহ নিয়ে আলোচনা করত</t>
  </si>
  <si>
    <t>আমি ভাত খাইয়ে খেলতে যাব</t>
  </si>
  <si>
    <t>জবাবদিহিতার জন্য একটি ওয়ার্কআউট বন্ধু খুঁজুন</t>
  </si>
  <si>
    <t>রাজু এখন ভাত খাইবে না</t>
  </si>
  <si>
    <t>সুমি অদ্য আমার সঙ্গে যাইবে</t>
  </si>
  <si>
    <t>মধ্যে যে ছেদ আছে তাহা অতি সামান্য</t>
  </si>
  <si>
    <t>তাহার হাসিতে চকিত হইলো আমার হৃদয়</t>
  </si>
  <si>
    <t>এখন পর্ব্বত কেবল প্রস্তরময় বন কেবল কণ্টকাকীর্ণ অধিবাসীরা কেবল কদাচারী বলিয়া স্মরণ হয়</t>
  </si>
  <si>
    <t>ক্যারিয়ারের পরামর্শের জন্য সাবস্ক্রাইব করুন</t>
  </si>
  <si>
    <t>তাদের ছেড়ে দিন যারা আপনার শক্তি নিষ্কাশন করে বা আপনাকে আটকে রাখে</t>
  </si>
  <si>
    <t>প্যারিসে ফ্ল্যাকি ক্রসেন্ট পরিবহন</t>
  </si>
  <si>
    <t>সচেতনতার জন্য রিটুইট করুন</t>
  </si>
  <si>
    <t>করিম শিক্ষা নিয়ে আবার ফিরে আসবে</t>
  </si>
  <si>
    <t>জ্যোতিষ নির্বাক হইয়া শুধু ভগিনীর মুখের প্রতি চাহিয়া বসিয়া রহিল</t>
  </si>
  <si>
    <t>বসন্তকালে প্রতিটি গাছ সুন্দর সবুজ হইয়া থাকে</t>
  </si>
  <si>
    <t>তারপর রান্নাঘর হইতে একটা জ্বলন্ত কাঠ আনিয়া ঢুকিতে যায় শোবার ঘরে</t>
  </si>
  <si>
    <t>মোক্ষদা তখন সবিস্তারে তাহাকে শোনায় তাহার আছাড় খাওয়ার বৃত্তাত্ত</t>
  </si>
  <si>
    <t>স্বদেশে কোল মাত্রেই রূপবান্‌ অন্তত আমার চক্ষে</t>
  </si>
  <si>
    <t>সালে বছর বয়সে মারফি মারা যান</t>
  </si>
  <si>
    <t>আমি আমার গাড়ির জন্য রিমগুলির একটি নতুন সেট পেয়েছি তারা মসৃণ দেখায়</t>
  </si>
  <si>
    <t>কোম্পানির শেয়ারের মালিকরা নিয়মিতভাবে আকর্ষণীয় মুনাফা লাভ করতেন</t>
  </si>
  <si>
    <t>এর গাত্রবর্ণ উজ্জ্বল সবুজ</t>
  </si>
  <si>
    <t>পেশাগত শিক্ষার সম্প্রদায় শিক্ষক সহযোগিতা বৃদ্ধি সহজতর</t>
  </si>
  <si>
    <t>আমি তাহাকে আমার মার সাথে পরিচয় করাইয়া দিয়াছিলাম</t>
  </si>
  <si>
    <t>স্ত্রী পাড়ার কারো বাড়ি গেলে রাগে দুঃখে এক একদিন সে কাদিয়াও ফেলে</t>
  </si>
  <si>
    <t>কুসুমকে এ বাড়ির সকলে ভয় করে</t>
  </si>
  <si>
    <t>সিরাজ আমাদের সঙ্গে খেলিতে চাইয়াছে</t>
  </si>
  <si>
    <t>অসুরেরা আসিয়া আর্য্যগণের গোরু কাড়িয়া লইয়া যাইত ঘৃত খাইয়া পলাইত</t>
  </si>
  <si>
    <t>সজীব কাজটি করতে পারবে না</t>
  </si>
  <si>
    <t>আমি এটা করতে চেয়েছিলাম</t>
  </si>
  <si>
    <t>শরিফ বাকি জীবন আরামে কাটাবে</t>
  </si>
  <si>
    <t>বিপণন সমন্বয়কারী ব্র্যান্ড সচেতনতা প্রচারের জন্য সামাজিক মিডিয়া প্রচারাভিযানের আয়োজন করে</t>
  </si>
  <si>
    <t>ছাতিম হলো পল্লী গ্রামের গাছ</t>
  </si>
  <si>
    <t>অদ্য আমরা কাজ করিব</t>
  </si>
  <si>
    <t>সুমন আমার ইহা শুনিল না</t>
  </si>
  <si>
    <t>তাহার হইতে রফিক অনেক ভালো</t>
  </si>
  <si>
    <t>আশ্চর্য একটা আতঙ্ক আমাকে আস্তে আস্তে গ্রাস করিতে শুরু করিয়াছিল</t>
  </si>
  <si>
    <t>তুমি কালেজে গেছ বলিয়া চোখের বালিকে আমাদের ঘরে আনিব</t>
  </si>
  <si>
    <t>রুমি আমাকে তার বইটি দিয়েছিল</t>
  </si>
  <si>
    <t>একটি মোবাইল পেমেন্ট অ্যাপ ব্যবহার করে লেনদেন সম্পন্ন হয়েছে</t>
  </si>
  <si>
    <t>রানা আমাকে ডাকতে এসেছিল</t>
  </si>
  <si>
    <t>যুদ্ধে তিনি দুই দুইবার আহত হন</t>
  </si>
  <si>
    <t>গ্রামে এই সময়ে শীত থাকে</t>
  </si>
  <si>
    <t>ইহাতে সকলের প্রতি আমার অগাধ ভালোবাসার প্রমাণ দেওয়া হইবে</t>
  </si>
  <si>
    <t>তাহাদের যুবতীরা মৃত্তিকারঞ্জিত আপন আপন বাহুর প্রতি আড়নয়নে চাহিতেছে হাসিতেছে</t>
  </si>
  <si>
    <t>মাতা আমাকে স্কুলে পড়িতে যাইতে বলিল</t>
  </si>
  <si>
    <t>ফটিক লাফাইয়া উঠিল বলিল যাব</t>
  </si>
  <si>
    <t>আমি ব্রাহ্মণ সন্তান</t>
  </si>
  <si>
    <t>শহরে ভিন্ন ধর্মালম্বীদের উপাসনার জন্য একটি মসজিদ চার্চও ছিল</t>
  </si>
  <si>
    <t>আপনার সময় শক্তি মঙ্গল রক্ষা করার জন্য সীমানা নির্ধারণ করুন</t>
  </si>
  <si>
    <t>আপনার সৃজনশীল প্রকল্পগুলি ভাগ করুন</t>
  </si>
  <si>
    <t>ক্লকওয়ার্কের মতো করেই সংবাদপত্রের বান্ডিলগুলো প্লাটফর্মে ছুঁড়ে ফেলা হতো</t>
  </si>
  <si>
    <t>দরজা খোলা লোকটাকে এখনো দেখা যাচ্ছে</t>
  </si>
  <si>
    <t>পূর্বে মাঝে মাঝে ঠিক সময়মত আহার প্রস্তুত হইত না এ</t>
  </si>
  <si>
    <t>বাদলের রাত্রি গভীর হওয়ার আগে সবগুলি দোকানই এখন বন্ধ হইয়া গিয়াছে</t>
  </si>
  <si>
    <t>চতুর্দিকে প্রতিবেশীদের ঘরে খোঁজ করিয়া তাহার কোনো সন্ধান পাওয়া গেল না</t>
  </si>
  <si>
    <t>প্রতিমাবিসর্জনের সমারোহ সম্বন্ধে জেলার মধ্যে রায়চৌধুরিদের যেমন লোকবিখ্যাত প্রতিপত্তি আছে বড়োবউয়ের সৎকার সম্বন্ধে রায়বাহাদুরদের তেমনি একটা খ্যাতি রটিয়া গেল</t>
  </si>
  <si>
    <t>সে বাঘ না মারিয়া কোন্ মুখে জল গ্রহণ করিব</t>
  </si>
  <si>
    <t>আরও ছবি দেখতে ক্লিক করুন</t>
  </si>
  <si>
    <t>কবর নাটকটি তাদের চেষ্টায় কারাগারে মঞ্চস্থ হতে পেরেছিল</t>
  </si>
  <si>
    <t>ঘন জটলা জঙ্গলের মধ্য দিয়ে অতিক্রম করে তারা দৃঢ় সংকল্প নিয়ে এগিয়ে গেল</t>
  </si>
  <si>
    <t>শিক্ষক ছাত্রের মিথস্ক্রিয়া কার্যকর শেখার ফলাফলকে উৎসাহিত করে</t>
  </si>
  <si>
    <t>সফ্টওয়্যারটির ব্যবহারকারী ইন্টারফেসটি স্বজ্ঞাত নেভিগেট করা সহজ ছিল</t>
  </si>
  <si>
    <t>তাহাদের এক পয়সা সঞ্চয় নাই</t>
  </si>
  <si>
    <t>সকালে বকুলতলা খুঁজিতে আসিয়া দেখিবে পুতুল নাই</t>
  </si>
  <si>
    <t>কি পাহাড় কি তলস্থ স্থান সমুদয় যেন মেঘদেহের ন্যায় কুঞ্চিত লোমরাজিদ্বারা সর্ব্বত্র সমাচ্ছাদিত বোধ হইতে লাগিল</t>
  </si>
  <si>
    <t>আমি ব্যাপারটি বুঝিয়া আমার বিছানা গুটাইয়া লইয়া তাহাদের স্থান করিয়া দিলাম</t>
  </si>
  <si>
    <t>ফোঁটা ফোঁটা জল পড়িতে শুরু করিয়াছিল ঝড়ের বেগ মন্দীভূত হইলেও থামে নাই</t>
  </si>
  <si>
    <t>সাথিয়া ফিল্মফেয়ার পুরস্কার এর ছয় পুরস্কার জিতেছে</t>
  </si>
  <si>
    <t>আমি সৎ পথে উপার্জন করতেছি</t>
  </si>
  <si>
    <t>রাজনৈতিক কারণে দুবার তিনি কারাবরণ করেন</t>
  </si>
  <si>
    <t>কেউ এমনটা করতে পারে সাফল্য তার জন্য সময়ের ব্যাপার মাত্র</t>
  </si>
  <si>
    <t>অনুসন্ধানী সাংবাদিকরা প্রায়ই তাদের গল্পগুলি অনুসরণ করতে বাধা ঝুঁকির সম্মুখীন হন</t>
  </si>
  <si>
    <t>শেষ সন্ধ্যা হইলে তাঁবুতে ফিরিয়া আসিলাম</t>
  </si>
  <si>
    <t>আবার পালামৌর কথা লিখিতে বসিয়াছি</t>
  </si>
  <si>
    <t>কালেজের কাজ সারিয়া সে গোলদিঘির ধারে বেড়াইতে লাগিল</t>
  </si>
  <si>
    <t>দুজনে ধরাধরি করিয়া হারুকে তাহারা সাবধানে নৌকায় নামাইয়া আনিল</t>
  </si>
  <si>
    <t>শুনিয়া মিনি শ্বশুর নামক কোনো এক অপরিচিত জীবের দুরবস্থা কল্পনা করিয়া অত্যন্ত হাসিত</t>
  </si>
  <si>
    <t>সেই আগের জায়গায় বা হাতের কনুইয়ে</t>
  </si>
  <si>
    <t>কৃষি বৈচিত্র্য বাজারের ওঠানামা বা জলবায়ু ঝুঁকির বিরুদ্ধে খামারের স্থিতিস্থাপকতা বাড়াতে পারে</t>
  </si>
  <si>
    <t>কারা শিখদের ডানহাতে পড়ার বিশেষ বন্ধনী</t>
  </si>
  <si>
    <t>বিপজ্জনক ক্লিফগুলিকে স্কেলিং করে তারা স্টিলের স্নায়ু দিয়ে চক্কর দেওয়া উচ্চতায় আরোহণ করেছিল</t>
  </si>
  <si>
    <t>এই বইটি একটি পৃষ্ঠা টার্নার ছিল আমি এটি নামিয়ে রাখতে পারিনি</t>
  </si>
  <si>
    <t>এমন ঘটা করিয়া শ্রাদ্ধও কেবল রায়বাহাদুরদের বাড়িতেই সম্ভব শুনা যায় ইহাতে তাঁহাদের কিঞ্চিৎ ঋণ হইয়াছিল</t>
  </si>
  <si>
    <t>যেন অন্ধকার রাত্রির ভয়ঙ্কর ভূতের গল্পের মত তাহাকে ক্রমাগত এক হাতে টানিতে হাতে ঠেলিতে লাগিল</t>
  </si>
  <si>
    <t>ফটিকের বিদায়গ্রহণের জন্য এতাদৃশ আগ্রহ দেখিয়া তিনি ঈষৎ ক্ষুণ্ন হইলেন</t>
  </si>
  <si>
    <t>তাহারই মধ্যে একটিকে আমি বড় ভালবাসিতাম</t>
  </si>
  <si>
    <t>যে ব্যক্তি পারার্থ সেই ঘাটে আসিতেছে</t>
  </si>
  <si>
    <t>ভিনাইল রেকর্ড সংগ্রহ করা নস্টালজিক</t>
  </si>
  <si>
    <t>আমি তার সাথে বাজারে গিয়েছিলাম তার পছন্দের বইটি কিনতে</t>
  </si>
  <si>
    <t>শাবানার ছোট খালা ছিলেন তাঁর প্রিয় পাত্র</t>
  </si>
  <si>
    <t>রানা রহিমের কাছে থাকবে</t>
  </si>
  <si>
    <t>পরে আরমিন মাইভাসকে আটক করা হয়</t>
  </si>
  <si>
    <t>তাহা হইলেই লাতেহার পাহাড়ের কথা আমার শেষ হয়</t>
  </si>
  <si>
    <t>খেলার আরম্ভেই এইরূপ আশাতীত ফললাভ করিয়া অন্যান্য বালকেরা বিশেষ হৃষ্ট হইয়া উঠিল ফটিক কিছু শশব্যস্ত হইল</t>
  </si>
  <si>
    <t>তাহার পর কতক দূর গিয়া উভয়ে পাহাড়ে উঠিতে লাগিলাম</t>
  </si>
  <si>
    <t>তাহার লুচি খাওয়া গল্প বলা বন্ধ করিয়া জিজ্ঞাসা করিল আপনি শুনচেন না—কি ভাবচেন</t>
  </si>
  <si>
    <t>শচীশকে ছাড়িয়া যাওয়া আমার সাধ্য ছিল না</t>
  </si>
  <si>
    <t>এখান থেকে এ যাবৎ মোট জন ব্যক্তি নোবেল পুরস্কার জিতেছেন</t>
  </si>
  <si>
    <t>পরবর্তী বছরগুলোতেও এই সাম্প্রদায়িক ঐক্যের ধারা অব্যাহত থাকে</t>
  </si>
  <si>
    <t>অপ্রত্যাশিত খবর পাওয়া আমাকে হতবাক করে দিতে পারে</t>
  </si>
  <si>
    <t>অভ্যর্থনাকারী ফোন কল নির্ধারিত অ্যাপয়েন্টমেন্টের উত্তর দিয়েছেন</t>
  </si>
  <si>
    <t>বরফের একটি কম্বল মাটিকে ঢেকে দিয়েছে ল্যান্ডস্কেপটিকে একটি শীতকালীন আশ্চর্যভূমিতে রূপান্তরিত করেছে</t>
  </si>
  <si>
    <t>প্রথমে হাস্যমুখে পাড়ার খবর পাড়িলেন</t>
  </si>
  <si>
    <t>এক্ষণে যেরূপ অবস্থা তাহাতে অসুরকুল ধ্বংস হইয়াছে বলিলেও অন্যায় হয় না</t>
  </si>
  <si>
    <t>একটি সামান্য গ্রাম্য বালিকার করুণ মুখচ্ছবি যেন এক বিশ্বব্যাপী বৃহৎ অব্যক্ত মর্মব্যথা প্রকাশ করিতে লাগিল</t>
  </si>
  <si>
    <t>আজান হইতাছে খেলা হইবে না</t>
  </si>
  <si>
    <t>তদীয় ভাব বুঝিবার পারিয়াছি</t>
  </si>
  <si>
    <t>আমি সুমনকে খেতে বলেছিলাম</t>
  </si>
  <si>
    <t>ঢাকা হলো ছায়ামানুষের দেশ</t>
  </si>
  <si>
    <t>সবুজ আমার কাছে বল চাইতে এসেছিল</t>
  </si>
  <si>
    <t>ভোক্তা নিরাপত্তা পরিবেশগত সুরক্ষা নিশ্চিত করার জন্য খাদ্যের কৃষি রাসায়নিক অবশিষ্টাংশগুলি নিয়ন্ত্রিত হয়</t>
  </si>
  <si>
    <t>ধারাবাহিকতা সবসময় তীব্রতা ট্রাম্প করে</t>
  </si>
  <si>
    <t>একখানা বুদ্ধি আসিয়াছে আব্বাজানকে বলিবে মাস্টারমশাই ডাকিয়াছে</t>
  </si>
  <si>
    <t>আমি স্কুলে যাওয়ার আগেই পড়া শেষ করিয়া ছিলাম</t>
  </si>
  <si>
    <t>বুঁচি চুপ করিয়া শোনে কথাটি বলে না না দেয় সায় না করে প্রতিবাদ</t>
  </si>
  <si>
    <t>আবার সেই ফুলের দুটি একটি ঝরিয়া তাহাদের স্কন্ধে পড়িতেছে</t>
  </si>
  <si>
    <t>আমার শৈশব কাটে রামেশ্বরামে</t>
  </si>
  <si>
    <t>আপনি উপভোগ কার্যকলাপ চয়ন করুন</t>
  </si>
  <si>
    <t>বিশ্বাসঘাতক জলাভূমির মধ্য দিয়ে চলাচল করে তারা ঘোলা জলের নীচে লুকিয়ে থাকা বিপদগুলিকে এড়িয়ে চলেছিল</t>
  </si>
  <si>
    <t>ব্যক্তিগত পেশাদার বৃদ্ধির জন্য জীবনব্যাপী শিক্ষা অপরিহার্য</t>
  </si>
  <si>
    <t>এর ফলে তাদের জনপ্রিয়তা অত্যন্ত বেড়ে যায়</t>
  </si>
  <si>
    <t>চিত্রশিল্পীর আভিনয় সামাজিকীকরণ বাড়ায়</t>
  </si>
  <si>
    <t>ইতিমধ্যে ফটিকের মার দুই সন্তান হইয়াছে তাহারা অনেকটা বাড়িয়া উঠিয়াছে</t>
  </si>
  <si>
    <t>তাহার মনের মধ্যে আবার বিরক্তি মাথা তুলিয়া উঠিল</t>
  </si>
  <si>
    <t>এমত সময়ে আমার পশ্চাতে উচ্চারিত হইল রাধে মন্যুং পরিহর হরিঃ পাদমূলে তবায়ং</t>
  </si>
  <si>
    <t>বিশ্বাস করিবার শক্তি সকলের সমান নহে এইজন্য আমার স্ত্রীর মনে ভয় রহিয়া গেল</t>
  </si>
  <si>
    <t>হাইপারথাইরয়েডিজম ঘটে যখন থাইরয়েড গ্রন্থি খুব বেশি থাইরয়েড হরমোন তৈরি করে যার ফলে ওজন হ্রাস দ্রুত হৃদস্পন্দনের মতো লক্ষণ দেখা দেয়</t>
  </si>
  <si>
    <t>দূরত্বে একটি একা নেকড়ে চিৎকার করে তার শোকের কান্না নিঃশব্দ রাতে প্রতিধ্বনিত হয়</t>
  </si>
  <si>
    <t>তারঁর মৃত্যুর পর সালে বইটি প্রকাশিত হয়</t>
  </si>
  <si>
    <t>কার্ডিও শক্তি প্রশিক্ষণ একত্রিত করুন</t>
  </si>
  <si>
    <t>এই পর্যায়ে রাজহাঁস আরেকবার ঠোকর দিল</t>
  </si>
  <si>
    <t>রাস্তার বাঁ দিকে একটা ফাঁকা জায়গায় কতকগুলি টিনের চালা</t>
  </si>
  <si>
    <t>স্কুলের অনুষ্ঠানে সে দুইটি পুরস্কার পাইয়াছিল</t>
  </si>
  <si>
    <t>আমি ভাবিলাম পালিত মহিষ যখন নিকটে তখন গ্রাম দূরে নহে</t>
  </si>
  <si>
    <t>সোমা আমাদের তাহার গৃহে বসে বলিয়াছিল</t>
  </si>
  <si>
    <t>তুমি জান না তো কে জানে</t>
  </si>
  <si>
    <t>ট্যাক্স পরিকল্পনা আপনাকে আপনার ট্যাক্স দায় কমাতে আপনার সঞ্চয়কে সর্বাধিক করতে সহায়তা করতে পারে</t>
  </si>
  <si>
    <t>সুফল নামাজ পড়ে এসে ভাত খাবে</t>
  </si>
  <si>
    <t>সজীব রানা একসাথে স্কুলে গিয়েছিল</t>
  </si>
  <si>
    <t>আমি রাত্রে একটা সুন্দর স্বপ্ন দেখেছিলাম</t>
  </si>
  <si>
    <t>চটপটে পদ্ধতিগুলি অভিযোজিত প্রকল্প পরিচালনার সুবিধা দেয়</t>
  </si>
  <si>
    <t>রনি তাহার ভ্রাতার সঙ্গে স্কুলে যাইবে</t>
  </si>
  <si>
    <t>হারু দেখিতে দেখিতে ভিজিয়া উঠিল</t>
  </si>
  <si>
    <t>সেই নিঃসন্দেহ প্রতিশোধের কঠোরতা কল্পনা করিয়া অনঙ্গমোহন আশঙ্কায় স্তম্ভিত হইয়া রহিলেন</t>
  </si>
  <si>
    <t>আমি তাহাকে বুঝাইতে ব্যর্থ হইয়াছি যে তিনি তো আজ পর্যন্ত কোন কন্যাকে তাহার মনে কথা বলিতে পারে নাই</t>
  </si>
  <si>
    <t>সে চুপ করে বসিয়া আনমনে কিছু একটা ভাবিতেছিল</t>
  </si>
  <si>
    <t>সেদিনের প্রচন্ড ঝরে তাদের বড় গাছটি ভেঙে গিয়েছে</t>
  </si>
  <si>
    <t>পাইন গাছের ঘ্রাণ বাতাসে ভেসে বেড়ায় ইন্দ্রিয়কে উদ্দীপিত করে</t>
  </si>
  <si>
    <t>তাঁকে ঘিরে ছােটখাটো ভিড়</t>
  </si>
  <si>
    <t>মূল পুঁথির পদের সংখ্যা ছিল</t>
  </si>
  <si>
    <t>আত্মা ক্ষতিগ্ৰস্ত হবার কারণে বুড়োরা নিজের অজান্তেই ভ্ৰান্তির জগতে চলে যায়</t>
  </si>
  <si>
    <t>কুমারীর মূলে আসিয়া দেখি হরিয়াল ঘুঘুর ন্যায় একটি পক্ষী একটির নিকট মাথা নাড়িয়া এই ছন্দে আস্ফালন করিতে করিতে অগ্রসর হইতেছে পক্ষিণী তাহাকে ডানা মারিয়া সরিয়া যাইতেছে কখন কখন অন্য ডালে গিয়া বসিতেছে</t>
  </si>
  <si>
    <t>পূজায় অর্চনায় সেবায় মাধুর্যের ফুল ফুটিয়া উঠিল</t>
  </si>
  <si>
    <t>তাঁহারা বলেন সাধুভাষা অতি অসম্পন্ন</t>
  </si>
  <si>
    <t>তাই জোর করে চান করতে পাঠিয়ে দিয়ে আসচি বাবু</t>
  </si>
  <si>
    <t>পাহাড় জঙ্গল বাঘ এই লইয়াই পালামৌ</t>
  </si>
  <si>
    <t>ওয়ার্কআউটের আগে পরে প্রসারিত করুন</t>
  </si>
  <si>
    <t>রনি রাজুর সাথে মাঠে খেলতে যাবে</t>
  </si>
  <si>
    <t>রুমি স্কুলের মাঠে খেলতেছে</t>
  </si>
  <si>
    <t>আমরা ওখানে গিয়ে অনেক বেড়ালাম</t>
  </si>
  <si>
    <t>তিনি সালের সেপ্টেম্বর ম্যানচেস্টার ইউনাইটেডে যোগ দেন</t>
  </si>
  <si>
    <t>পরের দিন সকালে দামিনীর সে কী চেহারা</t>
  </si>
  <si>
    <t>সে আমার দিকে তীব্র দৃষ্টিতে তাকাইয়া বলিল এ যেন এক অবিশ্বাস্য ব্যাপার</t>
  </si>
  <si>
    <t>তোমার গল্প ভাল লাগে না তুমি চুপ কর</t>
  </si>
  <si>
    <t>পাহাড় জঙ্গলের কথাও হইয়া গিয়াছে লিখিবার আছে কী</t>
  </si>
  <si>
    <t>অনেকক্ষণ চিন্তা করিয়া আবার সে দুইবার তিনবার করিয়া পড়িল</t>
  </si>
  <si>
    <t>আমি তাকে আমার বাড়িতে আসার জন্য অনুরোধ করেছিলাম</t>
  </si>
  <si>
    <t>ফটোসাংবাদিকরা শক্তিশালী ছবি ধারণ করে যা সংবাদের সাথে থাকে</t>
  </si>
  <si>
    <t>এই যুদ্ধে জার্মানি ইংল্যান্ড তথা মিত্রবাহিনীর হাতে পরাস্ত হয়</t>
  </si>
  <si>
    <t>ট্র্যাভেল এজেন্ট তাদের পরবর্তী ফ্লাইট থাকার জায়গা বুক করেছে</t>
  </si>
  <si>
    <t>আমি পরিষ্কার মনে করতে পারি আমাদের বাচ্চাদের কারোই এক বেলা না খেয়ে দিন কাটাতে হয়নি</t>
  </si>
  <si>
    <t>এই পাহাড়ের ক্রোড় অতি নির্জ্জন কোথাও ছোট জঙ্গল নাই</t>
  </si>
  <si>
    <t>এই অবকাশে আরোহিগণ সম্মুখস্থ সৈকতে পাকাদি সমাপন করুন</t>
  </si>
  <si>
    <t>মধ্যে মধ্যে যে ছেদ আছে তাহা অতি সামান্য</t>
  </si>
  <si>
    <t>সুমন সাহেব আমাদের স্কুলে আসিবেন</t>
  </si>
  <si>
    <t>এখন নিরুপমার বিবাহের প্রস্তাব চলিতেছে</t>
  </si>
  <si>
    <t>আমার বড় ভাই সুমন</t>
  </si>
  <si>
    <t>আমি এখন তোমাকে সাহায্য করতে পারবো</t>
  </si>
  <si>
    <t>আমাকে তুলে দেওয়ার জন্য আমার মাকে আমার আগে ঘুম থেকে উঠতে তো</t>
  </si>
  <si>
    <t>মুঘল সাম্রাজ্য ছিল ভারত উপমহাদেশের একটি ঐতিহাসিক সাম্রাজ্য</t>
  </si>
  <si>
    <t>এই সংবাদপত্রগুলো পাঠকদের হাতে পৌছে দেয়াই ছিল শামসউদ্দীনের ব্যবসা</t>
  </si>
  <si>
    <t>তাহা হইলে হইতে পারে যাঁহাদের পূর্ব্বজন্ম ছিল তাঁহাদের সকলই সম্ভব</t>
  </si>
  <si>
    <t>তারপরখ স্বর্গীয় দূত পূর্বে যে টাকওয়ালা ছিল তাহার কাছে গেলেন</t>
  </si>
  <si>
    <t>শুনিয়া তাঁহার আক্রোশের সীমা রহিল না</t>
  </si>
  <si>
    <t>পাঁচ মিনিটের স্থলে মিনিট কাল দ্রুতপাদবিক্ষেপে গেলাম</t>
  </si>
  <si>
    <t>এখন রানা স্কুল হতে ফিরে আসবে</t>
  </si>
  <si>
    <t>তিনি বার্লিনেই বছর বয়সে মারা যান</t>
  </si>
  <si>
    <t>কারিগর রুটি গ্রামীণ কবজ আনা</t>
  </si>
  <si>
    <t>আকাশে মেঘ আছে</t>
  </si>
  <si>
    <t>একথা সত্য তিতুমীর প্রজাদের একজোট করেছিলেন ধর্ম জেহাদের ডাক দিয়ে</t>
  </si>
  <si>
    <t>শেষে বহু কাল পরে যখন আর্য্যগণ উন্নত শক্তিসম্পন্ন হইলেন তখন অসুরগণকে তাড়াইয়াছিলেন</t>
  </si>
  <si>
    <t>তোমাদের সকলের সকল কিছু ভালোই চলিতেছে</t>
  </si>
  <si>
    <t>তাহাতে অসুরকুল ধ্বংস হইয়াছে বলিলেও অন্যায় হয় না</t>
  </si>
  <si>
    <t>কোন উপার্জ্জনও নাই সুতরাং ব্যয় নির্ব্বাহ করিবার নিমিত্ত কর্জ্জ করিতে হয়</t>
  </si>
  <si>
    <t>আমি সাহেববেশধারী অবশ্য বাঘ মারিলে মারিতে পারি যুবা এ কথা নিশ্চয় ভাবিয়াছিল তাহাতেই কৃতার্থ হইয়াছিলাম</t>
  </si>
  <si>
    <t>ধর্মের ধারণাটি অনেক ভারতীয় ধর্মের কেন্দ্রীয় নৈতিক কর্তব্য ধার্মিকতার প্রতিনিধিত্ব করে</t>
  </si>
  <si>
    <t>আমি সুমনকে দেখতে গিয়েছিলাম</t>
  </si>
  <si>
    <t>আমি লেনদেনের পরিমাণে ভুল করেছি</t>
  </si>
  <si>
    <t>আমরা সবসময় একে অপরের জন্য আছি</t>
  </si>
  <si>
    <t>সংসারের ধারণা হিন্দু বৌদ্ধ ধর্মে জন্ম মৃত্যু পুনর্জন্মের চক্রকে নির্দেশ করে</t>
  </si>
  <si>
    <t>তাহার পর যুবা একা তাহা ঠেলিয়া গর্ত্তের প্রান্তে নিঃশব্দে লইয়া গেল</t>
  </si>
  <si>
    <t>গিয়া খাতার দাম জিজ্ঞেস করিতেই দোকানী কহিলেন পঞ্চান্নো টাকা</t>
  </si>
  <si>
    <t>ইহার মাদকতাশক্তি কত দূর জানি না</t>
  </si>
  <si>
    <t>আমি তাহার জন্য কান্না করিয়াছিলাম</t>
  </si>
  <si>
    <t>আমি সুমনের কথা শুনে অগ্রসর হলাম</t>
  </si>
  <si>
    <t>সে জানালা দিয়ে আম গাছটার দিকে অদ্ভুত দৃষ্টিতে তাকিয়ে ছিলো</t>
  </si>
  <si>
    <t>তারা দুজনেই ইংরেজদের বিরুদ্ধে বীর বিক্রমে লড়াই করে পরাজিত হন</t>
  </si>
  <si>
    <t>ফৌজদারী সাজা নির্দেশিকাগুলি অপরাধের তীব্রতা আসামীর পূর্বের রেকর্ডের মতো বিষয়গুলি বিবেচনা করে</t>
  </si>
  <si>
    <t>তোমারে ভাবিয়া ভাবিয়া পূর্ণ বৈকাল ম্লান হইবে বুঝিতেছি</t>
  </si>
  <si>
    <t>পয়সার পরিবর্ত্তে এই ফুল পাইলেই তাহাদের মজুরি শোধ হয়</t>
  </si>
  <si>
    <t>আমি ত আগেই বলিয়াছি যে সমুদ্র দেখিব বড় সাধ ছিল সেই জন্যই আসিয়াছি</t>
  </si>
  <si>
    <t>ভাল করিয়া দেখিয়াও কাহাকেও দেখিতে না পাইয়া ফিরিয়া আসিয়া বলিল কেউ নেই ত মা</t>
  </si>
  <si>
    <t>সারথি ভূপতির আদেশ পাইয়াছে</t>
  </si>
  <si>
    <t>ফৌজদারি বিচারে প্রমাণের বোঝা প্রসিকিউশনের উপর বর্তায়</t>
  </si>
  <si>
    <t>তুমি কি আমার কথা শুনেছিলে</t>
  </si>
  <si>
    <t>আমরা সবাই তাদেরকে অভ্যর্থনা জানিয়েছিলাম。</t>
  </si>
  <si>
    <t>সজীব আমার কথা সুমনকে বলে দিয়েছে</t>
  </si>
  <si>
    <t>বই পড়ে সে প্রচুর জ্ঞান অর্জন করতে সক্ষম হয়েছে</t>
  </si>
  <si>
    <t>আমি তাহার সাথে বসিয়া কিছুক্ষন গল্প করিয়াছিলাম</t>
  </si>
  <si>
    <t>ভূতপূর্ব পোস্টমাস্টার নিশ্বাস ফেলিয়া হাতে কার্পেটের ব্যাগ ঝুলাইয়া কাঁধে ছাতা লইয়া মুটের মাথায় নীল শ্বেত রেখায় চিত্রিত টিনের পেঁটরা তুলিয়া ধীরে ধীরে নৌকাভিমুখে চলিলেন</t>
  </si>
  <si>
    <t>যেন বিচলিত নদীর সংখ্যাতীত তরঙ্গ</t>
  </si>
  <si>
    <t>অথচ তাঁহার স্থির বিশ্বাস ছিল যে সকলেই তাঁহার গল্প</t>
  </si>
  <si>
    <t>মুঘলদের শাসনামলকালে বাবরের পরবর্তী মুঘল শাসকরাও পারস্য ভাষা সংস্কৃতিকে সমর্থন করতেন</t>
  </si>
  <si>
    <t>প্রতিকূল আবহাওয়া সত্ত্বেও পাইলট নিরাপদে বিমান অবতরণ করেন</t>
  </si>
  <si>
    <t>আমি তোমাকে চিনতে পেরেছি</t>
  </si>
  <si>
    <t>রচনাশৈলী রুসোর লিখনশৈলী দুরূহ</t>
  </si>
  <si>
    <t>কিছুদিন আগে সে তার মেয়েকে নিয়ে গ্রাম থেকে চলে গিয়েছিল</t>
  </si>
  <si>
    <t>এ বছরই ব্রুনাই ওপেন শিরোপা জিতে নেন</t>
  </si>
  <si>
    <t>আমি কলিকাতা ছাড়িয়া কখনো কোথাও যাই নাই সেইজন্যই আমার মনটা পৃথিবীময় ঘুরিয়া বেড়ায়</t>
  </si>
  <si>
    <t>সমস্ত রাত্রি ধরিয়া তাহার তন্দ্রাচ্ছন্ন দুই কানের মধ্যে কোথাকার অস্ফুট রোদন প্রবাহের মত আসিয়া পৌঁছিতে লাগিলউপরে পূর্বদিকের আকাশে দিগন্ত হইতে ধূসর মেঘ পাহাড়ের মত জমাট বাঁধিয়া উঠিতেছিল</t>
  </si>
  <si>
    <t>এইজন্যেই সাধারণের মাঝে নিয়ে চলাফেরা শক্ত বলছিলে</t>
  </si>
  <si>
    <t>শিপিং প্রক্রিয়াটি মসৃণ ঝামেলামুক্ত ছিল</t>
  </si>
  <si>
    <t>রবিন রাস্তা দিয়ে হাঁটছে</t>
  </si>
  <si>
    <t>সে আমার সাথে ঘুরতে যেতে চায়。</t>
  </si>
  <si>
    <t>ছোট মুহুর্তে সৌন্দর্য দেখে আনন্দ আসে</t>
  </si>
  <si>
    <t>আমি গোসল করে নামাজে যাব</t>
  </si>
  <si>
    <t>একখানি উত্তরের জন্য অধীর হইয়া দিন কাটাইতে লাগিল</t>
  </si>
  <si>
    <t>ইহার একটি হেতু কথা</t>
  </si>
  <si>
    <t>তাহাই তাহাতে লিখিত হইয়া থাকে</t>
  </si>
  <si>
    <t>কোথা হইতে এক সন্ন্যাসী আসিয়া একটা চালার নিচে আশ্রয় লইয়াছে</t>
  </si>
  <si>
    <t>পিতা আমাকে অদ্য বগুড়ায় যাইতে বলিল</t>
  </si>
  <si>
    <t>পুশ আপগুলি শরীরের উপরের অংশকে শক্তিশালী করে</t>
  </si>
  <si>
    <t>আপনার শারীরিক মানসিক মানসিক স্বাস্থ্যের যত্ন নিন তারা সব পরস্পর সংযুক্ত</t>
  </si>
  <si>
    <t>নলেজ ম্যানেজমেন্ট সিস্টেমগুলি দক্ষতা সংরক্ষণ প্রচার করে</t>
  </si>
  <si>
    <t>এই গাছটা সতেজ</t>
  </si>
  <si>
    <t>তুমি কি আমার কথা বলেছিলে</t>
  </si>
  <si>
    <t>সুমন ইহা করাইয়া পাইয়াছে</t>
  </si>
  <si>
    <t>যাহাদের কথা মত অগ্রসর হইলাম</t>
  </si>
  <si>
    <t>পার্শ্বেই কিছু দূরে একটি শালুক দেখিতে পায় ওসমান</t>
  </si>
  <si>
    <t>সুফল আমার সঙ্গে কাজ করিয়াছিল</t>
  </si>
  <si>
    <t>মেয়েটা বড় অভিমানী ছিলো তাই সে রাগ করে বসে ছিলো</t>
  </si>
  <si>
    <t>তাঁর প্রার্থীতা পুরোপুরি সফলকাম হয়নি</t>
  </si>
  <si>
    <t>এ সময়ে বরিস পাস্তের্নাক তাঁর লেখার প্রশংসা করেন</t>
  </si>
  <si>
    <t>সাজু আমাকে খেলতে নিয়ে যাচ্ছে</t>
  </si>
  <si>
    <t>সে আমাকে দেখে কিছুটা আশ্চর্য হয়েছিল</t>
  </si>
  <si>
    <t>আমার গৃহে খাবারের কিছু নাই</t>
  </si>
  <si>
    <t>প্রথম কাজ আরম্ভ করিয়াই উলাপুর গ্রামে পোস্টমাস্টারকে আসিতে হয়</t>
  </si>
  <si>
    <t>রবিন আমাকে মাঠে যাইতে বলিয়া ছিল</t>
  </si>
  <si>
    <t>মা আবার ডাকিলেন ওরে ফটিক বাপধন রে</t>
  </si>
  <si>
    <t>এই মন লইয়া মানুষের অহঙ্কারের অবধি নাই</t>
  </si>
  <si>
    <t>ওয়ার্কআউটগুলি মজাদার উপভোগ্য রাখুন</t>
  </si>
  <si>
    <t>সুমি ভাত খাবে কথা বলবে</t>
  </si>
  <si>
    <t>আয়ের একাধিক ধারা তৈরি করা আরও বেশি আর্থিক নিরাপত্তা প্রদান করতে পারে</t>
  </si>
  <si>
    <t>আপনি প্রশংসা করেন এমন কাউকে ট্যাগ করুন</t>
  </si>
  <si>
    <t>আমি তাহার সফলতার গল্পগুলো শুনিতে চাইয়াছিলাম</t>
  </si>
  <si>
    <t>সে অন্ধ ব্যক্তিকে সাহায্য করিয়াছিল</t>
  </si>
  <si>
    <t>তারপর গ্রামে ডাক্তারি করিতে বসিয়া প্রথমে সে যেন হাঁপাইয়া উঠিল</t>
  </si>
  <si>
    <t>বহুদিন হইল দাদা পশ্চিমে কাজ করিতে গিয়াছিলেন</t>
  </si>
  <si>
    <t>যুদ্ধের পর বাসভ পড়াশোনা শুরু করেন</t>
  </si>
  <si>
    <t>জীবনের সহজ আনন্দের মধ্যে আনন্দ খুঁজুন</t>
  </si>
  <si>
    <t>এরপর আমি যে ব্যাক্তির কথা উল্লেখ করব সেই ব্যক্তি সম্পর্কে আমার বন্ধু</t>
  </si>
  <si>
    <t>অ্যাডভেঞ্চার নতুন অভিজ্ঞতার মাধ্যমে সৃজনশীলতা উদ্ভাবনকে অনুপ্রাণিত করতে পারে</t>
  </si>
  <si>
    <t>আমি ঢাকাতে বেড়াতে যাব</t>
  </si>
  <si>
    <t>পাকা ধানে মই দেবার অভ্যেস তোমার গেলো না</t>
  </si>
  <si>
    <t>সেখানে শূন্য করিয়া রাখিয়া যাওয়ার মতো স্থান হারু কোনোদিন অধিকার করিয়া ছিল কি না সন্দেহ</t>
  </si>
  <si>
    <t>কোলদের সম্বন্ধে কিছু সন্দেহ করা যাইতে পারে তাহার কারণ এক সময় সমালোচনা করা যাইবে</t>
  </si>
  <si>
    <t>আমার কথা শুনিয়া বলিল</t>
  </si>
  <si>
    <t>সন্ধ্যার পর সে রাস্তায় হাঁটতে গিয়াছিল</t>
  </si>
  <si>
    <t>আমি এটা দেখে বসে পরেছিলাম</t>
  </si>
  <si>
    <t>গুরমেট কফি সকালের মেজাজ উন্নত করে</t>
  </si>
  <si>
    <t>মাসিক বাস্তবসম্মত ফিটনেস লক্ষ্য সেট করুন</t>
  </si>
  <si>
    <t>রুপা আমাদের কাছে এসে বসল</t>
  </si>
  <si>
    <t>রুমি ভাত খেয়ে পড়তে বসবে</t>
  </si>
  <si>
    <t>নববধূ লুচি আনিতে যাইবার সময় ধীরে ধীরে গিয়াছিল</t>
  </si>
  <si>
    <t>আমি তাহাকে অনায়াসে দুই পাঁচ টাকা দিতে পারিতাম</t>
  </si>
  <si>
    <t>কোন গল্প হইবে না কেন আমায় সেখানে যাইতে হইত জানি না</t>
  </si>
  <si>
    <t>শুধু কলিকাতা ছাড়িয়া বাড়ি ফিরিয়া যাইবার দিন</t>
  </si>
  <si>
    <t>তাহাকে লইয়া আমি গেলাম চুল কাটিতে</t>
  </si>
  <si>
    <t>এমন কাউকে ট্যাগ করুন যার এটি প্রয়োজন</t>
  </si>
  <si>
    <t>আমার রেকর্ডের সাথে লেনদেনের সমন্বয় করতে হবে</t>
  </si>
  <si>
    <t>একটি জরুরি তহবিল তৈরি করা অনিশ্চিত সময়ে মানসিক শান্তি প্রদান করতে পারে</t>
  </si>
  <si>
    <t>নিজের সাথে ধৈর্য ধরুন ব্যক্তিগত বৃদ্ধিতে সময় লাগে</t>
  </si>
  <si>
    <t>ডুবে যাওয়া জাহাজের ধ্বংসাবশেষ অন্বেষণ করে তারা ঢেউয়ের নীচে লুকানো হারানো ধন উন্মোচন করেছিল</t>
  </si>
  <si>
    <t>বন্ধুটির নাম কুমুদ বাড়ি বরিশালে লম্বা কালো চেহারা বেপরোয়া খ্যাপাটে স্বভাব</t>
  </si>
  <si>
    <t>এই লোকটি ভিতরে ভিতরে যে কিরূপ দগ্ধ হইতেছিল</t>
  </si>
  <si>
    <t>বোধ হয় সত্যি নয় বলেই নীচের মত তোমার ব্যবহার নয় কথাবার্তা নয় আকৃতি নয়—এত লেখাপড়াই বা তুমি শিখলে কোথায়</t>
  </si>
  <si>
    <t>জলে যে যাইতে পাইল না সে অভাগিনী</t>
  </si>
  <si>
    <t>এই ক্ষুদ্র খাদগুলিকে দাড়ি বলে</t>
  </si>
  <si>
    <t>গরম সসের স্প্ল্যাশ স্বাদকে তীব্র করে তোলে</t>
  </si>
  <si>
    <t>সকল অভেদক ম্যাট্রিক্সই কর্ণ ম্যাট্রিক্স</t>
  </si>
  <si>
    <t>একটি বাড়িতে একটি ডাউন পেমেন্টের জন্য সঞ্চয় করতে শৃঙ্খলা দীর্ঘমেয়াদী পরিকল্পনা প্রয়োজন</t>
  </si>
  <si>
    <t>প্রথমেই বইয়ের কথা দিয়ে শুরু করি</t>
  </si>
  <si>
    <t>আজ সন্ধ্যাবেলা শাহেদ মোহাম্মদপুর বাজার থেকে চাল ডাল কিনে ফিরেছে</t>
  </si>
  <si>
    <t>জীবন মরণের লড়াই ক্রমশঃ যেন একটা করুণ তামাশার ব্যাপার হইয়া দাঁড়াইয়াছিল</t>
  </si>
  <si>
    <t>স্কুলে এতবড়ো নির্বোধ অমনোযোগী বালক ছিল না</t>
  </si>
  <si>
    <t>তিনি কিয়ৎক্ষণ রহস্য করিলেন তাহার পর বলিলেন আমি স্ত্রীলোকটির কথা শুনিয়াছি</t>
  </si>
  <si>
    <t>মনে বড়ই আকাঙ্ক্ষা ছিলো দ্বিতীয়বারের ডাক্তারি পরীক্ষার পরপরই সুস্থতার সনদ লইয়া বাহিরজগতে পদচারণার উপায় মিলিবে</t>
  </si>
  <si>
    <t>স্যার তাকে ডেকেছিল একটি বই দেওয়ার জন্য</t>
  </si>
  <si>
    <t>প্লাম্বার বাথরুমের ফুটো পাইপগুলো ঠিক করে দিল</t>
  </si>
  <si>
    <t>চোখ কান খোলা রেখে ট্রেনের অপেক্ষা করতে হতো</t>
  </si>
  <si>
    <t>জালালউদ্দীনের পাশাপাশি শামসউদ্দীন আমার জীবনে অনেক বড় ভূমিকা রাখেন</t>
  </si>
  <si>
    <t>সে আমার সাথে বাইরে যেতে চেয়েছিল</t>
  </si>
  <si>
    <t>যখন নৌকায় উঠিলেন নৌকা ছাড়িয়া দিল বর্ষাবিস্ফারিত নদী ধরণীর উচ্ছলিত অশ্রুরাশির মতো চারি দিকে ছলছল করিতে লাগিল</t>
  </si>
  <si>
    <t>কিয়ৎ পরেই কুমারীর ডাল হইতে সেই শ্লোক আবার উচ্চারিত হইল</t>
  </si>
  <si>
    <t>সেই মদ পুরুষেরা খাইয়া সর্ব্বদা মাতাল হইয়া থাকে</t>
  </si>
  <si>
    <t>তিনি নিজে অল্পবয়স্কা</t>
  </si>
  <si>
    <t>তখন পথপ্রান্তে এক প্রস্তরস্তূপে বসিয়া ঘর্ম্ম মুছিতে লাগিলাম রাগভরে পাথুরে মেয়েগুলাকে গালি দিতে লাগিলাম</t>
  </si>
  <si>
    <t>সরলতার মধ্যে সৌন্দর্য খুঁজুন কখনও কখনও কম বেশি হয়</t>
  </si>
  <si>
    <t>দূর দূরান্তর থেকে পুণ্যার্থীরা এই মন্দিরে মানসিক করে পূজা দেন</t>
  </si>
  <si>
    <t>আমাকে প্রাপকের সাথে লেনদেন যাচাই করতে হবে</t>
  </si>
  <si>
    <t>ওমর শেখের সমর্থকরা করাচিতে পার্লকে অপহরণ করে</t>
  </si>
  <si>
    <t>এই আগ্রহের কারণে তিনি রবীন্দ্রনাথ ঠাকুরের বিশেষ দৃষ্টিতে পড়ে যান</t>
  </si>
  <si>
    <t>তাহার পরিচয় দিতে ইচ্ছা হয়</t>
  </si>
  <si>
    <t>আমার সঙ্গে খেলা করিল</t>
  </si>
  <si>
    <t>বধূ তাঁহার দিকে একটা পিঁড়ি ঠেলিয়া উনানের দিকে চাহিয়া চুপ করিয়া রহিল</t>
  </si>
  <si>
    <t>বালক ডাঁটা চিবাইতে চিবাইতে কহিল ঐ হোথা কোন্‌দিকে যে নির্দেশ করিল কাহারো বুঝিবার সাধ্য রহিল না</t>
  </si>
  <si>
    <t>শুনিলেন রায়বাহাদুর ঘরে নাই কিছুক্ষণ অপেক্ষা করিতে হইবে</t>
  </si>
  <si>
    <t>এগুলোর একটি হচ্ছে সক্রিয় নিরাপত্তা</t>
  </si>
  <si>
    <t>নিজের প্রাণ বাঁচাতে সে দেশ ছেড়ে পালিয়ে গিয়েছিল</t>
  </si>
  <si>
    <t>আমি কোম্পানী দ্বারা প্রদত্ত গ্রাহক পরিষেবার স্তরের দ্বারা আনন্দদায়কভাবে অবাক হয়েছিলাম</t>
  </si>
  <si>
    <t>এই তাদের নিয়তি</t>
  </si>
  <si>
    <t>আমাদের চতুষ্পার্শ্বে যাহা কিছু আছে</t>
  </si>
  <si>
    <t>সময় হইয়া উঠিতেছিল না</t>
  </si>
  <si>
    <t>শেষ পর্যন্ত তাহারাই আমাকে বিপদে ফেলিল</t>
  </si>
  <si>
    <t>বৈকল্যে সুরভি উদ্যানে বসিয়া থাকিব</t>
  </si>
  <si>
    <t>সেদিন সে তার জীবনের শেষ অধ্যায়টি সমাপ্ত করেছিল。</t>
  </si>
  <si>
    <t>রনি আমাকে একটা চিঠি দিয়েছিল</t>
  </si>
  <si>
    <t>নমনীয়তার জন্য যোগব্যায়াম অন্তর্ভুক্ত করুন</t>
  </si>
  <si>
    <t>বিশ্রাম রিচার্জ করার জন্য সময় নিন এটা আপনার সুস্থতার জন্য অপরিহার্য</t>
  </si>
  <si>
    <t>সেখানেই তাঁর প্রয়াণ ঘটেছিল</t>
  </si>
  <si>
    <t>রিকসাওয়ালাকে দশ টাকা বেশি কষ্ট হয় অকারনে হাজার টাকা উড়িয়ে ফেলতে কষ্ট হয় না</t>
  </si>
  <si>
    <t>তাহারা রাজ্য জয়ের আনন্দে চিৎকার করিয়া উঠিয়াছিল</t>
  </si>
  <si>
    <t>আমি সঙ্গে গিয়া দেখি পাহাড়ের একস্থানে প্রকাণ্ড দীর্ঘিকার ন্যায় একটি গর্ত্ত বা গুহা আছে তাহার মধ্যস্থানে প্রস্তরনির্ম্মিত একটি কুটীর চতুঃপার্শ্বস্থ স্থান তাহার প্রাঙ্গণস্বরূপ</t>
  </si>
  <si>
    <t>অন্য কোনো সময় হইলে সে তখনি ক্ষমা করিত</t>
  </si>
  <si>
    <t>চারি দিকের স্নেহশূন্য বিরাগ তাহাকে পদে পদে কাঁটার মতো বিঁধে</t>
  </si>
  <si>
    <t>মাদুরের উপরে দুইজন ঘুমাইয়া পড়িয়াছিল</t>
  </si>
  <si>
    <t>আমি আমার পরিবারের স্থিতিস্থাপকতার প্রশংসা করি</t>
  </si>
  <si>
    <t>কর্মজীবনে আসার পর বুঝলাম পরিশ্রমকারী লোকের চেয়ে তেল মারা লোকের দাম অনেক বেশী</t>
  </si>
  <si>
    <t>রানা রনি গাড়িতে চড়ে বেড়াতে যাবে</t>
  </si>
  <si>
    <t>ঢাকা বিশ্ববিদ্যালয় প্রতিষ্ঠার জন্য তিনি বিশেষ ভূমিকা পালন করেন</t>
  </si>
  <si>
    <t>মানুষের সঙ্গে মানুষের তফাত করা যায় ছায়ার সঙ্গে ছায়ার তফাত করা যায় না</t>
  </si>
  <si>
    <t>সে বলিল সূর্য অস্ত যাওয়ার আগেই সব কাজ শেষ করিতে হইবে</t>
  </si>
  <si>
    <t>বোধ হয় হিন্দুস্থানী মজাজনেরা তথায় বাস করিবার পূর্ব্বে কোলদের এত অন্নাভাব ছিল না</t>
  </si>
  <si>
    <t>চুল কাটিব কাটিব করিতেছিলাম কাটা হইয়া উঠিতেছিল না</t>
  </si>
  <si>
    <t>যে কুমারীর বিবাহের সময় হয় নাই সে অবাধে নিদ্রা যায়</t>
  </si>
  <si>
    <t>তুই আমাকে ঘরেও থাকতে দিবি না</t>
  </si>
  <si>
    <t>ডাক টিকিট গুছানো আমার সক</t>
  </si>
  <si>
    <t>তখন তার চোখ দিয়ে কয়েকফোঁটা আনন্দাশ্রু গড়িয়ে পড়ল。</t>
  </si>
  <si>
    <t>প্রতিদিন সক্রিয় শখের সাথে জড়িত থাকুন</t>
  </si>
  <si>
    <t>লেনদেন প্রক্রিয়াকরণে আমি সমস্যার সম্মুখীন হচ্ছি</t>
  </si>
  <si>
    <t>পেশী শক্তির জন্য ওজন তুলুন</t>
  </si>
  <si>
    <t>সজিব রানা একসঙ্গে স্কুলে গিয়াছিল</t>
  </si>
  <si>
    <t>ফাতেমা পরীক্ষায় ভালো ফলাফল করিয়াছিল</t>
  </si>
  <si>
    <t>গন্তব্যস্থলে পৌঁছাতে তাহাদের কতোক্ষণ সময় লাগিবে সে বিষয়ে তাহাদের বিন্দুমাত্র ধারণা ছিলো না</t>
  </si>
  <si>
    <t>বৃত্তান্ত জিজ্ঞাসা করায় যুবা সদর্পে বলিল আমি বাঘ মারিতে যাইতেছি এইমাত্র আমার গোরুকে বাঘে মারিয়াছে</t>
  </si>
  <si>
    <t>বৃদ্ধ যেন সমস্ত হৃদয় দিয়া কথা কহিতেছিল</t>
  </si>
  <si>
    <t>রনি রাফিকে ধরে বেঁধে রেখেছিল</t>
  </si>
  <si>
    <t>একজন পরামর্শদাতার কাছ থেকে উৎসাহ পাওয়া আমার আত্মবিশ্বাসকে বাড়িয়ে তোলে</t>
  </si>
  <si>
    <t>রহিম সুজনকে পড়তে যেতে বলল</t>
  </si>
  <si>
    <t>নিজের প্রতি সদয় হোন আপনি যথাসাধ্য চেষ্টা করছেন</t>
  </si>
  <si>
    <t>প্রকৃতির সাথে পুনঃসংযোগ প্রশান্তি এনে দেয়</t>
  </si>
  <si>
    <t>সে আমাকে তাহার পাখির গল্প বলিয়াছিল</t>
  </si>
  <si>
    <t>তুমি কাউকে কিছু না বলিয়া নদী অভিমুখে যাইতেছিলে</t>
  </si>
  <si>
    <t>তাহার ছায়া বড় শীতল ছিল</t>
  </si>
  <si>
    <t>একেক স্থানে একেক ঢঙের জবান চালু</t>
  </si>
  <si>
    <t>পোস্টমাস্টার রতনের এরূপ ব্যবহার কখনো দেখেন নাই তাই অবাক হইয়া রহিলেন</t>
  </si>
  <si>
    <t>আপনার খরচের অভ্যাস নিরীক্ষণ আপনাকে সেই ক্ষেত্রগুলি সনাক্ত করতে সাহায্য করতে পারে যেখানে আপনি কম কাটাতে পারেন আরও বেশি সঞ্চয় করতে পারেন</t>
  </si>
  <si>
    <t>উৎপাদনশীলতা টিপসের জন্য সাবস্ক্রাইব করুন</t>
  </si>
  <si>
    <t>ওয়ার্কআউটের সময় হাইড্রেটেড থাকুন</t>
  </si>
  <si>
    <t>আমি এখন তোমার সাথে একটু সময় কাটাতে চাই</t>
  </si>
  <si>
    <t>ফিটনেস প্রশিক্ষক জিমে একটি উচ্চ শক্তি কার্ডিও ওয়ার্কআউট ক্লাসের নেতৃত্ব দেন</t>
  </si>
  <si>
    <t>অদ্য প্রত্যুষেই রানা রাজশাহী যাত্রা করিবে</t>
  </si>
  <si>
    <t>দুই একজন প্রবীণ লোক ছিল তাহারা বলিল শাস্ত্রশিক্ষা নীতিশিক্ষা একেবারে নাই কাজেই</t>
  </si>
  <si>
    <t>তাই হইল কোনো একটা নিন্দা যে সত্য নয় তাহা প্রমাণ করিবার জন্য ছট্‌ফট করিয়া লাভ কী</t>
  </si>
  <si>
    <t>তাহার পর জঙ্গল জঙ্গল নামিয়া ক্রমে স্পষ্ট হইয়াছে</t>
  </si>
  <si>
    <t>অপরাহ্ণে আমি উদ্যানে পদচারণ করিতেছি</t>
  </si>
  <si>
    <t>শেষে রহিম করিমকে বিপদে ফেলতে চেয়েছিল</t>
  </si>
  <si>
    <t>শিক্ষকতায় তিনি বিশেষ খ্যাতি অর্জন করেছিলেন</t>
  </si>
  <si>
    <t>সে প্রচুর পরিশ্রম করেছিল ভাগ্যের নির্মম পরিহাসে সে উত্তীর্ণ হতে পারেনি。</t>
  </si>
  <si>
    <t>মেয়ের মা আপনি কি করেন সেটা প্রশ্ন করবে</t>
  </si>
  <si>
    <t>কাজের জন্য আমার স্কুটার চালানো মজাদার পরিবেশ বান্ধব উভয়ই</t>
  </si>
  <si>
    <t>মোক্ষদা গলা ফাটাইয়া শাপিতে থাকে</t>
  </si>
  <si>
    <t>এইরূপ কন্যা হরণ করাই তাহাদের বিবাহ</t>
  </si>
  <si>
    <t>আবার বোধহয় যেন অবনীর অন্তরাগ্নি একদিনেই সেই তরঙ্গ তুলিয়াছিল</t>
  </si>
  <si>
    <t>সুফল নামাজ পড়িতে মসজিদে যাইতেছে</t>
  </si>
  <si>
    <t>সেদিন বিকেলে আমরা ঘুরতে গিয়াছিলাম</t>
  </si>
  <si>
    <t>তার ঘরে একদিন গিয়েছিলাম</t>
  </si>
  <si>
    <t>কৃষি পর্যটকদের কৃষি সম্পর্কে শিক্ষিত করার জন্য কৃষি পর্যটন খামারগুলিতে পর্যটন কার্যক্রমকে উৎসাহিত করে</t>
  </si>
  <si>
    <t>সম্ভাব্য জালিয়াতির জন্য লেনদেনটিকে পতাকাঙ্কিত করা হয়েছে৷</t>
  </si>
  <si>
    <t>অন্যের দ্বারা ভুল বোঝার ফলে হতাশা বাড়ে</t>
  </si>
  <si>
    <t>তাদের বিয়ে সুখের ছিল না</t>
  </si>
  <si>
    <t>তুমি কি তাহাদের সঙ্গে আসিয়াছো</t>
  </si>
  <si>
    <t>কুঠীটি যেরূপ পরিষ্কৃত সুসজ্জীভূত ছিল</t>
  </si>
  <si>
    <t>বহু কালের বিস্মৃত বিলুপ্ত সুখ যেন নূতন হইয়া দেখা দেয়</t>
  </si>
  <si>
    <t>আগ বাড়াইয়া কিছু বলিবার যাইবা না</t>
  </si>
  <si>
    <t>মতি কোনো জবাব দিল না</t>
  </si>
  <si>
    <t>আজকের মেঘলা আকাশটি দেখতে খুবই সুন্দর লাগছে</t>
  </si>
  <si>
    <t>এটি গীতি কবিতা নামেই সাহিত্যামোদী ব্যক্তিবর্গের কাছে সমধিক পরিচিত</t>
  </si>
  <si>
    <t>ফৌজদারি মামলা সমাধানের ক্ষেত্রে ফরেনসিক প্রমাণ প্রায়ই গুরুত্বপূর্ণ</t>
  </si>
  <si>
    <t>এটা ততটা প্রসিদ্ধি লাভ করেনি</t>
  </si>
  <si>
    <t>তাদের সেই জাহাজটি ছুটে চলল তীরের বেগে আকাশ থেকে ছিটকে পড়া তারার পলকহীন দ্রুততায়</t>
  </si>
  <si>
    <t>দ্বিতীয় দিনে প্রতিবাসীর গোরু আসিয়া কমণ্ডলু ভাঙ্গিবে তৃতীয় দিনে প্রতিবাসীর গৃহিণী আসিয়া ঋষি পত্নীকে অলঙ্কার দেখাইবে</t>
  </si>
  <si>
    <t>রুমি দাবা খেলিতে চাইয়াছিল</t>
  </si>
  <si>
    <t>নেশা লিবর থাকে না তাহাই এ মদের এত নিন্দা</t>
  </si>
  <si>
    <t>রবি ঠাকুরের পদ্যের স্বাধ কি অন্যের পদ্যের মধ্যে পাওয়া যাইবে</t>
  </si>
  <si>
    <t>ওয়েবসাইটের ডিজাইন পুরানো নেভিগেট করা কঠিন ছিল</t>
  </si>
  <si>
    <t>আমি আমার পরিবারের সাথে অলস রবিবার কাটাতে পছন্দ করি</t>
  </si>
  <si>
    <t>কৃষি পর্যটন গ্রামীণ পর্যটন উন্নয়নের প্রচার করে খামারগুলিতে দর্শকদের হাতে কলমে অভিজ্ঞতা প্রদান করে</t>
  </si>
  <si>
    <t>সবুজ মসৃণতা পুষ্টিকর খোঁচা প্যাক</t>
  </si>
  <si>
    <t>একজন বন্ধুকে ট্যাগ করুন যে অ্যাডভেঞ্চার পছন্দ করে</t>
  </si>
  <si>
    <t>কিছুক্ষণ পরে আস্তে আস্তে বলিল আমি ভাবছি আজ আপনি এলেন কেন</t>
  </si>
  <si>
    <t>আমি কিছুতে কর্ণপাত করিলাম না</t>
  </si>
  <si>
    <t>যাহারা এত জোরে পথ চলে তাহারা আবার কোমলাঙ্গী</t>
  </si>
  <si>
    <t>সে এটা বলিয়া হাসিয়া লুটাইয়া পড়িল</t>
  </si>
  <si>
    <t>লোকের ভাল লাগিবে না এ কথা মনে তখন থাকে না</t>
  </si>
  <si>
    <t>সে আমাকে বলল তার মা অনেক অসুস্থ হয়েছে</t>
  </si>
  <si>
    <t>সুমন সাহেব এখন ঘর থেকে বেরিয়েছেন</t>
  </si>
  <si>
    <t>প্রিয়জনকে হারানোর অভিজ্ঞতা দুঃখ নিয়ে আসে</t>
  </si>
  <si>
    <t>ফৌজদারি আইন নির্দিষ্ট কর্মের রূপরেখা দেয় যা বেআইনি আচরণ গঠন করে</t>
  </si>
  <si>
    <t>তাঁর সুর করা একটি জনপ্রিয় চলচ্চিত্র হল অমানুষ</t>
  </si>
  <si>
    <t>কাষ্ঠঘণ্টার শব্দ শুনিলে প্রাণের ভিতর কেমন করে</t>
  </si>
  <si>
    <t>হাতের কাজগুলো শেষ করিয়া আমরা ঘুরিতে গিয়াছিলাম</t>
  </si>
  <si>
    <t>আমি তোমাকে সাহায্য করতে পারবো。</t>
  </si>
  <si>
    <t>আমি তাহাকে আমার স্কুলের অনুষ্ঠানে যাওয়ার জন্য বলিয়াছিলাম</t>
  </si>
  <si>
    <t>সেখানে এক ঘন্টার মতো</t>
  </si>
  <si>
    <t>রানা স্কুল পালিয়ে ঈশ্বরচন্দ্র হতে পারবেনা</t>
  </si>
  <si>
    <t>টাটকা সামুদ্রিক খাবার উপকূলীয় খাবারের প্রতীক</t>
  </si>
  <si>
    <t>আর্থিক নিরাপত্তা বজায় রাখার জন্য অবসরে স্বাস্থ্যসেবা ব্যয়ের পরিকল্পনা করা অপরিহার্য</t>
  </si>
  <si>
    <t>আমি মাথা নেড়ে মায়ের দিকে তাকিয়ে হাসতাম</t>
  </si>
  <si>
    <t>আমি তাহারে ঘুরতে যাওয়ার জন্য অনুরোধ করিয়াছিলাম</t>
  </si>
  <si>
    <t>উহা ব্যতীত অন্য কোনো গল্প ফাঁদিতে পারো কি না দেখিতে পারিবে</t>
  </si>
  <si>
    <t>বনের ধারে জল যেন কতই দূর</t>
  </si>
  <si>
    <t>তখন তাহার চোখ দিয়ে কয়েকফোঁটা আনন্দাশ্রু গড়াইয়া পড়িল</t>
  </si>
  <si>
    <t>সকলেরই কক্ষ বক্ষ আবরণশূন্য</t>
  </si>
  <si>
    <t>এদের বীজ বিষাক্ত</t>
  </si>
  <si>
    <t>গত ছুটিতে সে সিলেট ঘুরতে গিয়েছিল</t>
  </si>
  <si>
    <t>পরিবেশগত টেকসইতা অনুশীলন আমাদের পরিবেশগত পদচিহ্ন হ্রাস করে</t>
  </si>
  <si>
    <t>তিনি সকল ক্ষেত্রেই ছিলেন উদারপন্থী</t>
  </si>
  <si>
    <t>আমি একখানি নোট লইয়া তাহাকে দিলাম</t>
  </si>
  <si>
    <t>মেয়েটা কিছুক্ষণ তাহার চোখের দিকে তাকাইয়া রহিল</t>
  </si>
  <si>
    <t>ছেলেদের যে গৃহহীন করিতে বসিয়াছেন সে কথা তাহাদের নিকট হইতে গোপেনে রাখিলেন</t>
  </si>
  <si>
    <t>ব্যতিক্রম হইয়া রহিল কেবল ছোট ভাই বদরুল</t>
  </si>
  <si>
    <t>আমি তাহার কাজে অসন্তুষ্ট হইয়াছিলাম</t>
  </si>
  <si>
    <t>ভাল্লুকের একটি পরিবার বনের মধ্য দিয়ে ঘুরে বেড়াত শীতকালে তাদের টিকিয়ে রাখার জন্য খাদ্যের জন্য চরা</t>
  </si>
  <si>
    <t>অফিসের দারোয়ানের কাছ থেকে তোমার এক কলিগের ঠিকানা পেলাম রহমান সাহেব</t>
  </si>
  <si>
    <t>ছাত্র জীবনে কঠোর পরিশ্রম করলে সফলতার দেখা পাওয়া সম্ভব হবে</t>
  </si>
  <si>
    <t>আপনার নেটওয়ার্কের সাথে এটি ভাগ করুন</t>
  </si>
  <si>
    <t>এগ্রোইকোসিস্টেম পরিষেবাগুলির মধ্যে রয়েছে পরাগায়ন কীটপতঙ্গ নিয়ন্ত্রণ পুষ্টি সাইকেল চালানো জল পরিশোধন</t>
  </si>
  <si>
    <t>বিশু তাহার বন্ধু ইব্রাহিমকে স্মরন করিতে করিতে অক্কা পাইলো</t>
  </si>
  <si>
    <t>কি পাইনি তারই হিসাব মেলাতে মন মোর নহে রাজি</t>
  </si>
  <si>
    <t>গন্ধ যেমন বাতাস আশ্রয় করিয়া ফুলের বাহিরে আসে</t>
  </si>
  <si>
    <t>সকলেই নানা ভঙ্গীতে আপন আপন বলবীর্য্য দেখাইতেছে</t>
  </si>
  <si>
    <t>কেহ মাদল আনিয়াছে কেহ বা লম্বা লাঠি আনিয়াছে</t>
  </si>
  <si>
    <t>সোমাটিক মৃত্যুর মিনিটের মধ্যেই মস্তিষ্কের কোষগুলির মৃত্যু ঘটে</t>
  </si>
  <si>
    <t>সজীব আমার কথা তার বাবাকে বলেছে</t>
  </si>
  <si>
    <t>দলগত খেলায় ঘন ঘন নিযুক্ত হন</t>
  </si>
  <si>
    <t>খাদিজা আমার সাথে স্কুলে গিয়েছিল</t>
  </si>
  <si>
    <t>সাপ্লাই চেইন ম্যানেজমেন্ট অপারেশনাল দক্ষতা বাড়ায়</t>
  </si>
  <si>
    <t>লোকটি আমাকে থামিতে বলিল</t>
  </si>
  <si>
    <t>সোমাকে আমার সঙ্গে দেখা করিতে বলিয়াছিলাম</t>
  </si>
  <si>
    <t>বলিয়াছে ভিন্ন ভিন্ন হইতে হইবে</t>
  </si>
  <si>
    <t>এক্ষণে আমার নিকট হইতে তেড় লইয়া সকল সাহেবই বাগানে লাগাইয়াছেন</t>
  </si>
  <si>
    <t>কেন না আমার নিজের পুঁজি নাই</t>
  </si>
  <si>
    <t>দেহের বিভিন্ন অঙ্গপ্রত্যঙ্গ বিভিন্ন হারে মারা যায়</t>
  </si>
  <si>
    <t>আমি সানিকে আমার কাছে ডাকলাম</t>
  </si>
  <si>
    <t>ট্রেনের হর্ণের শব্দ গর্জনের মতো কানে বিধত</t>
  </si>
  <si>
    <t>আমি তাকে বিরক্ত না করে ঘর থেকে বাইরে চলে এসেছিলাম</t>
  </si>
  <si>
    <t>তাই কোনো ধরনের ভুল বোঝাবুঝি বা গুজব ছড়ালে তারা সেগুলোর সমাধান করতেন</t>
  </si>
  <si>
    <t>তখন মনে হইয়াছিল অশ্বত্থবৃক্ষ বড় রসিক এই নীরস পাষাণ হইতেও রস গ্রহণ করিতেছে</t>
  </si>
  <si>
    <t>সেকালের হরকরা নামক ইংরেজী পত্রিকায় দেখিতাম কোন একজন মিলিটারি সাহেব</t>
  </si>
  <si>
    <t>প্রথম সম্ভাষণ সমাপন হইলে পর স্নানাদি করিতে যাওয়া গেল</t>
  </si>
  <si>
    <t>সে আমার কাজটা সম্পন্ন করিয়া দিতে পারিল না</t>
  </si>
  <si>
    <t>রুমি রানাকে দেখিতে আসিয়াছিল</t>
  </si>
  <si>
    <t>ভূতপূর্ব নবাব সিরাজউদ্দৌলা নদীয়ার পলাশীর কাছে যুদ্ধে পরাজিত নিহত হন</t>
  </si>
  <si>
    <t>এর পাশাপাশি এ ক্যাডেট কলেজটি শিক্ষা ক্ষেত্রে বিশেষ সাফল্য লাভ করেছে</t>
  </si>
  <si>
    <t>এই ছিটিকিনি নিয়েই শাহেদের সঙ্গে আসমানীর ঝগড়া হয়ে গেল</t>
  </si>
  <si>
    <t>ভারতের কংগ্রেস কোনো ধরনের যুদ্ধে জড়াতে চাইছিল না</t>
  </si>
  <si>
    <t>আরো তথ্যের জন্য ক্লিক করুন</t>
  </si>
  <si>
    <t>কেন তাহা কখনও ভাবিতাম না</t>
  </si>
  <si>
    <t>আমি সুমন একসঙ্গে স্কুল যাইতেছি</t>
  </si>
  <si>
    <t>সে আমার দেওয়া গল্পের বইটা পড়িয়া আনন্দ পাইয়াছিল</t>
  </si>
  <si>
    <t>আমি তাকে অনেক বেশি বিশ্বাস করেছিলাম。</t>
  </si>
  <si>
    <t>রবিন রাস্তা দিয়া হাঁটিতেছে</t>
  </si>
  <si>
    <t>ঘরে তৈরি আচার জেস্টি ক্রঞ্চ যোগ করে</t>
  </si>
  <si>
    <t>ইতিহাস রসকদম্ব একটি প্রাক আধুনিক যুগের মিষ্টি</t>
  </si>
  <si>
    <t>অ্যাপটির ইন্টারফেস ছিল জটিল ব্যবহার করা কঠিন</t>
  </si>
  <si>
    <t>আমি তাকে স্কুলে যাওয়ার জন্য অনুরোধ করেছিলাম</t>
  </si>
  <si>
    <t>আমি তাকে আমার গল্পের বইটি পড়তে দিয়েছিলাম。</t>
  </si>
  <si>
    <t>এক্ষণে মহাজনেরা তাহাদের সর্ব্বস্ব লয়</t>
  </si>
  <si>
    <t>জানালা ভেদ করিয়া সকালের রৌদ্রটি টেবিলের নীচে আমার পায়ের উপর আসিয়া পড়িয়াছে সেই উত্তাপটুকু বেশ মধুর বোধ হইতেছে</t>
  </si>
  <si>
    <t>কেবল আমাদের সন্তানকে কাঁদাইবার জন্য</t>
  </si>
  <si>
    <t>পথশ্রান্তা যুবতীরা মদের ভাঁটিতে বসিয়া মদ্য পান করিতেছে</t>
  </si>
  <si>
    <t>রফিক এখন রাস্তায় হাঁটিতেছে</t>
  </si>
  <si>
    <t>সুমন ভাই আমার ঘরে এসেছিল</t>
  </si>
  <si>
    <t>আপনার পোষা প্রাণীর নাম দিয়ে মন্তব্য করুন</t>
  </si>
  <si>
    <t>সুজন এটা দেখে বসে পরল</t>
  </si>
  <si>
    <t>নতুন সংস্কৃতির জন্য ভ্রমণ মুগ্ধ করে</t>
  </si>
  <si>
    <t>পূর্ব্বপার হইতে দেখিলাম যে অপর পারে ঘাটের উপরেই একজন সাহেব বাঙ্গালায় বসিয়া পাইপ টানিতেছেন</t>
  </si>
  <si>
    <t>সে আমাকে নিয়ে চিন্তা করিতেছিল</t>
  </si>
  <si>
    <t>সুমন আমাকে তাহার নিকটে যাইতে বলিয়াছিল</t>
  </si>
  <si>
    <t>প্রতিদিন বিকেলে সে মাঠে খেলিতে যায়</t>
  </si>
  <si>
    <t>কী করে তিনি লোকটার ভয় ভাঙাবেন তাও বুঝতে পারছেন না</t>
  </si>
  <si>
    <t>গ্রাহক সহায়তা দল আমার উদ্বেগগুলি সমাধান করার জন্য উপরে তার বাইরে চলে গেছে</t>
  </si>
  <si>
    <t>জোড়া সাথে থাকলে রাজহাঁস শান্ত থাকে</t>
  </si>
  <si>
    <t>থেরাপিস্ট তাদের ক্লায়েন্টের উদ্বেগের কথা মনোযোগ সহকারে শোনেন</t>
  </si>
  <si>
    <t>কিউপিড প্রস্তুত ছিলেন</t>
  </si>
  <si>
    <t>মাথা নত করিয়া আসুন নতুবা প্রাঙ্গণে ছায়া পড়িবে</t>
  </si>
  <si>
    <t>আমি অসহায়ভাবে বসিতে গিয়া হঠাৎ বুঝিতে পারিলাম সে আমাকে সম্মোহন করার চেষ্টা করিতেছিল</t>
  </si>
  <si>
    <t>শ্ৰীনাথ দাসের মুদিখানার পাশ দিয়া কায়েত পাড়ার পথটা বাহির হইয়া গিয়াছে</t>
  </si>
  <si>
    <t>কথাটা যে নিতান্তই অসংলগ্ন ছেলেমানুষের মত হইল তাহা ভূপতির নিজের কানেও ঠেকিল</t>
  </si>
  <si>
    <t>গোপাল শুনিতে পাইলে অস্ফুট স্বরে বলে লক্ষ্মীছাড়ার দল</t>
  </si>
  <si>
    <t>বয়সে শুধু যে শরীর ভাঙে তাই না শরীরের ভেতরে যে আত্মা বাস করে সেই আত্মাও ভাঙতে থাকে</t>
  </si>
  <si>
    <t>অভাব থেকে প্রাচুর্যের দিকে আপনার ফোকাস স্থানান্তর করতে প্রতিদিন কৃতজ্ঞতা অনুশীলন করুন</t>
  </si>
  <si>
    <t>ট্রেন স্টেশন ছেড়ে যাওয়ার পথে শামসউদ্দীনের লোক আমাকে হাত নেড়ে বিদায় জানাত</t>
  </si>
  <si>
    <t>আল্লাহ তাআলা কোরআন শরীফের ওপর আমার বাবার অগাধ বিশ্বাস</t>
  </si>
  <si>
    <t>হাত পা ঠাণ্ডা হয়ে গেল</t>
  </si>
  <si>
    <t>চোখ বুজিয়া চৌকাঠে মাথা রাখিয়া নিস্পন্দের মত দাঁড়াইয়া রহিলেন</t>
  </si>
  <si>
    <t>সজল নামাজ পড়িয়া স্কুলে যাইবে</t>
  </si>
  <si>
    <t>তিনি হঠাৎ বলিল এই শহরগুলো বিচ্ছিন্ন দ্বীপের মতো হইয়া গিয়াছে</t>
  </si>
  <si>
    <t>গল্পই লোকের বিশ্বাস কাড়িবার জন্য সাবধান হইয়া চলে সত্যের সে দায় নাই বলিয়া সত্য অদ্ভুত হইতে ভয় করে না</t>
  </si>
  <si>
    <t>পরেই তাহারা নৃত্য আরম্ভ করিল</t>
  </si>
  <si>
    <t>সুমন এটা কুড়িয়ে পেয়েছে</t>
  </si>
  <si>
    <t>তার অবসর গ্রহনের কিছুদিন পরই সালে তিনি মৃত্যুবরণ করেন</t>
  </si>
  <si>
    <t>আপনার সুখ মঙ্গল জন্য দায়িত্ব নিন অন্য কেউ এটি আপনার জন্য এটি করতে পারেন</t>
  </si>
  <si>
    <t>ঝুঁকি ব্যবস্থাপনার কৌশল আমাদের ব্যবসার সম্ভাব্য হুমকি প্রশমিত করে</t>
  </si>
  <si>
    <t>ফরিদ আমাকে কথা দিয়েছিল</t>
  </si>
  <si>
    <t>এখন দেখি এ বেগ আমার একার নহে</t>
  </si>
  <si>
    <t>এই বার আপনার বর্ত্তমানাবস্থা বর্ণনা করিবার সামান্য সুযোগ লই</t>
  </si>
  <si>
    <t>কাজেই আমি কদলীবৃক্ষের প্রসঙ্গ না করিয়া থাকিতে পারিলাম না</t>
  </si>
  <si>
    <t>বাঘটি আমি স্বহস্তে মারিব</t>
  </si>
  <si>
    <t>কোনো স্বভাবকৌতূহলী দ্বারলগ্নকর্ণদাসী নিরুর শাশুড়িকে এই খবর দিল</t>
  </si>
  <si>
    <t>উষ্ণ জিঞ্জারব্রেড কুকিজ নস্টালজিয়া জাগিয়ে তোলে</t>
  </si>
  <si>
    <t>ফ্লাইট অ্যাটেনডেন্ট বিমানে যাত্রীদের খাবার পানীয় পরিবেশন করেন</t>
  </si>
  <si>
    <t>ফৌজদারি বিচার নীতিতে মাদকের বিরুদ্ধে যুদ্ধ একটি বিতর্কিত বিষয়</t>
  </si>
  <si>
    <t>সে যে কাজ করেছিল তা সত্যিকারের বরণীয়</t>
  </si>
  <si>
    <t>আমার ভাই সবসময় আমাকে হাসাতে জানে</t>
  </si>
  <si>
    <t>আমি অনিমিষ লোচনে সুন্দরী দেখিতে লাগিলাম</t>
  </si>
  <si>
    <t>এই ঘটনার পরে মেয়েকে বাড়ি আনিবার প্রস্তাব কাহারো মুখে আসে না</t>
  </si>
  <si>
    <t>সুজন ভাত খাইয়া খেলিতে আসিবে</t>
  </si>
  <si>
    <t>ডাক্তার চিন্তিত বিমর্ষ মুখে জানাইলেন অবস্থা বড়োই খারাপ</t>
  </si>
  <si>
    <t>একদিন বেলা দুই প্রহরের সময় টিটাগড়ের বাগানে</t>
  </si>
  <si>
    <t>তুমি কি খাবার খেয়েছ</t>
  </si>
  <si>
    <t>কাজে যাওয়ার প্রতি কারো কোনো আগ্রহ দেখা গেল না কিংবা কারো হয়তো কোনো কাজ নেই</t>
  </si>
  <si>
    <t>হাছন রাজা পাখি ভালোবাসতেন</t>
  </si>
  <si>
    <t>প্রজাপতিরা ফুলের মধ্যে নাচছিল তাদের সূক্ষ্ম ডানাগুলি সূর্যের আলোতে জ্বলজ্বল করে</t>
  </si>
  <si>
    <t>জগৎ বিজয়ী হৈতে পাইল সম্পদ</t>
  </si>
  <si>
    <t>যামিনী কবিরাজের গোয়ালের পিছনটাতে তিন মাসের জমানো গোবর পচিয়া উঠিয়াছে</t>
  </si>
  <si>
    <t>এমন হইল যে সংসারের খরচ চলে না</t>
  </si>
  <si>
    <t>সে অত্যন্ত বিচক্ষণতার সাথে বিষয়টি নিশ্চিত করিয়াছিলেন</t>
  </si>
  <si>
    <t>রনি আমাকে ডাকিয়া আসিয়াছিল</t>
  </si>
  <si>
    <t>তাহার চোখ দিয়ে জল গড়িয়া পড়িল</t>
  </si>
  <si>
    <t>ভালো কিছু দেখলে প্রথমেই সে দাম জিজ্ঞেস করবে</t>
  </si>
  <si>
    <t>আমার একটি বই বদলাতে হবে</t>
  </si>
  <si>
    <t>এই সংগঠনটিকে সৃষ্টি করেছিলেন বাংলাদেশের প্রধান মুক্তচিন্তক আহমদ শরীফ</t>
  </si>
  <si>
    <t>দূরত্বের কারনে অনেক বন্ধুত্ব নষ্ট হয়ে গিয়েছে</t>
  </si>
  <si>
    <t>আচ্ছা আমি আসচি আপনি ঘুমোন</t>
  </si>
  <si>
    <t>এমনি করিয়া ছবি তুলিতে তুলিতে আলাপ পরিচয় বহুদূর অগ্রসর হইয়া গেল</t>
  </si>
  <si>
    <t>তাহাদের মদের মাদকতা নাই এ কথাও বলিতে পারি না</t>
  </si>
  <si>
    <t>বর্ষাকালে কোলেরা কেবল এই ফুল খাইয়া দুই তিন মাস কাটায়</t>
  </si>
  <si>
    <t>আমি তাহাকে দেখিতে তাহার বাড়িতে গিয়াছিলাম</t>
  </si>
  <si>
    <t>সংবাদপত্র বিলি করার সময় প্রায় সকল গ্রাহকদের সাথেই দু একটা কথা হতো</t>
  </si>
  <si>
    <t>নিউজ আউটলেটগুলিকে ন্যায্য নির্ভুল রিপোর্টিং নিশ্চিত করতে নৈতিক নির্দেশিকা মেনে চলতে হবে</t>
  </si>
  <si>
    <t>কর্মচারী স্বীকৃতি প্রোগ্রামগুলি প্রশংসার সংস্কৃতিকে উত্সাহিত করে</t>
  </si>
  <si>
    <t>সবুজ সার মাটিতে পুষ্টি জৈব পদার্থ যোগ করতে ব্যবহৃত হয়</t>
  </si>
  <si>
    <t>এর আদি নিবাস চীনে</t>
  </si>
  <si>
    <t>আবার সর্বোচ্চ চূড়ার পার্শ্বে এক সর্পফণা নির্ম্মাণ করিয়া তাহা হরিত পীত নানা বর্ণে চিত্রিত করা হইয়াছে পাছে সর্পের প্রতি লোকের দৃষ্টি না পড়ে এইজন্য ফণাটি কিছু বড় করিতে হইয়াছে</t>
  </si>
  <si>
    <t>রনি সুন্দর মুখ দেখিয়া ভুলিয়া যাইও না</t>
  </si>
  <si>
    <t>সুজন পাহাড় গৃহে নামাজ পড়িয়াছিল</t>
  </si>
  <si>
    <t>এ সম্বন্ধে কাহাকেও নিরাশ করিলেন না দিব্য বাঁচিয়া রহিলেন</t>
  </si>
  <si>
    <t>গ্রামে ঢুকিবার আগে খালের সঙ্গে সংযুক্ত নালার উপর একটি পুল পড়ে</t>
  </si>
  <si>
    <t>চক্রবৃদ্ধি সুদ সময়ের সাথে সাথে আপনার সঞ্চয়কে উল্লেখযোগ্যভাবে বাড়িয়ে তুলতে পারে</t>
  </si>
  <si>
    <t>সংগঠিত অপরাধ সিন্ডিকেট জটিল অবৈধ ব্যবসায় জড়িত</t>
  </si>
  <si>
    <t>মৃত্যুর কারণ নিয়ে এখনো দ্বন্দ্ব্ব আছে</t>
  </si>
  <si>
    <t>সে শূন্য দৃষ্টিতে তার দিকে তাকিয়ে ছিলো</t>
  </si>
  <si>
    <t>রানা এখন বাজারে যাবে না</t>
  </si>
  <si>
    <t>তিনিও বসিয়া পড়িলেন বলিলেন কাটাইবেন তাহার চুল</t>
  </si>
  <si>
    <t>সকলেই আবলুসের মতো কাল সকলেই যুবতী সকলেরই কটিদেশে একখানি করিয়া ক্ষুদ্র কাপড় জড়ান</t>
  </si>
  <si>
    <t>আজান হইতাছে নামাজে যাইতে হইবে</t>
  </si>
  <si>
    <t>স্থানটিতে ওজনের ঝাঁঝালো সামুদ্রিক গন্ধ ক্রমে মিলাইয়া আসিল</t>
  </si>
  <si>
    <t>এখানে একটি অসাধারণ দৃশ্য দেখা যাচ্ছে</t>
  </si>
  <si>
    <t>বীর প্রতীক চতুর্থ সর্বোচ্চ উপাধি</t>
  </si>
  <si>
    <t>সেদিনের সেই ঘটনাটি তাদের ধ্বংস করে দিয়েছিল</t>
  </si>
  <si>
    <t>একে অপরের প্রতি আমার দাদা দাদির ভালবাসা অটুট</t>
  </si>
  <si>
    <t>সালে ক্লাবটি সবচেয়ে খারাপ সময় অতিবাহিত করেছে</t>
  </si>
  <si>
    <t>তাহারা বসিয়া নানাভঙ্গিতে কেবল ওষ্ঠক্রীড়া করিতেছে</t>
  </si>
  <si>
    <t>যাঁহারা বলেন যুবতীর দেহ দেখিয়া ভুলিয়াছেন তাঁহাদের মিথ্যা কথা</t>
  </si>
  <si>
    <t>আমি গৃহে নামাজ পড়িয়াছিলাম</t>
  </si>
  <si>
    <t>জল মুছিয়া নববধূ ধীরে ধীরে মাতৃকক্ষে গিয়া লুচি আনিয়া কুক্কুরীকে দিল</t>
  </si>
  <si>
    <t>আমাদের মত বম্বেটে লোকেরাও এ সব স্থানে সন্ধ্যের পরে আসতে সাহস করে না</t>
  </si>
  <si>
    <t>এর কিছুকাল পরে খনার মৃত্যু হয়</t>
  </si>
  <si>
    <t>তুমি আজকে আসতে আমি যেতাম তোমার সাথে</t>
  </si>
  <si>
    <t>তিনি কাউকে ঠকাতে চান না</t>
  </si>
  <si>
    <t>তিনি মনে করতেন মানুষের তিনটা হাত প্রয়োজন তিনি তিনটাই দিতেন</t>
  </si>
  <si>
    <t>সুজন আমাকে তার বই দিতে এসেছিল</t>
  </si>
  <si>
    <t>সারা জীবন কেবল মুরিদের মঙ্গল কামনাই করিয়াছি</t>
  </si>
  <si>
    <t>পুরাতন কথা বলিতে শীঘ্র আরম্ভ করিবেন এমন উমেদ রাখেন</t>
  </si>
  <si>
    <t>অনেক দিনের কথা লিখিতে বসিয়াছি</t>
  </si>
  <si>
    <t>নদীতে স্নান করিবার সময় কুমিরের সহিত দেখা হইলো</t>
  </si>
  <si>
    <t>দেহের কোলাহল থাকে যুবতীদের দেহে সেই কোলাহল পড়িয়া গেল</t>
  </si>
  <si>
    <t>চ্যালেঞ্জের মুখে স্থিতিস্থাপকতা অধ্যবসায় গড়ে তুলুন</t>
  </si>
  <si>
    <t>সদয় আচরণের সাক্ষী মানবতার প্রতি আমার বিশ্বাস পুনরুদ্ধার করে</t>
  </si>
  <si>
    <t>ভিক্ষুকটি শূন্য হাতে রাস্তার একপাশে বসে ছিলো。</t>
  </si>
  <si>
    <t>একটি ভাল বৈচিত্রপূর্ণ বিনিয়োগ পোর্টফোলিও আপনাকে বাজারের মন্দা আবহাওয়ায় সাহায্য করতে পারে</t>
  </si>
  <si>
    <t>চ্যালেঞ্জ অতিক্রম করার জন্য সমস্যা সমাধানের দক্ষতা অপরিহার্য</t>
  </si>
  <si>
    <t>এমনি করিয়াই ইহাদের নির্জনবাসের দিনগুলা কাটিতেছিল</t>
  </si>
  <si>
    <t>এইরূপ অপ্রফুল্লকর স্থানে নবকুমার সঙ্গিগণকর্ত্তৃক পরিত্যক্ত হইয়াছিলেন</t>
  </si>
  <si>
    <t>পূর্ব মালিবাগ বলে কিছু নেই</t>
  </si>
  <si>
    <t>সেজন্য তাহার শাশুড়িকে সম্পূর্ণ দোষ দেওয়া যায় না</t>
  </si>
  <si>
    <t>তুমি কি আমার কথা শুনিতেছ</t>
  </si>
  <si>
    <t>শেষে শাকিব রহিমকে বিপদে ফেলল</t>
  </si>
  <si>
    <t>তারপরে আরমিন তাকে খুন করেন</t>
  </si>
  <si>
    <t>দরজার ফাঁকে চৌদ্দ পনেরো বছরের অপরূপ রূপবতী একটি কিশোরীর মুখ দেখা গেল</t>
  </si>
  <si>
    <t>অ্যারোবিক ব্যায়াম হৃদস্পন্দন বাড়ায়</t>
  </si>
  <si>
    <t>তিনি বীর উত্তম প্রতীক প্রাপ্ত</t>
  </si>
  <si>
    <t>এদিকে তিনি কৃপণতা করেন নাই</t>
  </si>
  <si>
    <t>সবুজ আমাকে বই দিতে আসিয়াছিল</t>
  </si>
  <si>
    <t>আবার কতক দূর গিয়া বলিল আপনি এইখানে দাঁড়ান</t>
  </si>
  <si>
    <t>আমি তাহাকে ডাকিয়াছিলাম একটি পরামর্শ নেওয়ার জন্য</t>
  </si>
  <si>
    <t>বলিলাম রহমত তুমি দেশে তোমার মেয়ের কাছে ফিরিয়া যাও তোমাদের মিলনসুখে আমার মিনির কল্যাণ হউক</t>
  </si>
  <si>
    <t>শিক্ষাগত সমতা শিক্ষায় ন্যায্যতা ন্যায়বিচার নিশ্চিত করা</t>
  </si>
  <si>
    <t>মাঝে মাঝে অবশ্য মৎস্যকন্যাদের মতোও হয়ে থাকে</t>
  </si>
  <si>
    <t>তাঁর পানির পিপাসা হচ্ছে</t>
  </si>
  <si>
    <t>এই পোস্টটি লাইক শেয়ার করুন</t>
  </si>
  <si>
    <t>তারপর ঘাটের খাঁজের উপর উবু হইয়া বসিয়া আরম্ভ করিয়া দিল জটলা</t>
  </si>
  <si>
    <t>লোকটা অপ্রকৃতিস্থের মতো আমার দিকে তাকিয়ে হাসল。</t>
  </si>
  <si>
    <t>লোকগুলো স্তম্ভিত হইয়ে কিছুক্ষণ সেখানে বসিয়া ছিলো</t>
  </si>
  <si>
    <t>আমি খেলা শেষে স্কুলে যাইবো</t>
  </si>
  <si>
    <t>আমার ইচ্ছা আছে একটি হরিয়াল পালন করি দেখি সে রাধে মন্যুং পরিহর বলে কি না বলে</t>
  </si>
  <si>
    <t>টাটকা রান্না রুটির স্বর্গীয় গন্ধ</t>
  </si>
  <si>
    <t>আমি আমার প্রিয় বন্ধুদের মতো আমার ভাই বোনদের সঙ্গে মিলতে পারি</t>
  </si>
  <si>
    <t>আমি বাজার করতে গিয়েছিলাম</t>
  </si>
  <si>
    <t>এই অপ্রকিতস্থ অবস্থায় তিনি তার স্ত্রী পুত্রদের হত্যা করেন</t>
  </si>
  <si>
    <t>ক্ষেত্র দুটি হল সেরা ভিজুয়াল ইফেক্ট সেরা মূল সঙ্গীত স্কোর</t>
  </si>
  <si>
    <t>নে করিতেছি তাহাকে ফিরিয়া ডাকিব এমন সময়ে দেখি সে আপনি ফিরিয়া আসিতেছে</t>
  </si>
  <si>
    <t>মতির কাছে খবরটা এখন কয়েক দিনের জন্য চাপিয়া যাওয়ার বুদ্ধিও বাড়ির কাহারও হইবে কি না সন্দেহ</t>
  </si>
  <si>
    <t>বহুক্ষণ উভয়েই চুপ করিয়া রহিল</t>
  </si>
  <si>
    <t>সে আমার উপর অসন্তুষ্ট হইয়াছিল</t>
  </si>
  <si>
    <t>আমি তোমাকে দেখিতে পাইয়াছিলাম</t>
  </si>
  <si>
    <t>মৃত্যু বিভিন্ন স্তরে ঘটে থাকে</t>
  </si>
  <si>
    <t>গভীর রাতে সে জানালার পাশে একটি শব্দ শুনতে পেয়েছিল</t>
  </si>
  <si>
    <t>সানির মা আমাকে ঘরে বসতে বলেছিল</t>
  </si>
  <si>
    <t>আমি ভবিষ্যতে নতুন সম্ভাবনাগুলির দিকে তাকিয়ে থাকতে চাই</t>
  </si>
  <si>
    <t>রানা স্কুলে পড়তে যাচ্ছে</t>
  </si>
  <si>
    <t>আমার ঘরে আজ রাত্রি শেষ হইতে না হইতে সানাই বাজিতেছে</t>
  </si>
  <si>
    <t>এই ভাষায় গালি চলে না ঝগড়া চলে না মনের অনেক কথা বলা হয় না</t>
  </si>
  <si>
    <t>আমি ইহা দেখিয়া বসিয়া পরিয়াছিলাম</t>
  </si>
  <si>
    <t>ইহার এক জাতির বিবাহে আমি বরযাত্রী হইয়া কতক দূর গিয়াছিলাম</t>
  </si>
  <si>
    <t>মানুষের শরীরের গরমে শহর গরম</t>
  </si>
  <si>
    <t>পালিয়েই বিপদে পড়ে</t>
  </si>
  <si>
    <t>এরা প্রিমিয়ার লীগে খেলে থাকে</t>
  </si>
  <si>
    <t>রিউমাটয়েড আর্থ্রাইটিস একটি অটোইমিউন ডিসঅর্ডার যা জয়েন্টে ব্যথা শক্ত হয়ে যায়</t>
  </si>
  <si>
    <t>সে ট্রেনের জানালা দিয়ে এক অপরূপ সৌন্দর্য্য দেখতে পেলো</t>
  </si>
  <si>
    <t>হারুর বাড়ি এই পথের শেষ সীমায়</t>
  </si>
  <si>
    <t>আমি ভাবিলাম হায়রে দেশ তুই একদম গেলি</t>
  </si>
  <si>
    <t>আমি আমার মাথায় মেশিনের গরম স্পর্শ অনুভব করিলাম</t>
  </si>
  <si>
    <t>চড়ুই দম্পতি তাহার বারান্দার এক কোণে বাসা নির্মাণ ব্যাপারে পরস্পরকে কিচিমিচি শব্দে উৎসাহ দিতেছিল</t>
  </si>
  <si>
    <t>সে দেখিতে পাইলো নদীর ধারে এক অপরূপ সৌন্দর্য্যের মানুষ দাঁড়াইয়াছিল</t>
  </si>
  <si>
    <t>এটি চৈত্র মাসে পালিত হিন্দু দেবতা শিবের গাজন উৎসবের একটি অঙ্গ</t>
  </si>
  <si>
    <t>তারা আমার সাথে দেখা করতে এসেছিল</t>
  </si>
  <si>
    <t>তাদের অ্যাডভেঞ্চার ছিল আত্ম আবিষ্কারের যাত্রা তাদের সীমার দিকে ঠেলে দেয়</t>
  </si>
  <si>
    <t>কৃষি সমবায়গুলি ছোট আকারের কৃষকদের সম্মিলিত দর কষাকষির জন্য সম্পদ সংগ্রহ করতে সক্ষম করে</t>
  </si>
  <si>
    <t>শামসউদ্দীন একটা উপায় বের করল</t>
  </si>
  <si>
    <t>ফটিক আবার বিড় বিড় করিয়া বকিতে লাগিল বলিল মা আমাকে মারিস্‌ নে মা সত্যি বলছি আমি কোনো দোষ করি নি</t>
  </si>
  <si>
    <t>আসল কথা যাহারা দশের মতো বিনা কারণে দশের সঙ্গে তাহাদের বিরোধ বাধে না</t>
  </si>
  <si>
    <t>আমাদের শাস্ত্রে এই বিবাহকে আসুরিক বিবাহ বলে</t>
  </si>
  <si>
    <t>কিরণময়ীর দুই চোখ আগুনের মত জ্বলিয়া উঠিল</t>
  </si>
  <si>
    <t>সে প্রশংসায় কর্ণপাত বড় করি নাই কেন না বঙ্গবাসীমাত্রই সজ্জন</t>
  </si>
  <si>
    <t>স্কুলে আমার অনেক ভালো লেগেছিল</t>
  </si>
  <si>
    <t>মৃত্যু ক্লুগে মে সালে ফ্রিবার্গে মৃত্যুবরণ করেন</t>
  </si>
  <si>
    <t>আমার বাবা মা আমাকে সততা কঠোর পরিশ্রমের গুরুত্ব শিখিয়েছিলেন</t>
  </si>
  <si>
    <t>সালে নেরুদাকে সাহিত্যে নোবেল পুরস্কারে ভূষিত করা হয়</t>
  </si>
  <si>
    <t>সেই ঘটনাটি দেখে আমি খানিকক্ষণ চুপচাপ দাঁড়িয়ে ছিলাম</t>
  </si>
  <si>
    <t>আবার মহাজনের নিকট খোরাকী কর্জ্জ করা আবশ্যক</t>
  </si>
  <si>
    <t>ধড়মড় করিয়া উঠিয়া বসিয়া কৃত্রিম ক্রোধের স্বরে বলিল শুভকর্মের গোড়াতেই টুকো না বলচি</t>
  </si>
  <si>
    <t>সে স্বচ্ছন্দে তাহার পুরাতন বন্ধুকে বিস্মৃত হইয়া প্রথমে নবী সহিসের সহিত সখ্য স্থাপন করিল</t>
  </si>
  <si>
    <t>পাড়ায় চামড়ার গোটাকয়েক বড়ো আড়ত</t>
  </si>
  <si>
    <t>পড়াশুনায় মন দিতে অনেকক্ষণ বৃথা চেষ্টা করিয়া সকাল সকাল বাড়ি ফিরিয়া আসিল</t>
  </si>
  <si>
    <t>সালে রাজদ্রোহমূলক নরবলি রচনার জন্য তিনি কারারুদ্ধ হন</t>
  </si>
  <si>
    <t>একক জীবন থেকে ভালো কিছুই নেই</t>
  </si>
  <si>
    <t>সব সাকিউবাসই আবার পরশ্রীকাতর নয়</t>
  </si>
  <si>
    <t>কৌশলগত পরিকল্পনা দীর্ঘমেয়াদী সাফল্যের ভিত্তি স্থাপন করে</t>
  </si>
  <si>
    <t>রাতদুপুরে সাধু সাধু চেহারার এক লোক এসে তাদের রাজহাঁস দিতে চাচ্ছে</t>
  </si>
  <si>
    <t>তাঁহাদের প্রশংসা করি না</t>
  </si>
  <si>
    <t>এইজন্য সকালবেলায় আমার ছোটো ঘরে টেবিলের সামনে বসিয়া এই কাবুলির সঙ্গে গল্প করিয়া আমার অনেকটা ভ্রমণের কাজ হইত</t>
  </si>
  <si>
    <t>অন্নপূর্ণার যাওয়ার পর বেহারা ছুটি লইয়া গিয়াছিল পাখিকে কেহ দেখে নাই</t>
  </si>
  <si>
    <t>শাওনের মাতা আমার নিকটে আসিয়া ছিল</t>
  </si>
  <si>
    <t>গ্রামের কলঙ্কিনীদের মধ্যে শশীর সেনদিদির প্রসিদ্ধিই বেশি</t>
  </si>
  <si>
    <t>পারিবারিক নৈশভোজ গল্প হাসি ভাগ করে নেওয়ার একটি সময়</t>
  </si>
  <si>
    <t>স্থানীয় লোকজনের পারস্পরিক সম্পর্ক খুবই ভালো ছিল</t>
  </si>
  <si>
    <t>দূরবর্তী কাজের নীতিগুলি কাজের প্রবণতা পরিবর্তন করে</t>
  </si>
  <si>
    <t>আমি গ্রামাঞ্চল উপভোগ করার জন্য মনোরম পথ দিয়ে একটি চক্কর নিলাম</t>
  </si>
  <si>
    <t>তখন গভীর ছায়া নেমে এসেছিল সবখানে</t>
  </si>
  <si>
    <t>তাহার রকমারি পোশাকের বাহার দেখে সে অবাক হইয়ে গিয়াছিল</t>
  </si>
  <si>
    <t>বালকগুলি কোলের সন্তান</t>
  </si>
  <si>
    <t>তাহাদের নিকট আমাকে যাইতে বলিয়াছিল</t>
  </si>
  <si>
    <t>আমি তাকে আমার ব্যর্থতার গল্পগুলো বলেছিলাম。</t>
  </si>
  <si>
    <t>খাইয়া না আসিলেও তাহার বাটী ফিরিবার তাড়া ছিল না</t>
  </si>
  <si>
    <t>বাবা আমাকে স্কুলে যেতে বলেছিল</t>
  </si>
  <si>
    <t>শিক্ষাগত প্রযুক্তি নির্দেশনামূলক বিতরণ ব্যস্ততা বাড়ায়</t>
  </si>
  <si>
    <t>এর দশকে বাবেলের ছোটগল্প তাঁকে ব্যাপক খ্যাতি এনে দেয়</t>
  </si>
  <si>
    <t>জরথুষ্ট্রবাদ প্রাচীন পারস্যে উদ্ভূত হয়েছিল ভাল মন্দের মধ্যে লড়াইয়ের উপর দৃষ্টি নিবদ্ধ করে</t>
  </si>
  <si>
    <t>মানুষ তো না যেন মানুষের ছায়া</t>
  </si>
  <si>
    <t>শচীশের টানে এই দলের স্রোতে আমিও গ্রাম হইতে গ্রামে ভাসিয়া বেড়াইতে লাগিলাম</t>
  </si>
  <si>
    <t>বিবাহসভায় একটা তুমুল গোলযোগ বাধিয়া গেল</t>
  </si>
  <si>
    <t>রুমি আমার কথা অনেক বলিয়াছিল</t>
  </si>
  <si>
    <t>আমার বাবা লাহোর হইতে ঢাকায় আগমন করিতেছিলেন</t>
  </si>
  <si>
    <t>অবশেষে তাহার হাসি দেখিয়া তাহাকে চিনিলাম</t>
  </si>
  <si>
    <t>পারিবারিক সমাবেশ সবসময় আমার হৃদয়ে আনন্দ নিয়ে আসে</t>
  </si>
  <si>
    <t>দিনের হিসেব শেষে আমরা সমুদ্র তীরে কিছুটা সময় কাটাতাম</t>
  </si>
  <si>
    <t>সে সকল বইয়ের কোনো কোনোটাতে আমার শৈশবের সামান্য বর্ণনাও দিয়েছি</t>
  </si>
  <si>
    <t>এছাড়াও তিনি দুইবার বুকার সাহিত্য পুরষ্কারও জিতেছেন</t>
  </si>
  <si>
    <t>আমি তাদের কথা শুনতে পেরেছিলাম</t>
  </si>
  <si>
    <t>রাত্রি দেড় প্রহরের সময় বাহকস্কন্ধে আমি ছোটনাগপুর যাত্রা করিলাম</t>
  </si>
  <si>
    <t>দুয়ো দিয়া গেলেন —অবশ্য তাহা মনে মনে তাঁহার ওষ্ঠপ্রান্তে একটু হাসি ছিল তাহাই বলিতেছি</t>
  </si>
  <si>
    <t>আমার শরীর রোমাঞ্চ হইল আমি সেই দিকে কতক সভয়ে কতক কৌতূহলপরবশে গেলাম</t>
  </si>
  <si>
    <t>রাতে আমি একটা বই পড়িতে পড়িতে ঘুমাইয়া গিয়াছিলাম</t>
  </si>
  <si>
    <t>বর্ষার পর কাদা শুকাইয়া মনে হয় আগাগোড়া যেন লাঙল দিয়া চষিয়া ফেলা হইয়াছে</t>
  </si>
  <si>
    <t>পশুচিকিত্সক সার্জন একটি প্রিয় পোষা প্রাণীর জীবন রক্ষাকারী অপারেশন করেছেন</t>
  </si>
  <si>
    <t>পুনর্বাসন প্রতিরোধ জননিরাপত্তার মতো বিষয়গুলি বিবেচনা করার সময় ফৌজদারি সাজা প্রদানের লক্ষ্য ন্যায়বিচার অর্জন করা</t>
  </si>
  <si>
    <t>শিক্ষা ব্যক্তিকে সমাজে অবদান রাখতে সক্ষম করে</t>
  </si>
  <si>
    <t>রসালো তরমুজ গ্রীষ্মের পিপাসা মেটায়</t>
  </si>
  <si>
    <t>আমি আজ সকালে যানজটে আটকে গেছি এটা একটা দুঃস্বপ্ন ছিল</t>
  </si>
  <si>
    <t>শাকিব আমাকে ক্রিকেট খেলিতে ডাকিয়াছিল</t>
  </si>
  <si>
    <t>সাহেবকে বিদায় দিয়া অপরাহ্ণে যুবতীর কথা ভাবিতে ভাবিতে পাহাড়ের দিকে যাইতেছিলাম</t>
  </si>
  <si>
    <t>সেদিন সমস্ত দিন ধরিয়া তাহার অপমানাহত ক্ষুব্ধ চিত্ত তাহার প্রবৃত্তিকে শাসন করিতে লাগিল</t>
  </si>
  <si>
    <t>রহিম রানা একসঙ্গে মসজিদে প্রবেশ করিল</t>
  </si>
  <si>
    <t>বালকগণের উচিত বাল্যকাল অবধি পরিশ্রম করিতে অভ্যাস করা</t>
  </si>
  <si>
    <t>শে মে থেকে শে মে পর্যন্ত যুদ্ধ চলে</t>
  </si>
  <si>
    <t>এতে তার আশা পূর্ণ হল</t>
  </si>
  <si>
    <t>মাদ্রাসা পালিয়ে আজহারী হতে পারবেনা</t>
  </si>
  <si>
    <t>করিম বাজার থেকে মাছ কিনে এনেছে</t>
  </si>
  <si>
    <t>এই পণ্যটি আমার প্রত্যাশা ছাড়িয়ে গেছে আমি আমার ক্রয়ের সাথে অত্যন্ত সন্তুষ্ট</t>
  </si>
  <si>
    <t>সে আবার কোন্‌ লজ্জায় জড়াইয়া উপরে উঠিতে চেষ্টা করে</t>
  </si>
  <si>
    <t>শেষ যুদ্ধের পর আপোষ হইয়া যায় তৎক্ষণাৎ উভয় পক্ষ একত্র আহার করিতে বসে</t>
  </si>
  <si>
    <t>কী মাছ পড়ল মাঝি</t>
  </si>
  <si>
    <t>সেও সর্বদা মনে মনে বুঝিতে পারে পৃথিবীর কোথাও সে ঠিক খাপ খাইতেছে না</t>
  </si>
  <si>
    <t>রুমা আমার মাতাকে সব বলিয়া ছিল</t>
  </si>
  <si>
    <t>আপনার মন চাঙ্গা করতে সক্রিয় থাকুন</t>
  </si>
  <si>
    <t>সালে আনন্দ পুরস্কারে ভূষিত হন</t>
  </si>
  <si>
    <t>পণ্যের বিবরণের জন্য চাপ দেন</t>
  </si>
  <si>
    <t>আমার পরিদর্শন জুড়ে কর্মীরা বন্ধুত্বপূর্ণ সহায়ক ছিল</t>
  </si>
  <si>
    <t>হিন্দুস্থানীয়েরা কেহ কেহ সক করিয়া চালভাজার সঙ্গে এই ফুল খাইয়া থাকেন</t>
  </si>
  <si>
    <t>কিছুদিন পর মেয়েকে একবার দেখার জন্য তাহার বাবা মা পালকি পাঠিয়ে দিয়াছিল</t>
  </si>
  <si>
    <t>রুমি ম্যাডাম ইহা পাইয়াছিলেন</t>
  </si>
  <si>
    <t>শেষ একদিন অপরাহ্ণে কুমারী হাসি হাসি মুখে বেশ বিন্যাস করিতে বসে</t>
  </si>
  <si>
    <t>আগে বললেই ত চুকে যেত বলিয়া হাসিয়া বাহির হইয়া গেল</t>
  </si>
  <si>
    <t>সদস্য হবার একমাত্র যোগ্যতা হলো বুদ্ধিমত্তা</t>
  </si>
  <si>
    <t>সুউচ্চ শিখরে স্কেলিং করে তারা তাদের সহনশীলতা শক্তির সীমাকে চ্যালেঞ্জ করেছিল</t>
  </si>
  <si>
    <t>ভগবান গণেশ এই প্রস্তাব স্বীকার করলেন</t>
  </si>
  <si>
    <t>আমি স্কুলে পড়তে যাব</t>
  </si>
  <si>
    <t>সালে একুশে পদক প্রদান করে</t>
  </si>
  <si>
    <t>তথায় নিত্য প্রাতে বিস্তর ফুল ফুটিত</t>
  </si>
  <si>
    <t>রুমি আমাকে খাবার খাইতে দিয়াছিল</t>
  </si>
  <si>
    <t>তার মা ছেলের কথা শুনে হাসিলেন</t>
  </si>
  <si>
    <t>আমি ইহা পড়িতে পারিব না</t>
  </si>
  <si>
    <t>তিনি আমাকে তাঁর ভাল ছেলে বলে আহ্লাদ করেন না জানি</t>
  </si>
  <si>
    <t>আপনার পর্যাপ্ত সুরক্ষা নিশ্চিত করতে আপনার বীমা কভারেজ নিয়মিত পর্যালোচনা করা গুরুত্বপূর্ণ</t>
  </si>
  <si>
    <t>লোকগুলো স্তম্ভিত হয়ে কিছুক্ষণ সেখানে বসে ছিলো</t>
  </si>
  <si>
    <t>গলস্টোন হল পিত্তথলিতে জমা হওয়া শক্ত জমা যা তীব্র ব্যথার কারণ হতে পারে</t>
  </si>
  <si>
    <t>শীঘ্রই আমি সংবাদপত্রের মাধ্যমে লোকজনকে মনে রাখা শুরু করি</t>
  </si>
  <si>
    <t>শক্তি নমনীয়তা ব্যায়াম একত্রিত করুন</t>
  </si>
  <si>
    <t>খানিক দূর আগাইয়া হারুর বৌ এর মড়াকান্না তাহদের কানে ভাসিয়া আসিল</t>
  </si>
  <si>
    <t>এই সময়ে নিরুর একটা গুরুতর পীড়া হইল</t>
  </si>
  <si>
    <t>সৈনিক পুরুষদের মধ্যে অনেকে আপনার ছায়া দেখিয়া ভয় পায় অথচ অম্লান বদনে রণ ক্ষেত্রে গিয়া রণ করে</t>
  </si>
  <si>
    <t>রাস্তার দক্ষিণে ঝোপঝাপের বেষ্টনীর মধ্য পৃথক কয়েকটা ভাঙাচোরা ঘর বৃষ্টিতে ঘর বাইরে ভিজিয়াছে</t>
  </si>
  <si>
    <t>সে সতর্কতার সাথে তাহার কাজটি সম্পন্ন করিয়াছিল</t>
  </si>
  <si>
    <t>এই তিন মহত্মার কৃতিত্বে এলাকার মানুষের মাঝে সবসময় সুষ্ঠু যোগাযোগ বজায় থাকত</t>
  </si>
  <si>
    <t>আজ রহিম ঢাকা রওনা হবে</t>
  </si>
  <si>
    <t>রবিন আমাকে দেখে হেসেছিল</t>
  </si>
  <si>
    <t>সুজন দেখলো এটা কুঁচকে যায়</t>
  </si>
  <si>
    <t>শিল্পের মানদণ্ডের বিরুদ্ধে বেঞ্চমার্কিং উন্নতির জন্য ক্ষেত্র চিহ্নিত করে</t>
  </si>
  <si>
    <t>সুতামজুর দেখিল দূরে একটা গৃহে আলো জ্বলিতেছে</t>
  </si>
  <si>
    <t>বহুকাল হইল আমি একবার পালামৌ প্রদেশে গিয়াছিলাম</t>
  </si>
  <si>
    <t>ইরতাজউদিনের মন খারাপ লাগছে</t>
  </si>
  <si>
    <t>একমাত্র সত্যবাদীতাই ভ্ৰান্তির জগতে প্রবেশে বাধা দেয়</t>
  </si>
  <si>
    <t>তাহার কথা একপ্রকার ভুলিয়া গেলাম</t>
  </si>
  <si>
    <t>এটি চ্যালেঞ্জিং পরিস্থিতিতে টিমওয়ার্ক সহযোগিতাকে উত্সাহিত করে</t>
  </si>
  <si>
    <t>এটি সুস্বাদু মিষ্টি ফল</t>
  </si>
  <si>
    <t>পাতাল রেলে দেরি হয়েছিল তাই আমাকে একটি ট্যাক্সি নিয়ে মিটিংয়ে যেতে হয়েছিল</t>
  </si>
  <si>
    <t>অনলাইন সংবাদ উত্সগুলি তাদের সুবিধা অ্যাক্সেসযোগ্যতার জন্য ক্রমশ জনপ্রিয় হয়ে উঠেছে</t>
  </si>
  <si>
    <t>আমার অনুভূতির জন্য বৈধতা প্রাপ্তি সান্ত্বনা নিয়ে আসে</t>
  </si>
  <si>
    <t>এমনি গোলমাল করিয়া কথাটা থামিয়া গেল</t>
  </si>
  <si>
    <t>সে ঘরে যেয়ে দেখিল তাহার মেয়ে অমূল্য ভয়ে বিবর্ণ হইয়ে একপাশে দাঁড়াইয়া ছিলো</t>
  </si>
  <si>
    <t>তাহারা রহিমকে ধরিয়া বাঁধিয়া রাখিয়া ছিল</t>
  </si>
  <si>
    <t>পুকুরে ছোট ছোট বাচ্চারা নামিয়া খেলা করিতেছে</t>
  </si>
  <si>
    <t>দিন দুই পরে সকালে কিরণ রান্নাঘরে বসিয়া তরকারি কুটিতেছিল</t>
  </si>
  <si>
    <t>সমসাময়িক যুগে তা ছিল এক বিরাট সাফল্যের নিদর্শন</t>
  </si>
  <si>
    <t>লেনদেন সন্দেহজনক কার্যকলাপের জন্য পতাকাঙ্কিত করা হয়েছে</t>
  </si>
  <si>
    <t>উপমহাদেশের অধিকাংশ অঞ্চলজুড়ে মুঘল সাম্রাজ্যের বিস্তৃতি ছিল</t>
  </si>
  <si>
    <t>সুজন আমাকে ফুটবল খেলতে বলল</t>
  </si>
  <si>
    <t>কুইনো সালাদ স্বাস্থ্যকর বিকল্প অফার করে</t>
  </si>
  <si>
    <t>জিমি রানা গল্প করিয়া করিতেছিল</t>
  </si>
  <si>
    <t>বৈকল্যে তাহার নিকট গণিত ধাতস্ত করিবে</t>
  </si>
  <si>
    <t>রতন নিঃশব্দে গৃহে প্রবেশ করিল</t>
  </si>
  <si>
    <t>আমি তখন বালক ষোড়শ বৎসরের অধিক আমার বয়স নহে সুতরাং বয়সের মত স্থির করিলাম স্ত্রীলোকের নিকট পিছাইয়া পড়া হইবে না যথাসাধ্য চলিতে লাগিলাম</t>
  </si>
  <si>
    <t>পাহাড় জঙ্গল বলিলে কে কী অনুভব করেন বলিতে পারি না</t>
  </si>
  <si>
    <t>প্রধানমন্ত্রী মাইলো দুকানোভিক আশা করেন সালের মধ্যেই তা মঞ্জুর হবে</t>
  </si>
  <si>
    <t>আমি সুমন একসাথে স্কুল যাচ্ছি</t>
  </si>
  <si>
    <t>মা আমাকে স্কুলে যেতে বলল</t>
  </si>
  <si>
    <t>আপনার প্রিয় মেমস শেয়ার করুন</t>
  </si>
  <si>
    <t>মানব পাচার একটি জঘন্য অপরাধ যা দুর্বল ব্যক্তিদের শোষণ করে</t>
  </si>
  <si>
    <t>কুমারীর চীৎকারে তাহার আত্মীয়েরা মার মার রবে আসিয়া পড়িল</t>
  </si>
  <si>
    <t>তুমি কি আমার সঙ্গে খাবার খাইবে</t>
  </si>
  <si>
    <t>দুই চারি দিনের পর একটি সাহেবের সহিত আমার দেখা হইল</t>
  </si>
  <si>
    <t>মুহূর্তে সোজা পথে ফিরিয়া আসিল</t>
  </si>
  <si>
    <t>মরুভূমির উত্তাপের মধ্যে তারা তাদের তৃষ্ণা নিবারণের জন্য একটি মরূদ্যানের সন্ধান করেছিল</t>
  </si>
  <si>
    <t>তুমি কি তাদের সাথে এসেছো</t>
  </si>
  <si>
    <t>তিনি বর্তমানে বাফুফের স্কুল কমিটির ডেপুটি চেয়ারম্যান</t>
  </si>
  <si>
    <t>সবুজ আমাকে বই দিতে এসেছিল</t>
  </si>
  <si>
    <t>ডাক্তার আমাকে নিউমোনিয়া নির্ণয় করেছেন যা আমার ফুসফুসে সংক্রমণ</t>
  </si>
  <si>
    <t>জাতিলোপের হেতু দর্শনবিদ্‌গণের মধ্যে কেহ কেহ বলেন যে পরাজিত জাতিরা বিজয়ী কর্ত্তৃক বিতাড়িত হইয়া অতি অযোগ্য স্থানে গিয়া বাস করিলে</t>
  </si>
  <si>
    <t>সে আমাকে একটি ফুল কিনিয়া দিয়াছিল</t>
  </si>
  <si>
    <t>কাল দীপের আলোকে যে মুখ সুন্দর দেখাইয়াছিল আজ দিনের বেলা সূর্যালোকে স্পষ্ট বোঝা গেল</t>
  </si>
  <si>
    <t>রহিমা সাহেব করিমকে জিজ্ঞাসিলেন</t>
  </si>
  <si>
    <t>করুণ ভৈরবী রাগিণীতে আমার আসন্ন বিচ্ছেদব্যথাকে শরতের রৌদ্রের সহিত সমস্ত বিশ্বজগৎময় ব্যাপ্ত করিয়া দিতেছে</t>
  </si>
  <si>
    <t>সংবাদপত্রে ক্রসওয়ার্ড ধাঁধা অনেক পাঠকের জন্য একটি প্রিয় বিনোদন</t>
  </si>
  <si>
    <t>সালে জন ফকিরকে হত্যা করা হয় দৃশ্যত বিনা কারণে</t>
  </si>
  <si>
    <t>পরিবারের সমর্থন কঠিন সময়ে অমূল্য</t>
  </si>
  <si>
    <t>তাহের চন্দনকে চিঠি লিখেছিল</t>
  </si>
  <si>
    <t>এ আগ্রহ দেখা যায় বিদেশি পর্যটকদের মাঝেও</t>
  </si>
  <si>
    <t>আমি তাহাকে আমার নতুন বাসাটি সম্পূর্ণ ঘুরে দেখাইয়াছিলাম</t>
  </si>
  <si>
    <t>নাবিকেরা বুঝিল যে জোয়ার আসিতেছে</t>
  </si>
  <si>
    <t>আমাদের দুরন্ত ছেলেরা তাহার শতাংশ পারে না</t>
  </si>
  <si>
    <t>তারপর হারুকে মাচায় শোয়াইয়া হরিবোল দিয়া মাচাটা তাহারা কাঁধে তুলিয়া লইল</t>
  </si>
  <si>
    <t>পরদিবস প্রায় দুই প্রহরের সময় হাজারিবাগ পৌঁছিলাম</t>
  </si>
  <si>
    <t>রানা স্কুলের রাস্তায় হাঁটছে</t>
  </si>
  <si>
    <t>আমি আমার সাইকেলে নতুন পেইন্ট কাজ ভালোবাসি এটা তাই প্রাণবন্ত</t>
  </si>
  <si>
    <t>মহাদেব বিরক্ত হয়ে একাই বারানসীর উদ্দেশে রওনা দিলেন</t>
  </si>
  <si>
    <t>আমি শহরের গাড়ি চালানোর জন্য একটি ছোট গাড়ি পছন্দ করি যার পার্কিং সহজ</t>
  </si>
  <si>
    <t>মা সুগন্ধযুক্ত রান্না পছন্দ করেনা</t>
  </si>
  <si>
    <t>সে কিছুক্ষণ চুপ করিয়া পড়িয়া থাকিয়া সহসা কেমন যেন একটা উদাস করুণ সুরে কথা কহিল</t>
  </si>
  <si>
    <t>সে আমাকে একটি দায়িত্ব দিয়াছিল</t>
  </si>
  <si>
    <t>অন্যদিনের মতো তেমন চটপট হইল না</t>
  </si>
  <si>
    <t>সে আতঙ্কিত হয়ে দেখিল দূরে রাস্তার পাশে ছায়ার মতো কে যেন দাঁড়াইয়া আছে</t>
  </si>
  <si>
    <t>বৈকল্যে আব্বাজানের ধবল চুলে মেহেন্দি লাগাইবার সিদ্ধান্ত হইয়াছে</t>
  </si>
  <si>
    <t>সংবাদপত্রগুলি বিভিন্ন কণ্ঠস্বর দৃষ্টিভঙ্গি শোনার জন্য একটি প্ল্যাটফর্ম সরবরাহ করে</t>
  </si>
  <si>
    <t>আমি এই ছবিটি দেখতে পছন্দ করি</t>
  </si>
  <si>
    <t>ঘুমন্ত চোখ খুলেই সে শিশুর দিকে তাকিয়ে দেখে শিশুটি গাঢ় নিদ্রায় অচেতন হয়েছিল</t>
  </si>
  <si>
    <t>এটি শেকসপিয়রের জীবদ্দশায় সবচেয়ে জনপ্রিয় পাঠকনন্দিত নাটক</t>
  </si>
  <si>
    <t>আপনার বিনিয়োগ পোর্টফোলিও বৈচিত্র্যকরণ ঝুঁকি কমাতে সাহায্য করে</t>
  </si>
  <si>
    <t>কোনো জবাব দিতে পারে না বলিয়াই এই সব কথায় আশা অত্যন্ত বিরক্ত হয়</t>
  </si>
  <si>
    <t>তাহাদিগকে সেপাই বলিলাম সিদ্ধেশ্বরীর পাল বলিলাম কত কি বলিলাম</t>
  </si>
  <si>
    <t>আমি ভাত খাইয়া নামাজে যাইবো</t>
  </si>
  <si>
    <t>হৃদয়ের মধ্যে অত্যন্ত একটা বেদনা অনুভব করিতে লাগিলেন</t>
  </si>
  <si>
    <t>তিনি নিজে গিয়াই ক্ষমা করিয়া আসিবেন</t>
  </si>
  <si>
    <t>সেদিন সকালে একটা চমৎকার গাড়ি এসে থেমেছিল তার বাড়ির সামনে</t>
  </si>
  <si>
    <t>সুমন আজ আমাকে যেতে বলেছিল</t>
  </si>
  <si>
    <t>কিডনি বা মূত্রাশয়ের সমস্যাতেও ভুগতেন তিনি</t>
  </si>
  <si>
    <t>একজন বন্ধুকে ট্যাগ করুন যার অনুপ্রেরণা প্রয়োজন</t>
  </si>
  <si>
    <t>হতাশ হয়ে ক্যাপ্টেন ফিরে যাবার কথা ভাবতে থাকে</t>
  </si>
  <si>
    <t>এই পরগণায় পর্ব্বতে স্থানে স্থানে অসুরেরা বাস করে আমি তাহাদের দেখি নাই তাহারা কোলদের সহিত বা অন্য কোন বন্য জাতির সহিত বাস করে না</t>
  </si>
  <si>
    <t>পাক সম্বন্ধে পলাণ্ডুর উল্লেখ করিয়াছি পিঁয়াজ উল্লেখ করাই আমার ইচ্ছা ছিল</t>
  </si>
  <si>
    <t>উনানে ডাল ভাত একটা কিছু চাপাইয়া হয়তো যায়</t>
  </si>
  <si>
    <t>রাজার এই কথা সত্যি হয় তাহা হইলে অনেকে নিশ্চিন্ত হইতে পারেন</t>
  </si>
  <si>
    <t>বিশেষ অফারগুলির জন্য সদস্যতা নিন</t>
  </si>
  <si>
    <t>অজানা অঞ্চলে প্রবেশ করে তারা বিদেশী বন্যপ্রাণী রহস্যময় ধ্বংসাবশেষের মুখোমুখি হয়েছিল</t>
  </si>
  <si>
    <t>প্রানী পরিবেশগত আশ্রয়নের বিশেষ পদ্ধতির মধ্যে সুদৃঢ় সম্পর্ক রয়েছে</t>
  </si>
  <si>
    <t>ঠিকমতো পড়ালেখা না করায় সে পরিক্ষায় অকৃতকার্য হয়েছে</t>
  </si>
  <si>
    <t>হোমসিক বোধ করা পরিচিত আরামের জন্য আকাঙ্ক্ষা নিয়ে আসে</t>
  </si>
  <si>
    <t>তাহারা আসিবে বলিয়া ভরসা করিতে পারিতেছি না</t>
  </si>
  <si>
    <t>তার পা বারবার জলকাদা ভরা গর্তে গিয়া পড়িতেছিল মনের গতির আজ সে ঠিক ঠিকানা পাইতেছিল না</t>
  </si>
  <si>
    <t>যামিনী কবিরাজের বৌ চোরও নয় পাগলও নয় মাটির পুতুলে সে লোভ করে না</t>
  </si>
  <si>
    <t>সকলের গলায় পুতির সাতনরী ধুক্‌ধুকীর পরিবর্ত্তে এক একখানি গোল আরসী</t>
  </si>
  <si>
    <t>শেষ পর্যন্ত শাকিব রহিমকে বিপদে ফেলিলো</t>
  </si>
  <si>
    <t>কর্মক্ষমতা প্রণোদনা কর্মীদের উৎকর্ষ অর্জনে অনুপ্রাণিত করে</t>
  </si>
  <si>
    <t>বাসে বসে থাকার চেয়ে আমার হেটে যাওয়াটাই উত্তম</t>
  </si>
  <si>
    <t>রহিম আমার কথা শুনতে পারছিল</t>
  </si>
  <si>
    <t>টেকসই উন্নয়নের জন্য শিক্ষা পরিবেশ সচেতনতা বৃদ্ধি করে</t>
  </si>
  <si>
    <t>সেদিন রাতে ঘরের ভেতর আশ্চর্য রকম শীতল হয়ে ছিলো</t>
  </si>
  <si>
    <t>তখন তিনি মহানিদ্রাচ্ছন্ন বলিয়া বিশেষ কোন প্রকার আলাপ হইল না</t>
  </si>
  <si>
    <t>তাহাদের রাখালও সেইরূপ</t>
  </si>
  <si>
    <t>দাদার কাছে শাস্ত্র বা আচারের দোহাই পাড়িলে উলটা ফল হইবে এইজন্য তাঁর কাছে তিনি পৈতৃক সম্পত্তির অন্যায় অপব্যয়ের নালিশ তুলিলেন</t>
  </si>
  <si>
    <t>ইহা আমাদের কাজে লাগিবে</t>
  </si>
  <si>
    <t>কেহই কিছু জানে না তাহা সকলেই স্বীকার করিল</t>
  </si>
  <si>
    <t>সর্বদা সঠিক ফর্মের সাথে ব্যায়াম করুন</t>
  </si>
  <si>
    <t>সাপ্তাহিক সামগ্রীর জন্য সদস্যতা নিন</t>
  </si>
  <si>
    <t>দারুচিনি মশলাযুক্ত ডেজার্ট আরামদায়ক অনুভূতি জাগায়</t>
  </si>
  <si>
    <t>ওয়াল্টন পদার্থবিজ্ঞানে নোবেল পুরস্কার প্রাপ্ত একমাত্র আইরিশ</t>
  </si>
  <si>
    <t>অচিরেই পত্রিকাটি জনপ্রিয়তা অর্জ্জন করে</t>
  </si>
  <si>
    <t>সেই চল্লিশ জনে হাসিলে হাইলণ্ডের পল্টন ঠকে</t>
  </si>
  <si>
    <t>অদ্যাবধি সেই পাহাড়পর্ব্বতে তাহারা আছে তাহাদের বল বীর্য্য নাই</t>
  </si>
  <si>
    <t>সে চাইয়াছিল পরীক্ষাতে সর্ব্বোচ্চ নম্বর পেতে</t>
  </si>
  <si>
    <t>প্রত্যেক পটের এক একটা করিয়া বন্ধনী থাকে সেই বন্ধনী স্পর্শ মাত্রেই পটখানি এলাইয়া পড়ে বহু কালের বিস্মৃত বিলুপ্ত সুখ যেন নূতন হইয়া দেখা দেয়</t>
  </si>
  <si>
    <t>রানা অদ্য প্রত্যুষেই খেলিতে গিয়াছে</t>
  </si>
  <si>
    <t>তাদের দীর্ঘ বিরহজীবনের অবসান ঘটে করুণ মৃত্যুর মাধ্যমে</t>
  </si>
  <si>
    <t>নতুন মানুষের সাথে দেখা আমাকে উত্তেজনায় পূর্ণ করে</t>
  </si>
  <si>
    <t>রাজা রানী কে এটা করতে বলেছিল</t>
  </si>
  <si>
    <t>স্টিমড ডাম্পলিংস ম্লান তৃষ্ণা পূরণ করে</t>
  </si>
  <si>
    <t>আমি তাকে ডেকেছিলাম একটি পরামর্শ নেওয়ার জন্য</t>
  </si>
  <si>
    <t>এই পাহাড়ের পশ্চিমভাগে মৃত্তিকা নাই সুতরাং তাহার অন্তরস্থ সকল স্তর দেখা যায়</t>
  </si>
  <si>
    <t>সোমা আমার নিকট বই চাইয়াছিল</t>
  </si>
  <si>
    <t>মনে মনে প্রতিজ্ঞা করিলেন যতদিন না সমস্ত টাকা শোধ করিয়া দিয়া অসংকোচে কন্যার উপরে দাবি করিতে পারিবেন ততদিন বেহাইবাড়ি যাইবেন না</t>
  </si>
  <si>
    <t>মাতা আমাকে ভাত খাইতে বলিল</t>
  </si>
  <si>
    <t>পক্ষীরা গগনে আনন্দে উড়িয়া চলিয়া বেড়াইতেছে</t>
  </si>
  <si>
    <t>অপরাধের দৃশ্য বিশ্লেষণ অপরাধ তদন্তে প্রমাণ সংগ্রহের একটি গুরুত্বপূর্ণ অংশ</t>
  </si>
  <si>
    <t>পরিচালন কৌশলগুলি পরিবর্তন করা সহজ করে প্রতিরোধকে কমিয়ে দেয়</t>
  </si>
  <si>
    <t>তীব্রতার জন্য ব্যবধান প্রশিক্ষণ অন্তর্ভুক্ত করুন</t>
  </si>
  <si>
    <t>ইসলাম এক ঈশ্বর আল্লাহ নবী মুহাম্মদের শিক্ষার উপর বিশ্বাসকে কেন্দ্র করে</t>
  </si>
  <si>
    <t>একটি ইতিবাচক মানসিকতা গড়ে তুলতে আপনার জীবনে আরও আশীর্বাদ আকর্ষণ করতে প্রতিদিন কৃতজ্ঞতার অনুশীলন করুন</t>
  </si>
  <si>
    <t>কাল সকালে সে গোপনে বি এ ফেল হওয়ার সংবাদ পাইয়াছিল</t>
  </si>
  <si>
    <t>আমি তাহার কথা বিশ্বাস করিতে পারিনি</t>
  </si>
  <si>
    <t>রুমি ভাত খাইয়া পড়িতে বসিবে</t>
  </si>
  <si>
    <t>বিশেষতঃ যে সকল বঙ্গবাসীরা সিন্ধুদেশ অঞ্চলে আছেন বোধ হয় তাঁহারা অনায়াসেই এই কথার মীমাংসা করিয়া লইতে পারেন</t>
  </si>
  <si>
    <t>সবুজ তোমাকে ডাকতে বলেছিল</t>
  </si>
  <si>
    <t>অবসরে বই পড়ি খেলি গান গাই</t>
  </si>
  <si>
    <t>তাদের দুঃসাহসিক কাজটি জীবনে একবারের অভিজ্ঞতা ছিল যা তারা কখনই ভুলবে না</t>
  </si>
  <si>
    <t>তখন রান দ্বীপের গুরুত্বই বেশি মনে হয়েছিল</t>
  </si>
  <si>
    <t>দৈনন্দিন কাজের জন্য দ্রুত হাঁটুন</t>
  </si>
  <si>
    <t>সুফল আমাকে ডাকিয়া সব বলিল</t>
  </si>
  <si>
    <t>শেষে যুবতীরা হাসিতে হাসিতে দৌড়িয়া নদীতে নামিতেছে</t>
  </si>
  <si>
    <t>একজন মহানুভব বলিয়াছিলেন যে মনুষ্য বৃদ্ধ না হইলে সুন্দর হয় না</t>
  </si>
  <si>
    <t>তাহাকে দেখিয়াই প্রথমে একটি রূপবতী পক্ষিণী মনে পড়িল</t>
  </si>
  <si>
    <t>রফিক এখন রাস্তায় হাঁটতেছে</t>
  </si>
  <si>
    <t>ভূমধ্যসাগরীয় জলপাই সুস্বাদু নোট যোগ করে</t>
  </si>
  <si>
    <t>সালে ব্যান্ডটিতে আবার ভাঙ্গন আসে</t>
  </si>
  <si>
    <t>তার সতীর্থ সার্কিট আরশাদ ওয়ার্সী তাকে সাহায্য করে</t>
  </si>
  <si>
    <t>আমার পুত্রকন্যারা মারা যাচ্ছে–তার কারণ কিছু না পাপের শাস্তি</t>
  </si>
  <si>
    <t>পিতৃগৃহের নিন্দা শুনিয়া ঘরে দ্বার দিয়া অশ্রুবিসর্জন তাহার নিত্যক্রিয়ার মধ্যে দাঁড়াইয়াছে</t>
  </si>
  <si>
    <t>পিঁয়াজ পলাণ্ডু এক দ্রব্য কি না</t>
  </si>
  <si>
    <t>শচীশকে দেখিলে মনে হয় যেন একটা জ্যোতিষ্ক তার চোখ জ্বলিতেছ</t>
  </si>
  <si>
    <t>এ বয়সে যখন যাহা মনে হয় তখনই তাহা বলিতে ইচ্ছা যায়</t>
  </si>
  <si>
    <t>ইংরেজ অফিসার পাইপের ধুয়ার মধ্যে হাতমুখ নাড়াইয়া কি যেন বলিতেছে</t>
  </si>
  <si>
    <t>পারিবারিক সমাবেশ সবসময় প্রেম হাসিতে পূর্ণ হয়</t>
  </si>
  <si>
    <t>অনেক সময় তারা সহিংস ঘটনার স্বীকার হন যেমন ধর্ষণ হত্যা</t>
  </si>
  <si>
    <t>ব্রাঞ্চ বুফে অলস রবিবার প্রশ্রয় দেয়</t>
  </si>
  <si>
    <t>মিতু রিনা একসাথে গল্প করছে</t>
  </si>
  <si>
    <t>মজার ব্যাপার হলো তাদের সব বড় বড় ঝগড়াই তুচ্ছ কারণে হয়েছে</t>
  </si>
  <si>
    <t>আকাশের একপ্রান্তে ভীরু লজ্জার মতো একটু রঙের আভাস দেখা দিল</t>
  </si>
  <si>
    <t>প্রশ্ন শুনিয়া দিবাকরের চোখের জল আবার গড়াইয়া পড়িল</t>
  </si>
  <si>
    <t>পিসির বড় ছেলে সরকারি দপ্তরে চাকরি করিয়াও পরিবারের ব্যয়ভার বহন করিতে পারিতেছে না</t>
  </si>
  <si>
    <t>কোলের মধ্যে বৃদ্ধা অতি অল্প তাহারা অধিকবয়ঃ হইলেও যুবতীই থাকে অশীতিপরায়ণা না হইলে তাহারা লোলচর্ম্মা হয় না</t>
  </si>
  <si>
    <t>নিজেকে আঘাত হইতে বাঁচাইতেও পারে না</t>
  </si>
  <si>
    <t>রানা তার বাবার সাথে বাজারে যাবে</t>
  </si>
  <si>
    <t>পণ্য ক্ষতিগ্রস্ত হয়েছে গ্রাহক পরিষেবা দল সমস্যা সমাধানে অসহায় ছিল</t>
  </si>
  <si>
    <t>মা আমাকে স্কুলে পড়তে যেতে বলল</t>
  </si>
  <si>
    <t>উষ্ণ স্যুপ ঠান্ডা সন্ধ্যায় প্রশান্তি দেয়</t>
  </si>
  <si>
    <t>আমি বিশ্বাস করি এমন কারো দ্বারা বিশ্বাসঘাতকতা অনুভব করা আমাকে দুঃখে পূর্ণ করে</t>
  </si>
  <si>
    <t>সারাদিন শশীর সময় ছিল না</t>
  </si>
  <si>
    <t>শুনিবামাত্র তাহারা আর্ত্তনাদ করিয়া উঠিল</t>
  </si>
  <si>
    <t>এক্ষণে সে সকল কথা যাউক প্রথম দিনের কথা দুই একটি বলি</t>
  </si>
  <si>
    <t>আমাকে তুমি দেখিতে আসিও না</t>
  </si>
  <si>
    <t>অমনি যুবারা সেই গীত উচ্চেঃস্বরে গাইয়া উঠিল</t>
  </si>
  <si>
    <t>এর মধ্যে মহারাস জাঁকজমকপূর্ণ</t>
  </si>
  <si>
    <t>গ্রাহক বিভাজন ব্যক্তিগতকৃত বিপণন কৌশল অবহিত করে</t>
  </si>
  <si>
    <t>সবাইকে জীবনের প্রতিটি ধাপেই স্বপ্ন দেখতে হবে</t>
  </si>
  <si>
    <t>আজ ভোরে রানা গাড়িতে চড়ে বেড়াতে যাবে</t>
  </si>
  <si>
    <t>সারাথি রাজার আদেশ পেয়ে কাজটি করলো</t>
  </si>
  <si>
    <t>পাগল ছাড়া এসময় সাপের রাজ্যে মানুষ ওভাবে দাঁড়াইয়া থাকে না</t>
  </si>
  <si>
    <t>মৌয়ার ফুল পালামৌ অঞ্চলে উপাদেয় খাদ্য বলিয়া ব্যবহৃত হইয়া থাকে</t>
  </si>
  <si>
    <t>যে পটখানি আমার স্মৃতিপথে আসিয়াছিল বলিতেছিলাম</t>
  </si>
  <si>
    <t>বাঙ্গালার পথে ঘাটে বৃদ্ধাই অধিক দেখা যায় পালামৌ অঞ্চলে যুবতীই অধিক দেখা যায়</t>
  </si>
  <si>
    <t>তুমি কি আমার সঙ্গে হাঁটিতে যাইবে</t>
  </si>
  <si>
    <t>তাঁর জনপ্রিয়তা ছিল উল্লেখযোগ্য</t>
  </si>
  <si>
    <t>একা একা বসে সে অসম্ভব সব কল্পনা করছিল</t>
  </si>
  <si>
    <t>বিস্তীর্ণ মরুভূমি জুড়ে তারা সমাহিত গুপ্তধনের সন্ধানে প্রাচীন মানচিত্রের নির্দেশিকা অনুসরণ করেছিল</t>
  </si>
  <si>
    <t>আমার মামা সবসময় উত্তম পরামর্শ দেন</t>
  </si>
  <si>
    <t>অপ্রকাশিত কথাগুলো সে আমাকে বলতে ব্যর্থ হয়েছে</t>
  </si>
  <si>
    <t>সামিয়ানা হইতে উঠানের দিকে তাহার দৃষ্টি গেল</t>
  </si>
  <si>
    <t>সে তাহার হাসিমুখ একটুখানি বাহির করিয়া ভারী সমাদরের সহিত কহিল এস ঠাকুরপো দাঁড়িয়ে রইলে যে</t>
  </si>
  <si>
    <t>বিস্তীারিত বিবরনের আশায় সবাই তার মুখ পানে চাহিয়া আচছে</t>
  </si>
  <si>
    <t>আবার অকারণে কেহ বা তাহাকে প্রাণপণে অপমান করিয়া থাকে</t>
  </si>
  <si>
    <t>কত বড়ো আমি কহে নকল হীরাটি</t>
  </si>
  <si>
    <t>বাজারে সেদিন অনেক মানুষ এসেছিল</t>
  </si>
  <si>
    <t>আমি তাকে ডেকেছিলাম সে আসেনি</t>
  </si>
  <si>
    <t>সে তার জন্য অপেক্ষা না করেই বিদায় নিয়েছিল</t>
  </si>
  <si>
    <t>রামেশ্বরাম ছোট একটি দ্বীপ</t>
  </si>
  <si>
    <t>সে আমাকে তার মনের গহীনে থাকা কিছু অব্যক্ত কথা বলেছিল</t>
  </si>
  <si>
    <t>আজকের বাজারে বিদ্যা দাতার অভাব নাই</t>
  </si>
  <si>
    <t>কিছু কাল পরে একদিন এই অশ্বত্থগাছ আমার মনে পড়িয়াছিল তখন ভাবিয়াছিলাম বৃক্ষটি বড় শোষক</t>
  </si>
  <si>
    <t>লোকে নানা কথা বলাবলি করে</t>
  </si>
  <si>
    <t>নাবিকেরা এই পরামর্শে সম্মত হইয়া তদনুরূপ আচরণ করিতে লাগিল</t>
  </si>
  <si>
    <t>সরোজিনী আরক্ত মুখে পুনরায় চৌকির উপর বসিয়া পড়িল</t>
  </si>
  <si>
    <t>তারা সেই সকল গুণাবলির মাধ্যমেই আমার মাঝে রয়ে গেছেন</t>
  </si>
  <si>
    <t>রাত কাটিয়েছেন কমলাপুর রেলস্টেশনে</t>
  </si>
  <si>
    <t>এক্সক্লুসিভ কন্টেন্টের জন্য ক্লিক করুন</t>
  </si>
  <si>
    <t>এটি দৈনন্দিন জীবনের চাপ এড়াতে একটি সুযোগ দেয়</t>
  </si>
  <si>
    <t>আমার বন্ধু একজন মেকানিক তাই আমি সবসময় গাড়ি মেরামতের জন্য একটি ভাল চুক্তি পাই</t>
  </si>
  <si>
    <t>হারুকে সহজে এখানে কেহ আবিষ্কার করিবে</t>
  </si>
  <si>
    <t>সে আমার বাবার সাথে কিছুক্ষণ বসিয়া গল্প করিল তারপর বাড়ি চলিয়া গেলো</t>
  </si>
  <si>
    <t>পরের সপ্তাহেই সে দুই দিনের ছুটি পাইয়াছিল</t>
  </si>
  <si>
    <t>তাহার মুখ রক্তশূণ্য ফ্যাকাসে হইয়া গিয়াছিল</t>
  </si>
  <si>
    <t>একটি মহিষ সভয়ে মুখ তুলিয়া আমার পাল্কীর প্রতি একদৃষ্টিতে চাহিয়া আছে</t>
  </si>
  <si>
    <t>আগে একবার মাত্র এসেছেন এখন খুঁজে পাবেন কিনা কে জানে</t>
  </si>
  <si>
    <t>হজ্জ শব্দের আভিধানিক অর্থ ইচ্ছা বা সংকল্প করা</t>
  </si>
  <si>
    <t>তুমি কি রাতে খাবার খেয়েছিলে</t>
  </si>
  <si>
    <t>দর্জি গ্রাহকের সাথে পুরোপুরি ফিট করার জন্য স্যুটটি পরিবর্তন করেছেন</t>
  </si>
  <si>
    <t>তিনি ছিলেন মাইজভান্ডারী গানের কিংবদন্তি সাধক</t>
  </si>
  <si>
    <t>তুমি কি তাহাদের সাথে খেলিয়াছিলে</t>
  </si>
  <si>
    <t>বোধহয় মৌমাছির সুর তাহার পটবন্ধনী</t>
  </si>
  <si>
    <t>শেষ তাহাদের মধ্যে প্রণয় উপস্থিত হয়</t>
  </si>
  <si>
    <t>তাহাতে একখানি কাগজ ঝুলিতেছে পড়িয়া দেখিলাম নিত্য যত কদলী কাঁদি হইতে ব্যয় হয়</t>
  </si>
  <si>
    <t>আমার কথা শুনিয়া রহিম ইহা বলিল</t>
  </si>
  <si>
    <t>টুইটার আমাদের অনুসরণ করুন</t>
  </si>
  <si>
    <t>আমি এটা অনেক ভালো পারবো</t>
  </si>
  <si>
    <t>সে সেখানেও গ্রেফতার হয় খুনের অপরাধে বছরের সাজা হয়</t>
  </si>
  <si>
    <t>বাধা অতিক্রম করা আমাকে স্থিতিস্থাপক বোধ করে</t>
  </si>
  <si>
    <t>পতিত সময়কালে মাটির স্বাস্থ্য রক্ষা উন্নত করার জন্য কভার ফসল রোপণ করা হয়</t>
  </si>
  <si>
    <t>বড় ভাইয়ের আয়ু যে ক্রমেই কমিয়া আসিতেছিল তাহা অনুধাবন করিবার মতো মনোবল মনোযোগ কোনটাই ছিল না তাহার</t>
  </si>
  <si>
    <t>ইহা আমি করিতে পারিব না</t>
  </si>
  <si>
    <t>গাড়ি বাগানের বাহিরে অপেক্ষা করিতেছিল</t>
  </si>
  <si>
    <t>কখন স্ত্রীলোকদের মাতাল হইতে দেখি নাই অথচ তাহারা পানকুণ্ঠ নহে</t>
  </si>
  <si>
    <t>এই যে এইমাত্র মধুদ্রুম লিখিত হইল অনেক সাধু ইহার অর্থে আশোকবৃক্ষ বুঝিবেন</t>
  </si>
  <si>
    <t>আপনার শহর লাইক কমেন্ট করুন</t>
  </si>
  <si>
    <t>লেনদেন খাতায় রেকর্ড করা হয়েছে</t>
  </si>
  <si>
    <t>সুমন ভাত খেয়ে নামাজে যাবে</t>
  </si>
  <si>
    <t>ঠিক এমন একটি ভুল তিনি করেছিলেন</t>
  </si>
  <si>
    <t>বেশি পরিশ্রম করে তিনি অজ্ঞান হয়ে পড়লেন</t>
  </si>
  <si>
    <t>সাহেব একটি পয়সা সাহেব একটি পয়সা এই বলিয়া চীৎকার করিতে লাগিল</t>
  </si>
  <si>
    <t>রানা রিতা কে দিয়া কাজটি করাইয়া লইয়াছে</t>
  </si>
  <si>
    <t>আমি বই নিয়া স্কুলে যাইতেছি</t>
  </si>
  <si>
    <t>স্ত্রীর কায়েতবাড়ি কাসুন্দি বানাইয়া আসার কৈফিয়তটা সে বিশ্বাস করে না</t>
  </si>
  <si>
    <t>লাফ দিয়ে নেমে পড়তে চাচ্ছে</t>
  </si>
  <si>
    <t>পরিশ্রম করলে অজ্ঞান হয়ে পড়বে</t>
  </si>
  <si>
    <t>অপরাধী মাস্টারমাইন্ডরা প্রায়ই প্রতারণা গোপনীয়তার আড়ালে কাজ করে</t>
  </si>
  <si>
    <t>বয়স্ক পনির সূক্ষ্ম ওয়াইন পরিপূরক</t>
  </si>
  <si>
    <t>তিনি নিজে কোথায় যাবেন তাও জানেন না</t>
  </si>
  <si>
    <t>বিশেষত বড়ো তিনটি ছেলে বিবাহিত তাহাদের কাহারো বা সন্তান আছে</t>
  </si>
  <si>
    <t>ইহা আমাকে রবিন দিয়াছিল</t>
  </si>
  <si>
    <t>আমি সুমনকে দেখিতে গিয়াছিলাম</t>
  </si>
  <si>
    <t>একজন জিজ্ঞাসা করিল তুমি কি আমি বলিলাম আমি বাঙ্গালী</t>
  </si>
  <si>
    <t>শাকিব তাহার ভ্রাতার সঙ্গে বাজারে যাইবে</t>
  </si>
  <si>
    <t>সমর্থনের জন্য সঠিক পাদুকা ব্যবহার করুন</t>
  </si>
  <si>
    <t>গাঁটগুলো পরিচ্ছন্ন</t>
  </si>
  <si>
    <t>পাশাপাশি কাছ থেকে দেখার সুযোগ তৈরি হয় এই সাহেবী খেলার</t>
  </si>
  <si>
    <t>সুমি আমাকে এটা লিখতে বলেছে</t>
  </si>
  <si>
    <t>থাকুক পুটলা পুটলি গেটের সামনে</t>
  </si>
  <si>
    <t>কুমারী এক রাত্রের মধ্যে নববধূ</t>
  </si>
  <si>
    <t>বড়গার নায়েব শ্যামাচরণ দাসের বড়ছেলে মোহনের সঙ্গে তাহার বিবাহ হইয়াছে</t>
  </si>
  <si>
    <t>সালে তাহাদের সংখ্যা এক লক্ষ ছিল বিশ বৎসর পরে হাজার হইয়া গিয়াছিল এক্ষণে সে জাতির অবস্থা কি তাহা জানি না</t>
  </si>
  <si>
    <t>আমি তাহাকে আমার জন্য অপেক্ষা করিতে বলিয়াছিলাম</t>
  </si>
  <si>
    <t>ভাজা রসুন খাবারের গভীরতা যোগ করে</t>
  </si>
  <si>
    <t>সম্পদ বাজেয়াপ্ত করা কর্তৃপক্ষকে অবৈধ উপায়ে অর্জিত সম্পত্তি বাজেয়াপ্ত করার অনুমতি দেয়</t>
  </si>
  <si>
    <t>বাকি জীবন আমি কাটিয়ে দিতে পারবে</t>
  </si>
  <si>
    <t>সাংস্কৃতিকভাবে প্রতিক্রিয়াশীল শিক্ষাদান শিক্ষার্থীদের সাংস্কৃতিক পটভূমিকে সম্মান করে</t>
  </si>
  <si>
    <t>মিশ্রিত জলপাই তেল রন্ধনসম্পর্কীয় সৃষ্টিকে উন্নত করে</t>
  </si>
  <si>
    <t>কেবল নীল আকাশে নক্ষত্র জ্বলিতেছে</t>
  </si>
  <si>
    <t>তাহার নাকে মুখে আঁচড় কাটিয়া কাঁদিতে কাঁদিতে গৃহাভিমুখে গমন করিল খেলা ভাঙিয়া গেল</t>
  </si>
  <si>
    <t>গল্প করিবার নিমিত্ত মধ্যে মধ্যে আমার তাঁবুতে আসিতেন</t>
  </si>
  <si>
    <t>সাধু ভাষায় বুঝি ইহাকে মধুদ্রুম বলিতে হয়</t>
  </si>
  <si>
    <t>এক্ষণে সে জাতির অবস্থা কি তাহা জানি না</t>
  </si>
  <si>
    <t>মাঠে ফুটবল খেলা হচ্ছে</t>
  </si>
  <si>
    <t>সাপ্লাই চেইন স্থিতিস্থাপকতা চ্যালেঞ্জিং সময়ে ব্যবসার ধারাবাহিকতা নিশ্চিত করে</t>
  </si>
  <si>
    <t>মা আমাকে খাবার খেতে বলল</t>
  </si>
  <si>
    <t>সে আসার আগেই ট্রেনটি ছেড়ে দিয়েছিল</t>
  </si>
  <si>
    <t>আমি আসিয়া মিনিকে তাহার আসন্ন বিপদ হইতে উদ্ধার করিয়া বাহিরে লইয়া গেলাম</t>
  </si>
  <si>
    <t>কটাক্ষ করিয়া আকাশের দেবতা দিগন্ত কাঁপাইয়া এক হুঙ্কার ছাড়িলেন</t>
  </si>
  <si>
    <t>শরিফ আমাকে অদ্য ডাকিয়াছিল</t>
  </si>
  <si>
    <t>সে আমাকে না বলেই বাড়ি ফিরিয়া গিয়াছে</t>
  </si>
  <si>
    <t>তাদের দুঃসাহসিক কাজ ছিল তাদের সাহস দৃঢ়তা স্থিতিস্থাপকতার পরীক্ষা</t>
  </si>
  <si>
    <t>অপরাধমূলক মনোবিজ্ঞান বেআইনি আচরণের পিছনে অনুপ্রেরণার সন্ধান করে</t>
  </si>
  <si>
    <t>সুভ আমাকে বই দিয়ে যেতে বলল</t>
  </si>
  <si>
    <t>তারা বিশ্বব্যাপী নিউক্লীয় অস্ত্র বিনাশের দাবী জানায়</t>
  </si>
  <si>
    <t>আমার কথা শুনে বলল</t>
  </si>
  <si>
    <t>রোহিত আমার সঙ্গে খেলিয়াছে</t>
  </si>
  <si>
    <t>লোকে সচরাচর ইহাকে ক্ষুদ্র দৃষ্টি ছোট নজর ইত্যাদি বলে</t>
  </si>
  <si>
    <t>এভাবেই তিনি আমার জীবনের ওপর প্রভাব বিস্তারকারীদের একজন হয়ে ওঠেন</t>
  </si>
  <si>
    <t>আমরা এ কথা সম্বন্ধে এইমাত্র বলিতে পারি যে ভারতবর্ষে আদিম জাতিদের কুলক্ষয় অনেক দিন আরম্ভ হইয়াছে</t>
  </si>
  <si>
    <t>আমি তোমার সাথে খেলতে চেয়েছি</t>
  </si>
  <si>
    <t>মেয়ে হাঁসটা ধরা পড়ল</t>
  </si>
  <si>
    <t>শহরে যাতায়াতের জন্য পাবলিক ট্রান্সপোর্ট খুবই সুবিধাজনক</t>
  </si>
  <si>
    <t>খুব ছোটবেলা থেকেই তিনি ছবি আঁকতে পছন্দ করতেন</t>
  </si>
  <si>
    <t>সেটি একশিলা সমুদয়ে একখানি প্রস্তর</t>
  </si>
  <si>
    <t>গোপীরা উদ্ধবকে বলিলেন শুন্‌লে—কুঞ্জের ঐ পাখী কী বলিল—শুন্‌লে</t>
  </si>
  <si>
    <t>তারপর তাড়াতাড়ি পার হইতে গিয়া শুকনো উঠানে সে কেমন করিয়া পড়িয়া গেল কে জানে</t>
  </si>
  <si>
    <t>তাহার আপাদমস্তক ভিজা সর্বাঙ্গে কাদা মুখ চক্ষু লোহিতবর্ণ থরথর করিয়া কাঁপিতেছে</t>
  </si>
  <si>
    <t>বিধাতা বুঝি বদরুলের প্রতি সদয় হইয়াছিল</t>
  </si>
  <si>
    <t>বেশির ভাগ দক্ষিণ আমেরিকান দেশ আর্জেন্টিনার পক্ষ নেয়</t>
  </si>
  <si>
    <t>এছাড়াও আরও একটি রণতরী নির্মীয়মাণ</t>
  </si>
  <si>
    <t>কণৌজের পর তিনি প্রয়াগেও অনুরূপ বিশাল বৌদ্ধ সংগীতির আয়োজন করেন</t>
  </si>
  <si>
    <t>এ জাতের গাছ মজবুত</t>
  </si>
  <si>
    <t>ভারসাম্য অনুশীলন স্থিতিশীলতা উন্নত করে</t>
  </si>
  <si>
    <t>আমাকে কোনো অবসর দেয় নাই</t>
  </si>
  <si>
    <t>বাবা বাড়িতে নাই তাহা বলিল</t>
  </si>
  <si>
    <t>বইটি অনেক ভালো তাহারা বলিল</t>
  </si>
  <si>
    <t>নিজের কিছু কাজকর্ম থাকে ত কর গে</t>
  </si>
  <si>
    <t>আমি একটি নতুন গাড়ির গন্ধ ভালোবাসি এটা একটা নতুন শুরুর মত</t>
  </si>
  <si>
    <t>তারা অনেক বেশি কাঠামোগত ভাবে কেন্দ্রীভূত শাসন প্রতিষ্ঠা করেন</t>
  </si>
  <si>
    <t>সেদিন ওই ঝিলপাড়ে আরো তিনজনকে হত্যা করা হয়</t>
  </si>
  <si>
    <t>একটি নিরাপদ পিন ব্যবহার করে লেনদেন সম্পন্ন করা হয়েছে</t>
  </si>
  <si>
    <t>অন্যের কৃতিত্বের প্রতি ঈর্ষা বোধ ঈর্ষা নিয়ে আসে</t>
  </si>
  <si>
    <t>সাধুসঙ্গ আমার অল্প এই জন্য তাঁহাদের ভাষায় আমার সম্পূর্ণ অধিকার জন্মে নাই</t>
  </si>
  <si>
    <t>অবিশ্বাস করিয়া বলিলেন নেই কি রে</t>
  </si>
  <si>
    <t>যখন সেই দ্বিপ্রহর রৌদ্রে কোনো একটা ছাদে দুটি একটি ছেলেমেয়ে কিছু একটা খেলার ছলে ক্ষণেকের জন্য দেখা দিয়া যাইত তখন তাহার চিত্ত অধীর হইয়া উঠিত</t>
  </si>
  <si>
    <t>সকলেই যুবতী সকলেরই কটিদেশে একখানি করিয়া ক্ষুদ্র কাপড় জড়ান সকলেরই কক্ষ বক্ষ আবরণশূন্য</t>
  </si>
  <si>
    <t>সুমি আমি রাস্তা দিয়া হাঁটিতেছিলাম</t>
  </si>
  <si>
    <t>ইসলামের পাঁচটি স্তম্ভ মুসলমানদের জন্য উপাসনা অনুশীলনের মৌলিক কাজগুলোর রূপরেখা দেয়</t>
  </si>
  <si>
    <t>গ্রীকরা তাকে দেবতা মর্তের বীর এই দুই পরিচয়েই পূজা করতো</t>
  </si>
  <si>
    <t>দেখে মনে হয় ছাতার মতো</t>
  </si>
  <si>
    <t>উদ্ভিদ রোগবিদ্যা শস্যকে প্রভাবিত করে এমন রোগগুলি অধ্যয়ন করে রোগ ব্যবস্থাপনার কৌশল তৈরি করে</t>
  </si>
  <si>
    <t>বিশাল লাল কাঠ আকাশের দিকে পৌঁছেছে তাদের প্রাচীন শাখাগুলি স্বর্গের দিকে আঙ্গুলের মতো প্রসারিত হয়েছে</t>
  </si>
  <si>
    <t>ক্ষণকাল স্থিরভাবে কুটিল অপলক চোখে হারুর দিকে চাহিয়া থাকিয়া তাহার দুই পায়ের মধ্য দিয়াই বটগাছের কোটরে অদৃশ্য হইয়া গেল</t>
  </si>
  <si>
    <t>তার লম্বা সরু আঙুলগুলি যেন আগুনের শিখা</t>
  </si>
  <si>
    <t>বর্তমান শিক্ষার বিষময় ফল নিজের সন্তানের মধ্যে প্রত্যক্ষ করিয়া রায়বাহাদুর হতোদ্যম হইয়া বসিয়া রহিলেন</t>
  </si>
  <si>
    <t>কেন তাহা কখনও ভাবিতাম না পাহাড়ে কিছুই নূতন নাই</t>
  </si>
  <si>
    <t>মধ্যে মধ্যে বড় গোলে পড়িতে হয় অন্যকেও গোলে ফেলিতে হয় এই জন্য এক এক বার ইতস্তত করি</t>
  </si>
  <si>
    <t>ধারাবাহিকতা দীর্ঘস্থায়ী অগ্রগতির দিকে পরিচালিত করে</t>
  </si>
  <si>
    <t>আজকের গল্পটা আমার মনে থাকবে</t>
  </si>
  <si>
    <t>বনের মেঝে কার্পেট করা ছিল শ্যাওলার পুরু স্তর প্রতিটি ধাপকে নরম করে</t>
  </si>
  <si>
    <t>শিক্ষাগত হস্তক্ষেপগুলি ঝুঁকিপূর্ণ ছাত্র জনসংখ্যাকে লক্ষ্য করে</t>
  </si>
  <si>
    <t>ফৌজদারি বিচার সংস্কার ব্যবস্থায় ন্যায্যতা কার্যকারিতা উন্নত করতে চায়</t>
  </si>
  <si>
    <t>আমার খাতিরেই তুমি আমার বালির সঙ্গে আলাপ করো</t>
  </si>
  <si>
    <t>এক দিনের কথা বলি</t>
  </si>
  <si>
    <t>গোরুর গাড়ির চাকাতেই রাস্তাটির সর্বনাশ করে সবচেয়ে বেশি</t>
  </si>
  <si>
    <t>ইচ্ছা করিতে লাগিল বাউলকে ডাকিয়া এই অচিন পাখির গানটা লিখিয়া লই</t>
  </si>
  <si>
    <t>এতক্ষণ হারুর অপমৃত্যুকে সে বুঝিতে পারে নাই</t>
  </si>
  <si>
    <t>চাকরির সুযোগ থেকে প্রত্যাখ্যানের অভিজ্ঞতা হতাশা নিয়ে আসে</t>
  </si>
  <si>
    <t>শিক্ষা দক্ষতা উন্নয়নের মাধ্যমে নিজের মধ্যে বিনিয়োগ করা উচ্চতর উপার্জনের সম্ভাবনার দিকে নিয়ে যেতে পারে</t>
  </si>
  <si>
    <t>দুর্বলতা আলিঙ্গন অন্যদের সাথে গভীর সংযোগের জন্য অনুমতি দেয়</t>
  </si>
  <si>
    <t>ধোঁয়া উঠা ভাতের ছবি মাথা থেকে যাচ্ছেই না</t>
  </si>
  <si>
    <t>লেনদেন অনুমোদন করতে আপনার স্বাক্ষর প্রদান করুন</t>
  </si>
  <si>
    <t>আমি তোমাকে যত জানি এঁরা তার সিকিও জানে না</t>
  </si>
  <si>
    <t>পরক্ষণেই একটা লজ্জাকর দুর্ঘটনার সম্ভাবনা তাহার মনে উদয় হইবামাত্রই সে ভিতরকার ব্যাপারটা শুনিবার জন্য ব্যাকুল হইয়া উঠিল</t>
  </si>
  <si>
    <t>সেখানকার আদিমবাসীরা ক্রমে ক্রমে লোপ পাইতেছে তাহার কারণ কিছুই অনুভব হয় না</t>
  </si>
  <si>
    <t>রফিক শাওন ভলিবল খেলিতে গিয়াছে</t>
  </si>
  <si>
    <t>তাল হিন্তাল একেবারেই নাই কেবল শালবন অন্য বন্য গাছও আছে</t>
  </si>
  <si>
    <t>আপনার জীবনের সব ক্ষেত্রে ভারসাম্য খুঁজুন আপনার কাছে যা গুরুত্বপূর্ণ তা অগ্রাধিকার দিন</t>
  </si>
  <si>
    <t>তিনি ছিলেন একজন আক্রমণাত্মক দক্ষ ডান প্রান্তের মিডফিল্ডার</t>
  </si>
  <si>
    <t>অপরাধমূলক ষড়যন্ত্রে একাধিক ব্যক্তি অপরাধ করার জন্য একসাথে কাজ করে</t>
  </si>
  <si>
    <t>আজকের ঝগড়ার বিষয়বস্তু বাথরুমের ছিটিকিনি</t>
  </si>
  <si>
    <t>দূরশিক্ষণ শিক্ষার অ্যাক্সেসকে প্রসারিত করে বিশেষ করে প্রত্যন্ত অঞ্চলে</t>
  </si>
  <si>
    <t>সেই সুর আমার অন্তরের অন্তরে কোথায় লুকান ছিল</t>
  </si>
  <si>
    <t>যে বিপদ্‌ না বুঝে সেই সাহসিক</t>
  </si>
  <si>
    <t>তাহারা তাহা লক্ষ করিল না</t>
  </si>
  <si>
    <t>গলায় গড়ি দিয়া বউটা মরিয়া যায় না কেন</t>
  </si>
  <si>
    <t>ঠকিবার কথা যুবা দশ বারটি যুবতীরা প্রায় চল্লিশ জন</t>
  </si>
  <si>
    <t>রাফি নেহা ফুটবল খেলতে গিয়েছে</t>
  </si>
  <si>
    <t>পুত্রশোকে নবাব আহসানুল্লাহ অসুস্থ হয়ে পড়েন</t>
  </si>
  <si>
    <t>জ্বলন্ত মরুভূমি জুড়ে তারা অবিরাম সূর্যের নীচে ডিহাইড্রেশন ক্লান্তির সাথে লড়াই করেছিল</t>
  </si>
  <si>
    <t>আমি ভোরে ঘুম থেকে উঠেছিলাম</t>
  </si>
  <si>
    <t>একটি বাজেট তৈরি করা আপনাকে আপনার খরচ ট্র্যাক করতে সঞ্চয়ের জন্য ক্ষেত্রগুলি সনাক্ত করতে সহায়তা করে</t>
  </si>
  <si>
    <t>সে অন্যমনস্কভাবে রাস্তা দিয়ে হাঁটিয়া যাইতেছিল</t>
  </si>
  <si>
    <t>কুমারী যাইতেছে অনিমেষলোচনে বনের দিকে চাহিতেছে</t>
  </si>
  <si>
    <t>বাঁধা পথ নাই কেবল এক সংকীর্ণ গো পথ দিয়া আমার পাল্কী চলিতে লাগিল অনেক স্থলে উভয়প্বার্শস্থ লতা পল্লব পাল্কী স্পর্শ করিতে লাগিল</t>
  </si>
  <si>
    <t>আমি কি কোনদিন ধরেছিলাম যে আজ ছেড়ে দেব</t>
  </si>
  <si>
    <t>মিনির চীৎকারে যেমনি কাবুলিওয়ালা হাসিয়া মুখ ফিরাইল আমাদের বাড়ির দিকে আসিতে লাগিল</t>
  </si>
  <si>
    <t>আরো আপডেটের জন্য অনুসরণ করুন</t>
  </si>
  <si>
    <t>হিংসুকদেরকে তাদের অবস্থার উপর ছেড়ে দেন</t>
  </si>
  <si>
    <t>হারকিউলিস যখন শিশু তখনই হেরা তাকে হত্যা করার জন্য দুটি সাপ পাঠান</t>
  </si>
  <si>
    <t>আত্ম প্রতিফলন আত্মদর্শনের জন্য সময় নিন এটি ব্যক্তিগত বৃদ্ধি স্ব সচেতনতার জন্য অপরিহার্য</t>
  </si>
  <si>
    <t>রহিম করিম কে ওখানে ঢুকতে দেখেছি</t>
  </si>
  <si>
    <t>ছেলেদের যখন খেলিবার ছুটি হইত তখন জানালার কাছে দাঁড়াইয়া দূরের বাড়িগুলার ছাদ নিরীক্ষণ করিত</t>
  </si>
  <si>
    <t>আমার গৃহ হইতে স্কুলে হাঁটিয়া যাইতে হইল</t>
  </si>
  <si>
    <t>চাকরদের গাড়ি তখনো আসিয়া পৌঁছে নাই</t>
  </si>
  <si>
    <t>কোনো দয়াপরতন্ত্র প্রতিবেশিনী কোনো ত্রুটির উল্লেখ করে শাশুড়ি বলে ঐ ঢের হয়েছে</t>
  </si>
  <si>
    <t>এখানে পার্টি ফাংশনও আয়োজন করা হত</t>
  </si>
  <si>
    <t>বেদ হল প্রাচীন হিন্দু ধর্মগ্রন্থ যেখানে স্তোত্র আচার দার্শনিক শিক্ষা রয়েছে</t>
  </si>
  <si>
    <t>জীবনে পড়ালেখা শেষ করে কি করবো কি হবো কোথায় চাকরি হবে খুব ই চিন্তায় আছি</t>
  </si>
  <si>
    <t>আমি তাকে তার পড়া লেখায় সাহায্য করেছিলাম</t>
  </si>
  <si>
    <t>ফ্লাইট অ্যাটেনডেন্ট টেকঅফের আগে নিরাপত্তা পদ্ধতি প্রদর্শন করেছিলেন</t>
  </si>
  <si>
    <t>আমার তোমার কথা মনে পড়িয়াছিল</t>
  </si>
  <si>
    <t>তাহার জন্মদিনে আমি তাহাকে একটি পুতুল কিনিয়া দিয়াছিলাম</t>
  </si>
  <si>
    <t>যেরূপ স্থান তাহাতে এই পাথুরে ছেলেগুলি উপযোগী বলিয়া বিশেষ সুন্দর দেখাইতেছিল</t>
  </si>
  <si>
    <t>পূর্ব্বে কয়েক বার কেবল যুবতীর কথাই বলিয়াছি ইচ্ছাপূর্ব্বক বলিয়াছি এমন নহে</t>
  </si>
  <si>
    <t>পূর্ব্বে সেই সকল নির্জ্জন পর্ব্বত কুসুমিত কানন প্রভৃতি যে চক্ষে দেখিয়াছিলাম সে চক্ষু নাই</t>
  </si>
  <si>
    <t>স্কুল পালিয়ে নজরুল হতে পারবেনা</t>
  </si>
  <si>
    <t>স্কুল শেষে বাড়িতে ফিরতে হবে</t>
  </si>
  <si>
    <t>সে কোনো ঝামেলা ছাড়াই সহজভাবে তার কাজ করে আসছিল</t>
  </si>
  <si>
    <t>যোগব্যায়াম নমনীয়তা ভারসাম্য বাড়ায়</t>
  </si>
  <si>
    <t>অপরাধী সংগঠনের উপর গোয়েন্দা তথ্য সংগ্রহের জন্য তথ্যদাতাদের ব্যবহার সাধারণ</t>
  </si>
  <si>
    <t>তাহার পরে কিছুক্ষণ পর্যন্ত সে স্তব্ধ হইয়া নক্ষত্র খচিত কালো আকাশের পানে চাহিয়া হঠাৎ বলিয়া উঠিল</t>
  </si>
  <si>
    <t>যে দিকে ব্যাঘ্র নিদ্রিত ছিল যুবা সেই দিকে চলিল</t>
  </si>
  <si>
    <t>আশা রাগিয়া চলিয়া গেল–তাহার চোখ দিয়া জল পড়িতে লাগিল</t>
  </si>
  <si>
    <t>আমার যা করার আমি করব</t>
  </si>
  <si>
    <t>সজল স্কুল থেকে আসিয়া মসজিদে যাইতেছে</t>
  </si>
  <si>
    <t>রাফি আমার কাছে এসে গল্প করলো</t>
  </si>
  <si>
    <t>ফৌজদারি আইন সংজ্ঞায়িত করে যে কোন আচরণগুলি একটি সমাজের আইনি কাঠামোর মধ্যে অবৈধ বলে বিবেচিত হয়</t>
  </si>
  <si>
    <t>ফৌজদারি প্রতিরক্ষা কৌশলগুলির মধ্যে অ্যালিবিস আত্মরক্ষার দাবি বা পাগলামির আবেদন অন্তর্ভুক্ত থাকতে পারে</t>
  </si>
  <si>
    <t>বিস্মৃত সমাধিগুলি অন্বেষণ করে তারা বহু শতাব্দী ধরে সমাধিস্থ গোপন রহস্য উন্মোচন করেছিল</t>
  </si>
  <si>
    <t>কৃষি ভর্তুকি আয় স্থিতিশীল করতে বা নির্দিষ্ট অনুশীলনকে উত্সাহিত করতে কৃষকদের আর্থিকভাবে সহায়তা করে</t>
  </si>
  <si>
    <t>চারিদিকে কাল পাথর পশুও পাথুরে</t>
  </si>
  <si>
    <t>সে এক বাবুদের বাসায় কাজ করে</t>
  </si>
  <si>
    <t>কথায় কথায় সকলেই ক্রমশঃ রাস্তার একধারে উবু হইয়া বসিয়া পড়িয়াছিল</t>
  </si>
  <si>
    <t>এই একটি মাত্র বন্ধুর প্রভাবে শশী একবারে বদলাইয়া গেল</t>
  </si>
  <si>
    <t>যদিও উদ্ধার অভিযানে আসা হেলিকপ্টার থেকে তাঁদের মরদেহ দেখা গিয়েছিলো</t>
  </si>
  <si>
    <t>সঠিক কৌশল নিয়ে কাজ করুন</t>
  </si>
  <si>
    <t>এক ড্যাশ দারুচিনি স্বাদ বাড়ায়</t>
  </si>
  <si>
    <t>রহিম করিম একসাথে ঢুকলো</t>
  </si>
  <si>
    <t>প্রায় সমগ্ৰ দেশ জুড়েই মানুষের মাঝে এই দাঙ্গা লেগে থাকত</t>
  </si>
  <si>
    <t>এক কালে এরূপ রাগ নিজেও কত বার করিয়াছি তাহাই অন্যের বীরদর্প বুঝিতে পারি</t>
  </si>
  <si>
    <t>যুবার স্কন্ধে টাঙ্গী সে একবার তাহা স্কন্ধ হইতে নামাইয়া তীক্ষ্ণতা পরীক্ষা করিয়া দেখিল</t>
  </si>
  <si>
    <t>বলিতে বলিতে তাঁহার চোখ দিয়া জল ঝরিয়া পড়িল</t>
  </si>
  <si>
    <t>কেনারা কোথা তাহা জানিতে পারিলে এত বিপদ্ হইবে কেন</t>
  </si>
  <si>
    <t>যেটাতে সব চেয়ে বাধিল সেটা বলি</t>
  </si>
  <si>
    <t>বিশ্বাসঘাতক সমুদ্রের ওপারে ক্রুরা প্রচণ্ড ঝড় দানবীয় ঢেউয়ের সাথে লড়াই করেছিল</t>
  </si>
  <si>
    <t>তাই যুদ্ধের বিরোধিতা করা সত্ত্বেও ভারত যুদ্ধে জড়িয়ে পড়ল</t>
  </si>
  <si>
    <t>চিত্রশিল্পীর অনুশীলন অভিনয় দক্ষতা তৈরি করে</t>
  </si>
  <si>
    <t>শতকে শ্রীচৈতন্য ভক্তি সংগিতের এই ধারার প্রভূত উন্নতি সাধন করেন</t>
  </si>
  <si>
    <t>পরের সপ্তাহেই সে দুই দিনের ছুটি পেয়েছিল</t>
  </si>
  <si>
    <t>আমি কাজটি ভালো করিয়া করিয়াছি</t>
  </si>
  <si>
    <t>উনি আমাদের কোনো আত্মীয় হতেন ত ওঁর কাছেই শিখতুম</t>
  </si>
  <si>
    <t>নিশ্চয় উনার কাজের কোনো গূঢ়তত্ত্ব আছে</t>
  </si>
  <si>
    <t>শাকিব সুমনকে খাইতে ডাকিল</t>
  </si>
  <si>
    <t>সরকার ভয়ে ভয়ে কহিল আমি বলিনি তিনি নিজেই এবেলার কথা বলেছিলেন</t>
  </si>
  <si>
    <t>সাধারণ আনন্দের মধ্যে আনন্দ খুঁজে পাওয়া তৃপ্তি নিয়ে আসে</t>
  </si>
  <si>
    <t>আমার স্নেহিত খেলাটি অনেক বিরক্ত লাগছিলো</t>
  </si>
  <si>
    <t>সৎবন্ত সিংহ ষড়যন্ত্রকারী কেহার সিংহ মৃত্যুদণ্ডে দণ্ডিত হন</t>
  </si>
  <si>
    <t>মৃত্যুর আগ পর্যন্ত তিনি বিভাগের অধ্যক্ষ ছিলেন</t>
  </si>
  <si>
    <t>কখনও আমার সাথে থাকত শামসউদ্দীন আবার কখনও জালালউদ্দীন</t>
  </si>
  <si>
    <t>এই সকল অন্যায় আলস্য বৃথা সময় নষ্ট সাবিত্রী একেবারে দেখিতে পারিত না</t>
  </si>
  <si>
    <t>আমি তোমার সঙ্গে খেলিতে চাইয়াছি</t>
  </si>
  <si>
    <t>হয়ত যুবতীও তাহা বুঝিলেন</t>
  </si>
  <si>
    <t>বলিয়াছিল ভূত হয় তো বেঁধে এনে পোষ মানাব গোবর্ধন নৌকা ফেরা</t>
  </si>
  <si>
    <t>বৃদ্ধের তালিকায় তাঁহার নাম উঠিয়াছিল</t>
  </si>
  <si>
    <t>আলসার হল ঘা যা পাকস্থলী বা ছোট অন্ত্রের আস্তরণে বিকশিত হয় প্রায়ই সংক্রমণ বা অতিরিক্ত অ্যাসিড উৎপাদনের কারণে</t>
  </si>
  <si>
    <t>প্রতিদ্বন্দ্বীদের বিরুদ্ধে রেসিং তারা অকথ্য ক্ষমতা প্রদানের গুজব একটি মিথ্যা শিল্পকর্ম অনুসরণ করে</t>
  </si>
  <si>
    <t>ঢাকা বিশ্ববিদ্যালয়ে পড়তে পারলেই কি জীবনের সবকিছু পাওয়া যাবে</t>
  </si>
  <si>
    <t>আমি তাকে আমার মার সাথে পরিচয় করিয়ে দিয়েছিলাম</t>
  </si>
  <si>
    <t>এই সময়ে আমি হিসেব নিকাশ শিখে গেলাম</t>
  </si>
  <si>
    <t>পরাজিত জাতিরা বিজয়ী কর্ত্তৃক বিতাড়িত হইয়া অতি অযোগ্য স্থানে গিয়া বাস করিলে</t>
  </si>
  <si>
    <t>কাল রাত্রে ঝড়ের তাণ্ডবনৃত্য পৃথিবীর মধ্যে কেবল যেন এই মেয়েটির উপরেই আপনার সমস্ত পদচিহ্ন রাখিয়া দিয়া গেছে</t>
  </si>
  <si>
    <t>হতবুদ্ধি অনঙ্গমোহন হেঁট হইয়া সেগুলা কুড়াইতে লাগিলেন</t>
  </si>
  <si>
    <t>তাঁহারাও একটু একটু গোলে পড়েন</t>
  </si>
  <si>
    <t>ঘণ্টা খানেক পরে ফিরিয়া আসিয়া কন্যার প্রতি চাহিয়া জননীর চক্ষু জুড়াইয়া গেল</t>
  </si>
  <si>
    <t>বিক্রয় পূর্বাভাস ইনভেন্টরি পরিচালনার সিদ্ধান্ত জানায়</t>
  </si>
  <si>
    <t>তাদের মধ্যে কেউ হয়ত কোনো একটা সংবাদ শব্দ করে পড়ত</t>
  </si>
  <si>
    <t>এই সমস্ত কণা শাশ্বত অপরিবর্তনযোগ্য ধ্বংসের অতীত</t>
  </si>
  <si>
    <t>শামসউদ্দীন লিখতে পড়তে পারতেন</t>
  </si>
  <si>
    <t>সেই অনুসন্ধানের ইতি হলো রাত নটা পঁচিশ মিনিটে</t>
  </si>
  <si>
    <t>আলাদা ঘরে বিছানা করিয়া দিলেন</t>
  </si>
  <si>
    <t>তুমি কি রাত্রিতে খাবার খাইয়াছিলে</t>
  </si>
  <si>
    <t>বনবর্ণনায় যেরূপ</t>
  </si>
  <si>
    <t>সেটুকু উৎসাহও সে যেন পায় না</t>
  </si>
  <si>
    <t>লোকটি আমার কাজ দেখে প্রশংসা করিয়াছিল</t>
  </si>
  <si>
    <t>আমাদের নিউজলেটার সদস্যতা</t>
  </si>
  <si>
    <t>আমাকে সুজন রুমে ডাকছিল</t>
  </si>
  <si>
    <t>আক্রান্ত হলে যুদ্ধংদেহী রূপ ধারণ করে</t>
  </si>
  <si>
    <t>রুমি আমার সাথে পড়তে বসেছিল</t>
  </si>
  <si>
    <t>একজন অপরিচিত ব্যক্তির কাছ থেকে অপ্রত্যাশিত সমর্থন পাওয়া মানবতার প্রতি আমার বিশ্বাস পুনরুদ্ধার করে</t>
  </si>
  <si>
    <t>তিনি তার পুরো পরিবারকেই এই শিক্ষা দিয়েছিলেন</t>
  </si>
  <si>
    <t>মনের চাঞ্চল্যহেতু নবকুমার একস্থানে অনেকক্ষণ বসিয়া থাকিতে পারিলেন না</t>
  </si>
  <si>
    <t>কিছুক্ষণ পরে রতন আস্তে আস্তে উঠিয়া রান্নঘরে রুটি গড়িতে গেল</t>
  </si>
  <si>
    <t>এ সংবাদ তিনি সাগরে উপনীত হইলে পরে পশ্চাদাগত অন্য যাত্রীর মুখে পাইয়াছিলেন</t>
  </si>
  <si>
    <t>দুইজন পুলিসের লোক গাড়ি হইতে ফটিককে ধরাধরি করিয়া নামাইয়া বিশ্বম্ভর বাবুর নিকট উপস্থিত করিল</t>
  </si>
  <si>
    <t>আরো ভিডিওর জন্য সাবস্ক্রাইব করুন</t>
  </si>
  <si>
    <t>তার ফল ছিল বেশ ভাল</t>
  </si>
  <si>
    <t>আপনার অবসর অ্যাকাউন্টে স্বয়ংক্রিয় অবদান সেট আপ করা আপনাকে ধারাবাহিকভাবে সঞ্চয় করতে সহায়তা করতে পারে</t>
  </si>
  <si>
    <t>সুমন আমাকে মাঠে খেলতে যেতে যেতে বলল</t>
  </si>
  <si>
    <t>ডেলিভারি ড্রাইভার গ্রাহকদের দোরগোড়ায় প্যাকেজগুলি ছেড়ে দিয়েছে</t>
  </si>
  <si>
    <t>বিনয় তাহার দিনের কোনো কাজেই মন দিতে পারিল না</t>
  </si>
  <si>
    <t>আতঙ্ক যেন তাহারই জন্য হাত বাড়াইয়া অপেক্ষা করিয়া আছে</t>
  </si>
  <si>
    <t>মায়ের কাছে টাকা চাইতেই তিনি একটা একশত টাকার নোট ধরাইয়া দিলেন</t>
  </si>
  <si>
    <t>বেশি পরিশ্রম করিতে হইবে না</t>
  </si>
  <si>
    <t>তোর বৌদিকে গাড়িতে ফিরিয়ে নিয়ে যা</t>
  </si>
  <si>
    <t>মুক্তিযুদ্ধের সময় এ পাঠাগারের অধিকাংশ বই নষ্ট হয়ে যায়</t>
  </si>
  <si>
    <t>তিনি বিল বুঝে পেয়ে দিনের হিসেব সম্পন্ন করতেন</t>
  </si>
  <si>
    <t>জোয়ার ভাটার জন্য সূর্যের আকর্ষণও অনেকাংশে দায়ী</t>
  </si>
  <si>
    <t>গান্ধী কংগ্রেস হিটলার ই ভি রামজিদের নিয়ে আলোচনায় সন্ধ্যার বাতাস মুখরিত হয়ে উঠত</t>
  </si>
  <si>
    <t>তে মোহামেডান অপরাজিত লীগ চ্যাম্পিয়ন হয়</t>
  </si>
  <si>
    <t>তুমি কি আমার কথা বলিয়াছিলে</t>
  </si>
  <si>
    <t>সে চলিয়া যাইতেই শশাঙ্কমোহন উপেন্দ্রর দিকে ফিরিয়া বলিলেন আপনার বন্ধু বুঝি খুব গোঁড়া</t>
  </si>
  <si>
    <t>যুবার যাহা অগ্রাহ্য বৃদ্ধের তাহা দুষ্প্রাপ্য</t>
  </si>
  <si>
    <t>থিয়েটারের সামান্য ক্ষতির ভয়ে এরূপ মহৎ কাজে যোগ দেবেন না লোকে শুনলে বলবে কি</t>
  </si>
  <si>
    <t>শোক তাপ তোমার ত একলার নয় মা</t>
  </si>
  <si>
    <t>এটা আমি করতে পারবো না</t>
  </si>
  <si>
    <t>মায়াবতীতে অদ্বৈত আশ্রম একটি দাতব্য হাসপাতালও চালায়</t>
  </si>
  <si>
    <t>চ্যালেঞ্জের মুখোমুখি পরিহার কেবল সংগ্রামকে দীর্ঘায়িত করে</t>
  </si>
  <si>
    <t>ব্যক্তিগত প্রশিক্ষক জিমে ওয়ার্কআউটের মাধ্যমে ক্লায়েন্টদের গাইড করেন</t>
  </si>
  <si>
    <t>আমি তাকে বিষয়টা বুঝিয়ে দিয়েছিলাম。</t>
  </si>
  <si>
    <t>ইহাতে হরিমোহন ছেলের চেয়ে দাদার উপরে বেশি রাগ করিতে লাগিলেন</t>
  </si>
  <si>
    <t>গোলাম বিনা বেতনে তাঁহার সমুদয় কর্ম্ম করে</t>
  </si>
  <si>
    <t>দৈবাৎ যাহা হইয়া গিয়াছে একবার তাহা ক্ষমা কর</t>
  </si>
  <si>
    <t>প্রতিধ্বনি আবার পূর্ব্বমত হ্রস্ব দীর্ঘ হইতে হইতে পাহাড়ের অপর প্রান্তে চলিয়া গেল</t>
  </si>
  <si>
    <t>বাতাসে পাতার ঝরঝর শব্দ ছিল শান্ত দৃশ্যের একটি ধ্রুবক পটভূমি</t>
  </si>
  <si>
    <t>রহিম সাহেব এটা করার নির্দেশ দিয়েছিলেন</t>
  </si>
  <si>
    <t>এই অভিজ্ঞতা আমার উপর একটি স্থায়ী ছাপ রেখে গেছে আমি অবশ্যই ফিরে আসব</t>
  </si>
  <si>
    <t>আজান হচ্ছে খেলা হবে না</t>
  </si>
  <si>
    <t>জেস্টি সালসা টাকো রাত বাড়ায়</t>
  </si>
  <si>
    <t>এ কথা সত্যই হউক বা মিথ্যাই হউক আমার বড়ই কষ্ট হইল</t>
  </si>
  <si>
    <t>এইরূপ বন দিয়া যাইতে যাইতে এক স্থানে হঠাৎ কাষ্ঠঘণ্টার বিষণ্ণকর শব্দ কর্ণগোচর হইল</t>
  </si>
  <si>
    <t>বিলাতী পদ্ধতি অনুসারে প্রস্তুত করিতে পারিলে মৌয়ার ব্রাণ্ডি হইতে পারে</t>
  </si>
  <si>
    <t>নূর আমার কথা শুনতেছিল</t>
  </si>
  <si>
    <t>একঘেয়েমি এড়াতে ওয়ার্কআউটগুলি মিশ্রিত করুন</t>
  </si>
  <si>
    <t>আইটেমটি প্রত্যাশার চেয়ে অনেক পরে এসেছে যা হতাশাজনক ছিল</t>
  </si>
  <si>
    <t>তুমি কি আমাকে চিনতে পেরেছ</t>
  </si>
  <si>
    <t>গল্পটা অনেকেই হয়তো বিশ্বাস করতে চাইবে না</t>
  </si>
  <si>
    <t>অধিক দূর যাইতে পারিলাম না</t>
  </si>
  <si>
    <t>সে কথার মাঝেই বলিয়া উঠিল যাই বল দেবতা বাবু বলতে হয় ত আমার মনিবকে</t>
  </si>
  <si>
    <t>রনি সাহেব জীবনের বাকি অংশ আরামে কাটাইবে</t>
  </si>
  <si>
    <t>ভদ্রলোকটি আবার জিজ্ঞাসা করিলেন কোথা</t>
  </si>
  <si>
    <t>কর্মজীবনে একজন সৎ বস খুঁজে পাওয়া এখন ভাগ্যের ব্যাপার</t>
  </si>
  <si>
    <t>গ্রাহক পরিষেবা প্রতিনিধি ফোনে অনুসন্ধান অভিযোগের সমাধান করেছেন</t>
  </si>
  <si>
    <t>আমি এই পণ্যের বিস্তারিত মনোযোগ দ্বারা পুঙ্খানুপুঙ্খভাবে প্রভাবিত ছিল</t>
  </si>
  <si>
    <t>শফিক আমার কাছে এসে সব বলল</t>
  </si>
  <si>
    <t>তামিম খেলা করতে মাঠে যাচ্ছে</t>
  </si>
  <si>
    <t>শশী একটা নিশ্বাস ফেলিয়া বলিল দে নৌকা খুলে দে গোবর্ধন</t>
  </si>
  <si>
    <t>বাঘ আসিবে আমায় ধরিবে আমায় খাইবে এ সকল কথা কখনও আমার মনে আসিত না</t>
  </si>
  <si>
    <t>বউ মানুষের এত বেহায়াপনা দেখিতে পারি না বলিয়াই চলিয়া গিয়াছিলাম</t>
  </si>
  <si>
    <t>আবার যে সকল সাধুর গৃহে অভিধান নাই তাঁহারা হয়ত কিছুই বুঝিবেন না</t>
  </si>
  <si>
    <t>তাহাদের বয়ঃপ্রাপ্ত পুরুষদের গায়ে খড়ি উঠিতেছে</t>
  </si>
  <si>
    <t>এই বইটি আমাকে শুরু থেকে শেষ পর্যন্ত ব্যস্ত রেখেছে</t>
  </si>
  <si>
    <t>হাইপারটেনসিভ রেটিনোপ্যাথি হল উচ্চ রক্তচাপের কারণে রেটিনার রক্তনালীগুলির ক্ষতি</t>
  </si>
  <si>
    <t>তোমার কি ঘুম হয়েছিল</t>
  </si>
  <si>
    <t>সফল হলে সে সামনের দিকে লাফ দেবার সুযোগ পায়</t>
  </si>
  <si>
    <t>আমাদের ট্রেনটি শেষ স্টেশনে যেয়ে থেমেছিল</t>
  </si>
  <si>
    <t>সন্দেহের তীব্র বিষে সে দগ্ধ হইয়া যায়</t>
  </si>
  <si>
    <t>এমনি করিয়া দিন বহিয়া গিয়াছে—অনুক্ষণ সহ্য করিয়াছে কিছুই করিতে পারে নাই</t>
  </si>
  <si>
    <t>যাহা শিখিয়াছিল অর্থ না বুঝিয়া পক্ষীরা তাহা সর্ব্বদাই বলিত</t>
  </si>
  <si>
    <t>রিতা হইতে রোহিত বেশি কাজ করিয়াছে</t>
  </si>
  <si>
    <t>ফটোগ্রাফি লালিত মুহূর্তগুলি সুন্দরভাবে ধারন করা যায়</t>
  </si>
  <si>
    <t>এই চুক্তি বিচার বিভাগকেও অনেকটা নিরপেক্ষ করছিলো</t>
  </si>
  <si>
    <t>মূল গ্রন্থটি পর্তুগিজ ভাষায় রচিত</t>
  </si>
  <si>
    <t>প্রতিভা অর্জনের কৌশল শীর্ষ স্তরের প্রার্থীদের আকর্ষণ করে</t>
  </si>
  <si>
    <t>সে পরীক্ষায় প্রথম স্থান অধিকার করেছে。</t>
  </si>
  <si>
    <t>সুতরাং এ কথা না বলিলে ভাল দেখায় না বিশেষতঃ অনেকে আমায় সাহেব বলিয়া জানে</t>
  </si>
  <si>
    <t>সে বলিল আপনার কাছে নিশ্চয়ই যোগ্য নয়</t>
  </si>
  <si>
    <t>চকিত হইয়া তাড়াতাড়ি পথ ছাড়িয়া দিল</t>
  </si>
  <si>
    <t>তিনি কাজে জবাব দিয়া বাড়ি যাইতেছেন</t>
  </si>
  <si>
    <t>আমাকে দেখিয়া কেউ হাসিবে না</t>
  </si>
  <si>
    <t>যুদ্ধ কূটনীতির মাধ্যমে আকবর সাম্রাজ্যকে সবদিকে ছড়িয়ে দিতে সক্ষম হয়</t>
  </si>
  <si>
    <t>রবসনের ভাল ফোল করার রেকর্ড রয়েছে</t>
  </si>
  <si>
    <t>আপনার যা আছে তার জন্যই নয় আপনি যা অতিক্রম করেছেন তার জন্যও কৃতজ্ঞতার অনুশীলন করুন</t>
  </si>
  <si>
    <t>প্রিয়জনের কাছ থেকে বিশ্বাসঘাতকতা অনুভব করা গভীর দুঃখ নিয়ে আসে</t>
  </si>
  <si>
    <t>প্রতিটি মুহূর্তে উপস্থিত থাকুন জীবন এখন ঘটছে</t>
  </si>
  <si>
    <t>বরাকরের নিকট পাহাড়গুলি দেখিয়া আমার সেই বাল্যসংস্কারের কিঞ্চিৎ পরিবর্ত্তন হইতে আরম্ভ হইল</t>
  </si>
  <si>
    <t>বাড়িগুলি আগাগোড়া দালান নয় এক ভিটায় দুখানা ঘর হয়তো ইটের বাকিগুলি শণে ছাওয়া চাচের বেড়ায় গ্রামেরই চিরন্তন নিজস্ব নীড়</t>
  </si>
  <si>
    <t>রোজই মনে করি যাচ্ছি অমনি হাতে করে কিছু নিয়ে যাই সময়কালে মনে থাকে না</t>
  </si>
  <si>
    <t>সকলে উপস্থিত হইয়া শয়ন করিলে গ্রামের অবিবাহিত যুবারা ক্রমে ক্রমে সকলে সেই ঘরের নিকটে আসিয়া রসিকতা আরম্ভ করে</t>
  </si>
  <si>
    <t>আজ আমরা কাজ করব</t>
  </si>
  <si>
    <t>সে তার পড়ার টেবিলের উপর বইগুলো গুছিয়ে রেখেছিল</t>
  </si>
  <si>
    <t>আজ ভোরেই রহিম করিম চট্টগ্রাম রওনা হবে</t>
  </si>
  <si>
    <t>টাটকা তৈরি কফি সকালকে শক্তি জোগায়</t>
  </si>
  <si>
    <t>গোবর্ধনের বুকের মধ্যে টিপচিপ করিতেছিল</t>
  </si>
  <si>
    <t>ইহার কোনো অপমানে তাহারা অন্যান্য বালকের চেয়েও যেন বলপূর্বক বেশি করিয়া আমোদ প্রকাশ করিত</t>
  </si>
  <si>
    <t>এক সময়ে একজন বধির ব্রাহ্মণ আমাদের প্রতিবাসী ছিলেন</t>
  </si>
  <si>
    <t>না চিনিয়া যাঁহার অভিবাদন সর্ব্বাগ্রে গ্রহণ করিয়াছিলাম তিনিই বাটীর কর্ত্তা</t>
  </si>
  <si>
    <t>বিপদের আশঙ্কা দেখে রাজা সেখান থেকে পালিয়ে গিয়েছিল</t>
  </si>
  <si>
    <t>আমরা লেনদেন বিতর্কের জন্য দিনের উইন্ডো অফার করি</t>
  </si>
  <si>
    <t>এই সিনেমাটি একটি সম্পূর্ণ বিপর্যয় ছিল আমি অন্যদের কাছে এটি সুপারিশ করব না</t>
  </si>
  <si>
    <t>তিনি নং সেক্টরে যুদ্ধ করেন</t>
  </si>
  <si>
    <t>খ্রিস্টাব্দের নিধনযজ্ঞে তার এক পূর্বপুরুষ নিহত হয়</t>
  </si>
  <si>
    <t>মিতু মিনা একসঙ্গে গল্প করিতেছে</t>
  </si>
  <si>
    <t>বাড়ি বাড়ি ফিরিতে হয় তবু একবার মিনিকে দর্শন দিয়া যায়</t>
  </si>
  <si>
    <t>আমি তাহার হস্তে একটি পয়সা দিলাম শিশু তাহা ফেলিয়া দিয়া আবার হাত পাতিল অন্য বালক সে পয়সা কুড়াইয়া লইলে শিশুর ভগিনীর সাথে তাহার তুমুল কলহ বাধিল</t>
  </si>
  <si>
    <t>কেরোসিনের উজ্জ্বল আলোক পুরোভাগে লইয়া মেঝের উপর সাবিত্রী পান সাজিতে বসিয়াছিল</t>
  </si>
  <si>
    <t>বর্ষার সন্ধ্যায় আকাশের অন্ধকার যেন ভিজিয়া ভারী হইয়া পড়িয়াছে</t>
  </si>
  <si>
    <t>মশালের আলোয় সে ইরতাজউদ্দিন সাহেবের মতোই অভ্যস্ত নয়</t>
  </si>
  <si>
    <t>তৃণভূমিতে রঙ গন্ধের দাঙ্গায় টানা পোকামাকড়ের গুঞ্জনে বাতাস ছিল জীবন্ত</t>
  </si>
  <si>
    <t>প্রজেক্ট ম্যানেজার একটি বড় নির্মাণ প্রকল্পের জন্য সময়রেখা সংস্থানগুলি সমন্বিত করেন</t>
  </si>
  <si>
    <t>মনের কোলাহল শান্ত করার জন্য মননশীলতার অনুশীলন করুন</t>
  </si>
  <si>
    <t>আত্ম সহানুভূতি অনুশীলন করুন দয়া বোঝার সাথে নিজেকে আচরণ করুন</t>
  </si>
  <si>
    <t>শহরের সবকিছুই মেকি</t>
  </si>
  <si>
    <t>বৃদ্ধের পক্ককেশে শুষ্কমুখে সদাসংকুচিত ভাবে দৈন্য দুশ্চিন্তা প্রকাশ হইয়া পড়িল</t>
  </si>
  <si>
    <t>সূচনা আমাকে ভাত খাইতে দিয়াছে</t>
  </si>
  <si>
    <t>তোমার বোঝা না হয় আমিই স্কন্ধে তুলিয়া লই</t>
  </si>
  <si>
    <t>ঠিক যেন শেষ রাত্রের পদ্ম</t>
  </si>
  <si>
    <t>এর ফলে বানানাল দ্বীপ নামের একটি বিরাট নদীবেষ্টিত দ্বীপের সৃষ্টি হয়েছে</t>
  </si>
  <si>
    <t>আমরা এখন স্কুলে ঢুকলাম</t>
  </si>
  <si>
    <t>শাকিব রহিমকে খেলতে যেতে বলল</t>
  </si>
  <si>
    <t>এটা কি তোমার নতুন স্কুল</t>
  </si>
  <si>
    <t>একটি মাত্র নিদর্শন প্রাপ্তি দিয়ে কোন যুক্তি দাঁড় করানোও বিপজ্জনক</t>
  </si>
  <si>
    <t>এমনি এক দীর্ঘ ভূমিকা করিয়া পঞ্জরের তিনখানি অস্থির মতো সেই তিনখানি নোট যেন অতি সহজে অতি অবহেলে বাহির করিলেন</t>
  </si>
  <si>
    <t>কোন পটের বন্ধনী কী তাহা নির্ণয় করা অতি কঠিন</t>
  </si>
  <si>
    <t>রহিম করিমকে যাইতে বলিল</t>
  </si>
  <si>
    <t>পণ্যের মানের জন্য দাম একটু খাড়া মনে হয়েছে</t>
  </si>
  <si>
    <t>সংবাদপত্রের সংরক্ষণাগার রয়েছে যা ঐতিহাসিক রেকর্ড ঘটনা সংরক্ষণ করে</t>
  </si>
  <si>
    <t>আমি তোমার সাথে ক্রিকেট খেলেছিলাম</t>
  </si>
  <si>
    <t>রনি রহিমকে মাঠে হেঁটে যেতে হলো</t>
  </si>
  <si>
    <t>আমার এটা করতে ভালো লেগেছে</t>
  </si>
  <si>
    <t>তাহারা একসঙ্গে গাড়িতে চুরিয়া বেড়াইতে যাইবে</t>
  </si>
  <si>
    <t>কেবল তাহার কাঁচা অক্ষরে বাঁকা লাইনে তাহার মনের কোমল কথাগুলি কল্পনা করিয়া লইতে হইবে</t>
  </si>
  <si>
    <t>অমনি সকলে হাসিয়া উঠিল</t>
  </si>
  <si>
    <t>তাহার মুখ দিয়া সহসা কথা বাহির হইল না</t>
  </si>
  <si>
    <t>রামসুন্দরের মনে বড়ো আঘাত লাগিল তবু গেলেন না</t>
  </si>
  <si>
    <t>এই মিছিলটিা আগেরটার চেয়ে ছোট</t>
  </si>
  <si>
    <t>আমি বর্তমানে আমার প্রিয়জনদের সাথে সময় কাটানোর চেষ্টা করছি</t>
  </si>
  <si>
    <t>অন্তর্ভুক্তিমূলক শ্রেণীকক্ষগুলি সমস্ত ক্ষমতা ব্যাকগ্রাউন্ডের শিক্ষার্থীদের আলিঙ্গন করে</t>
  </si>
  <si>
    <t>স্থিতিস্থাপকতা অভিযোজনযোগ্যতা চাষ করুন জীবন উত্থান পতনে পূর্ণ ফিরে আসার শক্তি আপনার আছে</t>
  </si>
  <si>
    <t>শাহেদের সঙ্গে ইরতাজউদ্দিনের সম্পর্ক ভাই ভাই সম্পর্ক না</t>
  </si>
  <si>
    <t>রহমতের প্রশ্ন শুনিয়া লজ্জায় আরক্ত হইয়া মুখ ফিরাইয়া দাঁড়াইল</t>
  </si>
  <si>
    <t>চতুঃপার্শ্বস্থ স্থান তাহার প্রাঙ্গণস্বরূপ</t>
  </si>
  <si>
    <t>রামসুন্দর যখন বেহাইবাড়ির অনুমতিক্রমে ক্ষণকালের জন্য কন্যার সাক্ষাৎলাভ করিতেন তখন বাপের বুক যে কেমন করিয়া ফাটে তাহা তাঁহার হাসি দেখিলেই টের পাওয়া যাইত</t>
  </si>
  <si>
    <t>যিনি পাল্কী চড়েন সুতরাং তিনি দুর্ভাগ্য গ্রাম্য বালক বালিকারাও অতি নিষ্ঠুর অতি নির্দ্দয়</t>
  </si>
  <si>
    <t>চকোলেট ডেজার্ট মিষ্টি তৃষ্ণা পূরণ করে</t>
  </si>
  <si>
    <t>আপনার সপ্তাহান্তের পরিকল্পনা শেয়ার করুন</t>
  </si>
  <si>
    <t>আত্মজৈবনিক রচনার জন্যে সাহিত্যে নোবেল পান তে</t>
  </si>
  <si>
    <t>ফৌজদারি তদন্তের জন্য বিশদ বিবরণের প্রতি যত্নশীল মনোযোগ প্রয়োজন</t>
  </si>
  <si>
    <t>এখানে ভ্যাপসা গরম</t>
  </si>
  <si>
    <t>আমাদের বয়স প্রায় সমান হইবে</t>
  </si>
  <si>
    <t>আমি তাহাকে গাছের নিচে দেখিয়াছিলাম</t>
  </si>
  <si>
    <t>আমাদের দেশে স্ত্রী আচারের সময় বরের পৃষ্ঠে বাউটি বেষ্টিত নানা ওজনের করকমল যে সংস্পর্শ হয়</t>
  </si>
  <si>
    <t>সুমন ভাত খাইয়া খিলিতে যাইবে</t>
  </si>
  <si>
    <t>রামসুন্দর এই যে টাকা আনিয়াছিলেন কন্যার নিষেধে সে টাকা না দিয়াই চলিয়া গিয়াছেন সে কথা গোপন রহিল না</t>
  </si>
  <si>
    <t>পুনর্বাসন কর্মসূচী অপরাধীদের সমাজে পুনঃএকত্রিত করতে সাহায্য করার জন্য ডিজাইন করা হয়েছে</t>
  </si>
  <si>
    <t>বালসামিক গ্লেজ খাবারে গভীরতা যোগ করে</t>
  </si>
  <si>
    <t>আমার ভাইবোন আমি তর্ক করতে পারি</t>
  </si>
  <si>
    <t>আমি ঘটনাক্রমে আমার লাইট জ্বালিয়ে রেখেছিলাম এখন আমার ব্যাটারির কাজ করছে না</t>
  </si>
  <si>
    <t>প্যারামেডিক দুর্ঘটনাস্থলে জরুরি চিকিৎসা সেবা প্রদান করেন</t>
  </si>
  <si>
    <t>আমি সুমন কে আমার নিকটে ডাকিয়াছিলাম</t>
  </si>
  <si>
    <t>যুবা সেই গর্ত্তের নিকটে এক স্থানে দাঁড়াইয়া অতি সাবধানে ব্যাঘ্র দেখাইল</t>
  </si>
  <si>
    <t>তিনি তাঁর বড়ো ভাইয়ের এমনি উলটা প্রকৃতির যে সে কথা লিখিতে গেলে গল্প সাজানো বলিয়া লোকে সন্দেহ করিবে</t>
  </si>
  <si>
    <t>সেই সঙ্গে ঘরে বাহিরে ঘাটে পথে হরিনাম—অস্ফূট স্বরে</t>
  </si>
  <si>
    <t>সোমা তাহার বলটি পরিবর্তন করিবে</t>
  </si>
  <si>
    <t>আমার চাচা সবসময় জীবন সম্পর্কে সেরা পরামর্শ দেয়</t>
  </si>
  <si>
    <t>সেখানে সে কিছুক্ষণ হতবুদ্ধির মতো দাঁড়িয়ে ছিলো</t>
  </si>
  <si>
    <t>রেড ওয়াইন পনির সঙ্গে ভাল জোড়া</t>
  </si>
  <si>
    <t>তাওহিদের ধারণা ইসলামে ঈশ্বরের একত্বের উপর জোর দেয় বহুত্বের কোনো ধারণাকে প্রত্যাখ্যান করে</t>
  </si>
  <si>
    <t>ক্রমাগত নিজেকে উন্নত করার জন্য প্রতিক্রিয়া সন্ধান করুন</t>
  </si>
  <si>
    <t>যারা নিন্দা করে তারা নিন্দা ভালোবাসে বলিয়াই করে সত্য ভালোবাসে বলিয়া নয়</t>
  </si>
  <si>
    <t>নিরু বাপের মুখ দেখিয়া সব বুঝিতে পারিল</t>
  </si>
  <si>
    <t>তাহার সঙ্গীকে অগ্রসর হইতে বলিয়া ছাতি মুড়িয়া জানালার নীচে আসিয়া দাঁড়াইল</t>
  </si>
  <si>
    <t>অন্তঃপুরের বাহিরে একটা স্বতন্ত্র ঘরে পাঁচ মিনিটের জন্য কোনোদিন বা মেয়েকে দেখিতে পান কোনোদিন বা দেখিতে পাননা</t>
  </si>
  <si>
    <t>কেবল শালবন অন্য বন্য গাছও আছে</t>
  </si>
  <si>
    <t>তুমি কি খাবার খেয়েছো</t>
  </si>
  <si>
    <t>তাছাড়া বুদ্ধের বাণী হলো কঠিন চীবর দানই বিশ্বের সর্বশ্রেষ্ঠ দান</t>
  </si>
  <si>
    <t>রেজওয়ানা চৌধুরী বন্যা হারমোনিয়াম এস্রাজ বাজাতে পারেন</t>
  </si>
  <si>
    <t>সীমাবদ্ধতার সংবিধি নির্দিষ্ট অপরাধের বিচারের জন্য একটি সময়সীমা নির্ধারণ করে</t>
  </si>
  <si>
    <t>একটা বিরাট হাঁস কখনো কি আগে দেখেছেন</t>
  </si>
  <si>
    <t>কেন আমায় সেখানে যাইতে হইত জানি না</t>
  </si>
  <si>
    <t>শরীফ আমাকে নিয়া মসজিদে গিয়াছিল</t>
  </si>
  <si>
    <t>একটি দুর্ব্বলা কুক্কুরী—নবপ্রসূতি—পেটের জ্বালায় শুষ্ক পত্রে ভগ্ন ভাণ্ডে আহার খুঁজিতেছে</t>
  </si>
  <si>
    <t>সুজন অদ্য বাজারে যাইবে</t>
  </si>
  <si>
    <t>তাহাও এই মারপিট প্রথার অবশেষ</t>
  </si>
  <si>
    <t>ইটের ভাটায় বড় চুল্লির মতো</t>
  </si>
  <si>
    <t>প্রতিদিন বিকেলে আমি আমার বাগানের পরিচর্যা করি</t>
  </si>
  <si>
    <t>গাজী মাজহারুল আনোয়ারের লেখা আনোয়ার পাভেজের সুরে জয় বাংলা বাংলার জয়</t>
  </si>
  <si>
    <t>সময়ের বিরুদ্ধে দৌড়ে তারা জঙ্গলের হৃদয়ে লুকানো একটি কিংবদন্তি ধন সন্ধান করেছিল</t>
  </si>
  <si>
    <t>হরিণের একটি পরিবার তৃণভূমিতে শান্তিপূর্ণভাবে চরেছিল তাদের চারপাশের জগৎ থেকে নিরবচ্ছিন্নভাবে</t>
  </si>
  <si>
    <t>ব্যর্থ যোদ্ধা অব্যর্থ যোদ্ধার মধ্যকার পার্থক্য হইলো পরিশ্রম</t>
  </si>
  <si>
    <t>বিশ্বম্ভরবাবু রুমালে চোখ মুছিয়া সস্নেহে ফটিকের শীর্ণ তপ্ত হাতখানি হাতের উপর তুলিয়া লইয়া তাহার কাছে আসিয়া বসিলেন</t>
  </si>
  <si>
    <t>শরীফ আমাকে নিয়া খেলিতে গিয়াছিল</t>
  </si>
  <si>
    <t>অদূরের ঝোপটির ভিতর হইতে কেয়ার সুমিষ্ট গন্ধ ছড়াইয়া পড়িতে আরম্ভ করিল</t>
  </si>
  <si>
    <t>তাহাদের মাথার বনফুল সেই সঙ্গে উঠিতেছে নামিতেছে</t>
  </si>
  <si>
    <t>সে নির্ভৃতে ঘরের মধ্যে একা বসে কান্না করছিল</t>
  </si>
  <si>
    <t>পাঠকেরা তা ভালোভাবে নিয়েছিলেন</t>
  </si>
  <si>
    <t>শুধু জুম্মার নামাজের দায়িত্ব তিনি পালন করেন</t>
  </si>
  <si>
    <t>নিরলসভাবে আপনার আবেগ অনুসরণ করুন পরিবর্তনের জন্য উন্মুক্ত হন</t>
  </si>
  <si>
    <t>সবুজ আমাকে খেলতে ডেকেছিল</t>
  </si>
  <si>
    <t>সে অন্ধ ব্যক্তিকে রাস্তা পারাপারে সাহায্য করেছিল。</t>
  </si>
  <si>
    <t>বাড়ি আসিয়া লালমিয়া বোঝাখানি বারান্দার একপাশে নামাইয়া চুপ করিয়া দাড়াইয়া রহিল</t>
  </si>
  <si>
    <t>অতি পরিষ্কার তাহাও বাতাস আসিয়া নিত্য ঝাড়িয়া দেয়</t>
  </si>
  <si>
    <t>আমি তাহাকে একটি উপকার করিয়াছিলাম</t>
  </si>
  <si>
    <t>সে আমাকে একটি উপকার করিয়াছিল</t>
  </si>
  <si>
    <t>তাদের ডানা হয় বাঁদুড় বা পাখির মতো লেজটা সাপের মতো হয়ে থাকে</t>
  </si>
  <si>
    <t>ঝুঁকি নিন বুদ্ধিমানের সাথে তাদের হিসাব করুন</t>
  </si>
  <si>
    <t>রহিম রানা একসাথে মসজিদে ঢুকলো</t>
  </si>
  <si>
    <t>রাফি আমাকে দেখে ওদিকে গিয়েছিল</t>
  </si>
  <si>
    <t>কেহই নবকুমারের সহিত যাইতে চাহিল না</t>
  </si>
  <si>
    <t>অজানা শহরে যেয়ে তাহারা যখন ভয় পাইলো তখন স্নেহমাখা একটি কণ্ঠস্বর বলিল তোমাদের এখানে কোন ভয় নেই</t>
  </si>
  <si>
    <t>তাদের মধ্যে একটিতেও এখন না আছে আলো না আছে মানুষ</t>
  </si>
  <si>
    <t>লিখিবার একটা ওজর আছে</t>
  </si>
  <si>
    <t>শৈশব যৌবনের অনেক দোষ মাপ করা যায়</t>
  </si>
  <si>
    <t>ম্যাপেল সিরাপ সকালের নাস্তাকে মিষ্টি করে</t>
  </si>
  <si>
    <t>গরুর মত উটও রোমন্থন করে বা জাবর কাটে</t>
  </si>
  <si>
    <t>অবসর পরিকল্পনা মূল্যস্ফীতি দীর্ঘায়ু হিসাবে অ্যাকাউন্ট কারণগুলি গ্রহণ করা উচিত</t>
  </si>
  <si>
    <t>আমি এই পণ্যের জন্য উচ্চ আশা ছিল এটি আমার প্রত্যাশা কম পড়ে গেছে</t>
  </si>
  <si>
    <t>এ মাছবাংলাদেশ এর খুব জনপ্রিয়</t>
  </si>
  <si>
    <t>শাকিব রহিমকে খেলিতে যাইতে বলিল</t>
  </si>
  <si>
    <t>তাহারা আমাকে দেখিয়া হাসিয়া উঠিল</t>
  </si>
  <si>
    <t>তখন হইতে নিজের প্রতি আমার কিঞ্চিৎ ভাল বাসার সঞ্চার হইল</t>
  </si>
  <si>
    <t>ফটিক আস্তে আস্তে পাশ ফিরিয়া কাহাকেও লক্ষ্য না করিয়া মৃদুস্বরে কহিল মা এখন আমার ছুটি হয়েছে মা এখন আমি বাড়ি যাচ্ছি</t>
  </si>
  <si>
    <t>ইন্টারভাল ট্রেনিং মেটাবলিজম বাড়ায়</t>
  </si>
  <si>
    <t>তার বৈচিত্রপূর্ণ জীবনে তিনি অনেক পুরস্কারে ভূষিত হয়েছেন</t>
  </si>
  <si>
    <t>সালের আগস্ট সিকান্দার আবু জাফর মৃত্যুবরণ করেন</t>
  </si>
  <si>
    <t>প্রতিষ্ঠানের অভ্যন্তরে দুর্নীতি অপরাধমূলক কর্মকাণ্ডকে সহজতর করতে পারে</t>
  </si>
  <si>
    <t>আমি এদেরকে এখনও কল্পনায় দেখতে পাই</t>
  </si>
  <si>
    <t>মধ্যাহ্নকালে কলাকাঁদি সম্বন্ধে যাহা দেখিয়াছি শুনিয়াছি তাহা তখনও আমার মনে পুনঃ পুনঃ আলোচিত হইতেছিল</t>
  </si>
  <si>
    <t>ভালোবাসার একটা পাখি তাহার বুকের নীড়ে বাসা করিয়া ঘুমাইয়া আছে</t>
  </si>
  <si>
    <t>লোকটির পাশে একজন মজবুত গোছের স্ত্রীলোক বসিয়াছিল</t>
  </si>
  <si>
    <t>আমি সুমনকে খাইতে বলিয়াছিলাম</t>
  </si>
  <si>
    <t>অজানা অঞ্চল অন্বেষণ আবিষ্কারের জন্য মানুষের আকাঙ্ক্ষাকে সন্তুষ্ট করে</t>
  </si>
  <si>
    <t>ছোটখাটো ভুল করা যখন অভ্যাস হয়ে যায়</t>
  </si>
  <si>
    <t>খবরের কাগজের প্রথম পাতার শিরোনামটি আমার দৃষ্টি আকর্ষণ করে</t>
  </si>
  <si>
    <t>সিন্থেটিক রাসায়নিক ছাড়াই খাদ্য উৎপাদনের জন্য জৈব চাষ প্রাকৃতিক উপকরণ অনুশীলনের উপর নির্ভর করে</t>
  </si>
  <si>
    <t>কিডনিতে পাথর হল শক্ত জমা যা কিডনিতে তৈরি হয় মূত্রনালীর মধ্য দিয়ে যাওয়ার সময় তীব্র ব্যথা হতে পারে</t>
  </si>
  <si>
    <t>ভারী জলচৌকিটা অবলীলাক্রমে তুলিয়া লইয়া গিয়া সে দাওয়ায় পাতিয়া দিল</t>
  </si>
  <si>
    <t>সুমন আমাকে খাবার দিয়াছিল</t>
  </si>
  <si>
    <t>আমি এখন গোসল করিয়া ঘুমাইতে যাইবো</t>
  </si>
  <si>
    <t>গাড়ওয়ান জিজ্ঞাসা করিল কোথা যাইবেন আমি বলিলাম একবার এই পর্ব্বতে যাইব</t>
  </si>
  <si>
    <t>বিরক্ত হইয়াই বলিলেন তুই একবার ভাল করে দেখ্‌ দেখি কেউ আছে কিনা</t>
  </si>
  <si>
    <t>টাকা পেছনে দৌড়িয়ে কি লাভ বলোতো</t>
  </si>
  <si>
    <t>এতে ব্রিটিশরা জয়লাভ করে</t>
  </si>
  <si>
    <t>প্রকৃতিপ্রেমীর চোখে পাখিই এই অভয়াশ্রমের সেরা প্রাণী</t>
  </si>
  <si>
    <t>ওডিসি কাব্যের বীর ইউলিসিস এর নামেই উপন্যাসের নামকরণ</t>
  </si>
  <si>
    <t>স্যার তাহাকে ডাকিয়াছিল একটি বই দেওয়ার জন্য</t>
  </si>
  <si>
    <t>আমাদের বাঙ্গালায় এ কথার অনেক পরিচয় পাওয়া যাইতেছে</t>
  </si>
  <si>
    <t>ইহা কি তোমার নতুন বল</t>
  </si>
  <si>
    <t>সেই বন্ধনী স্পর্শ মাত্রেই পটখানি এলাইয়া পড়ে</t>
  </si>
  <si>
    <t>গরীবের ঘরের মেয়ে তোমাকে যেরূপ সম্মান বা শ্রদ্ধা ভক্তি করবে ধনীর মেয়ে সেরূপ করবে না</t>
  </si>
  <si>
    <t>নিয়মিত ব্যায়াম করার কারণে সে শারীরিক ভাবে সুস্থতা অনুভব করে</t>
  </si>
  <si>
    <t>শাহেদকে হঠাৎ খুশি করার একটা পদ্ধতি সে জানে</t>
  </si>
  <si>
    <t>ধীরে ধীরে অনুশীলনের তীব্রতা বাড়ান</t>
  </si>
  <si>
    <t>মার্শম্যালো মোমবাতি তৈরি করা সুগন্ধযুক্ত</t>
  </si>
  <si>
    <t>এথেরোস্ক্লেরোসিস এমন একটি অবস্থা যেখানে ধমনীতে চর্বি জমা হয় রক্ত ​​প্রবাহকে সীমাবদ্ধ করে হৃদরোগের ঝুঁকি বাড়ায়</t>
  </si>
  <si>
    <t>রাস্তার পাশে বসে একটি অসহায় শিশু আর্তনাদ করিতেছিল</t>
  </si>
  <si>
    <t>শুনিতে আগ্রহ করে</t>
  </si>
  <si>
    <t>নিতান্ত অতিরিক্ত সুদে একজন বাকি টাকাটা ধার দিতে স্বীকার করিয়াছিল সময়কালে সে উপস্থিত হইল না</t>
  </si>
  <si>
    <t>নাপিতের হাত থেকে রক্ষা পাওয়া চুল গুলোকে লইয়া</t>
  </si>
  <si>
    <t>মহারাজ কৃষ্ণচন্দ্রের দুখানা হস্তী ছিল</t>
  </si>
  <si>
    <t>আমি সুমনকে আমার কাছে ডেকেছিলাম</t>
  </si>
  <si>
    <t>আমরা সবসময় একে অপরের পিঠে থাকি</t>
  </si>
  <si>
    <t>বাসের চালক নির্ধারিত রুটে যাত্রী উঠালেন</t>
  </si>
  <si>
    <t>নদীটি উপত্যকার মধ্য দিয়ে অলসভাবে ঘুরে বেড়াচ্ছিল এর স্ফটিক স্বচ্ছ জল উপরে নীল আকাশকে প্রতিফলিত করছে</t>
  </si>
  <si>
    <t>আমি ভাত খেয়ে কাজে যাব</t>
  </si>
  <si>
    <t>নৌকৈা ফিরিয়া আসিবার হইত এতক্ষণ ফিরিয়া আসিত</t>
  </si>
  <si>
    <t>রহিম করিম আমার কথা শুনিত</t>
  </si>
  <si>
    <t>তার ব্যবহারে আমি মনে মনে তাহার সাথে যুদ্ধ ঘোষণা করিয়া ফেলিয়াছিলাম</t>
  </si>
  <si>
    <t>সুজন তার মাতাকে নিয়া স্কুলে আসিয়াছিল</t>
  </si>
  <si>
    <t>তামিম খেলা করিতে মাঠে যাইতেছে</t>
  </si>
  <si>
    <t>সাপ্তাহিক ফুল বডি ওয়ার্কআউটের লক্ষ্য রাখুন</t>
  </si>
  <si>
    <t>স্টারগেজিং শান্তি প্রতিফলন নিয়ে আসে</t>
  </si>
  <si>
    <t>রাত নামার সাথে সাথে তারা উঁচু পাহাড়ের ছায়ায় ক্যাম্প স্থাপন করে</t>
  </si>
  <si>
    <t>হিটলার তার নাৎসি সেনা সম্পর্কেও</t>
  </si>
  <si>
    <t>আপনার কর্মজীবনের প্রথম দিকে অবসর নেওয়ার জন্য অর্থ আলাদা করে রাখা সময়ের সাথে সাথে যথেষ্ট সঞ্চয় করতে পারে</t>
  </si>
  <si>
    <t>কেবল সুর নহে লতা পল্লব শোভিত সেই পল্লীগ্রাম</t>
  </si>
  <si>
    <t>রুমি স্কুলের মাঠে খেলিতেছে</t>
  </si>
  <si>
    <t>আমি স্বভাবতঃ বড় ভীত তাহা বলিয়া ব্যাঘ্র ভুল্লুক সম্বন্ধে আমার কখন ভয় হয় নাই</t>
  </si>
  <si>
    <t>পাশাপাশি রাখলে চেনবার জো নেই</t>
  </si>
  <si>
    <t>কথাটা বিশ্বাস করিবার মত নয়</t>
  </si>
  <si>
    <t>আমি আশা করি আগামীতে আরো উন্নতি করতে পারব。</t>
  </si>
  <si>
    <t>সালে তিনি রীডার পদে উন্নীত হন</t>
  </si>
  <si>
    <t>তিনি একটা খুন করেছেন</t>
  </si>
  <si>
    <t>নিউমোনিয়া ব্যাকটেরিয়া ভাইরাস বা ছত্রাকের কারণে হতে পারে ফুসফুসের প্রদাহ হতে পারে</t>
  </si>
  <si>
    <t>নিজেকে এমন লোকেদের সাথে ঘিরে রাখুন যারা আপনাকে আপনার সেরা হতে অনুপ্রাণিত করে চ্যালেঞ্জ করে</t>
  </si>
  <si>
    <t>তাহার গৃহে একদিন গিয়াছিলাম</t>
  </si>
  <si>
    <t>আমাকে তোমার ঘরে বিনা বেতনের দাসী হইয়া থাকিতে হইত</t>
  </si>
  <si>
    <t>আত্মীয় পরের মৃত্যুতে যাহারা মর মানবের জন্য শোক করে শশী তাহদের মতো নয়</t>
  </si>
  <si>
    <t>ইহা কি তোমার পিতা</t>
  </si>
  <si>
    <t>শহর সে অঞ্চলেই নাই নগর দূরে থাকুক তথায় একখানি গণ্ডগ্রামও নাই কেবল পাহাড় জঙ্গলে পরিপূর্ণ</t>
  </si>
  <si>
    <t>স্বাস্থ্যের জন্য নিয়মিত ব্যায়ামকে অগ্রাধিকার দিন</t>
  </si>
  <si>
    <t>দীর্ঘস্থায়ী প্যানক্রিয়াটাইটিস হল অগ্ন্যাশয়ের প্রদাহ যা সময়ের সাথে সাথে চলতে থাকে যা প্রায়ই পেটে ব্যথা হজমের সমস্যার দিকে পরিচালিত করে</t>
  </si>
  <si>
    <t>সুফল শাকিবের কথা মত অগ্রসর হল</t>
  </si>
  <si>
    <t>মেয়েটি একটি পুতুল কেনার জন্য বাবার কাছে কান্না করছিল</t>
  </si>
  <si>
    <t>যখন আমার বয়স আট তখন শুরু হলো দ্বিতীয় বিশ্বযুদ্ধ</t>
  </si>
  <si>
    <t>তার সাজসজ্জারও বদল হইয়া গেল আবার সে তার তসরের কাপড়খানি পরিল দিনের মধ্যে যখনই তাকে দেখা গেল মনে হইল সে যেন এইমাত্র স্নান করিয়া আসিয়াছে</t>
  </si>
  <si>
    <t>ভোরে উঠিয়া পোস্টমাস্টার দেখিলেন তাঁহার স্নানের জল ঠিক আছে কলিকাতার অভ্যাস অনুসারে তিনি তোলা জলে স্নান করিতেন</t>
  </si>
  <si>
    <t>করিম আমাকে স্কুলে যাইতে বলিয়াছিল</t>
  </si>
  <si>
    <t>আমার সহিত কি আপনারা কেহ যাইবেন পিসিমা</t>
  </si>
  <si>
    <t>রহিম করিমকে বেঁধে রেখেছিল</t>
  </si>
  <si>
    <t>রুমি ভলিবল খেলতে মাঠে গিয়েছে</t>
  </si>
  <si>
    <t>সালে আকস্মিকভাবে মৃত্যুবরণ করেন</t>
  </si>
  <si>
    <t>এছাড়াও অন্যান্য সংবাদ তো থাকতই</t>
  </si>
  <si>
    <t>বাংলাদেশের প্রতি বছর ই এপ্রিল এই উৎসব পালিত হয়</t>
  </si>
  <si>
    <t>তোর কি ভজন টজন আছে সেরে নে আমার আরও কাজ আছে</t>
  </si>
  <si>
    <t>আমার নিকটে ইহা নাই</t>
  </si>
  <si>
    <t>এই আকস্মিক অত্যন্ত অনাবশ্যক উগ্রতায় ঝি এতটুকু হইয়া গেল</t>
  </si>
  <si>
    <t>বিদায় লইবার পূর্বে আজ দিন দুইতিন হইতে শীতটা খুব কন্‌কনে‌ হইয়া উঠিয়াছে চারি দিকে একেবারে হীহীকার পড়িয়া গেছে</t>
  </si>
  <si>
    <t>মায়া তাহার হস্তে দশটা টাকার একটা নোট গুজিয়া দিয়া কহিলঃ এইটে দিয়ে কিছু কিনে খাস যেন</t>
  </si>
  <si>
    <t>এই আকর্ষণই জোয়ার ভাটার সাথে সম্পর্কিত</t>
  </si>
  <si>
    <t>লোকটি এতক্ষণ বারান্দায় দাঁড়িয়ে ছিলেন</t>
  </si>
  <si>
    <t>প্রযুক্তিগত অগ্রগতি প্রক্রিয়া উন্নতি চালায়</t>
  </si>
  <si>
    <t>ফেসবুকে আমাদের অনুসরণ করুন</t>
  </si>
  <si>
    <t>আমি যখন বিদেশ ভ্রমণে থাকি তখনও আমি ভারতের বিভিন্ন সংবাদ সম্পর্কে ওয়াকেবহাল থাকি</t>
  </si>
  <si>
    <t>সুমি আমাকে ইহা লিখিতে বলিয়াছে</t>
  </si>
  <si>
    <t>যখন কীর্তনের আসর জমিত গুরুজি আমাদের লইয়া যখন আলোচনায় বসিতেন যখন তিনি গীতা বা ভাগবত ব্যাখ্যা করিতেন দামিনী কখনো একদিনের জন্য অনুপস্থিত থাকিত না</t>
  </si>
  <si>
    <t>পাগলের প্রলাপ বকিবে না মেগাবাইট ফুরাইয়া অসিতেছে</t>
  </si>
  <si>
    <t>আমরা ঐখানে গিয়া অনেক ভ্রমণ করিলাম</t>
  </si>
  <si>
    <t>তাই চি শান্ত ভারসাম্য প্রদান করে</t>
  </si>
  <si>
    <t>ট্যুর গাইড ঐতিহাসিক শহরের মধ্য দিয়ে একদল পর্যটকের নেতৃত্ব দেন</t>
  </si>
  <si>
    <t>রাত্রি শেষ না হতেই সে বাইরে বের হয়েছিল কাজের সন্ধানে。</t>
  </si>
  <si>
    <t>তাদের বিরুদ্ধে পাপ অন্যায়ের মাধ্যমে আক্রমণ করছ</t>
  </si>
  <si>
    <t>• মৃত্যুর আগে সবকিছুই কৃষ্ণবর্ণ হয়ে যাবে</t>
  </si>
  <si>
    <t>মাঝে মাঝে কটাক্ষপাতে ছাত্রীর মনোযোগ লক্ষ্য করিয়া দেখিতেছেন</t>
  </si>
  <si>
    <t>বাহিরে যে বেলা পড়িয়া আসিতেছিল</t>
  </si>
  <si>
    <t>সুফল সুজনের নিকট গিয়াছিল</t>
  </si>
  <si>
    <t>সেখানে বিবাহ এরূপ সাধারণ কেন তদ্বিষয়ে সমাজতত্ত্ববিদেরা কি বলেন জানি না</t>
  </si>
  <si>
    <t>আমি অন্যমনস্কে এই রঙ্গ দেখিতেছি এমত সময়ে কুলিদের কতকগুলি বালক বালিকা আসিয়া আমার গাড়ী ঘেরিল</t>
  </si>
  <si>
    <t>অন্তর্ভুক্তিমূলক শিক্ষা বৈচিত্র্য সমতা প্রচার করে</t>
  </si>
  <si>
    <t>লেখক একটি আকর্ষণীয় গল্প তৈরি করেছেন যা পাঠকদের মুগ্ধ করেছে</t>
  </si>
  <si>
    <t>কারিগর চকোলেট বিচক্ষণ তালু দয়া করে</t>
  </si>
  <si>
    <t>আন্দ্রে বেলি মস্কোর এক বিশিষ্ট বুদ্ধজীবী পরিবারে জন্মগ্রহণ করেন</t>
  </si>
  <si>
    <t>হাইপোগ্লাইসেমিয়া ঘটে যখন রক্তে শর্করার মাত্রা খুব কম হয় যার ফলে মাথা ঘোরা বিভ্রান্তির মতো লক্ষণ দেখা দেয়</t>
  </si>
  <si>
    <t>ঘরে তার উৎপাতেই তাঁর ছেলেকে বাহিরে সান্ত্বনার পথ খুঁজিতে হইতেছে</t>
  </si>
  <si>
    <t>মাতব্বরসাক্ষীর অভাব ছিল না পাড়ামুদ্ধ লোক সাক্ষ্য দিতে প্রস্তুত</t>
  </si>
  <si>
    <t>তাহাদের কেবল এক উপায় আছে—পলায়ন</t>
  </si>
  <si>
    <t>অর্থাভাবে তিনি তাহা প্রচলিত করিতে পারেন নাই</t>
  </si>
  <si>
    <t>তারপর বাড়িঘর নাই</t>
  </si>
  <si>
    <t>কর্মচারী নিয়োগের উদ্যোগ মনোবল উৎপাদনশীলতা বৃদ্ধি করে</t>
  </si>
  <si>
    <t>বিউটি টিপস পেতে আমাদের অনুসরণ করুন</t>
  </si>
  <si>
    <t>সংবাদপত্রের প্রথম পাতা প্রায়শই দিনের আলোচনার এজেন্ডা নির্ধারণ করে</t>
  </si>
  <si>
    <t>এ জন্য তিনি অস্কার পুরস্কার লাভ করেছেন</t>
  </si>
  <si>
    <t>আমাদের সাথে সংযুক্ত থাকুন</t>
  </si>
  <si>
    <t>বিপদের আশঙ্কা দেখিয়া রাজা সেখান থেকে পালাইয়া গিয়াছিল</t>
  </si>
  <si>
    <t>উহারা এত ঘৃন্য কর্ম করিয়া বেড়াইবে তাহা ভাবিতে পারি নাই</t>
  </si>
  <si>
    <t>ম্যাপ দেখিয়া পথ স্থির করিলাম</t>
  </si>
  <si>
    <t>ইংরেজদের সমাগমের পর কোন জাতির ক্ষয় ধরিয়াছে এমত নিশ্চয় বলিতে পারি না</t>
  </si>
  <si>
    <t>একটুখানি অপেক্ষা করিয়া উপেন্দ্র হাসিয়া কহিল এইখানেই এর শেষ নয় বৌঠান</t>
  </si>
  <si>
    <t>সে কর্মক্ষেত্রে সততার সাথে কাজটি সম্পন্ন করেছিল</t>
  </si>
  <si>
    <t>রাজা রানীর কথা শুনছিল না</t>
  </si>
  <si>
    <t>সে তার জীবনে উন্নতি লাভ করতে চায়</t>
  </si>
  <si>
    <t>জীবনে প্রতিকূলতাকে অতিক্রম করে সে সফলতা অর্জন করেছে。</t>
  </si>
  <si>
    <t>এর কর্মক্ষমতা ছিল মাত্র</t>
  </si>
  <si>
    <t>তাহার মনের অব্যক্ত কথাগুলো সে প্রকাশ করিতে পারেনি</t>
  </si>
  <si>
    <t>রাজু সাজু খেলিতে গিয়াছে</t>
  </si>
  <si>
    <t>একটুখানি চুপ করিয়া থাকিয়া কহিল আচ্ছা মা এমন মানুষ কোথায় আছে জানো যার শরীরে দোষ নেই শুধুই গুণ</t>
  </si>
  <si>
    <t>বহির ভাষাই আমার একমাত্র জবান</t>
  </si>
  <si>
    <t>তাহা হইলে অদ্যাপি কোলের মধ্যে ঋণের প্রথা উৎপত্তি হইত না</t>
  </si>
  <si>
    <t>ক্ষমা অনুশীলন করুন বিরক্তি ত্যাগ করুন এটি শুধুমাত্র শেষ পর্যন্ত আপনার ক্ষতি করে</t>
  </si>
  <si>
    <t>এই রেকর্ডটি এখন পর্যন্ত টিকে আছে</t>
  </si>
  <si>
    <t>ট্যাবলেটে ডিজিটাল আর্ট তৈরি করা হচ্ছে</t>
  </si>
  <si>
    <t>এক্সক্লুসিভ অ্যাক্সেসের জন্য সাবস্ক্রাইব করুন</t>
  </si>
  <si>
    <t>ট্যাক্সি ড্রাইভার বন্ধুত্বপূর্ণ ছিল যাত্রার সময় মজার গল্প শেয়ার করেছিল</t>
  </si>
  <si>
    <t>ইহারা এতদূরে গিয়া ছিলেন যে মিথ্যার সাহায্যেও ইহাদিগকে ত্রাণ করিবার উপায় ছিল না</t>
  </si>
  <si>
    <t>সেই খাদে জল ক্রমে ক্রমে চুঁইয়া জমে</t>
  </si>
  <si>
    <t>শাকিব আমাকে তাহার নিকটে যাইতে বলিল</t>
  </si>
  <si>
    <t>অন্তর ভাত খাইয়া নামাজে গিয়াছিল</t>
  </si>
  <si>
    <t>গভীর রাতে সে জানালার পাশে একটি শব্দ শুনতে পাইয়াছিল</t>
  </si>
  <si>
    <t>চেয়েছিলাম একজন সৎ কঠোর পরিশ্রমকারী হবো</t>
  </si>
  <si>
    <t>পণ্যটি কতটা ভাল পারফর্ম করেছে তা দেখে আমি আনন্দিতভাবে অবাক হয়েছিলাম</t>
  </si>
  <si>
    <t>লাইফগার্ড রুক্ষ জলে সংগ্রামরত এক সাঁতারুকে উদ্ধার করেন</t>
  </si>
  <si>
    <t>সে তার জীবনের প্রতিটি পর্যায়ে সফল হয়েছে</t>
  </si>
  <si>
    <t>এটি ব্যক্তিদের অনিশ্চয়তাকে আলিঙ্গন করতে অজানাকে আলিঙ্গন করতে উত্সাহিত করে</t>
  </si>
  <si>
    <t>সঠিক সময়ে পৌঁছতে না পেরে সে ট্রেইন মিস করেছে。</t>
  </si>
  <si>
    <t>সে আমাকে চা বানাইয়া দিয়াছিল</t>
  </si>
  <si>
    <t>সুজনের মাতা তাহাদের গৃহে কাজ করিয়াছিল</t>
  </si>
  <si>
    <t>তাদের মাটির ঘরটি নষ্ট হইয়া গিয়াছে</t>
  </si>
  <si>
    <t>আমাকে কি তোমার কোনো কথা বলিবার নাই</t>
  </si>
  <si>
    <t>এই এক বছরে আমি শারীরিকভাবে আগের তুলনায় লম্বা হলাম</t>
  </si>
  <si>
    <t>নিজের খুব পছন্দের বাইকটা এক্সিডেন্টের পর আজকে দিন হলো ভাংগারীর দোকানে পরে আছে</t>
  </si>
  <si>
    <t>সুমন আজ বাড়িতে নেই</t>
  </si>
  <si>
    <t>কিছুক্ষণ জিরিয়ে নিয়ে আমরা দিনের পত্রিকা খুলে বসতাম</t>
  </si>
  <si>
    <t>শিক্ষাগত নেতৃত্ব প্রাতিষ্ঠানিক অগ্রগতি উন্নয়নকে নির্দেশ করে</t>
  </si>
  <si>
    <t>চাহিয়া দেখিল গাছের নিচে শুকনো ভাল কাঁচা পাকা পাতার সঙ্গে পাতার উপর ন্যাকড়া জড়ানো একটা পুতুল পড়িয়া আছে</t>
  </si>
  <si>
    <t>এখন আমার ঠিক স্মরণ হয় না</t>
  </si>
  <si>
    <t>কিছু পথখরচা বাদে তাঁহার বেতনের যত টাকা পাইয়াছিলেন পকেট হইতে বাহির করিলেন</t>
  </si>
  <si>
    <t>কোলের নববধূ আমি কখন দেখি নাই</t>
  </si>
  <si>
    <t>ছন্দটি উচ্চারণ মাত্রেই শ্লোকটি আমার মনে আসিয়াছিল</t>
  </si>
  <si>
    <t>আমি সকালে তার জন্য চা বানিয়েছিলাম</t>
  </si>
  <si>
    <t>অসহায় শিশুটিকে সে খাবার দিয়ে সাহায্য করেছিল</t>
  </si>
  <si>
    <t>আমি চিন্তায় পড়ে গেলাম</t>
  </si>
  <si>
    <t>অন্যদের তুলনায় অপর্যাপ্ত বোধ আত্ম সন্দেহ নিয়ে আসে</t>
  </si>
  <si>
    <t>তারা নিজেরা না খেয়ে তাদের খাবার আমাদের সবাইকে ভাগ করে দিতেন</t>
  </si>
  <si>
    <t>আমি এখন গোসল করিয়া পড়িতে বসিবো</t>
  </si>
  <si>
    <t>রাজা রানী কে দেখিতে গিয়াছিলেন</t>
  </si>
  <si>
    <t>মাঝে মাঝে কলাবাগান সুপারিবাগান ছোট ছোট বাঁশঝাড় ডাইনে বায়ে আবির্ভূত হয়</t>
  </si>
  <si>
    <t>সে আমার বাসায় আসিতে চাইয়াছিল পরীক্ষার জন্য আসিতে পারেনি</t>
  </si>
  <si>
    <t>ছোট গল্প লেখা লাভজনক</t>
  </si>
  <si>
    <t>আমার ঘর থেকে স্কুলে হেঁটে যেতে হল</t>
  </si>
  <si>
    <t>তারাগুলো মাথার উপরে মিটমিট করে তাদের দূরের আলো রাতের আকাশের অন্ধকার ভেদ করে</t>
  </si>
  <si>
    <t>যাদের কথামতো অগ্রসর হলাম</t>
  </si>
  <si>
    <t>এটা নজর দেয় দুর্ঘটনা প্রতিরোধের দিকে</t>
  </si>
  <si>
    <t>এ চীৎকার ঝি শুনিতে পাইল</t>
  </si>
  <si>
    <t>সে অসীম সংখ্যাও তাহাদের নাই</t>
  </si>
  <si>
    <t>বোধ হয় নিদ্রার পূর্ব্বে থাবাটি একবার চাটিয়াছিল</t>
  </si>
  <si>
    <t>কিয়ৎ পরেই কুমারীর ডাল হইতে সেই শ্লোক আবার উচ্চারিত হইল তখন শ্লোকের স্পষ্টতা পূর্ব্বমত বোধ হইল না কেবল সুর ছন্দ শুনা গেল</t>
  </si>
  <si>
    <t>সে আমার কথা ভুলে গিয়েছিল</t>
  </si>
  <si>
    <t>মেয়েটা কিছুক্ষণ তার চোখের দিকে তাকিয়ে ছিলো</t>
  </si>
  <si>
    <t>ঝুঁকি মূল্যায়ন সম্ভাব্য ব্যবসায়িক ব্যাঘাত কমিয়ে দেয়</t>
  </si>
  <si>
    <t>হরিশ্চন্দ্র মহির্ষীকে চিনতে পেরে অতি করুণস্বরে বিলাপ করতে লাগলেন</t>
  </si>
  <si>
    <t>এরপর তারা পূর্ব ফক্‌ল্যান্ড দ্বীপে আক্রমণ শুরু করে</t>
  </si>
  <si>
    <t>আলোটা ওখানে নামাইয়া রাখিয়া শশী একটা বিড়ি ধরাইল</t>
  </si>
  <si>
    <t>অতীব চমৎকার হইয়াছে মনে হইল যেন আধুনিক রবীন্দ্রনাথ পড়িলাম</t>
  </si>
  <si>
    <t>আমি তোমার সঙ্গে দিতে গিয়াছিলাম</t>
  </si>
  <si>
    <t>এ কথা শুনিয়া আমার কষ্ট হইল</t>
  </si>
  <si>
    <t>কায়েতপাড়ার পথটি তিন ভাগ অতিক্রম করিয়া গেলে শশীর বাড়ি</t>
  </si>
  <si>
    <t>সে তার প্রতিজ্ঞা রাখতে পারেনি</t>
  </si>
  <si>
    <t>তাকে গ্রেফতার করা হয় সালে</t>
  </si>
  <si>
    <t>তারার ছাউনির নীচে তারা কর্কশ ক্যাম্পফায়ারের চারপাশে তাদের অতীতের দুঃসাহসিকের গল্প বলেছিল</t>
  </si>
  <si>
    <t>ধরে নেওয়া হয় যে তারা সকলেই মারা পড়েছে</t>
  </si>
  <si>
    <t>মাথায় বিশাল টাক একটি পরিপাটি গোঁফের অধিকারী</t>
  </si>
  <si>
    <t>কোলকন্যারা আমাকে দেখিয়া দাঁড়াইল</t>
  </si>
  <si>
    <t>সেই অবধি অনেক কাল তথায় বাস করে অদ্যপিও তথায় খাস সাঁওতালেরা বাস করিতেছে</t>
  </si>
  <si>
    <t>খানিক আগাইয়া বাজার</t>
  </si>
  <si>
    <t>মৌয়া গাছ তথায় বিস্তর</t>
  </si>
  <si>
    <t>এমন সততা সামাজিক দায়িত্ববোধ বিস্ময়কর</t>
  </si>
  <si>
    <t>শাহেদ হন হন করে বের হয়ে গেল</t>
  </si>
  <si>
    <t>আপনার বন্ধকী তাড়াতাড়ি পরিশোধ করা ঋণের জীবনের উপর আপনার হাজার হাজার ডলার সুদ বাঁচাতে পারে</t>
  </si>
  <si>
    <t>তিনি বীরের মর্যাদা পেলেন</t>
  </si>
  <si>
    <t>আজ ভোরে গাড়িতে চড়ে বেড়াতে যাব</t>
  </si>
  <si>
    <t>ফরিদ আমাকে কথা দিয়াছিল</t>
  </si>
  <si>
    <t>সে গুরুবাবার ঘরে ঢুকিয়া তাঁহার পদধূলি লইয়া জোড়হাতে ভক্তিভরে কহিল বাবা আপনি দিনের বেলায় বাবুকে গাঁজা মদ খাওয়াবেন না</t>
  </si>
  <si>
    <t>ট্রেনের জানালা দিয়ে সেদিন সূর্য ডোবার দৃশ্যটা খুবই চমৎকার ছিলো。</t>
  </si>
  <si>
    <t>সেদিন রাতে ঘরের ভেতর আশ্চর্য রকম শীতল হইয়া ছিলো</t>
  </si>
  <si>
    <t>বর্তমানে এটি সারাবিশ্বেই নিষিদ্ধ ঘোষণা করা হয়েছে</t>
  </si>
  <si>
    <t>দলের সমন্বয় প্রকল্পের সাফল্য ক্লায়েন্ট সন্তুষ্টি চালনা করে</t>
  </si>
  <si>
    <t>অবসর সময়ে সে গল্পের বই পড়ে</t>
  </si>
  <si>
    <t>অজানা সেই শহরে যেয়ে তাদের এক নতুন অভিজ্ঞতা হয়েছে</t>
  </si>
  <si>
    <t>হাটনের চরিত্রটি ছিলো রেইমন্ড ব্লসম নামের একজন অপরাধ নেতার</t>
  </si>
  <si>
    <t>বাইরে বের হলে তিনি সবসময় ছাতা সঙ্গে রাখেন</t>
  </si>
  <si>
    <t>একে তো সহজেই পড়া তৈরি হয় না তাহার পর বই হারাইয়া একেবারে নাচার হইয়া পড়িল</t>
  </si>
  <si>
    <t>কথা মনে করিয়া তাঁহার মেয়ের প্রতি ক্রোধ অশ্রদ্ধার অন্ত রহিল না</t>
  </si>
  <si>
    <t>মা মাখনের পক্ষ লইয়া ফটিককে সবেগে নাড়া দিয়া তাহার পৃষ্ঠে দুটা তিনটা প্রবল চপেটাঘাত করিলেন</t>
  </si>
  <si>
    <t>স্কোয়াটগুলি শক্তিশালী পা তৈরি করে</t>
  </si>
  <si>
    <t>ইরতাজউদ্দিনের মন খারাপ হয়ে গেল</t>
  </si>
  <si>
    <t>পাইন সূঁচের ঘ্রাণ বাতাসে ভারী ঝুলছে কাছাকাছি একটি কেবিন থেকে কাঠের ধোঁয়ার সুগন্ধের সাথে মিশেছে</t>
  </si>
  <si>
    <t>ফাল্লুন মাসে এরকম ভ্যাপসা গরম থাকার কথা না</t>
  </si>
  <si>
    <t>শিক্ষাগত নীতিগুলি শেখার পরিবেশের গুণমানকে প্রভাবিত করে</t>
  </si>
  <si>
    <t>সাত বছরের মধ্যে বিন্দু একবার মাত্র তিনদিনের জন্য বাপের বাড়ি আসিয়াছিল</t>
  </si>
  <si>
    <t>রুমি আমার কথা তাহার ভ্রাতা কে বলিয়াছে</t>
  </si>
  <si>
    <t>এক একদিন সন্ধ্যাবেলায় সেই বৃহৎ আটচালার কোণে আপিসের কাঠের চৌকির উপর বসিয়া পোস্টমাস্টারও নিজের ঘরের কথা পাড়িতেন</t>
  </si>
  <si>
    <t>কত মাতালকে কত কাণ্ড করিতে সে ত নিজের চোখেই দেখিয়াছে</t>
  </si>
  <si>
    <t>পাটের সময় সেখানে পাট জমাইয়া বাজিতপুরে শশীর ভগ্নিপতি নন্দলালের গুদামে চালান দেওয়া হয়</t>
  </si>
  <si>
    <t>আমার বাবা মা আমাকে সবসময় আমার স্বপ্ন অনুসরণ করতে উত্সাহিত করেছেন</t>
  </si>
  <si>
    <t>তিনি আমাকে নানাভাবে উৎসাহ দিতেন</t>
  </si>
  <si>
    <t>আমি সমস্যাটি সমাধান করতে ব্যর্থ হয়েছি</t>
  </si>
  <si>
    <t>ঝুঁকি নিন অজানা আলিঙ্গন করুন</t>
  </si>
  <si>
    <t>হরিণের একটি পরিবার তাদের চারপাশের বিশ্ব দ্বারা নির্বিঘ্নে ক্লিয়ারিংয়ে শান্তিপূর্ণভাবে চরেছিল</t>
  </si>
  <si>
    <t>রুমা আমার কথা তাহার মাতাকে বলিয়াছে</t>
  </si>
  <si>
    <t>সখী পরানের দাগ মুছিয়া ফেলিতে তোমারে স্মরিছি ফিরাইও না খালি হাতে</t>
  </si>
  <si>
    <t>সে তাহার পরীক্ষা নিয়ে খুবই চিন্তিত হইয়াছিল</t>
  </si>
  <si>
    <t>সকল দেশে তাহা জন্মে না</t>
  </si>
  <si>
    <t>আমি তাহাকে জিজ্ঞেস করিয়াছিলাম তাহার পরীক্ষা কবে থেকে শুরু হইবে</t>
  </si>
  <si>
    <t>শিশুটি মাটিতে একা বসে খেলছিল</t>
  </si>
  <si>
    <t>মানুষের কাছে তোমার মূল্য ততদিন থাকবে যত দিন তোমার প্রয়োজন আছে</t>
  </si>
  <si>
    <t>সুমন আমাকে একটি খাতা দিয়েছিল</t>
  </si>
  <si>
    <t>রুমি আমাকে খাবার খেতে দিয়েছিল</t>
  </si>
  <si>
    <t>আমি আমার পরিবারকে ভালবাসি</t>
  </si>
  <si>
    <t>সে নিজেকে বার বার ধিক্কার দিতে লাগিল</t>
  </si>
  <si>
    <t>সুমাইয়া তাহাদের নিকট গিয়াছিল</t>
  </si>
  <si>
    <t>সে পরমুহূর্তেই তাহার নিজের ভুলটি বুঝিতে পারিয়াছিল</t>
  </si>
  <si>
    <t>বলিতেছে পাথর ওগো পাথর ওগো পাথর দয়া করো দয়া করো আমাকে মারিয়া ফেলো</t>
  </si>
  <si>
    <t>এক জাতি কোল আছে তাহারা উরাঙ কি কি তাহা স্মরণ নাই তাহাদের বিবাহপ্রথা অতি পুরাতন</t>
  </si>
  <si>
    <t>টেকসই কৃষি শংসাপত্র প্রোগ্রামগুলি পরিবেশ বান্ধব কৃষি অনুশীলনের আনুগত্য যাচাই করে</t>
  </si>
  <si>
    <t>নিষিদ্ধ মন্দিরগুলিতে প্রবেশ করে তারা প্রতিটি মোড়ে অনুপ্রবেশকারীদের ব্যর্থ করার জন্য ডিজাইন করা ফাঁদের মুখোমুখি হয়েছিল</t>
  </si>
  <si>
    <t>এইসব আমার কিছুই মনে নাই</t>
  </si>
  <si>
    <t>তাকে তোমার আওতার বাহিরে যেতে দিও না</t>
  </si>
  <si>
    <t>জানু পর্যন্ত লম্বা পিরান</t>
  </si>
  <si>
    <t>ওখানে এমন সময় মানুষ আসিবে কোথা হইতে</t>
  </si>
  <si>
    <t>তাহার শৈশবের লালিত্য কণ্ঠস্বরের মিষ্টতা সহসা চলিয়া যায়</t>
  </si>
  <si>
    <t>অল্পক্ষণের মধ্যেই তাহাদের সেই অপেক্ষার প্রহর শেষ হইলো</t>
  </si>
  <si>
    <t>গল্প করি তোমরা শুনিয়া আমায় চিরবাধিত কর</t>
  </si>
  <si>
    <t>আমার ভাইবোনরা আমার অপরাধের অংশীদার</t>
  </si>
  <si>
    <t>অধরা প্রাণীদের জন্য শিকার তারা প্রখর ইন্দ্রিয় নিয়ে প্রান্তরের মধ্য দিয়ে তাদের শিকারের সন্ধান করেছিল</t>
  </si>
  <si>
    <t>টেকসই তীব্রকরণ কৌশলগুলির লক্ষ্য হল নেতিবাচক পরিবেশগত প্রভাবগুলি কমিয়ে ফলন বৃদ্ধি করা</t>
  </si>
  <si>
    <t>আপনার সম্পর্কগুলিতে বিনিয়োগ করুন প্রিয়জনের সাথে মানসম্পন্ন সময়কে অগ্রাধিকার দিন তারাই সুখের প্রকৃত উৎস</t>
  </si>
  <si>
    <t>আমি তাকে অনেকদিন আগে একটি চিঠি লিখেছিলাম</t>
  </si>
  <si>
    <t>আহার ঠিক হিন্দুমতে হয় নাই</t>
  </si>
  <si>
    <t>আমাকে দেখিয়া রুমি হাসিতে লাগিল</t>
  </si>
  <si>
    <t>দুঃসংবাদের আশঙ্কা করিয়া রাজলক্ষ্মীর বুকটা হঠাৎ কাঁপিয়া উঠিল</t>
  </si>
  <si>
    <t>তাহার নির্লজ্জ ধীরতা মোক্ষদাকে একেবারে খেপাইয়া তুলিল</t>
  </si>
  <si>
    <t>হোয়াইট কলার অপরাধ আর্থিক লাভের জন্য সংঘটিত অহিংস অপরাধ জড়িত</t>
  </si>
  <si>
    <t>আমাদের অনলাইন সম্প্রদায়ে যোগ দিন</t>
  </si>
  <si>
    <t>আপনার পছন্দ তাদের ফলাফলের মালিকানা নিন</t>
  </si>
  <si>
    <t>অজানা রোমাঞ্চ অনেক অ্যাডভেঞ্চারের পিছনে চালিকা শক্তি</t>
  </si>
  <si>
    <t>প্রাতঃরাশ প্যানকেক সঠিক দিন শুরু</t>
  </si>
  <si>
    <t>সে তাহার মনের কথাগুলো আজকে বলিতে চাইয়াছিল</t>
  </si>
  <si>
    <t>শ্মশানে শশীর শ্মশান বৈরাগ্য আসে না</t>
  </si>
  <si>
    <t>একটা প্রচলিত বাংলা প্রবাদের উল্লেখ করিয়া বলিলেন সামান্য কারণে হাতে দুর্গন্ধ করিতে তিনি চান না</t>
  </si>
  <si>
    <t>আমার গৃহের টিন পরিবর্তন করিতে হইবে</t>
  </si>
  <si>
    <t>আমি তার সৌন্দর্য্যে মুগ্ধ হয়েছিলাম</t>
  </si>
  <si>
    <t>আমি তোমার কাছে এসেছিলাম</t>
  </si>
  <si>
    <t>আমি তাকে সেখানে একাকী দাঁড়িয়ে থাকতে দেখেছিলাম</t>
  </si>
  <si>
    <t>সুমন আমাকে বলল যেতে</t>
  </si>
  <si>
    <t>অর্ধেক রাতে তার সতর্ক নিদ্রা মায়ের ডাকে ভেঙে গেল</t>
  </si>
  <si>
    <t>চিনাইবার নিমিত্ত আমি হাসিয়া বন্দুক তুলিলাম</t>
  </si>
  <si>
    <t>ইহা মায়ের দেয়া অর্থ নহে</t>
  </si>
  <si>
    <t>সে তাহাতে আরো একটু নড়িয়াচড়িয়া আসনটি বেশ স্থায়ীরূপে দখল করিয়া লইল</t>
  </si>
  <si>
    <t>শশী বিরক্ত হয় নাই অন্যমনস্ক হইয়া গিয়াছিল</t>
  </si>
  <si>
    <t>সেই অবধি অনেক কাল তথায় বাস করে অদ্যপিও তথায় খাস সাঁওতালেরা বাস করিতেছে পূর্ব্বাপেক্ষা তাহাদের যে কুলক্ষয় হইয়াছে এমত শুনা যায় না</t>
  </si>
  <si>
    <t>দীর্ঘমেয়াদী লক্ষ্য পূরণ করা সন্তুষ্টি নিয়ে আসে</t>
  </si>
  <si>
    <t>ব্যাঙ্ক টেলার গ্রাহকদের জন্য আমানত উত্তোলন প্রক্রিয়া করে</t>
  </si>
  <si>
    <t>আমি সবসময় খুশি থাকতে চাই</t>
  </si>
  <si>
    <t>রুবিনা অনেক খাবার নষ্ট করেছিল</t>
  </si>
  <si>
    <t>ছোটভাইকে প্ৰায় কোলে করেই তিনি বড় করেন</t>
  </si>
  <si>
    <t>আমরা মনে করিনি তোমরা মিছামিছি পথে ঘুরে বেড়াচ্ছিলে</t>
  </si>
  <si>
    <t>শিয়রের কাছে গিয়া বসিল বলিল কষ্ট হচ্চে বৌদি</t>
  </si>
  <si>
    <t>কেন না তাহাতে পলাণ্ডুর আধিক্য ছিল</t>
  </si>
  <si>
    <t>প্রশংসা অতিরিক্ত তুমি প্রশংসা কর না কর বৃদ্ধ বসিয়া তোমায় পুরাতন কথা শুনাবে</t>
  </si>
  <si>
    <t>সে নতুন সব অভিযানে অংশগ্রহণ করতে চায়</t>
  </si>
  <si>
    <t>আমার ভাই মাঠে কাজ করছে</t>
  </si>
  <si>
    <t>আমার প্রতিবেশী সবেমাত্র একটি মোপেড পেয়েছে এটি শহরের চারপাশে জিপ করার জন্য নিখুঁত</t>
  </si>
  <si>
    <t>বেসরকারী নিমণ মাধ্যমিক বিদ্যালয়ঃ টি</t>
  </si>
  <si>
    <t>আমাদের কথা মিম কান পেতে শুনছিল</t>
  </si>
  <si>
    <t>তাহারা আমাকে গল্পের বই দিয়াছিল</t>
  </si>
  <si>
    <t>আমার গৃহে এখন বাজার নাই</t>
  </si>
  <si>
    <t>বৃদ্ধেরা বৃক্ষমূলে উচ্চ মৃন্ময় মঞ্চের উপর জড়বৎ বসিয়া আছে</t>
  </si>
  <si>
    <t>চক্ষের পলকে বেহারী প্রভুর দুই পা চাপিয়া ধরিয়া বলিয়া উঠিল কথা মুখে আনবেন না বাবু</t>
  </si>
  <si>
    <t>সন্ধ্যার পর দেখিলাম শিক্ষক সম্মুখে বালকেরা যে টেবিলে বসিয়া অধ্যয়ন করিতেছে</t>
  </si>
  <si>
    <t>গ্রহবর্মা দেবগুপ্তের হাতে নিহত হন</t>
  </si>
  <si>
    <t>তুমি কি ঘুমাতে যাচ্ছো</t>
  </si>
  <si>
    <t>ডিপ ব্রেন স্টিমুলেশন ডিবিএস হল একটি অস্ত্রোপচার পদ্ধতি যা পারকিনসন্স রোগের উপসর্গ অন্যান্য আন্দোলনের ব্যাধিগুলির চিকিত্সার জন্য ব্যবহৃত হয়</t>
  </si>
  <si>
    <t>সারাদিন কাজের পর রাতের প্রচণ্ড ক্লান্তিও কখনও আমাকে দমাতে পারেনি</t>
  </si>
  <si>
    <t>কোইনসিডেন্স বর্তনী উদ্ভাবনের জন্য তারা এই পুরস্কার লাভ করেছিলেন</t>
  </si>
  <si>
    <t>বাকিসব গতকল্য মোতাবেক সঠিক রহিয়াছে</t>
  </si>
  <si>
    <t>সুতরাং নিত্য প্রাতে বিস্তর মৌমাছি আসিয়া গোল বাধাইত</t>
  </si>
  <si>
    <t>সাফি আমাকে স্কুলে নিয়া গিয়াছিল</t>
  </si>
  <si>
    <t>তাহার সমস্ত মন যেন কোন আপরিচিতের ক্লেদাক্ত বাহুপাশ হইতে অকস্মাৎ মুক্তি</t>
  </si>
  <si>
    <t>যাহাই হউক আগামী বারে সতর্ক হইব</t>
  </si>
  <si>
    <t>তার জীবন কেটেছে কুপি চাঁদের আলোর আশপাশে</t>
  </si>
  <si>
    <t>একটি একা নেকড়ে দূর থেকে চিৎকার করে তার শোকাবহ কান্না সারা রাত ধরে প্রতিধ্বনিত হয়</t>
  </si>
  <si>
    <t>এটি ডি ত্রিমাত্রিক বিজ্ঞান কল্পকাহিনী ভয়ের ছবি প্যারাসাইট</t>
  </si>
  <si>
    <t>নিয়ন্ত্রক সম্মতি নৈতিক ব্যবসা অনুশীলন নিশ্চিত করে</t>
  </si>
  <si>
    <t>এ কথা সত্য হয় তাঁহারা স্বচ্ছন্দে বলুন সাধুভাষা গোল্লায় যাক</t>
  </si>
  <si>
    <t>যুবা অগ্রে আমি পশ্চাতে</t>
  </si>
  <si>
    <t>কত বছর আজ সে কুসুমের এমনি পাগলামি দেখিতেছে</t>
  </si>
  <si>
    <t>আমি মিনির অমূলক ভয় ভাঙাইয়া দিবার অভিপ্রায়ে তাহাকে অন্তঃপুর হইতে ডাকাইয়া আনিলাম</t>
  </si>
  <si>
    <t>অতিশয় পরিশ্রমী বলিয়া গৃহকার্য্য কৃষিকার্য্য সকল কার্য্যই তাহারা করে</t>
  </si>
  <si>
    <t>লেনদেনের ফি আমার প্রত্যাশার চেয়ে বেশি ছিল</t>
  </si>
  <si>
    <t>আমি অত্যন্ত সাহায্যের প্রয়োজন যে কেউ এই পরিষেবা সুপারিশ করবে</t>
  </si>
  <si>
    <t>আমাদের বাসার রঙ সব আমরাই করি</t>
  </si>
  <si>
    <t>হেপাটাইটিস হল লিভারের প্রদাহ প্রায়ই ভাইরাল সংক্রমণ বা অতিরিক্ত অ্যালকোহল সেবনের কারণে হয়</t>
  </si>
  <si>
    <t>পারকিনসন রোগ একটি প্রগতিশীল স্নায়ুতন্ত্রের ব্যাধি যা নড়াচড়া সমন্বয়কে প্রভাবিত করে</t>
  </si>
  <si>
    <t>অপরিচয় হইতে পরিচয়ের পথ অতি দীর্ঘ</t>
  </si>
  <si>
    <t>অনেকক্ষণ চলিয়া গেলেও সতীশ তেমনিভাবে বসিয়া রহিল</t>
  </si>
  <si>
    <t>সে বাঁশি যেন আমার বুকের পঞ্জরের হাড়ের মধ্য হইতে কাঁদিয়া কাঁদিয়া বাজিয়া উঠিতেছে</t>
  </si>
  <si>
    <t>এমন অবস্থায় মাতৃভবন ছাড়া কোনা অপরিচিত স্থান বালকের পক্ষে নরক</t>
  </si>
  <si>
    <t>রশিদ রহিম গল্প পড়তেছে</t>
  </si>
  <si>
    <t>ট্যাঙ্গি ভিনাইগ্রেটস সালাদ অভিজ্ঞতা বাড়ায়</t>
  </si>
  <si>
    <t>আমার ফোনে ব্রেকিং নিউজ সতর্কতা আমাকে সারা দিন আপডেট রাখে</t>
  </si>
  <si>
    <t>ইলিশের বাড়ি চাঁদপুর খুব দ্রুতই যাবো</t>
  </si>
  <si>
    <t>আমার দাদা দাদির গল্পগুলো অতীতের জানালার মতো</t>
  </si>
  <si>
    <t>অনবরত কুমারের আত্মীয় বন্ধুকে গালি দিতে থাকে</t>
  </si>
  <si>
    <t>ডাক্তার হাসির ভান করিয়া বলিলেন আপনি কেন কিরণ</t>
  </si>
  <si>
    <t>এই সময়ে সে কোনো সহৃদয় ব্যক্তির নিকট হইতে স্নেহ কিংবা সখ্য লাভ করিতে পারে তাহার নিকট আত্মবিক্রীত হইয়া থাকে</t>
  </si>
  <si>
    <t>আমার ঘরে ত ভদ্রলোককে বসানো যায় না তাই তোর ঘরে বসিয়েছি</t>
  </si>
  <si>
    <t>রুমালটি বিছানার উপর পড়িয়া আছ</t>
  </si>
  <si>
    <t>নিজেকে এমন লোকেদের সাথে ঘিরে রাখুন যারা আপনাকে উন্নতি সমর্থন করে বিষাক্ত সম্পর্ক ছেড়ে দিন</t>
  </si>
  <si>
    <t>সালে তার এই কাপ জিতেছে</t>
  </si>
  <si>
    <t>আমার চাচাতো ভাই খুব বুদ্ধিমান</t>
  </si>
  <si>
    <t>আর্থিক ব্যবস্থাপনার কৌশল সম্পদ বরাদ্দ অপ্টিমাইজ করে</t>
  </si>
  <si>
    <t>হঠাৎ একদিন তারা দেখল একটু দূরেই চমৎকার এক দ্বীপ</t>
  </si>
  <si>
    <t>রিতু তাহাকে দিয়া কাজটি করাইয়া লইয়াছে</t>
  </si>
  <si>
    <t>এক রাত্রে তার আশ্চর্য্য পরিবর্ত্তন হইয়া গিয়াছে</t>
  </si>
  <si>
    <t>তিনি হয়তো আপনার জন্য ভাবিয়া মরিতেছেন</t>
  </si>
  <si>
    <t>বৈকল্যে তাঁহার কাছে গণিত ধাতস্থ করিবে</t>
  </si>
  <si>
    <t>উপাদানগুলির বিরুদ্ধে দৌড়ে তারা তাদের পথের সমস্ত কিছুকে গ্রাস করার হুমকি দিয়ে জ্বলন্ত দাবানলের বিরুদ্ধে লড়াই করেছিল</t>
  </si>
  <si>
    <t>অ্যালার্জির কারণে হাঁচি চুলকানি নাক দিয়ে পানি পড়ার মতো উপসর্গ দেখা দিতে পারে</t>
  </si>
  <si>
    <t>তাদের কাছে আমাকে যেতে বলেছিল</t>
  </si>
  <si>
    <t>চারপাশে ভালবাসা ভাগ করুন</t>
  </si>
  <si>
    <t>আমি অসহায়ভাবে বসতে গিয়ে হঠাৎ বুঝতে পারলাম সে আমাকে সম্মোহন করার চেষ্টা করছিল</t>
  </si>
  <si>
    <t>পশ্চাতে কতকগুলি স্ত্রীলোক তাহাকে সাধিতে সাধিতে সঙ্গে যাইতেছে</t>
  </si>
  <si>
    <t>তুমি কি তাহাদের সঙ্গে কথা বলিয়াছো</t>
  </si>
  <si>
    <t>তার গানের শব্দগুলো অত্যন্ত সুন্দর。</t>
  </si>
  <si>
    <t>তাহাতে তাঁহার ললাটের বার্ধক্যরেখা গভীরতর অঙ্কিত হওয়া ছাড়া কোনো ফল হয় নাই</t>
  </si>
  <si>
    <t>যাহা লইয়া ইহাদের সংসার চলে সেটা দেবত্র সম্পত্তি</t>
  </si>
  <si>
    <t>আমি তোমাকে ওখানে দেখেছিলাম</t>
  </si>
  <si>
    <t>নিজের জীবন কে সবাই গুছাতে পারে না</t>
  </si>
  <si>
    <t>সোমা আমার কাছে বই চেয়েছিল</t>
  </si>
  <si>
    <t>গ্যাস্ট্রোইসোফেজিয়াল রিফ্লাক্স ডিজিজ দীর্ঘস্থায়ী অবস্থা যেখানে পাকস্থলীর অ্যাসিড খাদ্যনালীতে ফিরে যায় যার ফলে অম্বল জ্বালা হয়</t>
  </si>
  <si>
    <t>সুমি শরীফকে এটা করতে বলেছে</t>
  </si>
  <si>
    <t>সুমি ভাত খাইবে কথা বলিবে</t>
  </si>
  <si>
    <t>শেষ প্রাঙ্গণে একখানি বৃহৎ প্রস্তরে হাত দিয়া বলিল</t>
  </si>
  <si>
    <t>এই কবরস্থানটি ঐতিহাসিকভাবে গুরুত্বপূর্ণ</t>
  </si>
  <si>
    <t>বয়সকালেই মানুষ ছোটখাটো ভুল করতে থাকে</t>
  </si>
  <si>
    <t>সালে তিনি জাতীয় পুরস্কারে ভূষিত হন</t>
  </si>
  <si>
    <t>এর ছয়জন শিক্ষার্থী টুরিং পুরস্কার অর্জন করেছেন</t>
  </si>
  <si>
    <t>এমন কাউকে ট্যাগ করুন যার হাসি দরকার</t>
  </si>
  <si>
    <t>কোথা দিয়া কেমন করিয়া যাইতে হয় বুঝাইয়া বলিতে বলিতে পথ চলিতে লাগিল</t>
  </si>
  <si>
    <t>গোবর্ধনের মনে ভয় ছিল তাহাকে নৌকায় পাহারা রাখিয়া শশী হয়তো নিজেই গ্রামে যাইতে চাইবে</t>
  </si>
  <si>
    <t>খন আমার বোধ হইল যেন মর্ত্ত্যে মেঘ করিয়াছে</t>
  </si>
  <si>
    <t>বলিল সাবধানে পা ফেলে চলো নিতাই আস্তে পা ফেলে চলো</t>
  </si>
  <si>
    <t>সে আমাকে সঠিক উত্তরটি বলিতে পারেনি</t>
  </si>
  <si>
    <t>তিনি থাকেন বাসাবো নামের একটা জায়গায়</t>
  </si>
  <si>
    <t>সাহিত্য পড়া আমার অবসরকে সমৃদ্ধ করে</t>
  </si>
  <si>
    <t>এমনকি পুরুষদের প্রতিও যৌন আকর্ষণ বোধ করতেন শেকসপিয়র</t>
  </si>
  <si>
    <t>এটি ব্যক্তিগত বৃদ্ধি স্ব আবিষ্কারকে উৎসাহিত করে</t>
  </si>
  <si>
    <t>লেনদেনটি সম্ভাব্য অর্থ পাচারের জন্য চিহ্নিত করা হয়েছিল</t>
  </si>
  <si>
    <t>তেইশ বছরের বাজা মেয়ে গায়ে তাহার জোর কম নয়</t>
  </si>
  <si>
    <t>তারপর রান্নাঘর হইতে বাহির হইয়া কুসুম কোথায় যায় কে বলিবে</t>
  </si>
  <si>
    <t>আমি সাজুকে গৃহে খাইতে বলিয়াছিলাম</t>
  </si>
  <si>
    <t>বাহির হইয়া আমার মেজ ভাইকে ধরতেই তাহার কাছে অত্যন্ত সুখের বিষয়টি জানিলাম</t>
  </si>
  <si>
    <t>অপরদিকে এটি বিশাল অক্ষম জনগোষ্ঠীর ন্যূনতম জীবন ধারণে সহায়তা করছে</t>
  </si>
  <si>
    <t>আপনার সাফল্য উদযাপন করুন তা যতই ছোট হোক না কেন</t>
  </si>
  <si>
    <t>স্থানীয় ব্যবসাকে সমর্থন করার জন্য রিটুইট করুন</t>
  </si>
  <si>
    <t>নেহা আমার ঘরেতে এসেছিল</t>
  </si>
  <si>
    <t>একজন অপরিচিত ব্যক্তির কাছ থেকে অপ্রত্যাশিত দয়া পাওয়া মানবতার প্রতি আমার বিশ্বাস পুনরুদ্ধার করে</t>
  </si>
  <si>
    <t>খাতক হিসাব জানে না এক হইতে দশ গণনা করিতে পারে না</t>
  </si>
  <si>
    <t>যুবার সঙ্গে কতক দূর গেলে সে আমায় বলিল বাঘটি আমি স্বহস্তে মারিব</t>
  </si>
  <si>
    <t>আমি তাহার বাসায় যাইয়ে চাইয়াছিলাম বৃষ্টির জন্য যাইতে পারিনি</t>
  </si>
  <si>
    <t>তাহাকে পাইতেও চাহি না আমাকে সে এমন করিয়া অপমান করিল কেন পাইতেও চাহি না আমাকে সে এমন করিয়া অপমান করিল কেন</t>
  </si>
  <si>
    <t>ছেলেরা জানিতে পারিল সকলে আসিয়া কাঁদিয়া পড়িল</t>
  </si>
  <si>
    <t>এটি প্রতি বছর অক্টোবর তারিখে পালিত হয়</t>
  </si>
  <si>
    <t>কৃষি জৈবপ্রযুক্তি জিনগতভাবে পরিবর্তিত জীব সম্পর্কিত নৈতিক উদ্বেগ উত্থাপন করে</t>
  </si>
  <si>
    <t>সূক্ষ্ম পেস্ট্রি বিশেষ অনুষ্ঠানে মিষ্টি করে</t>
  </si>
  <si>
    <t>শামসউদ্দীনের সংবাদপত্র বিতরণ এজেন্সিই ছিল শহরের একমাত্র সংবাদপত্র বিতরণ সংস্থা</t>
  </si>
  <si>
    <t>পোর্তো তাদের তম সুপার লিগা খেতাব অর্জন করে</t>
  </si>
  <si>
    <t>এত কাছেও হারুর মুখ ঝাপসা হইয়া যায়</t>
  </si>
  <si>
    <t>সুতরাং কতক দূর গিয়া পিছাইলাম</t>
  </si>
  <si>
    <t>তিনি হাসিলেন কিছু কহিলেন না</t>
  </si>
  <si>
    <t>আমি তাহা পূর্ব্বে লক্ষ্য করি নাই লক্ষ্য করিবার কারণ পরে ঘটিয়াছিল</t>
  </si>
  <si>
    <t>বরং অতি কুৎসিত বলিয়া বোধ করিয়াছি</t>
  </si>
  <si>
    <t>রফিক নতুন বই কিনতে গিয়েছিল</t>
  </si>
  <si>
    <t>সালের এফএ কাপের ফাইনালে পরাজিত হওয়ার পর ক্লাবের অধঃপতন ঘটে</t>
  </si>
  <si>
    <t>আমি উঠলে মা আমাকে গোসল করিয়ে দিতেন</t>
  </si>
  <si>
    <t>কর্কশ ভাষায় তিনি বারোজন বলশেভিক খুনী ধর্ষণকারীর বর্ণনা দেন</t>
  </si>
  <si>
    <t>কৃষিবিদ্যা কৃষিতে জীব তাদের পরিবেশের মধ্যে মিথস্ক্রিয়া অধ্যয়ন করে</t>
  </si>
  <si>
    <t>আমাদের দেশী মদ একবার বিলাতে পাঠাইতে পারিলে জন্ম সার্থক হয়</t>
  </si>
  <si>
    <t>তাই তো সন্দেহ করি নহ ঠিক খাঁটি</t>
  </si>
  <si>
    <t>শাকিব আমার নিকট আসিয়াছিল বই লইতে</t>
  </si>
  <si>
    <t>বর কনে দেখিবার নিমিত্ত পাল্কীর ভিতর দৃষ্টিপাত করে</t>
  </si>
  <si>
    <t>শশীর কাছে একবার শুনিল</t>
  </si>
  <si>
    <t>ব্যর্থতার অভিজ্ঞতা আমাকে মূল্যবান পাঠ শেখায়</t>
  </si>
  <si>
    <t>তার ক্রুদ্ধ কণ্ঠস্বর শুনে মেয়েটি ভয়ে কেঁপে উঠেছিল</t>
  </si>
  <si>
    <t>মৃত্যু পরবর্তীকালে সালে হরিনাথ গ্রন্থাবলী প্রকাশিত হয়</t>
  </si>
  <si>
    <t>আইসল্যান্ডের মানুষের পূর্ণ ধর্মীয় স্বাধীনতা আছে</t>
  </si>
  <si>
    <t>গোপীরা এত বার এই কথা রাধিকাকে বলিয়াছে যে কুঞ্জ পক্ষীরা তাহা শিখিয়াছিল</t>
  </si>
  <si>
    <t>বাঘের পরিচয় ত ভাল লাগে না</t>
  </si>
  <si>
    <t>সুমন আমাকে বলিল যাইতে</t>
  </si>
  <si>
    <t>তিবাসীরা পরশ্রীকাতর দাম্ভিক কলহপ্রিয় লোভী কৃপণ বঞ্চক</t>
  </si>
  <si>
    <t>আমাকে দেখিয়া শাওন খেলিতে ডাকিলো</t>
  </si>
  <si>
    <t>ভয়ের মুখোমুখি হওয়া ক্ষমতায়নের অনুভূতি নিয়ে আসে</t>
  </si>
  <si>
    <t>শিক্ষাগত মনোবিজ্ঞান শিক্ষার্থীদের জ্ঞানীয় প্রক্রিয়াগুলি অন্বেষণ করে</t>
  </si>
  <si>
    <t>ইতিবাচক ভাইবের জন্য রিটুইট করুন</t>
  </si>
  <si>
    <t>ট্যাক্সি ড্রাইভার যানজট এড়াতে একটি শর্টকাট নিল এটা আমাদের সময় বাঁচিয়েছে</t>
  </si>
  <si>
    <t>জ্বলপথে প্রথম যুদ্ধে ইবরাহিম লোদির বিরুদ্ধে বাবরের জয়ের মাধ্যমে মুঘল সাম্রাজ্যের সূচনা ঘটে</t>
  </si>
  <si>
    <t>শফিক আমার নিকটে আসিয়া সব বলিল</t>
  </si>
  <si>
    <t>আমি কহিলাম কাগজের দিস্তা কত</t>
  </si>
  <si>
    <t>হাদিসের কথা সর্বদা উত্তম কথা</t>
  </si>
  <si>
    <t>যিনি আমার বিশেষ আত্মীয় কেবল তিনিই আমাকে ডাকিতে পারেন</t>
  </si>
  <si>
    <t>লামার মতই আরেক প্রাণী আলপাকা</t>
  </si>
  <si>
    <t>লাইফগার্ড সমুদ্র সৈকতে সাঁতারুদের উপর নজর রাখত</t>
  </si>
  <si>
    <t>ডাক্তার রোগীর লক্ষণগুলি যত্ন সহকারে পরীক্ষা করেন</t>
  </si>
  <si>
    <t>বাবার সাথে মাছ সংগ্রহ করতে করতে সে হাপিয়ে উঠেছিল</t>
  </si>
  <si>
    <t>পণ্যটি বর্ণিত হিসাবে পৌঁছেছে আমি আমার ক্রয়ের সাথে সন্তুষ্ট</t>
  </si>
  <si>
    <t>সে আমাকে একটি সুন্দর পাখি দেখাইয়াছিল</t>
  </si>
  <si>
    <t>স্কুল শেষে বাড়িতে ফিরিতে হইবে</t>
  </si>
  <si>
    <t>অদ্য প্রত্যুষ্যেই আমি পড়িতে বসিয়া ছিলাম</t>
  </si>
  <si>
    <t>সংসারে সাধু অসাধুর মধ্যে প্রভেদ এই যে সাধুরা কপট অসাধুরা অকপট</t>
  </si>
  <si>
    <t>আমি তাকে তার পরীক্ষার ফলাফল জিজ্ঞেস করেছিলাম</t>
  </si>
  <si>
    <t>পেত্রা নগরী ছিল অত্যন্ত সুরক্ষিত অর্থনৈতিকভাবে সমৃদ্ধ</t>
  </si>
  <si>
    <t>গতিশীলতার জন্য নমনীয়তা ব্যায়াম অন্তর্ভুক্ত করুন</t>
  </si>
  <si>
    <t>পরবর্তী এক ঘন্টা ধরে আমি রামেশ্বরামের বাড়িতে বাড়িতে সংবাদপত্র বিলি করতে থাকতাম</t>
  </si>
  <si>
    <t>টেকসই নিবিড়করণের লক্ষ্য পরিবেশগত প্রভাব কমিয়ে কৃষি উৎপাদনশীলতা বৃদ্ধি করা</t>
  </si>
  <si>
    <t>সুজন আমাকে ফুটবল খেলিতে বলিল</t>
  </si>
  <si>
    <t>বাড়িতে ফিরিয়া আসিয়া দেখি সেই আধুলিটি লইয়া ষোলো আনা গোলযোগ বাধিয়া গেছে</t>
  </si>
  <si>
    <t>বিবাহের বিশেষ সম্ভাবনা দেখা যায় না</t>
  </si>
  <si>
    <t>আমি ভাত খাইয়া কাজে যাইবো</t>
  </si>
  <si>
    <t>বরপক্ষ হইতে দশ হাজার টাকা পণ বহুল দানসামগ্রী চাহিয়া বসিল</t>
  </si>
  <si>
    <t>কারণ সমর্থন করার জন্য পুনঃটুইট করুন</t>
  </si>
  <si>
    <t>তারা অজ্বর পানি দিত</t>
  </si>
  <si>
    <t>কোম্পানী আমার অনুসন্ধানে কত দ্রুত সাড়া দিয়েছে তা দেখে আমি মুগ্ধ হয়েছি</t>
  </si>
  <si>
    <t>ক্রেডিট কার্ডগুলি খরচ পরিচালনার জন্য দরকারী টুল হতে পারে তাদের দায়িত্বের সাথে ব্যবহার করা গুরুত্বপূর্ণ</t>
  </si>
  <si>
    <t>টিনটিন বুঝতে পারে ফেরত আসা মুর্তিটি নকল</t>
  </si>
  <si>
    <t>সে হঠাৎ স্পষ্ট বুঝিতে পারিল তাহার মেয়েটিও ইতিমধ্যে এইরূপ বড়ো হইয়াছে তাহার সঙ্গেও আবার নূতন আলাপ করিতে হইবে</t>
  </si>
  <si>
    <t>আমি তাহাকে একটি দায়িত্ব দিয়াছিলাম</t>
  </si>
  <si>
    <t>আমি সকালে তাহার জন্য চা বানাইয়া ছিলাম</t>
  </si>
  <si>
    <t>আমি ঈদের জন্য টাকা জমা করিলাম</t>
  </si>
  <si>
    <t>সে বয়সে বৃদ্ধকে সুন্দর দেখা ধর্ম্মসঙ্গত নহে</t>
  </si>
  <si>
    <t>অভ্যন্তরীণ শান্তি অর্জন শান্তির অনুভূতি নিয়ে আসে</t>
  </si>
  <si>
    <t>সে তার জীবনের প্রতিটি মুহূর্ত সুন্দরভাবে উপভোগ করে</t>
  </si>
  <si>
    <t>সেচের সময়সূচী গাছের যখন সবচেয়ে বেশি প্রয়োজন তখন জল প্রয়োগ করে জল ব্যবহারের দক্ষতাকে অপ্টিমাইজ করে</t>
  </si>
  <si>
    <t>ডিলানের শ্রেষ্ঠ কাজের মধ্যে অনেকগুলো দশকে রচিত হয়েছে</t>
  </si>
  <si>
    <t>আগে আমার কথা শোন তারপর যা খুশী বলো</t>
  </si>
  <si>
    <t>মৃত্যুর সান্নিধ্য এইভাবে এইদিক দিয়া শশীকে ব্যথিত করে</t>
  </si>
  <si>
    <t>আমার বড় ভ্রাতা সুমন</t>
  </si>
  <si>
    <t>সে আকাশের দিকে তাকাইয়া বলিল কী সুন্দর বৃষ্টি হইতেছে</t>
  </si>
  <si>
    <t>ফাতেমা পরীক্ষায় ভালো ফলাফল করেছিল</t>
  </si>
  <si>
    <t>আমি তোমার সাথে খেলতে গিয়েছিলাম</t>
  </si>
  <si>
    <t>তাদের গাছের সব পাতা ঝরে গিয়েছে</t>
  </si>
  <si>
    <t>কৃষি পরিবেশগত নীতিগুলি জীববৈচিত্র্য মাটির স্বাস্থ্য কৃষি ব্যবস্থায় স্থিতিস্থাপকতাকে উন্নীত করে</t>
  </si>
  <si>
    <t>সাইনোসাইটিস হল সাইনাসের প্রদাহ যা মুখের ব্যথা ভিড়ের মতো উপসর্গ সৃষ্টি করে</t>
  </si>
  <si>
    <t>দেখিল দামিনী তার চুল এলাইয়া দিয়া মাটিতে উপুড় হইয়া পড়িয়া মেজের উপর মাথা ঠুকিতেছে</t>
  </si>
  <si>
    <t>কুমারীকে বুকে করিয়া যুবা অমনি ছুটিল</t>
  </si>
  <si>
    <t>শুনিতেছি গণনায় বঙ্গবাসীদের সংখ্যা বাড়িতেছে বড়ই ভাল</t>
  </si>
  <si>
    <t>শ্বেতকায় জাতির সংস্পর্শে তাহাদের ত কুলবৃদ্ধির ব্যাঘাত হয় না</t>
  </si>
  <si>
    <t>রনি অদ্য মাঠে আসিবে না</t>
  </si>
  <si>
    <t>ট্রেন স্টেশনে না থেমেই সাবলীল গতিতে এগিয়ে যেত</t>
  </si>
  <si>
    <t>সহনশীলতার জন্য শক্তি প্রশিক্ষণ অন্তর্ভুক্ত করুন</t>
  </si>
  <si>
    <t>সে আমাকে একটি ভালো খবর দিয়েছিল</t>
  </si>
  <si>
    <t>পশুসম্পদ পুষ্টির মধ্যে রয়েছে পশুর সর্বোত্তম বৃদ্ধি স্বাস্থ্যের জন্য খাদ্য উপাদানের ভারসাম্য</t>
  </si>
  <si>
    <t>তুমি কি আমার ভাইকে চিনতে পেরেছ</t>
  </si>
  <si>
    <t>কতখানি সে সহ্য করবে কখন রাগিয়া উঠিবে আজ পর্যন্ত তাহা ঠিকমতো বুঝিতে না পারিয়া সকলে একটু বিপদগ্রস্ত হইয়া থাকে</t>
  </si>
  <si>
    <t>সে যে কিছুতেই রাজি হইবে তা বোধ হয় না</t>
  </si>
  <si>
    <t>অনেক কাজ আছে আমার বলিয়াই উপেন্দ্র সতীশের মাঝখান দিয়া দ্রুতপদে নীচে নামিয়া গেল</t>
  </si>
  <si>
    <t>সুভ আমাকে তাহার গৃহে ডাকিল</t>
  </si>
  <si>
    <t>মনুষ্যের মৃত্যু আছে জাতিরও লোপ আছে</t>
  </si>
  <si>
    <t>এই প্রযুক্তি এক কথায় অসাধারণ</t>
  </si>
  <si>
    <t>রাত্রির প্রহর শেষে তারা বাড়ি ফিরে এসেছিল。</t>
  </si>
  <si>
    <t>ব্যায়াম করার জন্য সাইকেল চালান</t>
  </si>
  <si>
    <t>যারা গুছাতে পারছে তারাই সফল হয়েছে</t>
  </si>
  <si>
    <t>হুইপড ক্রিম একটি ডলপ সন্তুষ্ট</t>
  </si>
  <si>
    <t>রহিম আমার কথা শুনিতে পারিতেছিল</t>
  </si>
  <si>
    <t>সঙ্গোপনে ক্যান্সার ব্যধির ভারখানা নতুন করিয়া ঠিকই বড় ভাইয়ের শরীরে চরাইয়া দিয়া ভার শতগুণ বাড়াইয়া দিল আরও</t>
  </si>
  <si>
    <t>আমি তার সাথে বসে কিছুক্ষণ গল্প করেছিলাম。</t>
  </si>
  <si>
    <t>তাহার পরই ঋষিকে ওকালতির পরীক্ষা দিতে হইবে নতুবা ডেপুটি মেজিষ্ট্রেটীর দরখাস্ত করিতে হইবে</t>
  </si>
  <si>
    <t>এরপর গরুড় নিজেই বিষ্ণুকে বর দিতে ইচ্ছা করেন</t>
  </si>
  <si>
    <t>সালে তিনি পিতা মৃত্যুবরন করেন</t>
  </si>
  <si>
    <t>না কি আগের মিছিলটাই ঘুরে এসেছে ইরতাজউদ্দিন মিছিলের সঙ্গে হাঁটতে শুরু করলেন</t>
  </si>
  <si>
    <t>নিজেকে আপনার প্রবৃত্তি বিশ্বাস আপনি জানেন কি আপনার জন্য সেরা</t>
  </si>
  <si>
    <t>মতির জ্বর কমে নাই</t>
  </si>
  <si>
    <t>আমি সুজনকে গৃহ হইতে বাহির হইতে দেখিয়াছি</t>
  </si>
  <si>
    <t>তাহাদের চোখের পানে চাহিলেই বুঝা যায় তাহার হয় ভাঙ না হয় গাঁজা না হয় দুই ই সেবন করিয়াছে</t>
  </si>
  <si>
    <t>ওর মা বাপ নেই বাড়ি ঘর নেই এক কথায় কিছুই নেই যে</t>
  </si>
  <si>
    <t>এক্ষণে আমি নিজে বৃদ্ধ কাজেই প্রায় বৃদ্ধকে সুন্দর দেখি</t>
  </si>
  <si>
    <t>এই শোতে ক্রোকোডাইল হাণ্টার বিগ স্টিভ উইন অন্তর্ভুক্ত করা হয়</t>
  </si>
  <si>
    <t>ব্রিটিশ সরকার অনেক ধরনের নিত্যপ্রয়োজনীয় পণ্যদ্রব্যের ওপর স্যাংশন জারি করল</t>
  </si>
  <si>
    <t>নদীর পাড় ভেঙ্গে যেতে লাগলো</t>
  </si>
  <si>
    <t>লারা তাঁর দল সেটি উদ্ধার করে</t>
  </si>
  <si>
    <t>বাড়ির লোকে তাহার অনুপস্থিতি টের পায় পোড়া গন্ধে</t>
  </si>
  <si>
    <t>প্রতিদিন বিকেলে সে মাঠে খেলতে যায়。</t>
  </si>
  <si>
    <t>কখনো ফল পাইয়াছি কখনো পাই নাই সবই খোদার ইচ্ছা</t>
  </si>
  <si>
    <t>এই কথা হইতে হইতে ক্রমে রতন পোস্টমাস্টারের পায়ের কাছে মাটির উপর বসিয়া পড়িত</t>
  </si>
  <si>
    <t>সচেতনতা উপস্থিতি গড়ে তুলতে মননশীলতার অনুশীলন করুন</t>
  </si>
  <si>
    <t>আদা চা পেট খারাপ করে</t>
  </si>
  <si>
    <t>বিরোধ চ্যানেল এসের আগমনের পর বাংলা টিভির সাথে তাদের বিরোধ বাঁধে</t>
  </si>
  <si>
    <t>বিশেষ করে আমরা যারা দেশের দক্ষিণ প্রান্তে ছিলাম তাদের জীবন সাধারণ নিয়মেই চলছিল</t>
  </si>
  <si>
    <t>আপনার শক্তি পুনরায় পূরণ করতে আপনার আত্মাকে লালন করতে স্ব যত্নকে অগ্রাধিকার দিন</t>
  </si>
  <si>
    <t>তাহাদের বল বীর্য্য নাই</t>
  </si>
  <si>
    <t>ওর কথা আমি একতিল বিশ্বেস করিনে</t>
  </si>
  <si>
    <t>অসুরগণের পক্ষে তাহাই খাটিয়াছিল বোধহয়</t>
  </si>
  <si>
    <t>বলিয়া হাসিতে হাসিতে চলিয়া গেল</t>
  </si>
  <si>
    <t>যোগাযোগ প্রতিষ্ঠা করিবার বড়ই সাধ জাগিলো অন্তরে</t>
  </si>
  <si>
    <t>বাজেটের পূর্বাভাস আর্থিক পরিকল্পনা সিদ্ধান্ত গ্রহণের নির্দেশনা দেয়</t>
  </si>
  <si>
    <t>অপরাধী মন বোঝা একটি জটিল চ্যালেঞ্জিং কাজ</t>
  </si>
  <si>
    <t>আমরা সবাই একসাথে কাজ করব</t>
  </si>
  <si>
    <t>ফলের শরবত গ্রীষ্মের সন্ধ্যাকে সতেজ করে</t>
  </si>
  <si>
    <t>পণ্যের কর্মক্ষমতা অসঙ্গতিপূর্ণ অবিশ্বস্ত ছিল</t>
  </si>
  <si>
    <t>পরদিন ক্লাসের একটা ফাঁকে শচীশ যখন গোলদিঘির ছায়ায় ঘাসের উপর আধ শোওয়া অবস্থায় একটা বই পড়িতেছে</t>
  </si>
  <si>
    <t>বিহারী অনেকক্ষণ অন্ধকারে বসিয়া রহিল</t>
  </si>
  <si>
    <t>সন্ধ্যার পর সে চা খাইতে গিয়াছিল</t>
  </si>
  <si>
    <t>আজ বেলা চারটে হইতে বৃষ্টি বন্ধ আছে মেঘের গতিক ভালো নয়</t>
  </si>
  <si>
    <t>কুসুম আবার বলিল ওলো মতি শুনছিস</t>
  </si>
  <si>
    <t>সুমন আমাকে তার কাছে যেতে বলেছিল</t>
  </si>
  <si>
    <t>রানা রনি মাঠে ফুটবল খেলছে</t>
  </si>
  <si>
    <t>সংবাদপত্র ঐতিহাসিকভাবে জনমত গঠনে গুরুত্বপূর্ণ ভূমিকা পালন করেছে</t>
  </si>
  <si>
    <t>এ নিয়ে মা মুখে কিছু বলতেন না</t>
  </si>
  <si>
    <t>আপনি কথা বলবেন না</t>
  </si>
  <si>
    <t>তাহার পর পড়িয়া গেল</t>
  </si>
  <si>
    <t>কোনো কোনো বাড়ির সামনে কামিনী গন্ধরাজ জবাফুলের বাগান করিবার ক্ষীণ চেষ্টা চোখে পড়ে</t>
  </si>
  <si>
    <t>আমি একটা আলাদা গাড়ি ভাড়া করিয়া যাই</t>
  </si>
  <si>
    <t>রানা রনি গাড়িতে চরিয়া বেড়াইতে যাইবে</t>
  </si>
  <si>
    <t>করিম ফুটবল খেলিতে আসিয়াছে</t>
  </si>
  <si>
    <t>সুজনের মা তাদের ঘরে কাজ করেছিল</t>
  </si>
  <si>
    <t>স্বাভাবিকভাবেই মানুষজনের মধ্যে মাঝেমাঝে ঝগড়া বিবাদ হতো</t>
  </si>
  <si>
    <t>যখন আমি আমার প্রচেষ্টার জন্য প্রশংসা করি আমি বৈধ বোধ করি</t>
  </si>
  <si>
    <t>রবিন আমাকে চোর ধরিয়ে দিয়েছিল</t>
  </si>
  <si>
    <t>আপনার প্রিয় দিয়ে মন্তব্য করুন</t>
  </si>
  <si>
    <t>অন্ধকার মেঘমধ্যে এখনই যাইব এই মনে করিয়া আমার কতই আহ্লাদ হইতে লাগিল</t>
  </si>
  <si>
    <t>রনি রহমানের নিকট গিয়াছিল</t>
  </si>
  <si>
    <t>শিক্ষা কেহ কাহাকে দিতে পারে না</t>
  </si>
  <si>
    <t>কঠোর স্বরে সে আমাকে একটি প্রশ্ন করিয়াছিল আমি উত্তর দিতে ব্যর্থ হইয়াছিলাম</t>
  </si>
  <si>
    <t>ফটিক তাহার মামাকে অস্থির করিয়া তুলিল উৎসাহে তাহার রাত্রে নিদ্রা হয় না</t>
  </si>
  <si>
    <t>তাদের মুখোমুখি হওয়া চ্যালেঞ্জ সত্ত্বেও সংবাদপত্র আজকের সমাজে তথ্য বিশ্লেষণের একটি গুরুত্বপূর্ণ উৎস</t>
  </si>
  <si>
    <t>প্রয়োজনে কারও কাছে পৌঁছানো সহানুভূতি বাড়ায়</t>
  </si>
  <si>
    <t>আমি লেনদেনের সাথে জড়িত অন্য পক্ষ থেকে নিশ্চিতকরণের জন্য অপেক্ষা করছি৷</t>
  </si>
  <si>
    <t>স্টক মার্কেটে বিনিয়োগ প্রথাগত সঞ্চয় অ্যাকাউন্টের তুলনায় উচ্চ রিটার্ন প্রদান করতে পারে</t>
  </si>
  <si>
    <t>আমার দাদা দাদির প্রেমের গল্প অনুপ্রেরণাদায়ক</t>
  </si>
  <si>
    <t>গাড়ির স্রোত আপিসের দিকে বেগে ছুটিতে লাগিল</t>
  </si>
  <si>
    <t>সুজন ইহা দেখিয়া বসিয়া পরিল</t>
  </si>
  <si>
    <t>যাওয়ার প্রস্তাব নিজে করিয়া দাঁড়াইয়া থাকাও শক্ত হইয়া পড়িল</t>
  </si>
  <si>
    <t>যাহার ভাগ্যে কঠিন পাষাণ পাষাণই তাহার অবলম্বন</t>
  </si>
  <si>
    <t>জীবনের এই ক্ষতি প্রতিকারহীন</t>
  </si>
  <si>
    <t>ডাইভার্টিকুলাইটিস হল ছোট থলির প্রদাহ বা সংক্রমণ যা পরিপাকতন্ত্রে তৈরি হয় যার ফলে পেটে ব্যথা জ্বর হয়</t>
  </si>
  <si>
    <t>আজকের এটা খুব ভালো লেগেছে</t>
  </si>
  <si>
    <t>ভুলে যাওয়া দ্বীপগুলি অন্বেষণ করে তারা সময়ের কাছে হারিয়ে যাওয়া সভ্যতার ধ্বংসাবশেষে হোঁচট খেয়েছিল</t>
  </si>
  <si>
    <t>সে ভেতরে একটা চাপা আর্তনাদ শুনতে পেলো শিশুর কান্না</t>
  </si>
  <si>
    <t>লেনদেনের পরিমাণ আমার দৈনিক ব্যয়ের সীমা ছাড়িয়ে গেছে</t>
  </si>
  <si>
    <t>রহিমের কথা মত আমি অগ্রসর হইয়াছিলাম</t>
  </si>
  <si>
    <t>বিস্মিত মানুষ হাই তুলতে পারে না</t>
  </si>
  <si>
    <t>তাদের খেলা করিবার দৃশ্য সত্যিই মনো মুগ্ধকর</t>
  </si>
  <si>
    <t>তুমি কি তাহাদের চিনিবে</t>
  </si>
  <si>
    <t>শুধু গন্তব্য নয় যাত্রায় আনন্দ খুঁজুন</t>
  </si>
  <si>
    <t>বাদামের গ্রানোলা সকালের নাস্তার বাটি বাড়ায়</t>
  </si>
  <si>
    <t>তুমি কি তাদের সাথে খেলেছিলে</t>
  </si>
  <si>
    <t>বর্তমানে কাবাডি আন্তর্জাতিক ভাবেও খেলা হয়</t>
  </si>
  <si>
    <t>গ্রীষ্মকালে পানির অভাব খুবই বেশি থাকে</t>
  </si>
  <si>
    <t>একটি বালিকা আপন ক্ষুদ্র নাসিকাস্থ অঙ্গুরীবৎ অলঙ্কারের মধ্যে নখ নিমজ্জন করিয়া বলিল হাঁ তুমি সাহেব</t>
  </si>
  <si>
    <t>অন্যজাতীয় মনুষ্য দেখিলে তাহারা পলায়</t>
  </si>
  <si>
    <t>এরূপ লোক অতি অল্প</t>
  </si>
  <si>
    <t>সকালের বাসী ব্যঞ্জন থাকিত রতন তাড়াতাড়ি উনুন ধরাইয়া খানকয়েক রুটি সেঁকিয়া আনিত</t>
  </si>
  <si>
    <t>প্রাণীদের প্রতি সমবেদনা দেখা আমার হৃদয়ে উষ্ণতা নিয়ে আসে</t>
  </si>
  <si>
    <t>তারা রাজগোপালের প্রতিভার উষ্ণ প্রশংসা করতেন</t>
  </si>
  <si>
    <t>গোয়ানাথের স্বপ্ন ছিল নতুন কোন ধরনের মিষ্টি আবিষ্কার করে অমর হয়ে থাকা</t>
  </si>
  <si>
    <t>এই শহর জীবন নিজ রূপ ফিরে পেত পুণ্যারথি পর্যটকদের আগমনে</t>
  </si>
  <si>
    <t>অজানা শহরে যেয়ে তারা যখন ভয় পেল তখন স্নেহমাখা একটি কণ্ঠস্বর বলল তোমাদের এখানে কোন ভয় নেই</t>
  </si>
  <si>
    <t>মামির স্নেহহীন চক্ষে সে যে একটা দুর্গ্রহের মতো প্রতিভাত হইতেছে এইটে ফটিকের সবচেয়ে বাজিত</t>
  </si>
  <si>
    <t>অনেক দিন আনন্দোত্থিত সঙ্গীত শুনি নাই অনেক দিন আনন্দ অনুভব করি নাই</t>
  </si>
  <si>
    <t>জীবনে প্রতিকূলতাকে অতিক্রম করিয়া সে সফলতা অর্জন করিয়াছে</t>
  </si>
  <si>
    <t>আহারান্তে বিশ্রামগৃহে বসিয়া বালকদিগের সহিত গল্প করিতে করিতে বালকদের শয়নঘর দেখিতে উঠিয়া গেলাম</t>
  </si>
  <si>
    <t>লাল মিয়া কিছুখন চুপটি করিয়া তেমন ঠাই বসিয়া রইয়া কহিল</t>
  </si>
  <si>
    <t>সুশি রোলস রন্ধনশিল্প তৈরি করে</t>
  </si>
  <si>
    <t>আফসোস আমার কাছে সার্টিফিকেট নাই</t>
  </si>
  <si>
    <t>যে হারে দ্রব্যমূল্যের ক্রমাগত দাম বাড়ছে সাধারণ জনগণ ঠিকমতো সংসার পরিচালনা করতে পারছে না</t>
  </si>
  <si>
    <t>ধৈর্য অধ্যবসায় অনুশীলন করুন ভাল জিনিস প্রকাশ পেতে সময় লাগে তাই আপনার স্বপ্ন ছেড়ে দেবেন না</t>
  </si>
  <si>
    <t>প্রশান্তি সুখানুভূতি বাড়ানোর পাশাপাশি ঘটায় অন্তর জাগরণ</t>
  </si>
  <si>
    <t>আমরা ঐখানে একসাথে প্রবেশ করিয়াছিলাম</t>
  </si>
  <si>
    <t>সুমি আমি ভ্রমণ করিতে যাইব</t>
  </si>
  <si>
    <t>সজীব আমার কথা সুমন কে বলিয়া দিয়াছে</t>
  </si>
  <si>
    <t>এই তাহার এ জন্মের বন্দোবস্ত</t>
  </si>
  <si>
    <t>রুমা আমাকে তাহার নিকটে বসিতে বলিল</t>
  </si>
  <si>
    <t>বাংলা ভাষায় ইয়ার শব্দের অর্থ বন্ধু</t>
  </si>
  <si>
    <t>পাখিরা সকালে সুন্দর গান গেয়েছিল</t>
  </si>
  <si>
    <t>সুজন আমাদের খাবার দিয়েছিল</t>
  </si>
  <si>
    <t>এক কথায় পাপ মোচন করা</t>
  </si>
  <si>
    <t>সে আমাকে কাজটি সম্পন্ন করার জন্য অনুপ্রেরণা দিয়েছিল</t>
  </si>
  <si>
    <t>সুরবালা এতক্ষণে আলোকের সাহায্যে বেহারী দিবাকরের সঙ্গে উপরে উঠিয়াছিল</t>
  </si>
  <si>
    <t>এই দুনিয়ায় আমার সবচেয়ে আপনজন হলো মা</t>
  </si>
  <si>
    <t>সকলেই আহ্লাদে পরিপূর্ণ আহ্লাদে চঞ্চল যেন তেজঃপুঞ্জ অশ্বের ন্যায় সকলেই দেহবেগ সংযম করিতেছে</t>
  </si>
  <si>
    <t>হারুর মাথায় কাঁচা পাকা চুল বসন্তের দাগভরা রুক্ষ চামড়া ঝলসিয়া পুড়িয়া গেল</t>
  </si>
  <si>
    <t>আমি তাহাকে জিজ্ঞেস করিয়াছিলাম তাহার মা কেমন আছে</t>
  </si>
  <si>
    <t>রুমি সুমার কথা কান পেতে শুনছিল</t>
  </si>
  <si>
    <t>সে মিথ্যা পাপের পথে মানবজাতিকে প্রলুব্ধ করে চলেছে</t>
  </si>
  <si>
    <t>এই মূলত বিশিষ্ট সাইরাস এসআর এর একটি উন্নত সংস্করণ</t>
  </si>
  <si>
    <t>আন্তরিক ক্ষমা চাওয়া পুরানো ক্ষত নিরাময় করতে পারে</t>
  </si>
  <si>
    <t>কার্যকর যোগাযোগ দক্ষতা শিক্ষাগত সেটিংসে গুরুত্বপূর্ণ</t>
  </si>
  <si>
    <t>সে আমার বাড়িতে আসিয়া উপস্থিত হইয়াছিল</t>
  </si>
  <si>
    <t>বলিলাম আমার ধারণা ছিল এ অঞ্চলে রম্ভা জন্মে না</t>
  </si>
  <si>
    <t>তিনি উত্তর করিলেন এখানে বাজারে কলা পাওয়া যায় না</t>
  </si>
  <si>
    <t>আকবর তার ছেলে জাহাঙ্গীরের শাসনামলে ভারতে অর্থনৈতিক প্রগতি বহুদূর অগ্রসর হয়</t>
  </si>
  <si>
    <t>তাহার মনের মধ্যে বাউলের সুরে ঐ গানটা বাজিতে লাগিল</t>
  </si>
  <si>
    <t>মৃত্যুবরণ তিনি সালের ফেব্রুয়ারি ঢাকায় মৃত্যুবরন করেন</t>
  </si>
  <si>
    <t>আরমিন তাকে টি ঘুমের ট্যাবলেট পেইন কিলার প্রচুর অ্যালকোহল দেন</t>
  </si>
  <si>
    <t>তিনি গোল উৎসব করেন তার ট্রেডমার্ক সমারসল্ট নাচের মাধ্যমে</t>
  </si>
  <si>
    <t>তদুপরি ফলনও ভাল</t>
  </si>
  <si>
    <t>এদের বিস্ময় যেমন মেকি হাইটাও তেমনি মেকি</t>
  </si>
  <si>
    <t>এখন রহিম গৃহে ঘুমাইতে যাইবে</t>
  </si>
  <si>
    <t>সেই গভীর বনে নানারকম বিচিত্র শব্দ আসিতেছিল</t>
  </si>
  <si>
    <t>নীরবে শশী অনেক্ষণ তাহাদের আলোচনা কান পাতিয়া শুনিল</t>
  </si>
  <si>
    <t>হঠাৎ দুয়ার খোলার শব্দে কিরণ চকিত হইয়া মুখ তুলিয়া দেখিল</t>
  </si>
  <si>
    <t>বঙ্গদর্শনে আমার লিখিত পালামৌ পর্য্যটন পড়িয়াছেন</t>
  </si>
  <si>
    <t>আমার প্রতিভার জন্য প্রশংসিত হওয়া আমাকে গর্বিত করে তোলে</t>
  </si>
  <si>
    <t>পথচারী ক্রসওয়াক একটি কারণে আছে সর্বদা পথচারীদের কাছে নতিস্বীকার করুন</t>
  </si>
  <si>
    <t>প্রথম দলের নেতৃত্ব দেন মুক্তিযোদ্ধা গিয়াসকে</t>
  </si>
  <si>
    <t>এরপর আমাদের মধ্যে সেই সংবাদ নিয়ে আলোচনা বিশ্লেষণ শুরু হয়ে যেত</t>
  </si>
  <si>
    <t>সাহেদ আমাকে দেখতে এসেছে</t>
  </si>
  <si>
    <t>অতিশয় পরিশ্রমী বলিয়া গৃহকার্য্য কৃষিকার্য্য সকল কার্য্যই তাহারা করে পুরুষেরা স্ত্রীলোকের ন্যায় কেবল বসিয়া সন্তান রক্ষা করে কখন কখন চাটাই বুনে</t>
  </si>
  <si>
    <t>কেহ বিশ্বাস করে কেহ করে না</t>
  </si>
  <si>
    <t>পুতুল কে লইয়াছে মেয়েটা তাহা জানিতে পারবে না</t>
  </si>
  <si>
    <t>পথে ঘুরিতে ঘুরিতে সন্ধ্যার প্রাক্কালে দর্জিপাড়ার একটা গলির মোড়ে হঠাৎ পিছনে পরিচিত কণ্ঠের ডাক শুনিতে পাইল</t>
  </si>
  <si>
    <t>আমি তাকে আমার জন্য অপেক্ষা করতে বলেছিলাম সে করেনি</t>
  </si>
  <si>
    <t>আমি তোমার কাজ করতে চেয়েছিলাম</t>
  </si>
  <si>
    <t>এটি ইংরেজিতে তাঁর সেরা সাহিত্যকর্ম</t>
  </si>
  <si>
    <t>তুমি কি আমার ঘরে এসেছিলে</t>
  </si>
  <si>
    <t>প্রতিষ্ঠিত হবার কয়েক বছরের মধ্যেই তারা ব্যাপক সফলতা লাভ করে</t>
  </si>
  <si>
    <t>বাবা তাহার সম্পত্তি ছেলেদের মধ্যে ভাগ করিয়া দিলেন</t>
  </si>
  <si>
    <t>সে বলিল জানি নে বলিয়া পূর্ববৎ তৃণমূল হইতে রসগ্রহণে প্রবৃত্ত হইল</t>
  </si>
  <si>
    <t>আমি বাজারে তোমার সঙ্গে যাইবো</t>
  </si>
  <si>
    <t>আবার চীৎকার করিলাম শব্দ পূর্ব্ববৎ পাহাড়ের গায়ে লাগিয়া উচ্চ নীচ হইতে লাগিল</t>
  </si>
  <si>
    <t>পরীর মতো দেখতে কিশোরী মেয়েটা তাকে বলবে আপনি ভেতরে আসুন</t>
  </si>
  <si>
    <t>আমি আমার ভাইবোনদের সাথে আমার স্মৃতি লালন করি</t>
  </si>
  <si>
    <t>অবসর গ্রহণের পরিকল্পনার জন্য মূল্যস্ফীতি দীর্ঘায়ুত্বের মতো বিষয়গুলিকে সাবধানে বিবেচনা করা প্রয়োজন</t>
  </si>
  <si>
    <t>সোমাটিক মৃত্যু হল সামগ্রিকভাবে কোন জীবের মৃত্যু</t>
  </si>
  <si>
    <t>রাজা রানীকে দেখতে গিয়েছিলেন</t>
  </si>
  <si>
    <t>সকাল হইতে ভারি গোলমাল লোকজনের আনাগোনা</t>
  </si>
  <si>
    <t>তাহার কোন তত্ত্বই খুঁজিয়া পাওয়া যায় না</t>
  </si>
  <si>
    <t>অনেকের এইরূপ স্মৃতিবৈকল্য ঘটিয়া থাকে</t>
  </si>
  <si>
    <t>সভ্যতার সঙ্গে সঙ্গে সাহসের ভাগ কমিয়া আইসে</t>
  </si>
  <si>
    <t>এটা কি তোমার মা</t>
  </si>
  <si>
    <t>বারোয়ারি বারোয়ারি বলতে বোঝায় বাঙালি হিন্দুদের সর্বজনীন পূজা বা উৎসব</t>
  </si>
  <si>
    <t>মৃত্যু অধ্যাপিকা নীলিমা ইব্রাহিম সালের জুন মৃত্যুবরণ করেন</t>
  </si>
  <si>
    <t>সমস্যা হলো পদ্ধতিটা ব্যবহার করতে তার খুব লজ্জা লাগে</t>
  </si>
  <si>
    <t>একাধিক প্রচেষ্টার পর লেনদেনটি সফলভাবে সম্পন্ন হয়েছে৷</t>
  </si>
  <si>
    <t>রাসেলের মাতা গৃহে কাজ করিতেছে</t>
  </si>
  <si>
    <t>সে আমাকে বলিয়াছিল সে আমার চিঠিটি পাইয়া খুবই আনন্দিত হইয়াছিল</t>
  </si>
  <si>
    <t>মিনা রানা একসঙ্গে বই পড়িতেছে</t>
  </si>
  <si>
    <t>মৃতকল্প সন্তানের চিকিৎসার কাছে কোন অন্যায়কেই বড় করিয়া দেখিবার তাঁহার সাহস ছিল না</t>
  </si>
  <si>
    <t>বৈচিত্র্যের জন্য ফিটনেস ক্লাসে যোগ দিন</t>
  </si>
  <si>
    <t>রহিম আমাকে কথাটি জিজ্ঞেস করলেন</t>
  </si>
  <si>
    <t>আমি মাঠে গিয়ে ক্রিকেট খেলব</t>
  </si>
  <si>
    <t>আমি ঘটনাক্রমে ডাবল ক্লিক করে লেনদেনটি নকল করেছি</t>
  </si>
  <si>
    <t>ফেরাউনরা মৃত্যুর পরও জীবন আছে বলে বিশ্বাস করত</t>
  </si>
  <si>
    <t>এবার আমার ভ্রান্তি দূর হইল</t>
  </si>
  <si>
    <t>বৈজিক কারণে পূর্ব্বপুরুষের অভ্যস্ত শ্লোক ইহার কণ্ঠে আপনি আসিয়াছে</t>
  </si>
  <si>
    <t>আমি সঙ্গে গিয়া দেখি পাহাড়ের একস্থানে প্রকাণ্ড দীর্ঘিকার ন্যায় একটি গর্ত্ত বা গুহা আছে</t>
  </si>
  <si>
    <t>আমি লজ্জিত হইয়া নিকটস্থ বটমূলে বসিয়া সুন্দরীদের উপর রাগ করিয়া নানা কথা বলিতে লাগিলাম</t>
  </si>
  <si>
    <t>মুখের প্রত্যেক রেখা আলাদা করিয়া দেখিবার মতো তাহার চোখের অভিজ্ঞতা ছিল না</t>
  </si>
  <si>
    <t>বরং মুক্তিপণের প্রত্যাশা না করেই আটাওয়ালপাকে হত্যা করে</t>
  </si>
  <si>
    <t>অ্যাডভেঞ্চার মানুষকে তাদের সীমা পরীক্ষা করতে তাদের প্রকৃত ক্ষমতা আবিষ্কার করতে দেয়</t>
  </si>
  <si>
    <t>তিনি সাহসী মেধাবী ছিলেন লেখাপড়ার প্রতি ঝোঁক ছিলো না</t>
  </si>
  <si>
    <t>বাজারে পানি কিনতে যেয়ে অনেক সময় লেগেছিল。</t>
  </si>
  <si>
    <t>আমার এই দীর্ঘযাত্রা আমার শৈশব থেকে এখন পর্যন্ত ঘটে যাওয়া অসংখ্য অভিজ্ঞতা সম্বলিত</t>
  </si>
  <si>
    <t>চুল কাটা পুনরায় শুরু করিলেন</t>
  </si>
  <si>
    <t>তাহারা কেবল সামান্য বিষয়ের প্রতিই দৃষ্টি রাখে অন্য বিষয় দেখিতে পায় না</t>
  </si>
  <si>
    <t>রনি আমার গৃহে আসিবে বলিয়া ভরসা করিতেছি না</t>
  </si>
  <si>
    <t>কোলেরা বন্য জাতি খর্ব্বাকৃতি কৃষ্ণবর্ণ</t>
  </si>
  <si>
    <t>শিক্ষাগত উদ্ভাবন শিক্ষার পদ্ধতিতে অগ্রগতি অভিযোজনকে চালিত করে</t>
  </si>
  <si>
    <t>শুভ আমাকে দেখে আমার কাছে আসলো</t>
  </si>
  <si>
    <t>ক্রিমি রিসোটোর রন্ধনসম্পর্কীয় সূক্ষ্মতা প্রয়োজন</t>
  </si>
  <si>
    <t>তার দাদা ছিলেন একজন স্বাধীনচেৎা বুদ্ধিজীবী ঔপন্যাসিক প্রকাশক</t>
  </si>
  <si>
    <t>এদিকে আবার আমি এমনি উদ্ভিজ্জপ্রকৃতি যে আমার কোণটুকু ছাড়িয়া একবার বাহির হইতে গেলে মাথায় বজ্রাঘাত হয়</t>
  </si>
  <si>
    <t>গায়ে বৃষ্টির জল লাগায় ধীরে ধীরে পাক খুলিয়া ঝোপের বাহিরে আসিল</t>
  </si>
  <si>
    <t>তাহা হইলেও জঙ্গল অতি দুর্গম কোথাও তাহার ছেদ নাই এই জন্য ভয়ানক</t>
  </si>
  <si>
    <t>সে আমাকে একটি মিথ্যা বলিয়াছিল</t>
  </si>
  <si>
    <t>সমস্যার দিকে মনোযোগ না দিয়ে সমাধানের দিকে মনোনিবেশ করুন</t>
  </si>
  <si>
    <t>সে নিঃশব্দে রাস্তার পাশে একটি গাছের নিচে বসে ছিলো</t>
  </si>
  <si>
    <t>একটি প্রচণ্ড ঝড়ের হৃদয়ে তারা বিধ্বস্ত ঢেউয়ের মধ্যে তাদের জাহাজকে ভাসিয়ে রাখার জন্য লড়াই করেছিল</t>
  </si>
  <si>
    <t>ব্রিটেনে ব্ল্যাক ক্যাট মানে হলো সৌভাগ্যের প্রতীক</t>
  </si>
  <si>
    <t>রিতার থেকে রোহিত বেশি কাজ করেছে</t>
  </si>
  <si>
    <t>শালের মধ্যে প্রকাণ্ড গাছ একটিও নাই সকলগুলিই আমাদের দেশীয় কদম্ববৃক্ষের মতো না হয় কিছু বড়</t>
  </si>
  <si>
    <t>দুই দিন পূর্ব্বে হইলে দৌড়িয়া যাইত</t>
  </si>
  <si>
    <t>সে অন্ধকারে ছায়ামূর্তির মতো তিনজনকে অগ্রসর হতে দেখিয়াছিলাম</t>
  </si>
  <si>
    <t>গাড়ওয়ানের নিষেধ না শুনিয়া আমি পর্ব্বতাভিমুখে চলিলাম</t>
  </si>
  <si>
    <t>সুজন ইহা করিতে পারিনি</t>
  </si>
  <si>
    <t>কামানো মাথায় না কি পাগড়ি পরতে সুবিধা</t>
  </si>
  <si>
    <t>ধারাবাহিকতা অগ্রগতির চাবিকাঠি</t>
  </si>
  <si>
    <t>রাত্রি শেষ না হতেই সে বাইরে বের হয়েছিল কাজের সন্ধানে</t>
  </si>
  <si>
    <t>গগন হরকরা ছিলেন বিশিষ্ট বাউল গীতিকার</t>
  </si>
  <si>
    <t>আমার অ্যাকাউন্টে একটি প্রতারণামূলক লেনদেনের বিষয়ে আমাকে বিতর্ক করতে হবে</t>
  </si>
  <si>
    <t>একবার পাঞ্জাব অঞ্চলের এক জন বৃদ্ধ রাজা জগন্নাথ দর্শন করিতে যাইবার সময় মেদিনীপুরে দুই এক দিন অবস্থিতি করেন</t>
  </si>
  <si>
    <t>শশীর বিষন্নতা ঘুচিবার নয়</t>
  </si>
  <si>
    <t>সে প্রতিদিন সকালে খবরের কাগজ পড়িয়া থাকে</t>
  </si>
  <si>
    <t>সেই অভিপ্রায়ে অপরাহ্ণে পথে দাঁড়াইয়া থাকিলাম</t>
  </si>
  <si>
    <t>সেই দিন তাহা সমুদয় বলিয়াছিল</t>
  </si>
  <si>
    <t>তিনি হোপ হাই স্কুলে পড়াশোনা করেছেন</t>
  </si>
  <si>
    <t>নিউজ অ্যাঙ্কররা কর্তৃত্ব পেশাদারিত্বের সাথে সর্বশেষ শিরোনাম সরবরাহ করে</t>
  </si>
  <si>
    <t>সোমাকে আমার সাথে দেখা করতে বলেছিলাম</t>
  </si>
  <si>
    <t>অপ্রত্যাশিত প্রশংসা প্রাপ্তি আমাকে লালিত করে তোলে</t>
  </si>
  <si>
    <t>নসালে তিনি সাহিত্যে নোবেল পুরস্কার লাভ করেন</t>
  </si>
  <si>
    <t>সে বাড়িতে আসিয়া দেখিলো সেখানে খানিকটা চাঞ্চল্য শুরু হইয়াছে</t>
  </si>
  <si>
    <t>রানা অদ্য প্রত্যুষেই বগুড়া যাত্রা করিবে</t>
  </si>
  <si>
    <t>আমি তাহাকে সঠিক উত্তরটি বলিয়াছিলাম</t>
  </si>
  <si>
    <t>রনি রাফিকে ধরিয়া বাঁধিয়া রাখিয়াছিল</t>
  </si>
  <si>
    <t>আমি আমার বাবা মাকে নিয়েও লিখেছি</t>
  </si>
  <si>
    <t>অন্যের প্রতি সহানুভূতি গড়ে তুলুন</t>
  </si>
  <si>
    <t>আত্ম উন্নতির টিপসের জন্য পুনঃটুইট করুন</t>
  </si>
  <si>
    <t>শিক্ষানীতি প্রণেতারা শিক্ষা ব্যবস্থার দিকনির্দেশনা তৈরি করেন</t>
  </si>
  <si>
    <t>বিদেশী ফল গ্রীষ্মমন্ডলীয় স্পন্দন নিয়ে আসে</t>
  </si>
  <si>
    <t>ছন্দ যে কোন পক্ষীর স্বরে স্বাভাবিক আছে তাহা আমি জানিতাম না</t>
  </si>
  <si>
    <t>আমি সুমনকে গৃহে আসিতে বলিয়া ছিলাম</t>
  </si>
  <si>
    <t>গাড়ওয়ানকে গাড়ী থামাইতে বলিয়া আমি নামিলাম</t>
  </si>
  <si>
    <t>আরও কতদিন উপবাস করিতে হয় বলা যায় না</t>
  </si>
  <si>
    <t>সে কাপড় ছাড়িল</t>
  </si>
  <si>
    <t>আপনার ক্রেডিট স্কোর নিয়মিত পর্যবেক্ষণ করা আপনাকে স্বাস্থ্যকর আর্থিক অভ্যাস বজায় রাখতে সাহায্য করতে পারে</t>
  </si>
  <si>
    <t>কৌতূহলী হোন আপনার চারপাশের বিশ্ব অন্বেষণ বন্ধ করবেন না</t>
  </si>
  <si>
    <t>এত গরম পরেছে যে বাহিরে বের হতে ভয় করে</t>
  </si>
  <si>
    <t>আমি তার কথাগুলো মনোযোগ দিয়ে শুনেছিলাম。</t>
  </si>
  <si>
    <t>সজীব স্কুল হতে ফিরেনি</t>
  </si>
  <si>
    <t>আমরা এমন এক সভ্য জাতি যারা নিজেদের দোষ বুঝতে পেরেও তা সংশোধন করার জন্য কোন রকম চেষ্টা করি না</t>
  </si>
  <si>
    <t>যুবতী সকলে হাত ধরাধরি করিয়া অর্দ্ধচন্দ্রাকৃতি রেখা বিন্যাস করিয়া দাঁড়াইল</t>
  </si>
  <si>
    <t>নোট কখানি রুমালে জড়াইয়া চাদরে বাঁধিয়া রামসুন্দর বেহাইয়ের নিকট গিয়া বসিলেন</t>
  </si>
  <si>
    <t>আমি ইহা ভালো করিতে পারিব</t>
  </si>
  <si>
    <t>তারপর গ্রাম আরম্ভ হইয়াছে</t>
  </si>
  <si>
    <t>পুরস্কারটি স্বাধীন চলচ্চিত্র প্রতি উৎসর্গকৃত</t>
  </si>
  <si>
    <t>শিঘ্রই তিনি কলরের দল ত্যাগ করেন</t>
  </si>
  <si>
    <t>আমার খালার রান্না অতুলনীয়</t>
  </si>
  <si>
    <t>অর্থ সম্পর্কে সচেতন সিদ্ধান্ত নেওয়ার জন্য আর্থিক সাক্ষরতা অপরিহার্য</t>
  </si>
  <si>
    <t>সে স্যারের অনুমতি নিয়ে কক্ষে প্রবেশ করিয়াছিল</t>
  </si>
  <si>
    <t>কিছু কাল পরে একদিন এই অশ্বত্থগাছ আমার মনে পড়িয়াছিল তখন ভাবিয়াছিলাম বৃক্ষটি বড় শোষক ইহার নিকট নীরস পাষাণেরও নিস্তার নাই</t>
  </si>
  <si>
    <t>আমি যে প্রকারে রূপ দেখি নির্লজ্জ হইয়া তাহা বলিতে পারি</t>
  </si>
  <si>
    <t>স্কুল শেষে খেদিতে যাইবো</t>
  </si>
  <si>
    <t>পাছে না আমার চোখে চুল ঢুকিয়া যায়</t>
  </si>
  <si>
    <t>এমফিসেমা হল এক ধরনের সিওপিডি যা ফুসফুসের বায়ু থলির ক্ষতি দ্বারা চিহ্নিত করা হয় যার ফলে শ্বাস নিতে অসুবিধা হয়</t>
  </si>
  <si>
    <t>তুমি কি আমার সাথে ক্রিকেট খেলবে</t>
  </si>
  <si>
    <t>লেনদেনের বিবরণ যথাযথ পক্ষের সাথে ভাগ করা হয়েছে</t>
  </si>
  <si>
    <t>এখন রহিম ঘরে ঘুমাতে যাবে</t>
  </si>
  <si>
    <t>জীবন কর্মজীবনের পথে সৎ হওয়া খুব কঠিন</t>
  </si>
  <si>
    <t>তাহার ন্যায় রূপ কাহারও দেখিতে পাইতাম না</t>
  </si>
  <si>
    <t>কোথাও তাহার ছেদ নাই এই জন্য ভয়ানক</t>
  </si>
  <si>
    <t>অশ্রু মুছিবার ঢের বস্তু জগৎ সংসারে খুঁজিয়া পাওয়া গেলেও বাবার আদরের হাতখানা কী কখনো মাথায় পাওয়া যাইবে বড় ভাই চলিয়া যায়</t>
  </si>
  <si>
    <t>প্রাতে বরাকর নদীর পূর্ব্বপারে গাড়ি থামিল</t>
  </si>
  <si>
    <t>রাজা রানীর কথা শুনিয়া ছিল না</t>
  </si>
  <si>
    <t>সে আমাকে একটি ফুল দিয়েছিল</t>
  </si>
  <si>
    <t>তিনি সফল অনুবাদকও ছিলেন</t>
  </si>
  <si>
    <t>ফৌজদারি দণ্ড জরিমানা প্রবেশন থেকে কারাদণ্ড বা এমনকি মৃত্যু পর্যন্ত হতে পারে</t>
  </si>
  <si>
    <t>আমার এটা বদলাতে হবে</t>
  </si>
  <si>
    <t>জীবনের অনেকখানি সময় তিনি অন্ধ অবস্থায় অতিবাহিত করেন</t>
  </si>
  <si>
    <t>রানা রহিমের নিকট থাকিবে</t>
  </si>
  <si>
    <t>বিশেষত তেরো চৌদ্দ বৎসরের ছেলের মতো পৃথিবীতে এমন বালাই নাই</t>
  </si>
  <si>
    <t>সঙ্গে দশ বার জন পুরুষ পাঁচ ছয় জন যুবতী যুবতীরাও বরযাত্রী</t>
  </si>
  <si>
    <t>তাহার স্থানে স্থানে চারি পাঁচখানি ইষ্টক গাঁথিয়া এক একটি চূড়া করা হইয়াছে</t>
  </si>
  <si>
    <t>অপেক্ষা করিয়াই রহিল কেহই ফিরিয়া আসিল না</t>
  </si>
  <si>
    <t>প্রকৌশলী দক্ষতা উন্নত করার জন্য একটি নতুন প্রযুক্তি তৈরি করেছেন</t>
  </si>
  <si>
    <t>আল ডেন্টে পাস্তা রন্ধনসম্পর্কীয় দক্ষতা প্রদর্শন করে</t>
  </si>
  <si>
    <t>পর্তুগালকে – গোলে হারিয়ে জার্মানি তৃতীয় অবস্থান লাভ করে</t>
  </si>
  <si>
    <t>জিপিএস নির্দেশিত ট্রাক্টরের মতো নির্ভুল কৃষি প্রযুক্তি কৃষিকাজে ইনপুট ব্যবহারের দক্ষতা অপ্টিমাইজ করে</t>
  </si>
  <si>
    <t>গভীরভাবে শ্বাস নিতে মুহূর্তে উপস্থিত হতে মনে রাখবেন</t>
  </si>
  <si>
    <t>তাহারা তালে তালে নাচিতেছে নাচিতে নাচিতে ফুলের পাপড়ির ন্যায় সকলে একবার চিতিয়া পড়িতেছে</t>
  </si>
  <si>
    <t>মাদ্রাসা পালাইয়া আজহারী হইতে পারিবে না</t>
  </si>
  <si>
    <t>কোলের যুবতীরা যত হাসে যত নাচে বোধহয় পৃথিবীর কোন জাতির কন্যারা তত হাসিতে নাচিতে পারে না</t>
  </si>
  <si>
    <t>যে দশ পাঁচ জন এখানে সেখানে বাস করে কিছু দিনের পর তাহারাও থাকিবে না</t>
  </si>
  <si>
    <t>কলিকাতায় থাকিবার সময় তাহার অনুভূতির জগতে মার্জনা আনিয়া দেয় বই বন্ধু</t>
  </si>
  <si>
    <t>দৈনন্দিন কাজের সময় সক্রিয় থাকুন</t>
  </si>
  <si>
    <t>সংবাদ সংস্থাগুলির বিশ্বাসযোগ্যতা বজায় রাখার ক্ষেত্রে সাংবাদিকতার সততা সর্বাগ্রে</t>
  </si>
  <si>
    <t>প্রাসংগিক আয়াতগুলো হচ্ছে হা মীম</t>
  </si>
  <si>
    <t>রানা আমার কথা শুনে এসেছিল</t>
  </si>
  <si>
    <t>সংবাদপত্রের ব্যবসায়িক বিভাগটি অর্থনীতি আর্থিক বাজারের অন্তর্দৃষ্টি প্রদান করে</t>
  </si>
  <si>
    <t>কেবল আমাদের পুত্রবধূর মুখ ভার করাইবার নিমিত্ত</t>
  </si>
  <si>
    <t>আমি তাহা বিশ্বাস না করিয়া দেশ হইতে তেড় আনিয়া পরীক্ষা করিলাম</t>
  </si>
  <si>
    <t>হাসিয়া উঠিয়া বলিল তুমি যে পারবে সে তোমাকে দেখলেই বোঝা যায়—এস</t>
  </si>
  <si>
    <t>সালে সিনেট নির্বাচনে দাঁড়িয়ে জয়লাভ করেন</t>
  </si>
  <si>
    <t>প্রথম বিশ্বযুদ্ধোত্তর কালে এর দশক কল্লোর যুগের সমার্থক</t>
  </si>
  <si>
    <t>আমার ভাইবোনরা আমার সবচেয়ে ভালো বন্ধু</t>
  </si>
  <si>
    <t>তিনি ডান হাতে রাজহাঁসের গলা চেপে ধরে আছেন</t>
  </si>
  <si>
    <t>দাদা আব্দুর রহিম হাওলাদার ছিলেন প্রতাপশালী ব্যক্তি</t>
  </si>
  <si>
    <t>মাথার উপরে অল্প একটুখানি আঁচলের ফাঁক দিয়া সযত্নরচিত কবরীর এক অংশ দেখা যাইতেছে</t>
  </si>
  <si>
    <t>আমবাগানকে অন্ধকারে মনে হয় অরণ্য</t>
  </si>
  <si>
    <t>যে পটখানি আমার স্মৃতিপথে আসিয়াছিল বলিতেছিলাম বোধহয় মৌমাছির সুর তাহার পটবন্ধনী</t>
  </si>
  <si>
    <t>এ কথার প্রত্যুত্তরে এক জন সাহেব লিখিয়াছেন যে ভারতবর্ষে কতই সামান্য জাতি বাস করে</t>
  </si>
  <si>
    <t>আমি কেবল অহঙ্কারের চাতুরীতে পড়িয়া খাঁ সাহেব কথায় চটিয়াছিলাম</t>
  </si>
  <si>
    <t>এরপর তিনি সাহিত্যে মনোনিবেশ করেন বেশ কিছু মৌলিক অনুবাদ নাটক লেখেন</t>
  </si>
  <si>
    <t>আপনার প্রিয় উদ্ধৃতি শেয়ার করুন</t>
  </si>
  <si>
    <t>শিক্ষক বলেছিলেন যে সময়ের সঠিক ব্যবহার করতে হবে</t>
  </si>
  <si>
    <t>সাপ্লাই চেইন অপ্টিমাইজেশান খরচ কমিয়ে দেয় দক্ষতা বাড়ায়</t>
  </si>
  <si>
    <t>আজান হচ্ছে নামাজে যেতে হবে</t>
  </si>
  <si>
    <t>শচীশ বই মুড়িয়া আমার মুখের দিকে কিছুক্ষণ চাহিয়া রহিল</t>
  </si>
  <si>
    <t>আমার মনে কেমন একটু ব্যথা বোধ হইল</t>
  </si>
  <si>
    <t>সে ভেতরে একটা চাপা আর্তনাদ শুনিতে পাইলো শিশুর কান্না</t>
  </si>
  <si>
    <t>কোনোক্রমে তিনি বাঁচিয়া থাকুন এর বেশি তাঁর কাছে কেহ কিছু দাবি করিত না</t>
  </si>
  <si>
    <t>আমি গিয়া তাহাদের পার্শ্বে বসিলাম</t>
  </si>
  <si>
    <t>তন্মধ্যে রোমের স্টেডিয়াম অব ডোমিশিয়ান খুবই জনপ্রিয় পরিচিত ছিল</t>
  </si>
  <si>
    <t>সে আমার কাজে আমাকে সাহায্য করেছিল</t>
  </si>
  <si>
    <t>বাবা ঘুম থেকে উঠে আমাকে পড়ার ঘরে নিয়ে যেতেন</t>
  </si>
  <si>
    <t>অল্পক্ষণের মধ্যেই তাদের সেই অপেক্ষার প্রহর শেষ হলো</t>
  </si>
  <si>
    <t>বৃষ্টির দিনে স্কুলে যেতে মন চায় না</t>
  </si>
  <si>
    <t>স্কুলে আমার অনেক ভালো লাগিয়াছিল</t>
  </si>
  <si>
    <t>মাতা আমাকে খাবার খাইতে বলিলো</t>
  </si>
  <si>
    <t>উভয়ে প্রস্তরখানিকে স্থানচ্যুত করিলাম</t>
  </si>
  <si>
    <t>মামি এই ব্যামোটাকে যে কিরূপ একটা অকারণ অনাবশ্যক জ্বালাতনের স্বরূপ দেখিবে তাহা সে স্পষ্ট উপলব্ধি করিতে পারিল</t>
  </si>
  <si>
    <t>তাদের সঙ্গে আবো কয়েকজন যুক্ত হলো</t>
  </si>
  <si>
    <t>ভয় আপনাকে আপনার স্বপ্ন অনুসরণ করা থেকে আটকাতে দেবেন না</t>
  </si>
  <si>
    <t>একটি বই ক্লাবে যোগদান দিলে বই গুলা পড়া যেত</t>
  </si>
  <si>
    <t>সমন্বিত কীটপতঙ্গ ব্যবস্থাপনা কীটপতঙ্গ নিয়ন্ত্রণের জন্য জৈবিক সাংস্কৃতিক রাসায়নিক পদ্ধতির সমন্বয় করে</t>
  </si>
  <si>
    <t>প্রভাতটি অতি সুন্দর হইয়া উদয় হইয়াছে</t>
  </si>
  <si>
    <t>তাহার পরেই দেখি দুইটি অস্পষ্ট মনুষ্যমূর্তি দাঁড়াইয়া আছে</t>
  </si>
  <si>
    <t>তাহার চোখের সামনে চারিদিক ক্রমে গাঢ় অন্ধকারে ঢাকিয়া যায়</t>
  </si>
  <si>
    <t>হরিমোহনের পুত্রবধূ ইহাতে উদ্যমের সহিত আপত্তি প্রকাশ করিত</t>
  </si>
  <si>
    <t>কারপাল টানেল সিনড্রোম হল এমন একটি অবস্থা যা কব্জির মধ্যবর্তী স্নায়ুর সংকোচনের কারণে হাতের অসাড়তা ঝাঁকুনি দুর্বলতা সৃষ্টি করে</t>
  </si>
  <si>
    <t>বর্তমান ঘটনা সম্পর্কে জনসাধারণকে অবহিত রাখতে সংবাদপত্র গুরুত্বপূর্ণ ভূমিকা পালন করে</t>
  </si>
  <si>
    <t>শ্রেণিকক্ষে ছাত্ররা অনেক্ষন ধরে কোলাহল করছিল</t>
  </si>
  <si>
    <t>এভাবেই জিউস তাকে শাস্তি দিতেন</t>
  </si>
  <si>
    <t>রানা আজ ভোরে ঘুম থেকে উঠেছে</t>
  </si>
  <si>
    <t>আমি মাঠে গিয়া ক্রিকেট খেলিব</t>
  </si>
  <si>
    <t>সাজু এখন বাজারে যাইতে চাইয়া ছিল</t>
  </si>
  <si>
    <t>বিবাহ একপ্রকার বিষণ্ন নিরানন্দ ভাবে সম্পন্ন হইয়া গেল</t>
  </si>
  <si>
    <t>রুমি আমাকে পড়িতে বসাইলো</t>
  </si>
  <si>
    <t>তাহাদের সংখ্যা নিতান্ত অল্প হইয়া পড়িয়াছে</t>
  </si>
  <si>
    <t>সকলের মধ্যেই বন্ধুত্বসম্পর্ক বজায় থাকে</t>
  </si>
  <si>
    <t>নিষিদ্ধ অঞ্চলে প্রবেশ করে তারা আবিষ্কারের রোমাঞ্চ গৌরবের প্রতিশ্রুতির জন্য সবকিছু ঝুঁকিপূর্ণ করেছিল</t>
  </si>
  <si>
    <t>সুফল আমাকে ডেকে সব বলল</t>
  </si>
  <si>
    <t>কত লক্ষ লোক এখন এই শহরে বাস করছে কে জানে সংখ্যাটা জানা থাকা দরকার</t>
  </si>
  <si>
    <t>তাহার পর ধীরে ঘীরে এক নির্জ্জন স্থানে গিয়া দ্বারে মাথা রাখিয়া অন্যমনস্কে দাঁড়াইয়া শিশিরসিক্ত সামিয়ানার প্রতি চাহিয়া রহিল</t>
  </si>
  <si>
    <t>যাঁহারা বৃহৎ সূক্ষ্ম একত্র দেখিয়া কার্য্য করেন তাঁহাদেরই প্রশংসা করি</t>
  </si>
  <si>
    <t>সে রাত্রে বড় শীত পড়িয়াছিল তাহাই তাঁবুর বাহিরে যাইতে সাহস করি নাই</t>
  </si>
  <si>
    <t>পরিশ্রম করিতে করিতে সুজন অজ্ঞান হইয়া পড়িলেন</t>
  </si>
  <si>
    <t>সে নিজে এইমাত্র স্নান করিয়া লইয়াছিল</t>
  </si>
  <si>
    <t>রনি আমার কথা শুনছিল না</t>
  </si>
  <si>
    <t>সংবাদপত্র আগে থেকেই বড় বান্ডিল করা থাকবে</t>
  </si>
  <si>
    <t>তুমি রাজি হলে লাইক দাও</t>
  </si>
  <si>
    <t>এটা আমাদের ভালো লাগছে</t>
  </si>
  <si>
    <t>সুগন্ধি মশলা রন্ধনসম্পর্কীয় অভিজ্ঞতা বাড়ায়</t>
  </si>
  <si>
    <t>নিম তাহাকে আসিতে বলিয়াছিল</t>
  </si>
  <si>
    <t>তাহার কারণ এগুলো ছিল তার অর্থ</t>
  </si>
  <si>
    <t>তীরের গাছগুলি জমাটবাধা অন্ধকারের রূপ নেয় জলের উপর জনহীন নৌকা কখানা হালকা ছায়ার মতো আলগোছে ভাসিতে থাকে</t>
  </si>
  <si>
    <t>নিখুঁত বলিয়াও ইহাকে প্রকাশ করা যায় না</t>
  </si>
  <si>
    <t>বরাকর হইতে দুই একটি ক্ষুদ্র পাহাড় দেখা যায়</t>
  </si>
  <si>
    <t>রুমি তার মায়ের সাথে স্কুলে যাবে</t>
  </si>
  <si>
    <t>পাশ্চাত্যে মুঘল শব্দটি সম্রাট বৃহৎ অর্থে সাম্রাজ্য বোঝাতে ব্যবহৃত হত</t>
  </si>
  <si>
    <t>তাজা বাতাসের জন্য হাইক ট্রেইল</t>
  </si>
  <si>
    <t>আপনার সুখের জন্য দায়িত্ব নিন এটা আপনার নিয়ন্ত্রণের মধ্যে</t>
  </si>
  <si>
    <t>হত্যার ঘটনাটি মঞ্চে দৃশ্যায়িত করা হয়নি</t>
  </si>
  <si>
    <t>যে স্থান হইতে যে বৃক্ষটি আনাইয়াছেন তাহারও পরিচয় দিতে লাগিলেন</t>
  </si>
  <si>
    <t>কখন তাহার ফল কি ফুল হয় নাই তাহার ছায়া বড় শীতল ছিল</t>
  </si>
  <si>
    <t>নগরের ভদ্রলোকেরা তাঁহার সহিত সাক্ষাৎ করিবার প্রার্থনা করিলে</t>
  </si>
  <si>
    <t>আজিও অভ্যাসমত তাহার প্রত্যুষেই ঘুম ভাঙ্গিয়াছিল বটে</t>
  </si>
  <si>
    <t>রফিক ভাত খেয়ে স্কুলে যাবে</t>
  </si>
  <si>
    <t>কারো কাছ থেকে ঠকাতেও চান না</t>
  </si>
  <si>
    <t>তাই কখনো হার মানা যাবে না</t>
  </si>
  <si>
    <t>যুদ্ধ শেষে গ্রিক সেনারা সুরক্ষিত সাজানো নগরী ট্রয় জ্বালিয়ে দেয়</t>
  </si>
  <si>
    <t>তাহারও আচরণে উদ্বেগের কোন লক্ষণ খুঁজিয়া না পাইয়া তাঁহার নিশ্চয় বোধ হইয়াছিল</t>
  </si>
  <si>
    <t>তখন সে যে একজন কাবুলি মেওয়াওয়ালা আমি যে একজন বাঙালি সম্ভ্রান্তবংশীয় তাহা ভুলিয়া গেলাম</t>
  </si>
  <si>
    <t>রাজা তখন হাসিয়া বলিলেন ইহা পলাণ্ডু নহে</t>
  </si>
  <si>
    <t>দেশী মদের একটা দোষ ইহার নেশায় হাত পা দুইয়ের একটিও ভাল চলে না</t>
  </si>
  <si>
    <t>কিছুক্ষণে আবার কেবিনের মধ্যে ডাক পড়িল</t>
  </si>
  <si>
    <t>খ্রিস্টধর্ম বিশ্বব্যাপী অন্যতম বৃহত্তম ধর্ম যার কোটি কোটি অনুসারী রয়েছে</t>
  </si>
  <si>
    <t>আমরা রাজশাহী বেড়াতে গিয়েছিলাম</t>
  </si>
  <si>
    <t>বাধা অতিক্রম করতে স্ব শৃঙ্খলা অনুশীলন করুন</t>
  </si>
  <si>
    <t>তুমি আসবে বলে আমার ভরসা হচ্ছে না</t>
  </si>
  <si>
    <t>স্ব প্রেম গ্রহণের অনুশীলন করুন আপনার ত্রুটিগুলি অপূর্ণতাগুলিকে আলিঙ্গন করুন কারণ তারা আপনাকে সুন্দরভাবে অনন্য করে তোলে</t>
  </si>
  <si>
    <t>হারুর স্থায়ী নিস্পন্দতায় সাহস পাইয়া গাছের কাঠবিড়ালীটি এক সময় নিচে নামিয়া আসিল</t>
  </si>
  <si>
    <t>তাহার সেই ধীর সঞ্চরণ সকলগুলি একত্রে উপস্থিত হইল</t>
  </si>
  <si>
    <t>কিছুকাল অসহ্য উত্তাপের পর স্নিগ্ধশ্যামল মেঘে দগ্ধ আকাশ জুড়াইয়া গেল</t>
  </si>
  <si>
    <t>রহিম করিমের কথা শুনিয়া অগ্রসর হইয়াছিল</t>
  </si>
  <si>
    <t>জনতার আনন্দের সীমা রইল না</t>
  </si>
  <si>
    <t>সেই পুস্প হৈতে আদ্যে আদম উজ্জল</t>
  </si>
  <si>
    <t>প্রতিক্রিয়ার জন্য উন্মুক্ত হন অন্যদের কাছ থেকে শিখতে ইচ্ছুক হন</t>
  </si>
  <si>
    <t>সুমনদের স্কুল ভেঙ্গে যেতে লাগলো</t>
  </si>
  <si>
    <t>গ্রন্থাগারিক বর্ণানুক্রমিকভাবে তাকগুলিতে বই সাজিয়েছেন</t>
  </si>
  <si>
    <t>সুজন ভাত খেয়ে খেলতে আসবে</t>
  </si>
  <si>
    <t>রাধাকুঞ্জের সকল গিয়াছে সকল ফুরাইয়াছে কেবল এই বংশ আছে</t>
  </si>
  <si>
    <t>এই বলিয়া জেলাকোর্টে হরিমোহন নালিশ রুজু করিয়া দিলেন</t>
  </si>
  <si>
    <t>আমি তাহার সাথে বাজারে গিয়াছিলাম তাহার পছন্দের বইটি কিনিতে</t>
  </si>
  <si>
    <t>তাহা হইলেও জঙ্গল অতি দুর্গম</t>
  </si>
  <si>
    <t>হারুকে তাহার মনে হইত গাছের গুড়িরই একটা অংশ</t>
  </si>
  <si>
    <t>আপনার অর্থব্যবস্থা কার্যকরভাবে পরিচালনার জন্য বাজেট করা অপরিহার্য</t>
  </si>
  <si>
    <t>শাওনের মা আমার কাছে এসেছিল</t>
  </si>
  <si>
    <t>তার চোখ দিয়ে জল গড়িয়ে পড়লো。</t>
  </si>
  <si>
    <t>রিতা রিনা একসাথে ঘরে ঢুকলো</t>
  </si>
  <si>
    <t>ঘন জঙ্গলের মধ্য দিয়ে ট্রেকিং করার সময় তারা রহস্যে আবৃত কাস্টমস সহ উপজাতিদের মুখোমুখি হয়েছিল</t>
  </si>
  <si>
    <t>সুজন তাহার বইটি আমাকে দিতে চাইয়া ছিল</t>
  </si>
  <si>
    <t>একপাশে দাঁড়াইয়া আমিও দেখিতেছিলাম সব</t>
  </si>
  <si>
    <t>তুমি কি আমার সঙ্গে ক্রিকেট খেলিবে</t>
  </si>
  <si>
    <t>রুমি অদ্য প্রত্যুষেইপড়িতে বসিয়াছিল</t>
  </si>
  <si>
    <t>আমার বোন আমি রসিকতার ভিতরে গোপন ভাষা শেয়ার করি</t>
  </si>
  <si>
    <t>সে আমার বাড়িতে এসে উপস্থিত হয়েছিল</t>
  </si>
  <si>
    <t>আমার দাদা দাদির গল্পগুলো অতীতের ভান্ডারের মতো</t>
  </si>
  <si>
    <t>আজ ভোরেই রানা রাজশাহী রওনা হবে</t>
  </si>
  <si>
    <t>একটি মৃদু কুয়াশা বাতাসে ঝুলছে ল্যান্ডস্কেপের প্রান্তগুলিকে নরম করে এটিকে একটি ইথারিয়াল গুণ ধার দেয়</t>
  </si>
  <si>
    <t>তক্ষণে পৌঁছিব মনে করিয়া আবার কতই ব্যস্ত হইলাম</t>
  </si>
  <si>
    <t>আমি বাঙ্গালী সুতরাং এ ভিন্ন কি অনুভব করিব</t>
  </si>
  <si>
    <t>রাফি আমাকে দেখিয়া ঐদিকে গিয়াছিল</t>
  </si>
  <si>
    <t>শব্দ দীর্ঘকাল কেন স্থায়ী হয় যত দূর পর্য্যন্ত সেই স্তরটি আছে ততদূর পর্য্যন্ত কেন যায় তাহা কিছুই বুঝিতে পারিলাম না</t>
  </si>
  <si>
    <t>সে আমাকে বিষয়টি বুঝিয়ে দিয়েছিল</t>
  </si>
  <si>
    <t>গ্যাস্ট্রোএন্টেরাইটিস সাধারণত পাকস্থলীর ফ্লু নামে পরিচিত পাকস্থলী অন্ত্রের প্রদাহ যার ফলে ডায়রিয়া বমি হয়</t>
  </si>
  <si>
    <t>পরিবর্তনকে আলিঙ্গন করা বৃদ্ধি রূপান্তর নিয়ে আসে</t>
  </si>
  <si>
    <t>আমার বাবা মা আমাকে যে শিক্ষা দিয়েছেন তার জন্য আমি কৃতজ্ঞ</t>
  </si>
  <si>
    <t>তাজা ভেষজ রন্ধনসম্পর্কীয় সৃষ্টিকে সমৃদ্ধ করে</t>
  </si>
  <si>
    <t>তাহারা মনে করিয়া থাকিবে যে যে গাড়ি চড়ে সে অবশ্য সাহেব</t>
  </si>
  <si>
    <t>বাঁধা পথ নাই কেবল এক সংকীর্ণ গো পথ দিয়া আমার পাল্কী চলিতে লাগিল</t>
  </si>
  <si>
    <t>তোমার রাজপুতের ঘরে জন্মানো উচিত ছিল</t>
  </si>
  <si>
    <t>সেটা আমার পক্ষে নিতান্ত অন্যায় হইবে</t>
  </si>
  <si>
    <t>সতীশ কাহাকেও কোন কথা না কহিয়া চলিয়া গিয়াছে</t>
  </si>
  <si>
    <t>প্রকৃতির সৌন্দর্য আমাকে মুগ্ধ করে</t>
  </si>
  <si>
    <t>বিকাল চার কি সাড়ে চারটার দিকে তারা একসাথে মিলিত হয়ে আলোচনা করতেন</t>
  </si>
  <si>
    <t>স্টকে বিনিয়োগের জন্য সতর্ক গবেষণা বিশ্লেষণ প্রয়োজন</t>
  </si>
  <si>
    <t>উন্নত ফোকাসের জন্য সক্রিয় থাকুন</t>
  </si>
  <si>
    <t>গ্রীষ্মের বৃষ্টির পরে পৃথিবীর ঘ্রাণ বাতাসকে সতেজ প্রাণবন্ত করে তোলে</t>
  </si>
  <si>
    <t>দুপুরে চুল কাটিতে যাবো ভাবিয়া যেই উঠিয়াছি দেখিলাম আমার চুল কাটিবার সাথী আমার মেজোভাই বিছানায় চিৎপটাং হইয়া আছেন</t>
  </si>
  <si>
    <t>বৃদ্ধ পিতামাতার প্রতিপালন করিতেও পারগ হইবে</t>
  </si>
  <si>
    <t>আমি তাহার কথাগুলো মনোযোগ দিয়ে শুনিয়াছিলাম</t>
  </si>
  <si>
    <t>একদিন এই স্থানে সুখে বসিয়া চারি দিক্‌ দেখিতেছি হঠাৎ একটি লতার প্রতি দৃষ্টি পড়িল</t>
  </si>
  <si>
    <t>আমি রনিকে গান গাহিতে বলিয়া ছিলাম</t>
  </si>
  <si>
    <t>এটি প্রযুক্তি থেকে সংযোগ বিচ্ছিন্ন করার প্রকৃতির সাথে পুনরায় সংযোগ করার সুযোগ দেয়</t>
  </si>
  <si>
    <t>শায়েস্তা খান তাঁর কন্যার স্মরণে এই মনমুগ্ধকর মাজারটি নির্মাণ করেন</t>
  </si>
  <si>
    <t>যুদ্ধে ব্রিটিশ ভারতীয় সেনাবাহিনীও অংশ নিয়েছিলো</t>
  </si>
  <si>
    <t>সুফল নামাজ পড়তে মসজিদে যাচ্ছে</t>
  </si>
  <si>
    <t>সুজন আমাকে দেখল ডাকল</t>
  </si>
  <si>
    <t>আমার পিতা সানির বাড়ি গিয়াছিল</t>
  </si>
  <si>
    <t>মেয়েটির বিপদে আমি তাহাকে স্বান্তনা দিয়াছিলাম</t>
  </si>
  <si>
    <t>মেয়েটি খুব মনোযোগ দিয়ে গল্পের বই পড়িয়াছিলো</t>
  </si>
  <si>
    <t>তিনি কাগজ খানা পাইয়া হতাশায় ডুবিয়া লাল পানি খাইয়াছেন প্রচুর পরিমানে</t>
  </si>
  <si>
    <t>মানুষের নিষ্ঠুরতায় ব্যথিত হবে</t>
  </si>
  <si>
    <t>আমার চাচাদেরও সবার পাঁচ সন্তান</t>
  </si>
  <si>
    <t>আমি এই সমস্যার সমাধান সতর্কতার সাথে বিবেচনা করেছি</t>
  </si>
  <si>
    <t>সেদিন আমরা সিলেট শহর ঘুরে দেখেছিলাম</t>
  </si>
  <si>
    <t>ওর এইসব খাপছাড়া কথায় ব্যবহারে একটি যেন মিষ্টি ছন্দ আছে</t>
  </si>
  <si>
    <t>সে নিঃশব্দে রাস্তার পাশে একটি গাছের নিচে বসিয়া ছিলো</t>
  </si>
  <si>
    <t>একদিন অনেক প্রতিজ্ঞা করিয়া অনেক সাহসে মামাকে জিজ্ঞাসা করিয়াছিল মামা মার কাছে কবে যাব</t>
  </si>
  <si>
    <t>দেখিয়া আমার চোখ ছল্‌ছল্‌ করিয়া আসিল</t>
  </si>
  <si>
    <t>এক স্তরে নুড়ি এক স্তরে কাল পাথর ইত্যাদি</t>
  </si>
  <si>
    <t>বেচারা বাজার নিয়ে ফিরেছে</t>
  </si>
  <si>
    <t>তাদের মনকে আবিস্ট করা বিকট অসুস্থ শব্দ একটা নিজস্ব চিহ্ন বহন করে</t>
  </si>
  <si>
    <t>সালের অক্টোবর দীপনকে দুবৃত্তরা হত্যা করে</t>
  </si>
  <si>
    <t>প্রতিকূলতার মুখে মানিয়ে নেওয়া খোলা মনের হোন</t>
  </si>
  <si>
    <t>সঙ্গে বাদ্য থাকে তাহা হইলে</t>
  </si>
  <si>
    <t>অনবরত গল্প করা তাঁহার রোগ ছিল</t>
  </si>
  <si>
    <t>ডাক্তার বলিলেন টাকা চাইনে এ কথা বলা শক্ত</t>
  </si>
  <si>
    <t>তাই পরদিন সন্ধ্যার সময় কাহাকেও কিছু না বলিয়া বেহারীকে সঙ্গে করিয়া তাহার সাবেক বাসায় আসিয়া উপস্থিত হইল</t>
  </si>
  <si>
    <t>তুমি কি কাজটি করিয়াছিলে</t>
  </si>
  <si>
    <t>ক্লাবটি তখন দেনার ভারে জর্জরিত ছিল</t>
  </si>
  <si>
    <t>চেরেংকভ সালের জানুয়ারি রাশিয়ার মস্কোতে মৃত্যুবরণ করেন</t>
  </si>
  <si>
    <t>অপরাধ স্বীকার করে তিনি পুলিশের কাছে ধরা দেন</t>
  </si>
  <si>
    <t>এ দিন তো দিন নয় আরো দিন আছে এই দিনেরে নিবো আমি সেই দিনের কাছে</t>
  </si>
  <si>
    <t>অপরাধমূলক দায় নির্ধারণে অভিপ্রায়ের ধারণা একটি মূল ভূমিকা পালন করে</t>
  </si>
  <si>
    <t>খুবই কষ্ট পাহিলাম মনে মনে</t>
  </si>
  <si>
    <t>বঙ্গে কেবল প্রতিবাসীরাই দুরাত্মা যাহা নিন্দা শুনা যায় তাহা কেবল প্রতিবাসীর</t>
  </si>
  <si>
    <t>চোখ মুছিয়া উঠিয়া বসিয়া মনে মনে বলিল ভগবান</t>
  </si>
  <si>
    <t>মলি ভাত খাইয়া স্কুলে যাইবে</t>
  </si>
  <si>
    <t>আলখাল্লা পরা একটা বাউল নিকটে দোকানের সামনে দাঁড়াইয়া গান গাহিতে লাগিল</t>
  </si>
  <si>
    <t>উল্টো তারা আমার পরদাদাকে গভীর সম্মাননা প্রদান করলেন</t>
  </si>
  <si>
    <t>এছাড়াও জনগুরুত্বপূর্ণ স্থানও বনভোজনের জন্য আদর্শ স্থান</t>
  </si>
  <si>
    <t>নিজের প্রতি খাঁটি সত্য হোন অন্যদের জন্য আপনার মান আপস করবেন না</t>
  </si>
  <si>
    <t>আসমানীর মনটা খারাপ হয়ে গেল</t>
  </si>
  <si>
    <t>আমার সাথে খেলা করল</t>
  </si>
  <si>
    <t>দুঃস্বপ্ন দেখিয়া রুবেল আতকাইয়া উঠিলো</t>
  </si>
  <si>
    <t>আমি মাথা হেলাইয়া স্বীকার করিলাম</t>
  </si>
  <si>
    <t>বাগানটি সুন্দর সুন্দর ফুলে ভরিয়া গিয়াছে</t>
  </si>
  <si>
    <t>সেদিন মেজোবউ কেন হঠাৎ তাহার বোনঝিকে দেখিতে চলিয়া গেল</t>
  </si>
  <si>
    <t>সে আমাকে দেখিয়া সতর্ক হইয়া গিয়াছিল</t>
  </si>
  <si>
    <t>মাত্র ছয় বছর বয়সে তার মৃত্যু ঘটে</t>
  </si>
  <si>
    <t>রুমা সুমা কে দেখালো এটা কুচকে যায়</t>
  </si>
  <si>
    <t>বাঘা যতীনের মৃত্যুর পরেও আত্মগোপন অবস্থায় কাজ চালিয়ে যান</t>
  </si>
  <si>
    <t>শাহজাহানের যুগে মুঘল স্থাপত্য এর স্বর্ণযুগে প্রবেশ করে</t>
  </si>
  <si>
    <t>আমি খুশি মনেই শামসউদ্দীনের প্রস্তাবে রাজি হয়ে গেলাম</t>
  </si>
  <si>
    <t>বিশেষত কলিকাতার ছেলে ভালো করিয়া মিশিতে জানে না</t>
  </si>
  <si>
    <t>মিম জাহাদের কথা মত অগ্রসর হইয়াছিল</t>
  </si>
  <si>
    <t>লোকে সেটা তাহার একটা কুশ্রী স্পর্ধাস্বরূপ জ্ঞান করে</t>
  </si>
  <si>
    <t>যুবতীরা উভয় জানুদ্বারা ভূমি স্পর্শ করিয়া দুই হস্তে শালপত্রের পাত্র ধরিয়া মদ্য পান করিতেছে ঈষৎ হাস্যবদনে সঙ্গীদের দেখিতেছে</t>
  </si>
  <si>
    <t>আমি স্কুলে পড়িতে যাইবো</t>
  </si>
  <si>
    <t>লোকটি আমার কাজ দেখে প্রশংসা করেছিল。</t>
  </si>
  <si>
    <t>এখানে টি কাতারে প্রায় মুসুল্লী একসাথে নামাজ পড়ে থাকেন</t>
  </si>
  <si>
    <t>দেখতে অনেকটা ইলিশ মাছের মতো</t>
  </si>
  <si>
    <t>আমি আমার প্রিয় বন্ধুর সাথে একটা কথা বলতে চাই</t>
  </si>
  <si>
    <t>মৃত্যুর পূর্ব পর্যন্ত তিনি সেখানেই কর্মে নিয়োজিত ছিলেন</t>
  </si>
  <si>
    <t>শশীর চরিত্রে দুই সুস্পষ্ট ভাগ আছে</t>
  </si>
  <si>
    <t>তাহার কারণ কিছুই অনুভব হয় না</t>
  </si>
  <si>
    <t>তার সাবেক দল লিডস ইউনাইটেড ম্যানচেস্টার ইউনাইটেড</t>
  </si>
  <si>
    <t>তবু তিনি কিউপিডকে অভয় দিলেন</t>
  </si>
  <si>
    <t>সে আমাকে তার অতীতের গল্প শুনিয়েছিল</t>
  </si>
  <si>
    <t>রাজহাঁস ছটফট করছে পাখা ঝাপটাচ্ছে</t>
  </si>
  <si>
    <t>ভাই আমাকে এটা করতে বলল</t>
  </si>
  <si>
    <t>যামিনী কবিরাগের চেলা সপ্তাহে একটি গুল্মলতা কুড়াইয়া লইয়া যায়</t>
  </si>
  <si>
    <t>তাহাকে সমস্ত চার্জ বুঝাইয়া দিয়া পুরাতন পোস্টমাস্টার গমনোন্মুখ হইলেন</t>
  </si>
  <si>
    <t>তথায় গিয়া শুনিলাম কোন সম্ভ্রান্ত ব্যক্তির বাটীতে আমার আহারের আয়োজন হইতেছে</t>
  </si>
  <si>
    <t>কিছুদিন আগে সে তাহার মেয়েকে নিয়ে গ্রাম থেকে চলিয়া গিয়াছিল</t>
  </si>
  <si>
    <t>এর নিম্নতম একক ছিল গ্রুপ</t>
  </si>
  <si>
    <t>দমকল কর্মী আগুনে পুড়ে যাওয়া ভবনে ছুটে যান আটকে পড়া বাসিন্দাদের উদ্ধার করতে</t>
  </si>
  <si>
    <t>আরামদায়ক খাবার চাপের দিনগুলিকে সহজ করে</t>
  </si>
  <si>
    <t>এ সময় তিনি এফ এ এ দুটি যুদ্ধবিমানের উপর সফল সমীক্ষা চালান</t>
  </si>
  <si>
    <t>সে অন্ধ ব্যক্তিকে রাস্তা পারাপারে সাহায্য করেছিল</t>
  </si>
  <si>
    <t>ঘরটি বিলক্ষণ পরিসর তাহার চারি কোণে চারিখানি খাট পাতা মধ্যস্থলে একখানি খাট রহিয়াছে</t>
  </si>
  <si>
    <t>ওখানে সাত ঘর বাগদী বাস করে গ্রামের ছেলেমেয়েদের মধ্যে ওরাই সবচেয়ে গরিব সবচেয়ে ছোটলোক সবচেয়ে চোর</t>
  </si>
  <si>
    <t>আমি তোমার সঙ্গে খেলতে গিয়েছিলাম</t>
  </si>
  <si>
    <t>বৈকল্যে একবার দেখা করিবার সাধ জাগিয়াছে</t>
  </si>
  <si>
    <t>সেই স্বপ্নকে বাস্তবতা প্রদানের জন্য কঠোর পরিশ্রম করতে হবে</t>
  </si>
  <si>
    <t>আমি প্রতিদিন নির্দিষ্ট সময়ে নির্দিষ্ট জায়গায় সংবাদপত্র পৌছে দিতাম</t>
  </si>
  <si>
    <t>সোহাগ আমার কাছে এসে বসেছিল</t>
  </si>
  <si>
    <t>পর্বমধ্য কাণ্ডকে সোজা রাখতে লম্বা হতে সহায়তা করে</t>
  </si>
  <si>
    <t>আর্থ সামাজিক কারণগুলি শিক্ষাগত অর্জন সুযোগগুলিকে প্রভাবিত করে</t>
  </si>
  <si>
    <t>এরা বাই এরাই তখন খাঁ সাহেব বলিয়া ডাকিয়াছিল</t>
  </si>
  <si>
    <t>শেষ পর্যন্ত যখন বাসাটা খুঁজিয়া পাইয়াছি তখন অন্ধকার নামিয়া আসিয়াছিল</t>
  </si>
  <si>
    <t>তাহাকে থামিতে বলিলেও সে ধাবন করিতে থাকিবে</t>
  </si>
  <si>
    <t>জল আছে বলিলেও তাহারা জল ফেলিয়া জল আনিতে যাইবে</t>
  </si>
  <si>
    <t>তিনি নিজেও চলে গিয়েছেন</t>
  </si>
  <si>
    <t>কৃষি সমবায়গুলি ছোট আকারের কৃষকদের সম্মিলিতভাবে বাজার সম্পদ অ্যাক্সেস করতে সহায়তা করে</t>
  </si>
  <si>
    <t>ডায়ান ওয়েস্ট শেলি উইন্টারস সর্বাধিক দুইবার এই পুরস্কার লাভ করেছেন</t>
  </si>
  <si>
    <t>সহজ সময়ের জন্য নস্টালজিক বোধ আকাঙ্ক্ষা নিয়ে আসে</t>
  </si>
  <si>
    <t>তিনি রিশি রিচের একজন শিষ্যে পরিণত হয়ে ওঠেন</t>
  </si>
  <si>
    <t>এই পরম রমণীয় স্থানে কিয়ৎক্ষণ সঞ্চরণ করিয়া রাজকুমার অশ্ব হইতে অবতীর্ণ হইলেন</t>
  </si>
  <si>
    <t>শব্দে কি আঘাতে তাহা ঠিক জানি না ব্যাঘ্র উঠিয়া দাঁড়াইয়াছিল</t>
  </si>
  <si>
    <t>তাহারা মাঠ হইতে ফিরে নাই এখনো</t>
  </si>
  <si>
    <t>সেটা তাহার অনুকরণ করার বয়স</t>
  </si>
  <si>
    <t>হঠাৎ কাপড়চোপড়ের পরিমাণ রক্ষা না করিয়া বেমানানরূপে বাড়িয়া উঠে</t>
  </si>
  <si>
    <t>তিনি গলা চেপে ধরে আছেন এই অবস্থাতেও কামড়াতে চেষ্টা করছে</t>
  </si>
  <si>
    <t>ট্র্যাকিং উদ্দেশ্যে লেনদেন আইডি প্রয়োজন</t>
  </si>
  <si>
    <t>বাবা বাড়ি নেই তাই বলল</t>
  </si>
  <si>
    <t>আশ্চর্য একটা আতঙ্ক আমাকে আস্তে আস্তে গ্রাস করতে শুরু করেছিল</t>
  </si>
  <si>
    <t>সাফল্যের সোপান হিসাবে ব্যর্থতাকে আলিঙ্গন করুন</t>
  </si>
  <si>
    <t>এই তুচ্ছ কাহিনী হইতে কিরণময়ী তখন অনেক দূরে সরিয়া গিয়াছিল</t>
  </si>
  <si>
    <t>আমি তাহাকে জানালা দিয়ে ডাকিয়াছিলাম সে আসেনি</t>
  </si>
  <si>
    <t>সুজনের স্কুলটি পরিবর্তন করিতে হইবে</t>
  </si>
  <si>
    <t>তথ্য ভান্ডার বানাইয়া দিতে পারিলে সম্মানী রইয়াছে</t>
  </si>
  <si>
    <t>বড় ভাই গোবিন্দনাথও একজন সফল আইনজীবী ছিলেন</t>
  </si>
  <si>
    <t>শেষে খেলাটি আমরা জিতে গিয়েছি</t>
  </si>
  <si>
    <t>সারথি ভূপতি আদেশ পেয়েছে</t>
  </si>
  <si>
    <t>তার কাহিনী মধ্যযুগে বেশী উন্নতি লাভ করে</t>
  </si>
  <si>
    <t>অপরাধমূলক কার্যকলাপ ব্যক্তি সমাজের উপর ধ্বংসাত্মক প্রভাব ফেলতে পারে</t>
  </si>
  <si>
    <t>জঙ্গলীদের মধ্যে অদ্যাপি দেখা যায় সকলেই সাহসী ইউরোপীয় সভ্যদের অপেক্ষাও অনেক অংশে সাহসী</t>
  </si>
  <si>
    <t>তোমারচেষ্টা বৃথা যাইতে পারেনা বইলা আমার দৃঢ় বিশ্বাস হইতেছে</t>
  </si>
  <si>
    <t>আমি তাহাকে আমার জন্য অপেক্ষা করিতে বলিয়াছিলাম সে করেনি</t>
  </si>
  <si>
    <t>নদী শীতকালে একেবারে শুষ্কপ্রায় হইয়া যায়</t>
  </si>
  <si>
    <t>সে স্কুল থেকে আসিয়া খাবার খাইয়া ঘুমাইয়া পড়িল</t>
  </si>
  <si>
    <t>রিতু আমাকে বসতে দিয়েছিল</t>
  </si>
  <si>
    <t>আর্থিক সাফল্যের জন্য আর্থিক লক্ষ্য নির্ধারণ সেগুলি অর্জনের জন্য একটি পরিকল্পনা তৈরি করা অপরিহার্য</t>
  </si>
  <si>
    <t>আমি তার সাথে বাজারে যেতে চেয়েছিলাম</t>
  </si>
  <si>
    <t>আমি এটা করতে পারবো ভালো করে</t>
  </si>
  <si>
    <t>আপনার জীবনের সমস্ত ক্ষেত্রে ভারসাম্যের জন্য চেষ্টা করুন</t>
  </si>
  <si>
    <t>সেদিন বিকেলে আমরা বৃষ্টিতে ভিজিয়া গিয়াছিলাম</t>
  </si>
  <si>
    <t>বাহিরে আসিয়া বারান্দায় একখানা মাদুর পাতিয়া দিল</t>
  </si>
  <si>
    <t>মায়া দাড়াইয়া দেখিয়া চলিল যে লাল কাঁদিতেছে</t>
  </si>
  <si>
    <t>গোপাল দাসের কারবার লোকে বলে গলায় ছুরি দেওয়া</t>
  </si>
  <si>
    <t>এই নিশ্চয়তাই হাবল মহাকাশ দুরবিন কে কাজে লাগানোর সুযোগ তৈরি করে দেয়</t>
  </si>
  <si>
    <t>সালে সাহিত্যে নোবেল পুরস্কার লাভ করেন</t>
  </si>
  <si>
    <t>মধু অনেক রোগের ওষুধ হিসেবে কাজ করে</t>
  </si>
  <si>
    <t>আমি আমার দাদা দাদির জ্ঞান শক্তির প্রশংসা করি</t>
  </si>
  <si>
    <t>বন্দীর মনে হয় যেন সে পানিতে ডুবে মারা যাচ্ছে</t>
  </si>
  <si>
    <t>ছেলেবেলা থেকে ভগবান আমাকে অনেক কথাই ভাববার সুবিধে দিয়েছিলেন</t>
  </si>
  <si>
    <t>সে মনে মনে বুঝিতেছিল যে ব্যাপারটা অত সহজ নহে</t>
  </si>
  <si>
    <t>তথায় কোন বৃক্ষের শুষ্ক ডালে একটি ক্ষুদ্র পক্ষী অতি বিষণ্নভাবে বসিয়াছিল</t>
  </si>
  <si>
    <t>একটি অর্ধবয়সী ভদ্রলোক কাঁচা গোঁফ পাকা চুল লইয়া বাহির হইয়া আসিলেন বালককে জিজ্ঞাসা করিলেন চক্রবর্তীদের বাড়ি কোথায়</t>
  </si>
  <si>
    <t>সুজন আমাদের খাবার দিয়া ছিল</t>
  </si>
  <si>
    <t>সে তার পরীক্ষা নিয়ে খুবই চিন্তিত ছিলো</t>
  </si>
  <si>
    <t>একজন বন্ধুকে ট্যাগ করুন যার উৎসাহ প্রয়োজন</t>
  </si>
  <si>
    <t>ক্রিমি পাস্তা কার্বোহাইড্রেটের ক্ষুধা মেটায়</t>
  </si>
  <si>
    <t>কমলা একটি জনপ্রিয় ফল</t>
  </si>
  <si>
    <t>পরিমাণের চেয়ে মানের দিকে মনোযোগ দিন</t>
  </si>
  <si>
    <t>সত্য সত্যই সে কিছু দেখিয়া থাকেও ওই কিছুটির ঘনিষ্ঠ পরিচয় লইয়া কাজ নাই মানে মানে এবার বাড়ি ফেরাই ভালো</t>
  </si>
  <si>
    <t>আমি ধনবান্ বলিয়া প্রথমে অভিমান জন্মিলে শেষ দারিদ্র্যদশায় জীবন শেষ করিতে হয়</t>
  </si>
  <si>
    <t>আমি তাহাকে অনেকদিন আগে একটি চিঠি লিখিয়াছিলাম</t>
  </si>
  <si>
    <t>মৌয়া ফুলে মদ্য প্রস্তুত হয় সেই মদ্যই এই অঞ্চলে সচরাচর ব্যবহার</t>
  </si>
  <si>
    <t>ভগবান আপনাকে কোন গুণ থেকে বঞ্চিত করেননি দেখচি</t>
  </si>
  <si>
    <t>ধীরে ধীরে ব্যায়ামের তীব্রতা বাড়ান</t>
  </si>
  <si>
    <t>জঙ্গলের মধ্যে দুই বন্ধু হারিয়ে গিয়েছিল。</t>
  </si>
  <si>
    <t>পার্কিং লট তাই ভিড় ছিল একটি জায়গা খুঁজে পেতে এটি চিরতরে লেগেছে</t>
  </si>
  <si>
    <t>রুমা মেলার জন্য টাকা জমাইছিল</t>
  </si>
  <si>
    <t>ব্যস্ত থাকার জন্য ওয়ার্কআউটগুলি মিশ্রিত করুন</t>
  </si>
  <si>
    <t>দেখিলে বাস্তবিক মনে হয় উভয়ের মধ্যে যেন একটা ষড়যন্ত্র চলিতেছে</t>
  </si>
  <si>
    <t>পর দিবস অপরাহ্ণে দেখি এক বটতলায় ছোট বড় কতকগুলা স্ত্রীলোক বসিয়া আছে</t>
  </si>
  <si>
    <t>নিস্তব্ধ জায়গায় সে একা বসিয়া ছিলো</t>
  </si>
  <si>
    <t>ইনফ্লুয়েঞ্জা মহামারিতে এক কোটির বেশি মানুষ মৃত্যুমুখে পতিত হয়</t>
  </si>
  <si>
    <t>শরীফ আমাকে বইটি পড়তে বলেছিল</t>
  </si>
  <si>
    <t>দশটি আদেশ হল ইহুদি খ্রিস্টান ধর্মের নৈতিক নৈতিক নীতিগুলির একটি সেট</t>
  </si>
  <si>
    <t>গম্ভীর গলায় উপদেশ দিল</t>
  </si>
  <si>
    <t>লেনদেন একটি বিদেশ থেকে শুরু করা হয়েছিল</t>
  </si>
  <si>
    <t>উনি হাসিয়া কহিলেন বিষ টাকা</t>
  </si>
  <si>
    <t>সে আমাকে খেলার জন্য ডাকিয়াছিল আমি অসুস্থতার জন্য যাইতে পারিনি</t>
  </si>
  <si>
    <t>পালামৌর প্রধান আওলাত মৌয়া গাছ</t>
  </si>
  <si>
    <t>ধারের বারান্দা ঘুরিয়া বধূ আসিতেছে</t>
  </si>
  <si>
    <t>বটগাছের ঘন পাতাতেও বেশিক্ষণ বৃষ্টি আটকাইল না</t>
  </si>
  <si>
    <t>আপনার মূল্যবোধের প্রতি সত্য থাকুন</t>
  </si>
  <si>
    <t>লেনদেন অবস্থা মুলতুবি আছে</t>
  </si>
  <si>
    <t>এরপর তিনি তার সবচেয়ে বিখ্যাত গ্রন্থ দ্য ডিভাইন কমেডি রচনা শুরু করেন</t>
  </si>
  <si>
    <t>আমি রাজীবকে এটা করত বললাম</t>
  </si>
  <si>
    <t>শিক্ষা ব্যক্তিদের তাদের আকাঙ্ক্ষা অনুসরণ করার ক্ষমতা দেয়</t>
  </si>
  <si>
    <t>তাহার পরে আরও দুই এক ক্রোশ অগ্রসর হইলে তাম্রাভ অরণ্য চারি দিকে দেখা যাইতে লাগিল</t>
  </si>
  <si>
    <t>নিকটে একটি নীলকুঠি আছে তাই কুঠির সাহেব অনেক জোগাড় করিয়া এই নূতন পোস্টআপিস স্থাপন করাইয়াছে</t>
  </si>
  <si>
    <t>একবার বহু পূর্ব্বে এইরূপ গালি দিয়াছিলাম</t>
  </si>
  <si>
    <t>হারুকে সে আপনার জগতে তুলিয়া লাইয়াছিল</t>
  </si>
  <si>
    <t>বাংলা ভাষায় দার্শনিক চিন্তামূলক প্রবন্ধ রচনা করে খ্যাতি অর্জন করেন</t>
  </si>
  <si>
    <t>এটা কি তোমার নতুন কাজ</t>
  </si>
  <si>
    <t>মরুভূমি মাইলের পর মাইল প্রসারিত তার সোনালী বালি কড়া সূর্যের আলোয় ঝিকিমিকি করছে</t>
  </si>
  <si>
    <t>কারন দক্ষতার চাইতে সার্টিফিকেট এর দাম বেশী</t>
  </si>
  <si>
    <t>আকবরের ছেলে সম্রাট জাহাঙ্গীর সমৃদ্ধির সাথে শাসন করেন</t>
  </si>
  <si>
    <t>কর্জ্জ করিয়া সেই বড়লোকত্ব রক্ষা করেন</t>
  </si>
  <si>
    <t>সে একটি ফল খেতে চাইয়াছিল</t>
  </si>
  <si>
    <t>মেয়েটি বিনয়ের মুখের দিকে দুই চোখ তুলিয়া নীরবে এই অনুরোধের সমর্থন করিল</t>
  </si>
  <si>
    <t>চারিদিকে কাল পাথর পশুও পাথুরে তাহাদের রাখালও সেইরূপ</t>
  </si>
  <si>
    <t>একদিন ফটিক তাহার স্কুলের বই হারাইয়া ফেলিল</t>
  </si>
  <si>
    <t>আমি মাঠে খেলতে গিয়েছিলাম</t>
  </si>
  <si>
    <t>সংবাদপত্রগুলি প্রায়ই প্রধান ঘটনা বা মাইলফলক কভার করার জন্য বিশেষ সংস্করণ প্রকাশ করে</t>
  </si>
  <si>
    <t>ভয়ঙ্কর ক্যাটাকম্বগুলি অন্বেষণ করে তারা অনুভব করেছিল যে ইতিহাসের ভার তাদের উপর চাপিয়েছে</t>
  </si>
  <si>
    <t>সুজন এটা করতে পারবে</t>
  </si>
  <si>
    <t>ছোট বেলায় ভাবতাম বড় হয়ে ডাক্তার হবো এখন তা ভাবি না</t>
  </si>
  <si>
    <t>মামি এই অনাবশ্যক পরিবারবৃদ্ধিতে মনে মনে যে বিশেষ সন্তুষ্ট হইয়াছিলেন তাহা বলিতে পারি না</t>
  </si>
  <si>
    <t>শেষে রাত বাড়িয়া যাইতেছে খেয়াল করিয়া বলিল তোমরা তাহলে বসে থেক না নিতাই</t>
  </si>
  <si>
    <t>তাহাদের ছুটাছুটিতে নদীর জল উচ্ছ্বসিত হইয়া কূলের উপর উঠিতেছে</t>
  </si>
  <si>
    <t>তাহা স্থির করা কঠিন</t>
  </si>
  <si>
    <t>টেবিলের বাতি সরাইলাম</t>
  </si>
  <si>
    <t>একটি জরুরী তহবিল তৈরি করা অনিশ্চয়তার সময়ে একটি আর্থিক নিরাপত্তা জাল প্রদান করতে পারে</t>
  </si>
  <si>
    <t>আমার এসইউভিতে টায়ার ঘোরাতে হবে তারা অসমভাবে পরা হয়</t>
  </si>
  <si>
    <t>সাধারণ মানুষের নিত্যনৈমিত্তিক জীবনে যুদ্ধের তেমন কোনো প্রভাব পড়ল না</t>
  </si>
  <si>
    <t>স্কুলে স্কেটবোর্ডে চড়া মজা ব্যবহারিক উভয়ই</t>
  </si>
  <si>
    <t>সুফল আমার সাথে কাজ করেছিল</t>
  </si>
  <si>
    <t>খুবই সাধারণ নাস্তা পরিবেশন করা হতো</t>
  </si>
  <si>
    <t>আমি তাহাকে প্রথমে চিনিতে পারি নাই</t>
  </si>
  <si>
    <t>আগামীকাল থেকে তাহাদের স্কুলে পরীক্ষা শুরু হইবে</t>
  </si>
  <si>
    <t>করিম রহিমকে একটি বই পড়িতে দিয়াছিল</t>
  </si>
  <si>
    <t>শশী শহর হইতে ফিরিতেছিল</t>
  </si>
  <si>
    <t>বিভেদমূলক নির্দেশ বিভিন্ন শিক্ষার শৈলী মিটমাট করে</t>
  </si>
  <si>
    <t>বেচারা এখন বোধহয় সঙ্গিনীকে খুঁজে বেড়াচ্ছে</t>
  </si>
  <si>
    <t>আপনি প্রশংসিত কাউকে ট্যাগ করুন</t>
  </si>
  <si>
    <t>হাপানিতে সারা জীবন ভোগা সত্ত্বেও তিনি দারুন মল্যবিদ ছিলেন</t>
  </si>
  <si>
    <t>অভাবী লোকজন এসে নিয়ে যাবে</t>
  </si>
  <si>
    <t>পুতুলটিকে আরও খানিকটা গাছের গোড়ার দিকে ঠেলিয়া দিয়া আলোটা তুলিয়া লইয়া শশী আগাইয়া গেল</t>
  </si>
  <si>
    <t>আমি তাহার মঙ্গল কামনা করিয়াছিলাম</t>
  </si>
  <si>
    <t>সে আমার কথাগুলো শুনে আমার কষ্টে ব্যথিত হইয়াছিল</t>
  </si>
  <si>
    <t>রানা স্কুল পালাইয়া ইশ্বরচন্দ্র হইতে পারিবে না</t>
  </si>
  <si>
    <t>গ্রামমধ্যে যে যুবতীদের দেখিয়া আসিয়াছি ইহারাও আকারে অলঙ্কারে অবিকল সেইরূপ</t>
  </si>
  <si>
    <t>সে পরীক্ষায় প্রথম স্থান অধিকার করেছে</t>
  </si>
  <si>
    <t>জীবনের আশীর্বাদের কথা মনে করিয়ে দিতে একটি কৃতজ্ঞতা জার্নাল রাখুন</t>
  </si>
  <si>
    <t>অস্তগামী সূর্য আকাশকে কমলা গোলাপী রঙের উজ্জ্বল বর্ণ দিয়ে আঁকে ল্যান্ডস্কেপের উপর একটি উষ্ণ আভা ঢালাই করে</t>
  </si>
  <si>
    <t>রাজবন্দি হিসেবে দীর্ঘ বৎসর বিভিন্ন পর্যায়ে কারাজীবন যাপন করেন</t>
  </si>
  <si>
    <t>ভার্চুয়াল আলিঙ্গনের জন্য পুনঃটুইট করুন</t>
  </si>
  <si>
    <t>মনে একটা বিড়ি ধরাইবার ইচ্ছা জাগিতেছিল</t>
  </si>
  <si>
    <t>বিলাতী মদে নেশা লিবর দুই থাকে মৌয়ার মদে কেবল একটী থাকে</t>
  </si>
  <si>
    <t>আশাকে আমি বিবাহ না করিলে তাঁহার মনে একটা খেদ থাকিয়া যাইবে</t>
  </si>
  <si>
    <t>তাহাদের মাথার ফুলগুলি নাচিতে লাগিল বুকের ধুক্‌ধুকি দুলিতে লাগিল</t>
  </si>
  <si>
    <t>লেনদেনের ইতিহাস অনলাইন পোর্টালের মাধ্যমে অ্যাক্সেসযোগ্য</t>
  </si>
  <si>
    <t>রায়েরবাজারের গলির ভেতর পুরনো ধরনের দোতলা বাড়ি</t>
  </si>
  <si>
    <t>একটা ঝাল কাঁচামরিচ একটা পেয়াজ</t>
  </si>
  <si>
    <t>আমি সবেমাত্র আমার ড্রাইভিং লাইসেন্স পেয়েছি আমি রাস্তায় আঘাত করতে উত্তেজিত</t>
  </si>
  <si>
    <t>ছবিটি সালে শ্রেষ্ঠ চলচ্চিত্রের জন্য একাডেমি পুরস্কার লাভ করে</t>
  </si>
  <si>
    <t>সুজন দেখিল ইহা সংকুচিত হয়</t>
  </si>
  <si>
    <t>নিজের ভালোমন্দ বুঝে চলিতে পারি না</t>
  </si>
  <si>
    <t>আমি সুমনের কথা শুনিয়া অগ্রসর হইলাম</t>
  </si>
  <si>
    <t>মেয়ে আপনি বাড়ি আসিতে চাহিলে বাপ তাকে না আনিয়া কেমন করিয়া থাকে</t>
  </si>
  <si>
    <t>দেবগুপ্তের মিত্র শশাঙ্কের সঙ্গে এক সংঘর্ষে রাজ্যবর্ধন নিহত হন</t>
  </si>
  <si>
    <t>একবেলা না খেলে কিচ্ছু যায় আসে না</t>
  </si>
  <si>
    <t>প্রতি মাসে আপনার ক্রেডিট কার্ডের ব্যালেন্স সম্পূর্ণভাবে পরিশোধ করা আপনাকে ব্যয়বহুল সুদের চার্জ এড়াতে সাহায্য করতে পারে</t>
  </si>
  <si>
    <t>দুঃখের মধ্য দিয়ে নেভিগেট করা মানসিক নিরাময় নিয়ে আসে</t>
  </si>
  <si>
    <t>হাসপাতালে তাঁহার কাজ পড়িয়াছে বলিয়া কালেজের কাছে তিনি বাসা করিয়া আছেন</t>
  </si>
  <si>
    <t>পরে দেখিলাম একটি মহিষ সভয়ে মুখ তুলিয়া আমার পাল্কীর প্রতি একদৃষ্টিতে চাহিয়া আছে তাহার গলায় কাষ্ঠঘণ্টা ঝুলিতেছে</t>
  </si>
  <si>
    <t>আমার পাল্কী দেখিতে যাবতীয় স্ত্রীলোক ছুটিয়া আসিল</t>
  </si>
  <si>
    <t>সেদিন সে নির্জিবের মতো বিছানায় পড়িয়া ছিল</t>
  </si>
  <si>
    <t>তুমি কি সাবধানে পা রাখিবে আমার হৃদয় কার্নিশে</t>
  </si>
  <si>
    <t>আপনার আর্থিক অবস্থার উন্নতির জন্য উচ্চ সুদের ঋণ পরিশোধ করা একটি অগ্রাধিকার হওয়া উচিত</t>
  </si>
  <si>
    <t>রোমান্টিক আগ্রহ থেকে প্রত্যাখ্যানের অভিজ্ঞতা হৃদয়ে ব্যথা নিয়ে আসে</t>
  </si>
  <si>
    <t>আমি একটি সুন্দর গাড়ি কিনতে চাই。</t>
  </si>
  <si>
    <t>সুমি কাজটি করিতে পারিবে</t>
  </si>
  <si>
    <t>আলো উঁচু করিয়া ধরিয়া সকলে তাহারা ভিড় করিয়া হারুকে দেখিতে লাগিল</t>
  </si>
  <si>
    <t>এখন সেখানে ভাঙা ভাঁড় ছেঁড়া পাতা</t>
  </si>
  <si>
    <t>সমস্ত রাত্রি মাতামাতি করিয়া বেলা দশটায় ঘুম ভাঙ্গার গ্লানি মাতালেই জানে</t>
  </si>
  <si>
    <t>সজীব আমাকে নিয়ে রাস্তায় হেঁটেছে</t>
  </si>
  <si>
    <t>স্থানীয় হ্রদে মাছ ধরা শান্ত হয়</t>
  </si>
  <si>
    <t>পুণ্ড্রকেস্ট্রার পুণ্ড্রভূমি অধিকাংশ ব্যক্তিই এ রোগে ভুগত</t>
  </si>
  <si>
    <t>গ্রিলড চিকেন প্রোটিনের লোভ পূরণ করে</t>
  </si>
  <si>
    <t>আমি তাকে বিশ্বাস করতে পারিনি কারন সে আমকে মিথ্যা বলেছিল</t>
  </si>
  <si>
    <t>মনে হয় এমন একটা জীবনকে সে যেন এতকাল ঠিকভাবে ব্যবহার করে নাই</t>
  </si>
  <si>
    <t>ভদ্রস্ত্রীলোকের সঙ্গে তাহার কোনোদিন কোনো পরিচয় হয় নাই</t>
  </si>
  <si>
    <t>তাহাদের প্রত্যেক গ্রামের প্রান্তে একখানি করিয়া বড় ঘর থাকে</t>
  </si>
  <si>
    <t>দেখিতে দেখিতে সকলেই জোয়াল কাঁধে তুলিয়া লইল ঠিকই তাহার জোয়াল তাহার কাঁধেই পড়িয়া রহিল</t>
  </si>
  <si>
    <t>ইহার মধ্যে সহসা একটি তেরো বৎসরের অপরিচিত অশিক্ষিত পাড়াগেঁয়ে ছেলে ছাড়িয়া দিলে কিরূপ একটা বিপ্লবের সম্ভাবনা উপস্থিত হয়</t>
  </si>
  <si>
    <t>পাঠ্যক্রমটি শিক্ষাগত চাহিদার সাথে খাপ খাইয়ে নিতে হবে</t>
  </si>
  <si>
    <t>বাবা তার সম্পত্তি ছেলেদের মধ্যে ভাগ করে দিলেন</t>
  </si>
  <si>
    <t>কখনও সময়ের হেরফের হতো না বললেই চলে</t>
  </si>
  <si>
    <t>আপনার প্রিয় উদ্ধৃতি মন্তব্য করুন</t>
  </si>
  <si>
    <t>এখনো সবুজ স্কুল হতে ফিরেনি</t>
  </si>
  <si>
    <t>বড় ঘরের অন্ধকারে মতি শুইয়া ছিল সেও তাহার ক্ষীণকণ্ঠ যতটা পারে উঁচুতে তুলিয়া ব্যাপার জানিতে চায়</t>
  </si>
  <si>
    <t>আমি পরে তাহাদের আহার ব্যবহার সকলই দেখিতাম কিছুই তাহারা আমার নিকট গোপন করিত না</t>
  </si>
  <si>
    <t>ক্রমে দু একটি পাকা দালানের সাক্ষাৎ পাওয়া যায়</t>
  </si>
  <si>
    <t>আমি সেগুলি লইয়া দাম দিতে উদ্যত হইলে সে হঠাৎ আমার হাত চাপিয়া ধরিল</t>
  </si>
  <si>
    <t>প্রায় দণ্ডেক পরে যুবা আসিয়া অতি প্রফুল্লবদনে বলিল</t>
  </si>
  <si>
    <t>নিষেধাজ্ঞা ভেঙে তিনি ভারতে ফিরে এলে আবার তাঁকে কারারুদ্ধ করা হয়</t>
  </si>
  <si>
    <t>চাপ কমাতে উত্পাদনশীলতা সর্বাধিক করতে সংগঠিত থাকুন</t>
  </si>
  <si>
    <t>এই প্রাচীন চীনা দার্শনিক খ্রিস্টপূর্ব সালে মৃত্যুবরণ করেন</t>
  </si>
  <si>
    <t>এছাড়াও আছেন এমি গ্র্যামি টনি পুরস্কার বিজয়ী ব্যক্তিত্ব</t>
  </si>
  <si>
    <t>রনি সুন্দর মুখ দেখে ভুলনা</t>
  </si>
  <si>
    <t>কান্নায় রুদ্ধকণ্ঠ হইয়া দাদার কাঁধের উপর মুখ লুকাইয়া ফুঁপাইয়া কাঁদিয়া উঠিল</t>
  </si>
  <si>
    <t>সেদিনের সেই ঘটনাটি তাহাদের ধ্বংস করে দিয়াছিল</t>
  </si>
  <si>
    <t>যে ব্যক্তির কাঠ আবশ্যককালে তাহার যে কতখানি বিস্ময় বিরক্তি অসুবিধা বোধ হইবে তাহাই উপলব্ধি করিয়া বালকেরা এ প্রস্তাবে সম্পূর্ণ অনুমোদন করিল</t>
  </si>
  <si>
    <t>ঋষির আশ্রমপ্বার্শে প্রতিবাসী বসাও তিন দিনের মধ্যে ঋষির ঋষিত্ব যাইবে</t>
  </si>
  <si>
    <t>পুরুষেরা আমায় কেহই ডাকিল না স্ত্রীলোকের চক্ষুলজ্জা আছে তাহারা হাসিয়া আমায় ডাকিল আমিও হাসিয়া তাহাদের সঙ্গে চলিলাম</t>
  </si>
  <si>
    <t>ক্ষমা অনুশীলন করুন অন্যদের নিজের প্রতি উভয়ের প্রতি</t>
  </si>
  <si>
    <t>সেদিন রাতে মা আমাকে একটি গল্প বলেছিল</t>
  </si>
  <si>
    <t>ইহা অধিকাংশ প্রোটিন সমৃদ্ধ খাবারের নিয়মিত উপাদান</t>
  </si>
  <si>
    <t>সুগন্ধি মোমবাতি শিথিলতা আনে</t>
  </si>
  <si>
    <t>স্থিতিশীলতার জন্য ভারসাম্য অনুশীলন অন্তর্ভুক্ত করুন</t>
  </si>
  <si>
    <t>পাহাড়ে কিছুই নূতন নাই কাহার সহিত সাক্ষাৎ হইবে না</t>
  </si>
  <si>
    <t>কল্য তাহা জুটিবে না</t>
  </si>
  <si>
    <t>এখন রানা স্কুল হইতে ফিরিয়া আসিবে</t>
  </si>
  <si>
    <t>তাহার মুখে আধে আধো কথাও ন্যাকামি পাকা কথাও জ্যাঠামি কথামাত্রই প্রগল্‌ভতা</t>
  </si>
  <si>
    <t>খপ্‌ করিয়া বলিয়া ফেলিলেন তুমি একলাটি রান্না করচ মা তাই একবার বসতে এলুম</t>
  </si>
  <si>
    <t>পরিবর্তনশীল মিডিয়া ল্যান্ডস্কেপের সাথে খাপ খাইয়ে নিতে সংবাদপত্রগুলো চ্যালেঞ্জের সম্মুখীন হয়েছে</t>
  </si>
  <si>
    <t>যথারীতি সেখানেও সাফল্যের স্বাক্ষর রাখলেন সিদ্দিক</t>
  </si>
  <si>
    <t>রহিম করিমের কথা শুনে অগ্রসর হয়েছিল</t>
  </si>
  <si>
    <t>সে সমুদ্রে ঘুরতে যেতে চেয়েছিল</t>
  </si>
  <si>
    <t>তাই সূর্যও খুব তাড়াতাড়ি দেখা যেত</t>
  </si>
  <si>
    <t>এই বয়সে সাধারণত নারীজাতিকে কোনো এক শ্রেষ্ঠ স্বর্গলোকের দুর্লভ জীব বলিয়া মনে ধারণা হইতে আরম্ভ হয়</t>
  </si>
  <si>
    <t>পকেট হইতে তাহার দেহতাপতপ্ত চিঠিখানি বাহির করিয়া লইল</t>
  </si>
  <si>
    <t>সাংঘাতিক আঘাত করা অপরাধে কয়েক বৎসর রহমতের কারাদণ্ড হইল</t>
  </si>
  <si>
    <t>শাকিব সজীব একসঙ্গে হাঁটিতেছে</t>
  </si>
  <si>
    <t>আমার মোটরসাইকেল একটি টিউন আপ প্রয়োজন এটা সম্প্রতি অভিনয় করা হয়েছে</t>
  </si>
  <si>
    <t>আমার বন্ধু সবেমাত্র একটি পরিবর্তনযোগ্য পেয়েছি এটা গ্রীষ্ম ড্রাইভ জন্য নিখুঁত</t>
  </si>
  <si>
    <t>মুহম্মদ মনসুর উদ্দীন ছাত্র হিসেবে মেধাবী ছিলেন</t>
  </si>
  <si>
    <t>কখনো ভাবি নাই সৎ পথে উপার্জন করাটা এতোটা কষ্টদায়ক হবে</t>
  </si>
  <si>
    <t>বালকদের শয়নঘর হইতে বহির্গত হইয়া এক ঘরে দেখি এক কাঁদি সুপক্ক মর্ত্তমান রম্ভা দোদুল্যমান রহিয়াছে</t>
  </si>
  <si>
    <t>রহিম এখন মাদ্রাসা হইতে ফিরিয়া আসিবে</t>
  </si>
  <si>
    <t>খাল দিয়া যাতায়াত করিবার সময় ভূত সাপের রাজ্যটির দিকে সে বরাবর চোখ তুলিয়া তাকায়</t>
  </si>
  <si>
    <t>তিনি ধর্মের প্রতি নিষ্ঠাবান একজন নিবেদিতপ্রাণ মুসলমান</t>
  </si>
  <si>
    <t>আমি ঘরে নামাজ পড়েছিলাম</t>
  </si>
  <si>
    <t>আঞ্চলিকতা সকল উৎসবে পায়েস প্রস্তুত করা হয়</t>
  </si>
  <si>
    <t>দূর থেকেই সে আমাকে চিনতে পেরেছে</t>
  </si>
  <si>
    <t>কোমর বাঁধিয়া সকলেই যখন মনোযোগের সহিত কার্যে প্রবৃত্ত হইবার উপক্রম করিতেছে এমন সময়ে ফটিকের কনিষ্ঠ মাখনলাল গম্ভীরভাবে সেই গুঁড়ির উপরে গিয়া বসিল</t>
  </si>
  <si>
    <t>সে আশায় গুড়ে বালি</t>
  </si>
  <si>
    <t>রাস্তায় অনেক্ষন অপেক্ষা করার পর তাহারা একটি গাড়ি দেখিতে পাইয়াছিল</t>
  </si>
  <si>
    <t>নববধুর সেই দিকে দৃষ্টি গেল</t>
  </si>
  <si>
    <t>আমি দেখলাম এটা কুচকে যায়</t>
  </si>
  <si>
    <t>রানা রনি একসাথে ওখানে ঢুকেছিল</t>
  </si>
  <si>
    <t>তিনি সালে প্রথম টুরিং পুরস্কার লাভ করেন</t>
  </si>
  <si>
    <t>আমি আমার পরিবারের ইতিহাস সম্পর্কে গল্প শুনতে ভালোবাসি</t>
  </si>
  <si>
    <t>সমাজকর্মী অভাবী পরিবারগুলিকে সহায়তা পরিষেবা প্রদান করেছেন</t>
  </si>
  <si>
    <t>তোয়ালে কাঁধে ফেলিয়া স্নান করিতে নামিয়া গেল</t>
  </si>
  <si>
    <t>তাঁহার বারংবার অনুরোধ অপেক্ষা অন্নপূর্ণার চক্রান্ত যে সফল হইল</t>
  </si>
  <si>
    <t>রনি আমাকে বই দিয়াছিল</t>
  </si>
  <si>
    <t>জঙ্গলীদের মধ্যে অদ্যাপি দেখা যায় সকলেই সাহসী ইউরোপীয় সভ্যদের অপেক্ষাও অনেক অংশে সাহসী হেতু ফলাফলবোধ নাই</t>
  </si>
  <si>
    <t>যখন পালামৌ যাওয়া আমার একান্ত স্থির হইল তখন জানি না যে সে স্থান কোন্‌ দিকে কত দূরে</t>
  </si>
  <si>
    <t>বইটি ব্যাপক জনপ্রিয়তা লাভ করেছিল</t>
  </si>
  <si>
    <t>এগ্রোফরেস্ট্রি সিস্টেমগুলি কার্বন সিকোয়েস্টেশন জীববৈচিত্র্য সংরক্ষণের মতো বাস্তুতন্ত্র পরিষেবা প্রদান করে</t>
  </si>
  <si>
    <t>স্কুবা ডাইভিং একটি রোমাঞ্চকর দুঃসাহসিক কাজ</t>
  </si>
  <si>
    <t>টাটকা বেসিল ইতালীয় খাবারগুলিকে সাজায়</t>
  </si>
  <si>
    <t>একে একে গাড়িগুলি ছেড়ে দিলে আমার গাড়ি চলতে শুরু করল。</t>
  </si>
  <si>
    <t>বন্ধুবর কন্যার সামনে যাইয়া দাঁড়াইল</t>
  </si>
  <si>
    <t>পরে পালামৌ প্রবেশ করিয়া দেখিলাম নদী গ্রাম সকলই আছে দূর হইতে তাহা কিছুই দেখা যায় নাই</t>
  </si>
  <si>
    <t>অন্তঃপুরে ইহাতে অনেক আপত্তি উঠিয়াছিল</t>
  </si>
  <si>
    <t>উঠিয়া দাঁড়াইয়া কহিল অনেক রাত্রি হয়েছে বৌঠান আমি চললাম</t>
  </si>
  <si>
    <t>তুমি কি তাদের দেখেছিলে</t>
  </si>
  <si>
    <t>রাষ্ট্রপতি সাংবিধানিক অধিকার স্থগিত করতে পারেন</t>
  </si>
  <si>
    <t>সফ্টওয়্যার ইঞ্জিনিয়ার ওয়েবসাইটের কর্মক্ষমতা অপ্টিমাইজ করার জন্য অ্যালগরিদম তৈরি করেছেন</t>
  </si>
  <si>
    <t>সুফলের গান শুনবে তো এসো</t>
  </si>
  <si>
    <t>ফায়ারফ্লাইসের নরম আভা তাদের জাদুকরী আলো দিয়ে অন্ধকারকে আলোকিত করে রাতকে আলোকিত করে</t>
  </si>
  <si>
    <t>বুক পাতিয়া আমার মুখপ্রতি চাহিয়া রহিল</t>
  </si>
  <si>
    <t>প্রায় দুই দিবস আহার হয় নাই আহার সম্বন্ধীয় কথা শুনিবামাত্র ক্ষুধা অধিকতর প্রদীপ্ত হইল</t>
  </si>
  <si>
    <t>আমার ভ্রাতা মাঠে কাজ করিতেছে</t>
  </si>
  <si>
    <t>আপনি যে আমাকে গান শেখাবেন বলেছিলেন</t>
  </si>
  <si>
    <t>জলবায়ু স্মার্ট কৃষির লক্ষ্য কৃষিতে জলবায়ু পরিবর্তনের প্রভাবগুলির সাথে খাপ খাইয়ে নেওয়া হ্রাস করা</t>
  </si>
  <si>
    <t>যাওয়ার সময় দরজাটা ধড়াম করে লাগিয়ে রাগ দেখিয়ে গেল</t>
  </si>
  <si>
    <t>আমাকে দেখে কেউ হাসবে না</t>
  </si>
  <si>
    <t>হংকংয়ের অর্থনীতি অনেক শক্তিশালী</t>
  </si>
  <si>
    <t>ব্যায়াম শান্ত বিস্ময় নিয়ে আসে</t>
  </si>
  <si>
    <t>ফটিককে জিজ্ঞাসা করিলেন কেমন রে ফটিক মামার সঙ্গে কলকাতায় যাবি</t>
  </si>
  <si>
    <t>এমনি বাপের শাসনে শশী মানুষ হইয়াছিল</t>
  </si>
  <si>
    <t>আবার সকলের মাথায় বনপুষ্প কর্ণে বনপুষ্প ওষ্ঠে হাসি</t>
  </si>
  <si>
    <t>আমি তাহাকে জিজ্ঞেস করিয়াছিলাম তাহার পরীক্ষার পড়া কতটুকু শেষ হইয়াছে</t>
  </si>
  <si>
    <t>সেদিনের সেই দুঃসংবাদটি তাকে হিতাহিতজ্ঞানশূন্য করে তুলেছিল</t>
  </si>
  <si>
    <t>সুপ্রিম নির্বাচনী কাউন্সিল ভোটার নিবন্ধন নির্বাচন পরিচালনা করে থাকে</t>
  </si>
  <si>
    <t>আমরা সবাই একসাথে খেলতেছি</t>
  </si>
  <si>
    <t>আমি এই কাজটি অনেক আগেই শেষ করেছি</t>
  </si>
  <si>
    <t>শিক্ষাগত হস্তক্ষেপের লক্ষ্য সকল শিক্ষার্থীর জন্য একাডেমিক সাফল্যকে উন্নীত করা</t>
  </si>
  <si>
    <t>মাথা হেলাইয়া আমায় দেখিতে লাগিল</t>
  </si>
  <si>
    <t>অন্ধকার ঘরের মধ্যে কেমন করিয়া সে ভয়ে মড়ার মত পড়িয়াছিল</t>
  </si>
  <si>
    <t>নিরাশ হইয়া আবার নীরবে দেয়ালের দিকে মুখ করিয়া পাশ ফিরিয়া শুইল</t>
  </si>
  <si>
    <t>আপনাকে সামলাইয়া জোর দিয়া বলিয়া উঠিল নিশ্চয় পায়</t>
  </si>
  <si>
    <t>গুরুর সম্মান সর্বোচ্চ না হইলে বিপদ ঘটিবে</t>
  </si>
  <si>
    <t>সালের মধ্যে তিনি বিদেশী নর্তকী হিসাবে জনপ্রিয়তা অর্জন করেন</t>
  </si>
  <si>
    <t>প্রযুক্তিগত উন্নত করার জন্য আমাদের অনুসরণ করুন</t>
  </si>
  <si>
    <t>এরপর সেগুলোকে ব্যাচ অনুযায়ী ভাগ করতাম</t>
  </si>
  <si>
    <t>রাজু এখন ভাত খাবে না</t>
  </si>
  <si>
    <t>মার্জিত প্লেটিং ডাইনিং অভিজ্ঞতা বাড়ায়</t>
  </si>
  <si>
    <t>ভোগে নয় ত্যাগেই বড়ই সত্য বাক্য</t>
  </si>
  <si>
    <t>আমি তাহাই শুনিয়াছিলাম রাধে মন্যুং</t>
  </si>
  <si>
    <t>চুল কাটিয়া যে টাকা বাচিবে তাতে খাতা কলম কিনিতে হইবে</t>
  </si>
  <si>
    <t>তাহারাও সাহেবদের অধিকারে ক্রমে লোপ পাইতেছে</t>
  </si>
  <si>
    <t>শরীরের প্রতি সে অত্যন্ত অবহেলা করিত</t>
  </si>
  <si>
    <t>সালাম হচ্ছে শান্তির আদান প্ৰদান</t>
  </si>
  <si>
    <t>ছোট জিনিসের মধ্যে আনন্দ খুঁজুন</t>
  </si>
  <si>
    <t>তার থেকে রফিক অনেক ভালো</t>
  </si>
  <si>
    <t>কার্ডিও শক্তি প্রশিক্ষণ মিশ্রিত করুন</t>
  </si>
  <si>
    <t>রুই জাতীয় অন্যান্য মাছের সাথে এই মাছ সহজেই চাষ করা যায়</t>
  </si>
  <si>
    <t>এক মিনিট দাঁড়াইয়া অকারণে বাড়ির সকলের কুশল জিজ্ঞাসা করে</t>
  </si>
  <si>
    <t>সে তাহার ভুল বুঝতে পারিয়া অনুতপ্ত হইয়াছিল</t>
  </si>
  <si>
    <t>প্রহর চলিয়া গিয়া বেলা হইয়া আসিলো</t>
  </si>
  <si>
    <t>সে রাত্রে আমার গায়েতেই কি কিছু লেখা ছিল—অথচ তুমি পড়েছিলে</t>
  </si>
  <si>
    <t>আমি বাজার করিতে গিয়াছিলাম</t>
  </si>
  <si>
    <t>কুড়া ছিল তার প্রিয় পাখি</t>
  </si>
  <si>
    <t>নীলগঞ্জ জুমা মসজিদের আলাদা ইমাম আছে</t>
  </si>
  <si>
    <t>নিজের কাজকে ভালোবাসতে না পারেন তাইলে কখনো সুখী জীবন পরিচালনা করতে পারবেন না</t>
  </si>
  <si>
    <t>আমি ঈদের জন্য টাকা জমালাম</t>
  </si>
  <si>
    <t>দ্বিতীয় বিশ্বযুদ্ধ শুরু হবার পর তিনি জাপানে ফিরে আসেন</t>
  </si>
  <si>
    <t>কুসুমের হাত হইতে প্রদীপটা ছিনাইয়া লইয়া রান্নাঘরে গিয়া উনানে পাটখড়ি ধরাইয়া সে প্রদীপ জ্বলিল</t>
  </si>
  <si>
    <t>তুমি আজকে আসিতে আমি যাইতাম তোমার সাথে</t>
  </si>
  <si>
    <t>রহিম বাজারে গিয়াছিল মাছ কিনিতে</t>
  </si>
  <si>
    <t>আনন্দে দুই চোখ দিয়া জল পড়িতে লাগিল বাপও কাঁদে মেয়েও কাঁদে দুইজনে কেহ কথা কহিতে পারে না</t>
  </si>
  <si>
    <t>ডোবার মধ্যে সারাবছর ধরিয়া গজানো আগাছার জঙ্গল এখন বর্ষার টুবু টুবু জলের তলে হাঁপাইয়া হাপাইয়া বিষাক্ত হইয়া উঠিয়াছে</t>
  </si>
  <si>
    <t>তুমি কোথা থেকে আসছো</t>
  </si>
  <si>
    <t>এটা তো ঠিক না</t>
  </si>
  <si>
    <t>সুমন আমার এটা শুনলো না</t>
  </si>
  <si>
    <t>সংঘাস ছিলেন ময়াহন গ্রন্থের পন্ডিৎ</t>
  </si>
  <si>
    <t>কার্তিক মাসে পূজার ছুটি সে এখনো ঢের দেরি</t>
  </si>
  <si>
    <t>তাহার গায়ের রঙটা কিছু উগ্ররকমের সাদা হলদের আভা তাহাকে একটুও স্পিস্নগ্ধ করিয়া আনে নাই</t>
  </si>
  <si>
    <t>বৃষ্টির সময় আমি গাড়ি থেকে নামিয়া বারান্দায় দাঁড়াইয়াছিলাম</t>
  </si>
  <si>
    <t>খোলা জানালার সামনে একটা চৌকি টানিয়া লইয়া পথের পানে চাহিয়া বসিয়াছিল</t>
  </si>
  <si>
    <t>প্রকৃতির পথচলা অন্বেষণ নির্মল ব্যায়াম প্রদান করে</t>
  </si>
  <si>
    <t>আমার দাদা দাদির বিয়ে হয়েছে ষাট বছরেরও বেশি সময় ধরে</t>
  </si>
  <si>
    <t>রাত হয়েছে মেলা বারোটার কম না</t>
  </si>
  <si>
    <t>পাইন সূঁচের ঘ্রাণ বাতাসে ভরে যায় কাছের বন থেকে বাতাসে বহন করে</t>
  </si>
  <si>
    <t>আবার এদিকে উভয় পক্ষে গোপনে গোপনে বিবাহের আয়োজনও আরম্ভ করে</t>
  </si>
  <si>
    <t>মৌরি দুর্ব্বল নহে তৎসম্বন্ধে একজন সাহেব লিখিয়াছেন</t>
  </si>
  <si>
    <t>মাথার এইখানটায় একটু বেদনা বোধ হচ্ছে গুরুতর কিছুই নয়</t>
  </si>
  <si>
    <t>এই অকাল তত্ত্বজ্ঞানী মানব সকলপ্রকার ক্রীড়ার অসারতা সম্বন্ধে নীরবে চিন্তা করিতে লাগিল</t>
  </si>
  <si>
    <t>আমার নিজ সম্বন্ধে যাহা বলিতেছিলাম তাহা ইহজন্মের স্মৃতি</t>
  </si>
  <si>
    <t>বড় রাস্তায় আবারো একটা মশাল মিছিল</t>
  </si>
  <si>
    <t>অ্যাডভেঞ্চার অধ্যবসায় অভিযোজনযোগ্যতা সম্পর্কে মূল্যবান জীবনের পাঠ শেখাতে পারে</t>
  </si>
  <si>
    <t>বেশি পরিশ্রম করতে হবে না</t>
  </si>
  <si>
    <t>সেখানে আমি ট্রেন আসার অপেক্ষায় থাকতাম</t>
  </si>
  <si>
    <t>শেষে আমি রহিম হতে ভালো ফলাফল করলাম</t>
  </si>
  <si>
    <t>আমি তাহা দেখিয়া বলিলাম মহোদয় আপনি কি কোন ক্ষুর কাচি ছাড়াই আমার চুল গুলোকে কাটিয়া দিবেন</t>
  </si>
  <si>
    <t>আপনি লক্ষ করিয়া থাকিবেন যে আমি কথাবার্তা বিলকুল বহির ভাষাতেই করিয়া থাকি</t>
  </si>
  <si>
    <t>রানা রনির নিকটে চিঠি লিখিয়াছে</t>
  </si>
  <si>
    <t>সকাল ক্রমে বিকাল হইয়া গেল বিকাল সন্ধ্যা হয়</t>
  </si>
  <si>
    <t>রানা রনি একসঙ্গে ঐখানে প্রবেশ করিয়াছিল</t>
  </si>
  <si>
    <t>আপনি লেনদেনের জন্য একটি রসিদ প্রদান করতে পারেন</t>
  </si>
  <si>
    <t>সংবাদপত্রের মৃত্যুর অংশটি যারা মারা গেছে তাদের জীবনকে সম্মান করে</t>
  </si>
  <si>
    <t>সার্কিট প্রশিক্ষণ দক্ষতার সাথে ব্যায়াম মিশ্রিত করে</t>
  </si>
  <si>
    <t>বৌদ্ধধর্ম চারটি নোবেল সত্য অষ্টমুখী পথের মাধ্যমে জ্ঞানার্জনের পথ শেখায়</t>
  </si>
  <si>
    <t>যে বঙ্গবাসীর গৃহে আতিথ্য স্বীকার করিতে যাইতেছিলাম তাঁহার উদ্যানে গাড়ী প্রবেশ করিলে তাহা কোনো ধনবান ইংরেজের হইবে বলিয়া আমার প্রথমে ভ্রম হইল</t>
  </si>
  <si>
    <t>এত নিকট দিয়া যাইতেছে যে পর্ব্বতস্থ ক্ষুদ্র ক্ষুদ্র প্রস্তরের ছায়া পর্য্যন্ত দেখা যাইতেছে</t>
  </si>
  <si>
    <t>কথাটা ভাল করিয়া শেষ না হইতেই একজন ছাঁটা দাড়ি টেরি চশমাধারী যুবক চোখ টিপিয়া দাঁত বাহির করিয়া বলিয়া বসিল মনের দুঃখে নাকি সতীশ</t>
  </si>
  <si>
    <t>আলোচনার দক্ষতা পারস্পরিক উপকারী চুক্তিগুলিকে সহজতর করে</t>
  </si>
  <si>
    <t>লেনদেন একটি নিরাপদ নেটওয়ার্কের মাধ্যমে পরিচালিত হয়েছিল</t>
  </si>
  <si>
    <t>কোন বিষয়ে সিদ্ধান্ত নিতে না পারল জনকে সমস্যার কথা বলবেন</t>
  </si>
  <si>
    <t>বন্য ফুলের ঘ্রাণ বাতাসে ভেসে ওঠে তাদের সূক্ষ্ম সুবাসে বাতাসকে সুগন্ধি দেয়</t>
  </si>
  <si>
    <t>স্কুল শেষে খেলতে যাব</t>
  </si>
  <si>
    <t>আলো জ্বালিয়া শ্যাওড়াগাছের সঙ্গে নৌকা বাঁধিয়া গোবর্ধন উপরে উঠিয়া গেল</t>
  </si>
  <si>
    <t>ভাবিলাম—না করুক আমি রবাহূত যাইব</t>
  </si>
  <si>
    <t>পারিবো না এ কথাটি বলিয় না একবার না পারিলে দেখো শতবার</t>
  </si>
  <si>
    <t>চাকর উদর ভরিয়া রম্ভা খাইল</t>
  </si>
  <si>
    <t>সে তার পরীক্ষা নিয়ে এখন খুবই ব্যস্ত আছে</t>
  </si>
  <si>
    <t>আমি তোমার কথা বলতে এসেছিলাম</t>
  </si>
  <si>
    <t>আমি এক কাপ কফি সকালের সংবাদপত্র দিয়ে আমার দিন শুরু করা উপভোগ করি</t>
  </si>
  <si>
    <t>সেদিন বিকেলে আমরা ঘুরতে গিয়েছিলাম</t>
  </si>
  <si>
    <t>তার পছন্দের অবস্থান ছিল সেন্টার ব্যাক</t>
  </si>
  <si>
    <t>এই সময় নববধূর পিতা অন্দরে আসিতেছিলেন</t>
  </si>
  <si>
    <t>সে আমার ডাক শুনিতে পাইলো না</t>
  </si>
  <si>
    <t>পলাণ্ডু হিন্দুধর্ম্মের বড় বিরোধী</t>
  </si>
  <si>
    <t>শুনিতেছি গণনায় বঙ্গবাসীদের সংখ্যা বাড়িতেছে</t>
  </si>
  <si>
    <t>গেটের উপর দিয়ে তিনি রাজহাঁসটা ভেতরে ছুঁড়ে দিলেন</t>
  </si>
  <si>
    <t>রনি আজ স্কুলে যাবে না</t>
  </si>
  <si>
    <t>একটি ইতিবাচক মনোভাব রাখুন আশাবাদ সংক্রামক</t>
  </si>
  <si>
    <t>আবেগ দ্বারা অভিভূত বোধ বিভ্রান্তি নিয়ে আসে</t>
  </si>
  <si>
    <t>আমার সহকর্মীদের দ্বারা প্রশংসিত বোধ আমার আত্মবিশ্বাস বাড়ায়</t>
  </si>
  <si>
    <t>মেয়েটি একটি পুতুল কেনার জন্য বাবার কাছে কান্না করিতেছিল</t>
  </si>
  <si>
    <t>আকাশে একটি সুন্দর চাঁদ উঠিয়াছে</t>
  </si>
  <si>
    <t>তাহাদের স্ত্রীজাতিরাই বলিষ্ঠা আশ্চর্য্য কান্তিবিশিষ্টা</t>
  </si>
  <si>
    <t>দুপুরের মধ্যেই সে কাজ শেষ করে বাড়ি ফিরে এসেছে。</t>
  </si>
  <si>
    <t>এতে আপনার চিন্তা শেয়ার করুন</t>
  </si>
  <si>
    <t>একটি প্রাচীন শহরের ধ্বংসাবশেষে তারা একটি বিস্মৃত সভ্যতার ধ্বংসাবশেষ আবিষ্কার করেছিল</t>
  </si>
  <si>
    <t>খার কথার অর্থ হল পাপ চি কথার অর্থ হল পরিষ্কার বা মোচন করা</t>
  </si>
  <si>
    <t>এটি ব্যক্তিদের তাদের আরামের অঞ্চল থেকে অজানাতে ঠেলে দেয়</t>
  </si>
  <si>
    <t>তিনি ভাল পাস ট্যাক্‌ল করতে পারতেন হেড করাতেও দক্ষ ছিলেন</t>
  </si>
  <si>
    <t>আমি আশ্চর্য্য হইয়া ভাবিতেছি এমত সময়ে আবার এক দিকে শব্দিত হইল রাধে মন্যুং ইত্যাদি</t>
  </si>
  <si>
    <t>সাহেবি ধরণে চলিলাম নিঃসঙ্কোচচিত্তে</t>
  </si>
  <si>
    <t>নিজে রাঁধিয়া খাইতে হয় গ্রামের একটি পিতৃমাতৃহীন অনাথা বালিকা তাঁহার কাজকর্ম করিয়া দেয় চারিটি চারিটি খাইতে পায়</t>
  </si>
  <si>
    <t>তারা একসাথে গাড়িতে চড়ে বেড়াতে যাবে</t>
  </si>
  <si>
    <t>তাই আমার দিন শুরু হতো বাইরে অন্ধকার থাকতে থাকতে</t>
  </si>
  <si>
    <t>তখন থেকেই প্রতি বৎসর এই দিবস পালিত হয়ে আসছে</t>
  </si>
  <si>
    <t>এই পুরাকীর্তিটিও নব্বইয়ের দশকে ধ্বংশ হয়ে গেছে</t>
  </si>
  <si>
    <t>নীলগঞ্জে তাঁকে কাঁথা গায়ে দিয়ে ঘুমুতে হয়</t>
  </si>
  <si>
    <t>যে যাহার কর্ম ফল লইয়া আসিআছে ভোগ না করিয়া উপায়</t>
  </si>
  <si>
    <t>সে বলিল আত্নীয় পরিজন ছেড়ে সুদূর বিদেশে যাওয়া আমার ঠিক হইবে না</t>
  </si>
  <si>
    <t>সে শীতের ভয়ে সন্ধ্যার পূর্বেই খনখন ঝনঝন শব্দ করিয়া মাজা ধোয়া সারিয়া লইতেছিল</t>
  </si>
  <si>
    <t>সালে রাণী ভিক্টোরিয়া তাকে রয়েল রেডক্রস পদক প্রদান করেন</t>
  </si>
  <si>
    <t>সেপাহীরা বাধাঁ দিলে যুদ্ধ বেধে যায়</t>
  </si>
  <si>
    <t>আপনার লক্ষ্য লাইক মন্তব্য করুন</t>
  </si>
  <si>
    <t>আর্থিক স্থিতিশীলতার জন্য নিয়মিত অর্থ সঞ্চয় করা একটি মূল অভ্যাস</t>
  </si>
  <si>
    <t>অপরাধমূলক অবহেলার মধ্যে বেপরোয়া বা অসতর্কতা জড়িত যা ক্ষতির দিকে নিয়ে যায়</t>
  </si>
  <si>
    <t>আমি তোমার নিকট আসিয়াছিলাম</t>
  </si>
  <si>
    <t>এই জঙ্গল দিয়া আসিতে তাহার সঙ্গীরা সকলে মরিয়াছে</t>
  </si>
  <si>
    <t>বিবাহযোগ্য হইলে তাহারা পিতৃগৃহে রাত্রি যাপন করিতে পায় না</t>
  </si>
  <si>
    <t>সে অনেক অসুস্থ ছিলো তাই আমি তাহাকে ওষুধ কিনিয়া দিয়াছিলাম</t>
  </si>
  <si>
    <t>ফল তোমার সম্বন্ধে বিশেষ কিছুই হয় না আমার সম্বন্ধে কিঞ্চিৎ হয়</t>
  </si>
  <si>
    <t>আপনার চিন্তাভাবনা আচরণের অন্তর্দৃষ্টি পেতে আত্ম প্রতিফলন অনুশীলন করুন</t>
  </si>
  <si>
    <t>সুস্বাদু পাই উষ্ণ শীতের সমাবেশ</t>
  </si>
  <si>
    <t>তার নাম মহিউল ইসলাম মিঠু</t>
  </si>
  <si>
    <t>তাদের মতে এটি ছিল প্রথম দেখায় প্রেম</t>
  </si>
  <si>
    <t>কালকে আকাশে অনেক মেঘ ছিলো পরে বৃষ্টি হয়েছিল</t>
  </si>
  <si>
    <t>তুমি শীঘ্র যাও মাকে ফিরাইয়া আনো গে</t>
  </si>
  <si>
    <t>সেই তাহার পক্ষে ধৈর্য রক্ষা করা দুঃসাধ্য হইয়া উঠিল</t>
  </si>
  <si>
    <t>আজ তোমাকে আমি ছেড়ে দিতে পারতুম কি না</t>
  </si>
  <si>
    <t>যুবকের হৃদয় ভাঙ্গিবার সাধ জাগিলে তোমারে বলপ্রয়োগ পূর্বক দেখা করিবার প্রয়াস চালাইবোনা</t>
  </si>
  <si>
    <t>গ্যাস্ট্রাইটিস হল পেটের আস্তরণের প্রদাহ প্রায়ই পেটে ব্যথা অস্বস্তি সৃষ্টি করে</t>
  </si>
  <si>
    <t>অপরাধী নেটওয়ার্কের মধ্যে মানি লন্ডারিং একটি সাধারণ অভ্যাস</t>
  </si>
  <si>
    <t>যান্ত্রিক যানবাহনগুলিকে সুচারুভাবে চালানোর জন্য নিয়মিত রক্ষণাবেক্ষণ করেন</t>
  </si>
  <si>
    <t>ইহুদি ধর্ম ঈশ্বর আব্রাহামের মধ্যে চুক্তি থেকে তার উত্স খুঁজে পায়</t>
  </si>
  <si>
    <t>চিরকাল বালকের মত রূপ দেখিয়া থাকি এই জন্য আমি যাহা দেখি তাহা অন্যকে বুঝাইতে পারি না</t>
  </si>
  <si>
    <t>মা আপনাকে আজ আহারের নিমন্ত্রণ করে পাঠিয়েছেন</t>
  </si>
  <si>
    <t>মনোনীত কথাটি ঠিক</t>
  </si>
  <si>
    <t>কোলেরা সকলেই বিবাহ করে</t>
  </si>
  <si>
    <t>আমি সুমনকে খেতে দিয়েছিলাম</t>
  </si>
  <si>
    <t>তোমার গবেষণার ফলাফল কেমন হয়েছে</t>
  </si>
  <si>
    <t>যুদ্ধের পর তিনি তার অভিজ্ঞতা নিয়ে বই লেখা শুরু করেন</t>
  </si>
  <si>
    <t>তিনি মৃত্যুবরণ করেন ই আগষ্ট</t>
  </si>
  <si>
    <t>ফৌজদারি বিচার পেশাদাররা ন্যায়বিচার জননিরাপত্তা বজায় রাখতে অক্লান্ত পরিশ্রম করে</t>
  </si>
  <si>
    <t>আবেগপ্রবণ হইয়ে বাবা তাহার পুত্রের সামনে দাঁড়াইয়াছিলো</t>
  </si>
  <si>
    <t>তাহা যেন হঠাৎ বাজিয়া উঠিল</t>
  </si>
  <si>
    <t>আমি তাহাকে বিশ্বাস করিতে পারিনি কারন সে আমকে মিথ্যা বলিয়াছিল</t>
  </si>
  <si>
    <t>যাহাদের দৃষ্টি ক্ষুদ্র তাহারা কেবল সামান্য বিষয়ের প্রতিই দৃষ্টি রাখে অন্য বিষয় দেখিতে পায় না তাহারা যথার্থই নীচ</t>
  </si>
  <si>
    <t>নদীর কুলে বসিয়া কবিতা লিখিলে মনে প্রফুল্ল হইয়া যায়</t>
  </si>
  <si>
    <t>কনকশন হল মাথায় আঘাতের কারণে মস্তিষ্কের আঘাত যার ফলে সাময়িক বিভ্রান্তি বা চেতনা হারিয়ে যায়</t>
  </si>
  <si>
    <t>পুরস্কারের অর্থ মূল্য এক লক্ষ টাকা</t>
  </si>
  <si>
    <t>সে আমাকে মিথ্যা বলে চলে গিয়েছিল</t>
  </si>
  <si>
    <t>প্রযুক্তি একীকরণ শিক্ষাগত অভিজ্ঞতা বাড়ায়</t>
  </si>
  <si>
    <t>রাত এগারোটার মতো বাজে</t>
  </si>
  <si>
    <t>তাই ত জানিনে মামার বাড়িতে মানুষ হয়েছিলাম</t>
  </si>
  <si>
    <t>তাদের বাড়ির সামনের নদীর পাশে সে তাহার বন্ধুর সাথে দাঁড়াইয়া ছিলো</t>
  </si>
  <si>
    <t>এ বাসায় ত একদিনও থাকা চলিবে না</t>
  </si>
  <si>
    <t>অসহ্য বোধ হওয়াতে একদিন ফটিক তাহার মামির কাছে নিতান্ত অপরাধীর মতো গিয়া কহিল বই হারিয়ে ফেলেছি</t>
  </si>
  <si>
    <t>আমি তোমাকে বোঝাতে পারছি না</t>
  </si>
  <si>
    <t>তোমার মতো হাজার হাজার জনতা এসে তার দরজায় ভিড় করে</t>
  </si>
  <si>
    <t>রহিম বিদ্যালয় থেকে শিক্ষা নিয়ে আসবে</t>
  </si>
  <si>
    <t>এটি শিখদের উপাসনালয়ের চিহ্ন</t>
  </si>
  <si>
    <t>সালে তাহাদের সংখ্যা এক লক্ষ ছিল</t>
  </si>
  <si>
    <t>শচীশকে যখন দেখিলাম অমনি যেন তার অন্তরাত্মাকে দেখিতে পাইলাম</t>
  </si>
  <si>
    <t>দিবাকর কাছে আসিয়া বলিল কত বই কি হয়েই আছে বৌদি</t>
  </si>
  <si>
    <t>এ দিকে বিবাহের দিন নিকট হইয়া আসিয়াছে</t>
  </si>
  <si>
    <t>রানা রিতা কে দিয়ে কাজটি করিয়ে নিয়েছে</t>
  </si>
  <si>
    <t>শিক্ষার পরিবেশ নিরাপদ শেখার উপযোগী হওয়া উচিত</t>
  </si>
  <si>
    <t>তাঁর অনুবাদ প্রাঞ্জল একই সঙ্গে তা মূলের প্রতি অনুগত সুললিত</t>
  </si>
  <si>
    <t>পাশাপাশি হাঁটছে কৌতূহলী চোখে তাকে দেখছে</t>
  </si>
  <si>
    <t>ভাঙাচোরা ধ্বংসাবশেষকে স্কেলিং করে তারা অমূল্য নিদর্শনগুলির সন্ধানে জীবন অঙ্গ ঝুঁকি নিয়েছিল</t>
  </si>
  <si>
    <t>সুভ সুমার নিকট বই চাহিয়াছিল</t>
  </si>
  <si>
    <t>সেদিন তাহার মনের ভেতর এক অস্বস্তিকর অনুভূতি বিরাজ করিতেছিল</t>
  </si>
  <si>
    <t>ভাবী শ্বশুরকুলের প্রতি যে তাহার খুব একটা ভক্তি কিংবা অনুরাগ জন্মিতেছে তাহা বলা যায় না</t>
  </si>
  <si>
    <t>তা কেমন করিয়া হবে এখনও যে এ গল্পের অনেক বাকি আমারও সেই ওজর</t>
  </si>
  <si>
    <t>কাজের জন্য আবার পড়ালেখা স্কুলের প্রতি অবহেলা করলে চলবে না</t>
  </si>
  <si>
    <t>আমি সাজুকে ঘরে খেতে বলেছিলাম</t>
  </si>
  <si>
    <t>পৃথকীকৃত নির্দেশনা পৃথক ছাত্রের চাহিদা পূরণ করে</t>
  </si>
  <si>
    <t>তাকে খুঁজে বের করলাম</t>
  </si>
  <si>
    <t>দেশটির কোন নিয়মিত সেনাবাহিনী নেই</t>
  </si>
  <si>
    <t>কন্যার চেহারা দেখিয়া শয়ং ক্লিওপেট্রা লজ্জিত হইবে</t>
  </si>
  <si>
    <t>আদিম অবস্থায় সকল পুরুষই সাহসী ছিল</t>
  </si>
  <si>
    <t>ছিটিকিনি খুলে পড়ে গেছে</t>
  </si>
  <si>
    <t>পালামৌ সম্বন্ধে দুটা কথা বলা আবশ্যক</t>
  </si>
  <si>
    <t>তার মুখ রক্তশূণ্য ফ্যাকাসে হয়ে গিয়েছিল</t>
  </si>
  <si>
    <t>তিনি সালে পদার্থ বিজ্ঞানে নোবেল পুরস্কার লাভ করেন</t>
  </si>
  <si>
    <t>কনট্যুর লাঙল টেরেসিংয়ের মতো অনুশীলনের মাধ্যমে মাটির ক্ষয় কমানো যেতে পারে</t>
  </si>
  <si>
    <t>আপনার জন্য উপযুক্ত কার্যকলাপ চয়ন করুন</t>
  </si>
  <si>
    <t>লেনদেন অবিলম্বে প্রক্রিয়া করা হয়েছে</t>
  </si>
  <si>
    <t>জীবনটা সহসা তাহার কাছে অতি কাম্য উপভোগ্য বলিয়া মনে হয়</t>
  </si>
  <si>
    <t>আসলে সে করে সম্পত্তি কেনাবেচা টাকা ধার দেওয়া</t>
  </si>
  <si>
    <t>আমরা সবাই একসঙ্গে কাজ করিব</t>
  </si>
  <si>
    <t>আমি দ্বারের বাহিরে গিয়া পাহারাওয়ালাকে দাঁড় করাইলাম জিজ্ঞাসা করিলাম ব্যাপারটা কী</t>
  </si>
  <si>
    <t>আমাকে বাথরুমে বসে থাকতে হবে কেন</t>
  </si>
  <si>
    <t>তখনকার মাদ্রাজ ধনুশকরি মেইল সবসময় দেরি করত</t>
  </si>
  <si>
    <t>সামরিক অফিসার তাকে সে অবস্থায় গ্রেফতার করেন</t>
  </si>
  <si>
    <t>কিছুদিন আগে আমি আমার এক বন্ধুর সাথে আলাপ করছিলাম</t>
  </si>
  <si>
    <t>খোসার উপরটা মখমলের মত</t>
  </si>
  <si>
    <t>রহিম করিম বেড়াইতে যাইবে</t>
  </si>
  <si>
    <t>আমি কখন কবির চক্ষে রূপ দেখি নাই</t>
  </si>
  <si>
    <t>এখন এখানে কদলীর অভাব নাই</t>
  </si>
  <si>
    <t>অনেক স্থলে উভয়প্বার্শস্থ লতা পল্লব পাল্কী স্পর্শ করিতে লাগিল</t>
  </si>
  <si>
    <t>আমার আবেগের জন্য বৈধতা প্রাপ্তি সান্ত্বনা নিয়ে আসে</t>
  </si>
  <si>
    <t>ডিভাইসটির কর্মক্ষমতা আমার প্রত্যাশা ছাড়িয়ে গেছে</t>
  </si>
  <si>
    <t>ঋতু তাকে দিয়ে কাজটি করিয়ে নিয়েছে</t>
  </si>
  <si>
    <t>গৃহ উন্নয়ন প্রকল্পগুলি পরিপূর্ণতা নিয়ে আসে</t>
  </si>
  <si>
    <t>তিনি নিখুঁত সৌন্দর্যময় চিত্রকর্মের জন্য বিখ্যাত</t>
  </si>
  <si>
    <t>তুমি কি আমার বইটি দিয়েছো</t>
  </si>
  <si>
    <t>সুমনের পিতা মাঠে কাজ করিতে গিয়াছে</t>
  </si>
  <si>
    <t>ঘুমন্ত চোখ খুলিয়াই সে শিশুর দিকে তাকাইয়া দেখিল শিশুটি গাঢ় নিদ্রায় অচেতন হইয়াছিল</t>
  </si>
  <si>
    <t>সোমা আমাদের তার ঘরে বসতে বলেছিল</t>
  </si>
  <si>
    <t>সক্রিয় থাকুন বয়স্কভাবে সব সময়</t>
  </si>
  <si>
    <t>মাটি পরীক্ষা উপযুক্ত সার প্রয়োগের জন্য মাটিতে পুষ্টির মাত্রা নির্ধারণ করতে সাহায্য করে</t>
  </si>
  <si>
    <t>অসুস্থ ব্যক্তির জন্য আমি কিছু ফল কিনেছিলাম。</t>
  </si>
  <si>
    <t>নির্ভুল কৃষি ফসল উৎপাদন অপ্টিমাইজ করতে প্রযুক্তি ব্যবহার করে</t>
  </si>
  <si>
    <t>আঘাতের বেদনা তুলিয়া মোক্ষদা হাউমাউ করিয়া উঠে</t>
  </si>
  <si>
    <t>কোনো কিছু বুঝিবার চাহি না তোমাকে আসিতে হইবে</t>
  </si>
  <si>
    <t>আমি ভাষায় কথা কহিতে পারি</t>
  </si>
  <si>
    <t>কথাটা শুনিয়া কেমন কানে খট করিয়া উঠিল</t>
  </si>
  <si>
    <t>সে বিশ্বাস করিল না বলিল না তুমি সাহেব</t>
  </si>
  <si>
    <t>শরিফ আমার সাথে সব বই পড়ল</t>
  </si>
  <si>
    <t>সংবাদপত্রের সম্পাদকীয় বোর্ড বিভিন্ন বিষয়ে প্রকাশনার অফিসিয়াল অবস্থান প্রকাশ করে</t>
  </si>
  <si>
    <t>ইয়েস বস ইয়েস বস এটি সালের একটি বলিউড চলচ্চিত্র</t>
  </si>
  <si>
    <t>সালের নির্বাচনে জয়লাভ করেন কংগ্রেসের আনন্দীলাল পোদ্দার</t>
  </si>
  <si>
    <t>তাকে যেতে হবে মালিবাগ</t>
  </si>
  <si>
    <t>বাকি জীবন আরামে কাটাইয়া দিতে পারবে</t>
  </si>
  <si>
    <t>বঙ্গসমাজের আভ্যন্তরীণ ব্যাপার কি একবার অনুসন্ধান করিলে ভাল হয় না</t>
  </si>
  <si>
    <t>সে গতকাল একটা নতুন গাড়ি কিনিয়াছে</t>
  </si>
  <si>
    <t>নড়িয়া চড়িয়া শশী একসময় সোজা হইয়া বসে</t>
  </si>
  <si>
    <t>এ নিষ্ঠুরতার ফল এক দিন আমায় অবশ্য পাইতে হইবে</t>
  </si>
  <si>
    <t>ওটিটিস মিডিয়া হল মধ্যকর্ণের সংক্রমণ বা প্রদাহ প্রায়ই কানে ব্যথা জ্বর হয়</t>
  </si>
  <si>
    <t>বিশেষ করে বাচ্চাদের সবসময়ই পরিমাণমতো খাবার দেয়া হতো</t>
  </si>
  <si>
    <t>শক্তি প্রশিক্ষণ পেশী ক্ষতি প্রতিরোধ করে</t>
  </si>
  <si>
    <t>রবিন আমাকে মাঠে যেতে বলেছিল</t>
  </si>
  <si>
    <t>তার পারিবারিক অবস্থা ছিল খুবই সচ্ছল</t>
  </si>
  <si>
    <t>অন্য দিনের মত নহে এ দিনে ধীরে ধীরে যায় তবু মাথায় গাগরি টলে</t>
  </si>
  <si>
    <t>আমি যাঁহার কথা বলিতেছি দেখিলাম তাঁহার নিকট বৃহৎ সূক্ষ্ম সকলই সমভাবে পরিলক্ষিত হইয়া থাকে</t>
  </si>
  <si>
    <t>কেন আসিত না তাহা আমি এখনও বুঝিতে পারি না</t>
  </si>
  <si>
    <t>রানা সুজনকে ডাকিতেছিল</t>
  </si>
  <si>
    <t>আমি জুতা খুলিয়া খালি পায় চলিতে লাগিলাম আবার কতক দূর গিয়া বলিল</t>
  </si>
  <si>
    <t>আমি তার জন্য স্টেশনে অপেক্ষা করেছিলাম</t>
  </si>
  <si>
    <t>এই ব্যান্ডটিকে নির্দিষ্ট কোন শ্রেণীতে ফেলা মুশকিল</t>
  </si>
  <si>
    <t>রাজা তাদের গান গাইতে বললেন</t>
  </si>
  <si>
    <t>এলি ক্রপিংয়ের মতো কৃষি বনায়ন অনুশীলনগুলি পারস্পরিক সুবিধার জন্য ফসলের সাথে গাছকে একত্রিত করে</t>
  </si>
  <si>
    <t>তিনি জুনিয়র খেলোয়াড় হিসেবে ম্যানচেস্টার ইউনাইটেড ক্লাবে যোগ দেন</t>
  </si>
  <si>
    <t>পরদিন অনেক বেলায় গাড়ি হাওড়ায় থামিলে উপেন্দ্র জিজ্ঞাসা করিলেন তুই কোথায় যাবি রে</t>
  </si>
  <si>
    <t>উপেন্দ্র প্রণাম করিতেই তিনি উচ্চৈঃস্বরে কাঁদিয়া উঠিলেন</t>
  </si>
  <si>
    <t>শরিফ বাকি জীবন আরামে কাটাইবে</t>
  </si>
  <si>
    <t>সে আমাকে একটি অপ্রত্যাশিত উপহার দিয়াছিল</t>
  </si>
  <si>
    <t>এতক্ষণে সকলেই বাহির হইয়া রাস্তার একধারে আসিয়া দাঁড়াইল</t>
  </si>
  <si>
    <t>যে কোনো কবির পক্ষে এই এক বিরাট অর্জন</t>
  </si>
  <si>
    <t>ছুটিতে বাবা আমাদের ঘুরতে নিয়ে যাওয়ার সিদ্ধান্ত নিয়েছেন</t>
  </si>
  <si>
    <t>জীবনে প্রতিকূলতাকে অতিক্রম করে সে সফলতা অর্জন করেছে</t>
  </si>
  <si>
    <t>বয়সের সাথে মানিয়ে নেওয়া যায় এমন ব্যায়াম বেছে নিন</t>
  </si>
  <si>
    <t>লেনদেনের ইতিহাসে অমিল দেখা গেছে</t>
  </si>
  <si>
    <t>সে সৎ ছেলে নয় সে লজ্জাও তাহার খুব বেশী ছিল না</t>
  </si>
  <si>
    <t>আপনি কেন বিবাদ করতে চান</t>
  </si>
  <si>
    <t>তাহাদের হইতে আমরা ভালো খেলিয়া ছিলাম</t>
  </si>
  <si>
    <t>আমি জুতা খুলিয়া খালি পায় চলিতে লাগিলাম</t>
  </si>
  <si>
    <t>আমার মেয়ে স্কুলে পড়তে গেছে</t>
  </si>
  <si>
    <t>তার গাওয়া দেশাত্মবোধক গান আজো জনপ্রিয়</t>
  </si>
  <si>
    <t>একটি রৌদ্রোজ্জ্বল দিন কাটানোর জন্য পারিবারিক পিকনিক একটি নিখুঁত উপায়</t>
  </si>
  <si>
    <t>গ্লোমেরুলোনফ্রাইটিস হল কিডনির ক্ষুদ্র ফিল্টারগুলির প্রদাহ যা রক্ত ​​থেকে বর্জ্য অতিরিক্ত তরল অপসারণের ক্ষমতাকে প্রভাবিত করে</t>
  </si>
  <si>
    <t>আমরা সবাই দিনামানি পত্রিকার কালো অক্ষরের ওপর ঝুঁকে পড়তাম</t>
  </si>
  <si>
    <t>ঠিক মনে হইতে লাগিল সে এমনই কি একটা গুরুতর কাজের ভার লইয়া চলিয়াছে</t>
  </si>
  <si>
    <t>ঋষি কেবল প্রতিবাসী পরিত্যাগী গৃহী</t>
  </si>
  <si>
    <t>সে দিকে গিয়া কিছুই শুনিতে পাইলাম না</t>
  </si>
  <si>
    <t>কালকে আকাশে অনেক মেঘ ছিলো পরে বৃষ্টি হইয়াছিল</t>
  </si>
  <si>
    <t>বোধ করি তাহার মনে ক্ষীণ আশা জাগিতেছিল দাদাবাবু ফিরিয়া আসে সেই বন্ধনে পড়িয়া কিছুতেই দূরে যাইতে পারিতেছিল না</t>
  </si>
  <si>
    <t>রাজহাঁসটা বড়ই যন্ত্রণা করছে</t>
  </si>
  <si>
    <t>আমার তোমার কথা মনে পড়েছিল</t>
  </si>
  <si>
    <t>এই পত্রিকাটি বার পুলিৎজার পুরস্কার জয় করেছে</t>
  </si>
  <si>
    <t>ভারসাম্য অনুশীলন পতন রোধ করে</t>
  </si>
  <si>
    <t>অনেক বয়স পর্যন্ত শাহেদ ইরতাজউদ্দিনের বুকে না শুয়ে ঘুমুতে পারত না</t>
  </si>
  <si>
    <t>আমি তাকে তাহার পড়াটা শিখিয়ে দিয়াছিলাম</t>
  </si>
  <si>
    <t>সুভ আমাকে বই দিয়া যাইতে বলিল</t>
  </si>
  <si>
    <t>আগুনে সন্ন্যাসী মোটা রুটি সেকিতেছিল</t>
  </si>
  <si>
    <t>স্নেহও উদ্রেক করে না তাহার সঙ্গসুখও বিশেষ প্রার্থনীয় নহে</t>
  </si>
  <si>
    <t>তেমন করিয়া জমিতে পারে নাই বটে</t>
  </si>
  <si>
    <t>তারা টি প্রধান সম্মাননা জিতেছে</t>
  </si>
  <si>
    <t>তাকে মিসরের বিভিন্ন জেলে রাখা হয়</t>
  </si>
  <si>
    <t>তাদের প্রতীক্ষ্ণ বৃথা যায় নি</t>
  </si>
  <si>
    <t>সক্রিয় থাকুন বয়স</t>
  </si>
  <si>
    <t>সব দিক দিয়ে তার শিশু সাহিত্যগুলোই সবচেয়ে জনপ্রিয়তা লাভ করেছে</t>
  </si>
  <si>
    <t>বলে বউ আমাকে ঠেলে ফেলে দিয়েছে বাবা বউ নিয়ে হয়েছে আমার মরণ</t>
  </si>
  <si>
    <t>বড় দেরী হয়ে গেল আরো অনেক রুগী পথ চেয়ে বসে আছে</t>
  </si>
  <si>
    <t>কপালে তখনও বিন্দু বিন্দু ঘাম রহিয়াছে</t>
  </si>
  <si>
    <t>একটি মহিষ সভয়ে মুখ তুলিয়া পালকির প্রতি এক দৃষ্টিতে চাহিয়া আছে</t>
  </si>
  <si>
    <t>সুতরাং গ্রাম্য লোকেরা এক এক স্থানে পাতকুয়ার আকারে ক্ষুদ্র খাদ খনন করে</t>
  </si>
  <si>
    <t>এই চব্বিশ ঘণ্টা বলতে গেলে তার পথে পথেই কেটেছে</t>
  </si>
  <si>
    <t>সালে তিনি আবারও ওভি অ্যাওয়ার্ড পান</t>
  </si>
  <si>
    <t>স্বল্প মূল্যের সূচক তহবিলে বিনিয়োগ দীর্ঘমেয়াদী বিনিয়োগকারীদের জন্য একটি জনপ্রিয় কৌশল</t>
  </si>
  <si>
    <t>অপরাধের রেকর্ড ব্যক্তিদের জন্য দীর্ঘস্থায়ী পরিণতি হতে পারে</t>
  </si>
  <si>
    <t>তুমি কি আমার কাছে আসবে</t>
  </si>
  <si>
    <t>স্থির করিলাম এ ব্যক্তি যেই হউক আমাকে তুচ্ছ করিয়াছে আমাকে অপমান করিয়াছে</t>
  </si>
  <si>
    <t>আমি তো তাহার সহিত একপ্রকার আড়ি করিয়াছি</t>
  </si>
  <si>
    <t>বাঙ্গালীর পক্ষে ইহা অতি সামান্য</t>
  </si>
  <si>
    <t>গান গাইবার প্রস্তাবে সরোজিনী অত্যন্ত প্রফুল্ল হইয়া উঠিল</t>
  </si>
  <si>
    <t>তারা আসবে বলে ভরসা করতে পারছি না</t>
  </si>
  <si>
    <t>ব্যায়াম একটি জীবনধারার প্রয়োজনীয়তা</t>
  </si>
  <si>
    <t>তিনিও কৌতূহলী চোখে তাকাচ্ছেন হাঁসটার দিকে</t>
  </si>
  <si>
    <t>রজনী র ছোট ভাই জানকীকান্ত জলাতঙ্কে আক্রান্ত হয়েও মারা যায়</t>
  </si>
  <si>
    <t>আমাকে দেখিয়া তাঁহারা সকলেই সাদরে অগ্রসর হইলেন</t>
  </si>
  <si>
    <t>গুঁড়ি একপাক ঘুরিতে না ঘুরিতেই মাখন তাহার গাম্ভীর্য গৌরব তত্ত্বজ্ঞান সমেত ভূমিসাৎ হইয়া গেল</t>
  </si>
  <si>
    <t>তাঁহার নাম শুনিয়াছি সুখ্যাতিও যথেষ্ট শুনিয়াছি</t>
  </si>
  <si>
    <t>সেই জন্য একটু যেন তিনি জোরে বাহিতে লাগিলেন</t>
  </si>
  <si>
    <t>মূলত এই চরিত্রের জন্যই তিনি খ্যাতি অর্জন করেছেন</t>
  </si>
  <si>
    <t>রাস্তার পাশে বসে একটি অসহায় শিশু আর্তনাদ করছিল</t>
  </si>
  <si>
    <t>অর্থপূর্ণ লক্ষ্য নির্ধারণ করুন সেগুলি অর্জনের জন্য একটি কর্ম পরিকল্পনা তৈরি করুন</t>
  </si>
  <si>
    <t>বাসা খুঁজে পাওয়া যাচ্ছে না</t>
  </si>
  <si>
    <t>একটি মর্টারের গোলা তাঁর বাঙ্কারে এসে পরে তিনি মৃত্যুবরণ করেন</t>
  </si>
  <si>
    <t>তোমার কি ঘুম হইয়াছিল</t>
  </si>
  <si>
    <t>এইরূপে প্রতি রাত্রে কুমার কুমারীর বাক্‌চাতুরী হইতে থাকে</t>
  </si>
  <si>
    <t>আমার বাগানে একটি সুন্দর গোলাপ ফুল ফুটিয়াছিলো</t>
  </si>
  <si>
    <t>আমি তোমার কাজ করিতে চাইয়াছিলাম</t>
  </si>
  <si>
    <t>বিশ্বম্ভর বহুকষ্টে তাঁহার শোকোচ্ছ্বাস নিবৃত্ত করিল তিনি শয্যার উপর আছাড় খাইয়া পড়িয়া উচ্চৈঃস্বরে ডাকিলেন ফটিক সোনা মানিক আমার</t>
  </si>
  <si>
    <t>স্কুলে যাবার আগে ভাত খেয়ে যাবে</t>
  </si>
  <si>
    <t>নিয়মিতভাবে অর্জনযোগ্য ফিটনেস লক্ষ্য নির্ধারণ করুন</t>
  </si>
  <si>
    <t>তাঁরই প্রচেষ্টায় অনেক অসুরের জীবনান্ত হয়</t>
  </si>
  <si>
    <t>দুর্ভাগ্যজনকভাবে এই মহাকাব্য সমাপ্ত হওয়ার আগেই তিনি মৃত্যুবরন করেন</t>
  </si>
  <si>
    <t>তাঁর রসবোধ অসামান্য</t>
  </si>
  <si>
    <t>কোন্ বয়সের কোন্ সুখের স্মৃতি তাহা প্রথমে কিছুই অনুভব হয় নাই সে দিকে মনও যায় নাই</t>
  </si>
  <si>
    <t>কোলদের সম্বন্ধে কিছু সন্দেহ করা যাইতে পারে</t>
  </si>
  <si>
    <t>স্ত্রীলোকেরা শ্রমহেতু চিরযৌবনা থাকে</t>
  </si>
  <si>
    <t>পুস্তকের পড়িলে জ্ঞান বৃদ্ধি হয়</t>
  </si>
  <si>
    <t>এমন কি বউয়ের খাওয়াপরারও যত্ন হয় না</t>
  </si>
  <si>
    <t>স্টেশনের কাছেই এক মসজিদে ফজরের নামাজ পড়ে শাহেদের খোজে বের হলেন</t>
  </si>
  <si>
    <t>এই থালাটিতে ব্যবহৃত উপাদানগুলির গুণমান ছিল শীর্ষস্থানীয়</t>
  </si>
  <si>
    <t>আমাদের পডকাস্টে সাবস্ক্রাইব করুন</t>
  </si>
  <si>
    <t>এখানেই আমার কাজের সমাপ্তি নয়</t>
  </si>
  <si>
    <t>রসিকবাবুর বাগান হইতে বাঁশ কাটিয়া আনিয়া মাচা বাঁধা হইল</t>
  </si>
  <si>
    <t>তাহার ক্রুদ্ধ কণ্ঠস্বর শুনিয়া মেয়েটি ভয়ে কাঁপিয়া উঠিয়াছিল</t>
  </si>
  <si>
    <t>পিতা আমাকে স্কুলে যাইতে বলিয়াছিল</t>
  </si>
  <si>
    <t>তাহাদের জানু প্রায় স্কন্ধ ছাড়াইয়াছে</t>
  </si>
  <si>
    <t>সুমন আমার কাছে এসে বই দিয়েছে</t>
  </si>
  <si>
    <t>সে আমলের সেরা সেন্ট্রাল ডিফেন্ডার দের অন্যতম</t>
  </si>
  <si>
    <t>ক্রেডিট কার্ড দিয়ে লেনদেন সম্পন্ন হয়েছে</t>
  </si>
  <si>
    <t>আমরা সবাই তাদেরকে অভ্যর্থনা জানিয়েছিলাম</t>
  </si>
  <si>
    <t>আমি পরে তাহাদের আহার ব্যবহার সকলই দেখিতাম কিছুই তাহারা আমার নিকট গোপন করিত না কখন স্ত্রীলোকদের মাতাল হইতে দেখি নাই অথচ তাহারা পানকুণ্ঠ নহে</t>
  </si>
  <si>
    <t>তুমি এখানে আমার সঙ্গে হাসিয়া ঠাট্টা করিয়া কথা কহিতেছ</t>
  </si>
  <si>
    <t>প্রতিদিন সে স্কুলে যাওয়ার পূর্বে স্কুলের পড়া শেষ করে</t>
  </si>
  <si>
    <t>ইহা বুঝাইবার নহে সুতরাং সে কথা থাক</t>
  </si>
  <si>
    <t>বাহির হইতে নাড়া পাইলে ছাই চাপা আগুন আবার জ্বলিয়া উঠে</t>
  </si>
  <si>
    <t>উপদেশদাতার উৎসাহ তাতে কমল না</t>
  </si>
  <si>
    <t>দ্বিতীয় বিশ্বযুদ্ধে অংশ নেন</t>
  </si>
  <si>
    <t>রুমি দাবা খেলতে চেয়েছিল</t>
  </si>
  <si>
    <t>লেনদেনটি সুচারুভাবে দক্ষতার সাথে সম্পন্ন হয়েছিল</t>
  </si>
  <si>
    <t>একজন তারকা শেফ হলেন টমি মিয়া</t>
  </si>
  <si>
    <t>মেজাজের কেহ তার হদিস পায় না</t>
  </si>
  <si>
    <t>সেখানেই আমি কোরআন শরীফ পাঠ করা শিখি</t>
  </si>
  <si>
    <t>আমার পাঁচ বছর বয়সের ছোটো মেয়ে মিনি এক দণ্ড কথা না কহিয়া থাকিতে পারে না</t>
  </si>
  <si>
    <t>আমি স্পষ্ট দেখিতেছিলাম পাহাড় অতি নিকট তথা যাইতে আমার পাঁচ মিনিটও লাগিবে না</t>
  </si>
  <si>
    <t>অতীতে কখনও সে কোনো অন্যায় করিয়া থাকে তাহা অতীতের সত্যমিথ্যা পাপপুণ্যে মিশিয়া আছে</t>
  </si>
  <si>
    <t>আমি তাকে আমার জীবনের গল্প শুনিয়েছিলাম</t>
  </si>
  <si>
    <t>সে লিওনার্দো কে অনেক স্নেহ করত</t>
  </si>
  <si>
    <t>আমি সপ্তাহান্তে অ্যাডভেঞ্চারের জন্য আমার গাড়িতে একটি বাইক র্যাক ইনস্টল করেছি</t>
  </si>
  <si>
    <t>প্রতিদিন সকালে খবরের কাগজের এক বড় স্তূপ আমার কাছে পৌছে যায়</t>
  </si>
  <si>
    <t>পর্দার পিছনের জন্য আমাদের অনুসরণ করুন</t>
  </si>
  <si>
    <t>খাঁচার আবরণ খুলিয়া দেখিল পাখি মরিয়া গেছে</t>
  </si>
  <si>
    <t>বন্ধুর মুখমণ্ডল এর অবস্থা আরো শোচনীয় অবস্থা</t>
  </si>
  <si>
    <t>খানিক্ষন চুপ করিয়া থাকিয়া সে আমাকে জিজ্ঞেস করিল তুমি কি অলৌকিক জিনিস বিশ্বাস করিয়া থাকো</t>
  </si>
  <si>
    <t>পুরুষেরা আমায় কেহই ডাকিল না</t>
  </si>
  <si>
    <t>সেখানে ম্যাকডাফ রাজার মৃতদেহ আবিষ্কার করেন</t>
  </si>
  <si>
    <t>আমি তার সাথে বসে কিছুক্ষন গল্প করেছিলাম</t>
  </si>
  <si>
    <t>সিটি তাদের প্রথম কোন বড় সম্মাননা জিতে সালের এপ্রিল</t>
  </si>
  <si>
    <t>দৈনিক আপডেটের জন্য সাবস্ক্রাইব করুন</t>
  </si>
  <si>
    <t>লসিংটন লজ হইতে গজেন্দ্রগমনে আমি আসিতেছিলাম—তখন রেলওয়ে ছিল না</t>
  </si>
  <si>
    <t>তাহা বেহারী নিজেও ভাবিয়া ঠিক করিতে পারিত না</t>
  </si>
  <si>
    <t>কাবুলি ঝুলির মধ্য হইতে কিসমিস খোবানি বাহির করিয়া তাহাকে দিতে গেল সে কিছুতেই লইল না দ্বিগুণ সন্দেহের সহিত আমার হাঁটুর কাছে সংলগ্ন হইয়া রহিল</t>
  </si>
  <si>
    <t>সর্পটি কালীয়দমনের কালীয় কাজেই যে পর্ব্বতের উপর কালীয় উঠিয়াছে সে পর্ব্বতের চূড়া অপেক্ষা তাহার ফণা যে কিছু বৃহৎ হইবে ইহার আশ্চর্য্য কী</t>
  </si>
  <si>
    <t>রাজু আজ স্কুলে যাবে না</t>
  </si>
  <si>
    <t>দ্বিতীয় দলের দায়িত্ব দেয়া হয় মুক্তিযোদ্ধা রশিদকে</t>
  </si>
  <si>
    <t>অস্টিওপোরোটিক ফ্র্যাকচার ঘটে যখন দুর্বল হাড়গুলি সহজেই ভেঙে যায় প্রায়শই অস্টিওপোরোসি হয়</t>
  </si>
  <si>
    <t>নব্বইয়ের দশকে লেখা বর্ডার উপন্যাসত্রয়ী তার সেরা সৃষ্টি</t>
  </si>
  <si>
    <t>এর পুরো অবদানই বাড়ির মহিলাদের</t>
  </si>
  <si>
    <t>তারা যে সহজে আমাকে নিষ্কৃতি দেবে এমন মনে হয় না</t>
  </si>
  <si>
    <t>রুমি আমাদের মাঠে খেলিতে আসিবে</t>
  </si>
  <si>
    <t>সুফল নামাজ পরিয়া আসিয়া ভাত খাইবে</t>
  </si>
  <si>
    <t>নূর আমার কথা শুনিতেছিল</t>
  </si>
  <si>
    <t>যিনি তাহা করিতে পারেন তিনিই কবি</t>
  </si>
  <si>
    <t>প্রজেক্ট ম্যানেজমেন্ট পদ্ধতি জটিল কাজগুলোকে প্রবাহিত করে</t>
  </si>
  <si>
    <t>ইলেকট্রিশিয়ান আবাসিক বাড়িতে ত্রুটিপূর্ণ তারের মেরামত করেছেন</t>
  </si>
  <si>
    <t>প্রতি বছর জানুয়ারি তারিখে নেতাজিজয়ন্তী পালিত হয়</t>
  </si>
  <si>
    <t>খ্রিস্টাব্দে তিনি আনন্দ সংগীত পুরস্কার লাভ করেন</t>
  </si>
  <si>
    <t>স্বাস্থ্য টিপস পেতে আমাদের অনুসরণ করুন</t>
  </si>
  <si>
    <t>কুমারীর মূলে আসিয়া দেখি হরিয়াল ঘুঘুর ন্যায় একটি পক্ষী একটির নিকট মাথা নাড়িয়া এই ছন্দে আস্ফালন করিতে করিতে অগ্রসর হইতেছে</t>
  </si>
  <si>
    <t>পড়াশুনা কিছু তার হইলই না সকাল সকাল বিবাহ হইয়া গেল সেই বিবাহের চতুঃসীমানার মধ্যে কেহই তাহাকে ধরিয়া রাখিতে পারিল না</t>
  </si>
  <si>
    <t>তখন আমার বোধ হইল যেন মর্ত্ত্যে মেঘ করিয়াছে</t>
  </si>
  <si>
    <t>শেষকালে মাতাল গোরার হাতে পড়িতে হইবে</t>
  </si>
  <si>
    <t>ধুতি চাদর পরিয়া আমি নিরীহ বাঙালী বসিয়া আছি আমায় কেন সাহেব বলিতেছে তাহা জানিবার নিমিত্ত বলিলাম আমি সাহেব নহি</t>
  </si>
  <si>
    <t>একদিন হঠাৎ করেই সবুজপাতার রাশেদ ভাইয়ের ফোন এলো</t>
  </si>
  <si>
    <t>গরমে তার গা ঘেমে যাচ্ছে</t>
  </si>
  <si>
    <t>মাটির সংকোচন ফসলের ফলন কমাতে পারে সঠিক চাষাবাদ অনুশীলনের মাধ্যমে পরিচালিত হয়</t>
  </si>
  <si>
    <t>আইন প্রণয়ন সম্পর্কিত ব্যাপারে তিনি সক্রিয় ভাবে অংশ গ্রহণ করতেন</t>
  </si>
  <si>
    <t>সেকেন্ড স্ট্রাইকাররা সাধারণত মেইন স্ট্রাইকারদের পেছনে অবস্থান করে</t>
  </si>
  <si>
    <t>প্রায় দণ্ডেক পরে যুবা আসিয়া অতি প্রফুল্লবদনে বলিল হইয়াছে সন্ধান পাইয়াছি শীঘ্র আসুন বাঘ নিদ্রা যাইতেছে</t>
  </si>
  <si>
    <t>আমি তাহাকে অনেক বেশি বিশ্বাস করিয়াছিলাম</t>
  </si>
  <si>
    <t>গ্রামমধ্যে যে যুবতীদের দেখিয়া আসিয়াছি ইহারাও আকারে অলঙ্কারে অবিকল সেইরূপ যেন তাহারাই আসিয়া বসিয়াছে</t>
  </si>
  <si>
    <t>দুর্ভাগ্যবশতঃ নাবিকেরা সুনিপুণ নহে</t>
  </si>
  <si>
    <t>সে বইটি পড়িয়া অনেক উপকৃত হইয়াছিল</t>
  </si>
  <si>
    <t>এর অব্যবহিত পরেই শিকারে একটি দুর্ঘটনায় নিহত হলেন অ্যাডোনিস</t>
  </si>
  <si>
    <t>যেমন একবার বিদায় দে মা</t>
  </si>
  <si>
    <t>বৃদ্ধ লোকটা লাঠিটা হাতে নিয়ে বসে ছিলো পথের ধারে</t>
  </si>
  <si>
    <t>নিরাপত্তার উদ্দেশ্যে লেনদেনটি এনক্রিপ্ট করা হয়েছে</t>
  </si>
  <si>
    <t>অ্যাডভেঞ্চার রুটিন একঘেয়েমি থেকে বিরতি প্রদান করতে পারে</t>
  </si>
  <si>
    <t>তিরস্কারের স্বরে কহিলেন আমি যাচ্চি বিপদের মাঝখানে</t>
  </si>
  <si>
    <t>অহংকার সর্বনাশের কারন হইয়া দাড়াইতে পারে</t>
  </si>
  <si>
    <t>তাহার পর কতক দূর গিয়া মৃদুস্বরে আমাকে বলিল আপনি জুতা খুলুন শব্দ হইতেছে</t>
  </si>
  <si>
    <t>বিশ্বাস অবিশ্বাসের প্রশ্নটা নির্ভর করে মানুষের খুশির উপর</t>
  </si>
  <si>
    <t>গ্রাহক সম্পর্ক ব্যবস্থাপনা ক্লায়েন্ট ধারণ বাড়ায়</t>
  </si>
  <si>
    <t>রান্না ঘর সব সময় পরিষ্কার পরিছন্ন রাখা উচিত</t>
  </si>
  <si>
    <t>জন্ম থেকেই প্রচন্ড অভাবের মধ্যে বেড়ে উঠেন তিনি</t>
  </si>
  <si>
    <t>তাদের অ্যাডভেঞ্চার ছিল অন্বেষণ অ্যাডভেঞ্চারের প্রতি তাদের ভালবাসার প্রমাণ</t>
  </si>
  <si>
    <t>তিনি চতর্দশ খ্রীষ্টাব্দে মৃত্যু বরণ করেন</t>
  </si>
  <si>
    <t>আপনি এখানে বসিয়া থাকিয়া কী সুবিধা করিতেছেন</t>
  </si>
  <si>
    <t>আমি কিঞ্চিৎ অপ্রতিভ হইয়া বলিলাম চল আমি তোমার সঙ্গে যাইতেছি</t>
  </si>
  <si>
    <t>ভিক্ষুকটি শূন্য হাতে রাস্তার একপাশে বসিয়া ছিল</t>
  </si>
  <si>
    <t>তখন আমার ভ্রম বুঝিতে পারিয়া গাড়ীতে ফিরিয়া আসিলাম</t>
  </si>
  <si>
    <t>কতগুলি রুগী তোমার পথ চেয়ে আছে শুনি</t>
  </si>
  <si>
    <t>শুধু মনে আছে বাসার সঙ্গে একটা ছাতিম গাছ আছে</t>
  </si>
  <si>
    <t>শিক্ষক একটি আকর্ষক উপায়ে পাঠ ব্যাখ্যা করেন</t>
  </si>
  <si>
    <t>টেবিলের উপর হতে খবরের কাগজটা হাতে নিয়ে সে বাইরের ঘরে চলে গেলো</t>
  </si>
  <si>
    <t>মিষ্টি সুস্বাদু স্বাদ মিশে যায়</t>
  </si>
  <si>
    <t>তুমি কি ঘুমাইতে যাইতেছো</t>
  </si>
  <si>
    <t>রাজা রানী কে ইহা করিতে বলিয়াছিল</t>
  </si>
  <si>
    <t>কাহার সহিত সাক্ষাৎ হইবে না কোন গল্প হইবে না</t>
  </si>
  <si>
    <t>আমি আমার পিতামাতার শক্তি স্থিতিস্থাপকতার প্রশংসা করি</t>
  </si>
  <si>
    <t>সাধারণত আপ্যায়ন এর সময় এর ব্যবহার হ্য়</t>
  </si>
  <si>
    <t>সুউচ্চ বরফের চূড়াগুলিকে স্কেলিং করে তারা আর্কটিকের হাড় ঠাণ্ডা ঠান্ডার মোকাবিলা করেছিল দৃঢ় সংকল্পের সাথে</t>
  </si>
  <si>
    <t>তিনি আইন প্রয়োগ নিরাপত্তার দায়িত্বও পালন করেন</t>
  </si>
  <si>
    <t>গ্রাহক প্রতিক্রিয়া প্রক্রিয়া পণ্য পরিষেবার উন্নতি চালায়</t>
  </si>
  <si>
    <t>কাল সন্ধ্যা হইতে টিপ টিপ করিয়া কেবলই বর্ষণ হইয়াছ</t>
  </si>
  <si>
    <t>আমার চুলের যে অবস্থা হইয়াছিলো তাহা বলিবার অপেক্ষা রাখেনা</t>
  </si>
  <si>
    <t>শুনিয়া বিশ্বম্ভর প্রস্তাব করিলেন তিনি ফটিককে কলিকাতায় লইয়া গিয়া নিজের কাছে রাখিয়া শিক্ষা দিবেন</t>
  </si>
  <si>
    <t>নির্জন স্তব্ধ পথে শববাহী তাহারাই জীবনের সাড়া দিয়া চলিয়াছে</t>
  </si>
  <si>
    <t>সুমন সাহেব রাতে ঘুমাতে যাচ্ছিলেন</t>
  </si>
  <si>
    <t>আমাদের পরিবারে আমরা ছিলাম পাঁচ ভাইবোন</t>
  </si>
  <si>
    <t>কাজ সেরে আসার পর আমার প্রচণ্ড ক্ষুধা পেত</t>
  </si>
  <si>
    <t>অর্থাৎ কোন বাড়িতে কোন পত্রিকা পৌছাবে সেই অনুসারে ভাগ করতাম</t>
  </si>
  <si>
    <t>আমি বর্তমানে নতুন কিছু শেখার জন্য চেষ্টা করছি</t>
  </si>
  <si>
    <t>পা চালিয়ে যাস গোবর্ধন</t>
  </si>
  <si>
    <t>আমিও পৃথিবীর রং ফেরা দেখিতে যাইতাম</t>
  </si>
  <si>
    <t>সাজু রাজশাহী গিয়া অনেক ভ্রমণ করিল</t>
  </si>
  <si>
    <t>রফিক আমাকে খেলিতে ডাকিতেছে</t>
  </si>
  <si>
    <t>গাড়ি ছাড়িবার সময় মেয়েটি বিনয়কে ছোটো একটি নমস্কার করিল</t>
  </si>
  <si>
    <t>তিনি গলি থেকে বের হলেন বৃষ্টিও থেমে গেল</t>
  </si>
  <si>
    <t>একটি দুঃসাহসিক কাজ শেষ করার পরে কৃতিত্বের অনুভূতি ফলপ্রসূ</t>
  </si>
  <si>
    <t>করিম সাহেব এই কাজ করবার নির্দেশ দিয়েছিলেন</t>
  </si>
  <si>
    <t>সেদিন বিকেলে আমরা বৃষ্টিতে ভিজে গিয়েছিলাম</t>
  </si>
  <si>
    <t>একুশ দিনের জ্বরের আটদিন ইরতাজউদ্দিন তার ভাইকে কোলে নিয়ে বসে থাকলেন</t>
  </si>
  <si>
    <t>তোর ভাবিতে হইবে না আমি বেশ আছি</t>
  </si>
  <si>
    <t>সে একবার তাহা স্কন্ধ হইতে নামাইয়া তীক্ষ্ণতা পরীক্ষা করিয়া দেখিল</t>
  </si>
  <si>
    <t>আমি তাহাকে তার পরীক্ষার ফলাফল জিজ্ঞেস করিয়াছিলাম</t>
  </si>
  <si>
    <t>তুমি কাহাদের দেখিয়াছিলে</t>
  </si>
  <si>
    <t>ফার্মাসিস্ট ফার্মেসিতে রোগীদের জন্য প্রেসক্রিপশন পূরণ করেন</t>
  </si>
  <si>
    <t>ফলে ভোটারদের কাছে দলটির গ্রহণযোগ্যতা কমে যায়</t>
  </si>
  <si>
    <t>সন্ধ্যায় কিছু খাওয়া হয় নি</t>
  </si>
  <si>
    <t>জনতা কৌতূহল নিয়ে অপেক্ষা করছে</t>
  </si>
  <si>
    <t>সংবাদপত্রে আবহাওয়ার পূর্বাভাস আমাকে আমার বহিরঙ্গন কার্যকলাপের পরিকল্পনা করতে সাহায্য করে</t>
  </si>
  <si>
    <t>এখানে গ্রাম জমাট বাঁধিয়াছে</t>
  </si>
  <si>
    <t>এই বন্ধুটি ছাড়া কারো কথা আমার মাথায় আসবে না</t>
  </si>
  <si>
    <t>মিনিট কুড়ি পরে যখন গাড়ি ছাড়িয়া সে ক্ষুদ্র গলির মধ্যে প্রবেশ করিল</t>
  </si>
  <si>
    <t>ইহা অপেক্ষা বিস্ময়কর ঘটনা কী হইতে পারে</t>
  </si>
  <si>
    <t>সাম্প্রতিক কালে তিনি বর্ণবাদী মন্তব্য করার কারনে বিতর্কিত হয়েছেন</t>
  </si>
  <si>
    <t>অপরাধমূলক আচরণ সামাজিক অর্থনৈতিক মনস্তাত্ত্বিক কারণগুলির দ্বারা প্রভাবিত হতে পারে</t>
  </si>
  <si>
    <t>রিয়েল এস্টেট এজেন্ট বিভিন্ন সম্পত্তির আশেপাশে সম্ভাব্য ক্রেতাদের দেখিয়েছে</t>
  </si>
  <si>
    <t>আমি আমার শিক্ষকগণের সাহায্য প্রেরণামূলক প্রেরণা পেয়েছি</t>
  </si>
  <si>
    <t>আমি স্কুলে যাওয়ার আগেই পড়া শেষ করেছিলাম</t>
  </si>
  <si>
    <t>রুমা সুমাকে দেখাইলো ইহা সংকুচিত হয়</t>
  </si>
  <si>
    <t>সুতরাং বন্য পক্ষীর মুখে ছন্দ শুনিয়া বড় চমৎকৃত হইয়াছিলাম</t>
  </si>
  <si>
    <t>জঙ্গলে অন্নাভাব অপার নদীতে নৌকাডুবি একই প্রকার</t>
  </si>
  <si>
    <t>আমার ঘরের টিন বদলাতে হবে</t>
  </si>
  <si>
    <t>তাদের নামের মত তারা মাঠের মধ্যভাগে খেলে থাকে</t>
  </si>
  <si>
    <t>অন্নপ্রাশন হিন্দুধর্মীয সম্প্রদায়ের একটি বিশেষ উৎসব</t>
  </si>
  <si>
    <t>মিষ্টি বেরি স্বাদে ফেটে যায়</t>
  </si>
  <si>
    <t>মিনির মা অত্যন্ত শঙ্কিত স্বভাবের লোক রাস্তায় একটা শব্দ শুনিলেই তাঁহার মনে হয় পৃথিবীর সমস্ত মাতাল আমাদের বাড়িটাই বিশেষ লক্ষ্য করিয়া ছুটিয়া আসিতেছে</t>
  </si>
  <si>
    <t>যদিও ফটিককে বিদায় করিতে তাহার মায়ের আপত্তি ছিল না কারণ তাঁহার মনে সর্বদাই আশঙ্কা ছিল</t>
  </si>
  <si>
    <t>আমি তোমাকে ওইখানে দেখিয়াছিলাম</t>
  </si>
  <si>
    <t>আমার কন্যা স্কুলে পড়িতে গিয়াছে</t>
  </si>
  <si>
    <t>রহিম অদ্য প্রত্যুষেই মাদ্রাসা গিয়াছিল</t>
  </si>
  <si>
    <t>নিজেই খুটাখুটি করে বাথরুমের ছিটিকিনি লাগাল</t>
  </si>
  <si>
    <t>অ্যাডভেঞ্চারের চেতনা তাদের অজানা অঞ্চলগুলি অন্বেষণ করতে পরিচালিত করেছিল</t>
  </si>
  <si>
    <t>তিনি বিপ্লবী রাজনৈতিক দল যুগান্তরে যোগ দেন</t>
  </si>
  <si>
    <t>রামেশ্বরাম তখন এক অসাধারণ শহর ছিল</t>
  </si>
  <si>
    <t>সিফেলাসের অভিমতঃ কথায় কাজে সততাই হচ্ছে ন্যায়</t>
  </si>
  <si>
    <t>সে দুই হাত মুঠা করিয়া উঠিয়া বসিয়া কহিল না কোন মতেই না</t>
  </si>
  <si>
    <t>আমরা শুনিয়াছিলাম যে মহারাজ হিন্দুচূড়ামণি আসিবার সময় আপনার পাকশালার সম্মুখে পলাণ্ডু দেখিয়া আসিয়াছি</t>
  </si>
  <si>
    <t>রাজু সাজু খেলতে গিয়েছে</t>
  </si>
  <si>
    <t>সবসময় গতিশীল প্রসারিত অন্তর্ভুক্ত</t>
  </si>
  <si>
    <t>সকল কদর্মপূর্ণ সে ই নির্মল</t>
  </si>
  <si>
    <t>তিনি রুপে গুণে বুদ্ধিমতি অতিশয় ধার্মিক ছিলেন</t>
  </si>
  <si>
    <t>পুষ্টিকর স্যুপ অসুস্থতার সময় আরাম দেয়</t>
  </si>
  <si>
    <t>আমারও তাহা একান্ত যত্ন</t>
  </si>
  <si>
    <t>মৌয়ার ফুল শেফালিকার মত ঝরিয়া পড়ে প্রাতে বৃক্ষতল একেবারে বিছাইয়া থাকে</t>
  </si>
  <si>
    <t>যেন আমাদের মধ্যে সত্যই কী একটা বিকার ঘটিয়াছে</t>
  </si>
  <si>
    <t>আলমারি উজাড় করিয়া সুরবালা নতমুখে বসিয়া তোরঙ্গ সাজাইতেছে</t>
  </si>
  <si>
    <t>একবার শুরু হইতে শেষ পর্যন্ত সব কথা মনে করিয়া দেখো</t>
  </si>
  <si>
    <t>অল্পকিছুক্ষণের মধ্যেই তাদের বাসটি শহর ছেড়ে বড় রাস্তায় উঠে গিয়েছিল</t>
  </si>
  <si>
    <t>বইটি অনেক ভালো তারা বলল</t>
  </si>
  <si>
    <t>নিউজরুমগুলি কার্যকলাপের কেন্দ্রস্থল যেখানে সাংবাদিকরা কঠোর সময়সীমার বিরুদ্ধে কাজ করে</t>
  </si>
  <si>
    <t>ভবিষ্যৎ সম্পর্কে অনিশ্চিত বোধ উদ্বেগ নিয়ে আসে</t>
  </si>
  <si>
    <t>বাবা আমাকে আজ বগুড়ায় যেতে বলল</t>
  </si>
  <si>
    <t>আমি বগুড়ায় ভ্রমণ করিতে গিয়াছিলাম</t>
  </si>
  <si>
    <t>নিত্য মুহূর্ত্তে এক একখানি নূতন পট আমাদের অন্তরে ফোটোগ্রাফ হইতেছে</t>
  </si>
  <si>
    <t>প্রদীপ উজ্জ্বল করিয়া দিয়া বাক্স খুলিয়া একজোড়া রূপার মোটা মল ঝির হাতে দিয়া কহিল তোর মেয়েকে পরতে দিলুম ঝি</t>
  </si>
  <si>
    <t>সরোজিনীর নিজের চোখেও জল আসিয়া পড়িতে লাগিল</t>
  </si>
  <si>
    <t>লবণের ঘ্রাণ বাতাসে ভারী ঝুলছে কাছাকাছি সমুদ্র থেকে বাতাসে বহন করা হয়েছে</t>
  </si>
  <si>
    <t>রাজা তাদের এটা করতে বলেছিলেন</t>
  </si>
  <si>
    <t>সুজন তার ঘরে নামাজ পড়েছিল</t>
  </si>
  <si>
    <t>প্রত্যাখ্যানের মুখোমুখি হওয়া আমাকে আমার স্ব মূল্যকে সন্দেহ করে তোলে</t>
  </si>
  <si>
    <t>জারিগান কথাটির ব্যাখ্যা জারি শব্দটির অর্থ বিলাপ বা ক্রন্দন</t>
  </si>
  <si>
    <t>বেশ বিন্যাস হইলে কুমারী উঠিয়া গাগরি লইয়া একা জল আনিতে যায়</t>
  </si>
  <si>
    <t>বাহিরের বসিবার ঘরে আসিয়া প্রবেশ করিল</t>
  </si>
  <si>
    <t>সে তো তোমার নিমিত্ত অনেক করিয়াছে</t>
  </si>
  <si>
    <t>সেদিন আমি নিজের অজান্তেই কেমন জানি শিউরে উঠিয়াছিলাম</t>
  </si>
  <si>
    <t>অশান্ত চঞ্চল ঘোড়া কেবলই পা ঠুকিতেছে</t>
  </si>
  <si>
    <t>চিত্র আঙ্কন আমার সৃজনশীলতা প্রকাশ করে</t>
  </si>
  <si>
    <t>নতুন কিছু করার আগ্রহের সৃষ্টি সেই থেকেই</t>
  </si>
  <si>
    <t>সময় ব্যবস্থাপনা কৌশল দক্ষতা কর্মপ্রবাহ অপ্টিমাইজ করে</t>
  </si>
  <si>
    <t>এটি একটি গ্রাউন্ড এ্যাটাক বোমারু বিমান</t>
  </si>
  <si>
    <t>ইরতাজউদ্দিন বাপ রে বলে প্রায় লাফিয়ে উঠলেন</t>
  </si>
  <si>
    <t>পাহাড় জঙ্গলের মধ্যে সে শব্দে আরও যেন অবসন্ন করে</t>
  </si>
  <si>
    <t>তার চেয়ে গোবর্ধন ছুঁইলে শবের এমন কী বেশি অপমান</t>
  </si>
  <si>
    <t>অদ্য প্রত্যুষেই গাড়িতে চড়িয়া বেড়াইতে যাইবে</t>
  </si>
  <si>
    <t>যেন তাহারাই আসিয়া বসিয়াছে যুবতীরা উভয় জানুদ্বারা ভূমি স্পর্শ করিয়া দুই হস্তে শালপত্রের পাত্র ধরিয়া মদ্য পান করিতেছে</t>
  </si>
  <si>
    <t>শয়নগৃহের অপর প্রান্তে ছোটো টেবিলের উপর ডাক্তারি বই খুলিয়া মাস্টারমশায় চৌকিতে বসিয়া আছেন</t>
  </si>
  <si>
    <t>শ্রেণীকক্ষ পরিচালনার কৌশল একটি অনুকূল শিক্ষার পরিবেশকে সহজতর করে</t>
  </si>
  <si>
    <t>যাদু দক্ষতা উত্তেজনা যোগ করে</t>
  </si>
  <si>
    <t>সুভ আমাকে তার ঘরে ডাকল</t>
  </si>
  <si>
    <t>আপনার অবসর অ্যাকাউন্টে স্বয়ংক্রিয় অবদান সেট আপ করা আপনাকে সময়ের সাথে ধারাবাহিকভাবে সঞ্চয় করতে সহায়তা করতে পারে</t>
  </si>
  <si>
    <t>আমার চোখের বালির জন্য ভাবিয়া ভাবিয়া নিজেকে বেশি কষ্ট দিবেন না</t>
  </si>
  <si>
    <t>বয়সের দোষে সকলেরই দেহ চঞ্চল</t>
  </si>
  <si>
    <t>দিনে ওরা যে গৃহস্থের চাল মেরামত করে রাত্রে সুযোগ পাইলে তাহারই ভিটায় সিঁধ দেয়</t>
  </si>
  <si>
    <t>আমরা নিজেরাই নিজেদের জাহির করেছি সভ্য হিসেবে</t>
  </si>
  <si>
    <t>পর্যটন কেপ টাউন প্রাকৃতিক সৌন্দর্য এখানকার বন্দরের জন্য বিখ্যাত</t>
  </si>
  <si>
    <t>আমি এটা ভালো করতে পারব</t>
  </si>
  <si>
    <t>আল্লাহ এদের ধ্বংস করুন এরা কোন উল্টা পথে চলে যাচ্ছে</t>
  </si>
  <si>
    <t>ভাই আমাকে গ্ৰামে যেতে বলেছিল</t>
  </si>
  <si>
    <t>আমি আপনার জন্য খাস দিলে দোয়া করব</t>
  </si>
  <si>
    <t>ডাক্তার মুখ তুলিয়া ভ্রূ কুঞ্চিত করিল</t>
  </si>
  <si>
    <t>তাঁহার এই ত্বরাটুকুতে উপেন্দ্র মনে মনে তৃপ্তি বোধ করিয়া কহিল ভালই হলো</t>
  </si>
  <si>
    <t>আসছে রবিবারে দমদমের বাগানে চড়িভাতি করিয়া আসা যাক</t>
  </si>
  <si>
    <t>একদিন শীতের দুপুরবেলায় গুরু যখন বিশ্রাম করিতেছেন ভক্তেরা ক্লান্ত শচীশ কী একটা কারণে অসময়ে তার শোবার ঘরে ঢুকিতে গিয়া চৌকাঠের কাছে চমকিয়া দাঁড়াইল</t>
  </si>
  <si>
    <t>নোবেল কমিটি সংস্থাটিকে নোবেল পুরস্কার প্রদানে বলেছে</t>
  </si>
  <si>
    <t>সাল পর্যন্ত দুইটি দলই বেশ শক্তিশালী ছিল</t>
  </si>
  <si>
    <t>বয়সের সাথে মানিয়ে নেওয়ার মতো ক্রিয়াকলাপগুলি বেছে নিন</t>
  </si>
  <si>
    <t>আপনার সম্পদ আপনার ইচ্ছা অনুযায়ী বিতরণ করা হয় তা নিশ্চিত করার জন্য এস্টেট পরিকল্পনা গুরুত্বপূর্ণ</t>
  </si>
  <si>
    <t>অদ্য দিবসে আমি তোমার আপন কুষ্ঠিতে সুলেখক হইবার আশা দেখিতেছি</t>
  </si>
  <si>
    <t>মেয়েটার জন্য আমি একটা চকলেট কিনিয়াছিলাম</t>
  </si>
  <si>
    <t>রানা তাহার বাবার সঙ্গে বাজারে যাইবে</t>
  </si>
  <si>
    <t>সে বিকেলে মাঠে খেলতে গিয়েছিল。</t>
  </si>
  <si>
    <t>তাই সকাল বিকাল যেমন বিপরীত সংসারে বড়ো ভাই ছোটো ভাই তেমনি বিপরীত এমন দৃষ্টান্তের অভাব নাই</t>
  </si>
  <si>
    <t>সাজু এখন বাজারে যেতে চেয়েছিল</t>
  </si>
  <si>
    <t>তার ছেলে কাই জিগবান সালে পদার্থবিজ্ঞানে নোবেল পুরস্কার লাভ করে</t>
  </si>
  <si>
    <t>ফৌজদারি বিচার ব্যবস্থার লক্ষ্য আইনের শাসন বজায় রাখা</t>
  </si>
  <si>
    <t>অপরিচিত শহরে সে কোথায় গিয়ে থাকবেন এই নিয়ে সে চিন্তামগ্ন ছিলো。</t>
  </si>
  <si>
    <t>একটি হৃদয়গ্রাহী স্টু শীতের সন্ধ্যায় উষ্ণ হয়</t>
  </si>
  <si>
    <t>এক সময় ইহুদি মহাজনেরা ঋণ দানের সভ্য নিয়ম অসভ্য বিলাতে প্রবেশ করাইয়া অনেক অনিষ্ট ঘটাইয়াছিল</t>
  </si>
  <si>
    <t>বিশেষতঃ একবার এক বৈরাগী আখড়ায় চুণকাম করা এক গিরিগোবর্দ্ধন দেখিয়া পাহাড়ের আকার অনুভব করিয়া লইয়াছিলাম</t>
  </si>
  <si>
    <t>বাসায় বাসায় মাছ তরকারির চুপড়ি আসিয়াছ</t>
  </si>
  <si>
    <t>অসুস্থতার কারনে সে কালকে স্কুলে উপস্থিত হইতে পারেনি</t>
  </si>
  <si>
    <t>বিশ্বম্ভরবাবু স্তিমিতপ্রদীপে রোগশয্যায় বসিয়া প্রতিমুহূর্তেই ফটিকের মাতার জন্য প্রতীক্ষা করিতে লাগিলেন</t>
  </si>
  <si>
    <t>অপরাধমূলক কার্যকলাপের ক্ষেত্রে মাদক পাচার একটি প্রধান উদ্বেগের বিষয়</t>
  </si>
  <si>
    <t>কার্যকর শেখার ফলাফলের জন্য ছাত্রদের সম্পৃক্ততা অত্যন্ত গুরুত্বপূর্ণ</t>
  </si>
  <si>
    <t>শেখার প্রক্রিয়ার একটি স্বাভাবিক অংশ হিসাবে ব্যর্থতাকে আলিঙ্গন করুন এটিকে বৃদ্ধি উন্নতি করার সুযোগ হিসাবে দেখুন</t>
  </si>
  <si>
    <t>স্বাস্থ্যকর অভ্যাস গড়ে তুলুন যা আপনার মঙ্গলকে সমর্থন করে</t>
  </si>
  <si>
    <t>রনি রুমিকে দেখিয়া ঐদিকে চলিয়া গিয়াছে</t>
  </si>
  <si>
    <t>স্ত্রীলোকের চক্ষুলজ্জা আছে তাহারা হাসিয়া আমায় ডাকিল</t>
  </si>
  <si>
    <t>রুমি আমাকে তাহার বইটি দিয়াছিল</t>
  </si>
  <si>
    <t>সজীব আমাকে নিয়া রাস্তায় হাঁটিয়াছে</t>
  </si>
  <si>
    <t>সেখানে সে কিছুক্ষণ হতবুদ্ধির মতো দাঁড়াইয়া রহিল</t>
  </si>
  <si>
    <t>বিশেষ কার্যকারিতা রক্তার্শে কৃমিতে একজিমায় দাদে কার্যকরী</t>
  </si>
  <si>
    <t>রহিম করিমকে যেতে বলল</t>
  </si>
  <si>
    <t>উষ্ণ আপেল পাই শরতের সন্ধ্যাকে আনন্দ দেয়</t>
  </si>
  <si>
    <t>তিন নম্বর হাতটা সময়ে অসময়ে কাজে লাগত</t>
  </si>
  <si>
    <t>রনি আমার বই নিয়ে গিয়েছিল</t>
  </si>
  <si>
    <t>গত ছুটিতে সে পাহাড়ি এলাকায় ঘুরতে গিয়াছিল</t>
  </si>
  <si>
    <t>শহরে একটা নূতন ব্যামো আসিয়াছে সে সম্বন্ধে অনেক আজগুবি আলোচনা করিলেন</t>
  </si>
  <si>
    <t>সে বস্তুতই মনে করিয়াছিল লেখাপড়া শেখা তাহার পক্ষে নানা কারণে সহজ নহে বটে</t>
  </si>
  <si>
    <t>তাহার সহিত সহমত পোষণ করিবার পারিবো না</t>
  </si>
  <si>
    <t>কশ বার হাজারবার বলচি ওতে আমার মত মেয়েমানুষের কোন অপমান হয়নি</t>
  </si>
  <si>
    <t>এই তেরো নম্বর বাড়ি পরেরটাই একশ এগারো</t>
  </si>
  <si>
    <t>ইতিবাচকতা অনুপ্রেরণা সঙ্গে নিজেকে ঘিরে পরিবেশ লোকেদের সন্ধান করুন যা আপনাকে উন্নীত করে অনুপ্রাণিত করে</t>
  </si>
  <si>
    <t>তিনি পৃথিবীর প্রথম গীতিকার যিনি নোবেল পুরস্কারে ভূষিত হয়েছেন</t>
  </si>
  <si>
    <t>পেশাগত উন্নয়ন শিক্ষাবিদদের তাদের অনুশীলন উন্নত করার ক্ষমতা দেয়</t>
  </si>
  <si>
    <t>সে আমাকে একটি সুন্দর পরামর্শ দিয়েছিল</t>
  </si>
  <si>
    <t>হিন্দুস্থান অঞ্চলের বরকন্যার মাসী পিসী একত্র জুটিয়া নানা ভঙ্গীতে</t>
  </si>
  <si>
    <t>বাঙ্গালী ইংরেজী শিখিতেছে উপাধি পাইতেছে</t>
  </si>
  <si>
    <t>সে স্নান সারিয়া লইয়া পট্টবস্ত্র পরিয়া মায়ের রান্নাঘরে ঢুকিয়া অপটুহস্তে বঁটিতে তরকারি কুটিতেছিল</t>
  </si>
  <si>
    <t>হাত হইতে কলিকাটা লইয়া পোস্টমাস্টার ফস্‌ করিয়া জিজ্ঞাসা করেন আচ্ছা রতন তোর মাকে মনে পড়ে</t>
  </si>
  <si>
    <t>রূপ গন্ধ স্পর্শ সকল অনুভব করাইতে পারেন</t>
  </si>
  <si>
    <t>সেদিন সে নির্জিবের মতো বিছানায় পড়ে ছিল</t>
  </si>
  <si>
    <t>মুদ্রাস্ফীতি সময়ের সাথে সাথে অর্থের ক্রয় ক্ষমতা হ্রাস করে তাই বিজ্ঞতার সাথে বিনিয়োগ করা গুরুত্বপূর্ণ</t>
  </si>
  <si>
    <t>পাখি দেখা আমার খুব ভাল লাগে</t>
  </si>
  <si>
    <t>ফিটনেসকে আজীবন প্রতিশ্রুতিবদ্ধ করুন</t>
  </si>
  <si>
    <t>ভারতবর্ষে আদিম জাতিদের কুলক্ষয় অনেক দিন আরম্ভ হইয়াছে</t>
  </si>
  <si>
    <t>রহিম করিম একসঙ্গে প্রবেশ করিল</t>
  </si>
  <si>
    <t>তাহাকে স্নেহ করিতে কেহ সাহস করে না কারণ সেটা সাধারণে প্রশ্রয় বলিয়া মনে করে</t>
  </si>
  <si>
    <t>তাহার প্রতি বিশেষ দৃষ্টি রাখিবার জন্য তিনি আমাকে বারবার অনুরোধ করিয়াছিলেন</t>
  </si>
  <si>
    <t>স্থপতি একটি আধুনিক উদ্ভাবনী ভবনের নকশা করেছেন</t>
  </si>
  <si>
    <t>তাদের ভাইয়ে ভাইয়ে দূরত্ব অনেক বেশি</t>
  </si>
  <si>
    <t>তাই এর মিশ্র চাষ এ বিশেষ সতর্ক থাকতে হয়</t>
  </si>
  <si>
    <t>তার জন্মের ছয় মাস আগে তার বাবা মারা যায়</t>
  </si>
  <si>
    <t>যে দুর্ভিক্ষে প্রায় তিরিশ লাখ মানুষের মৃত্যু হয়</t>
  </si>
  <si>
    <t>মানুষের জ্ঞান সম্বন্ধে নূতন আবিষ্কারের দ্বারা পুরাতন আবিষ্কার আচ্ছন্ন হইয়া যাইতেছে</t>
  </si>
  <si>
    <t>বর্ষার পরে এই শরতের নূতনধৌত রৌদ্র যেন সেহাগায় গলানো নির্মল সোনার মতো রঙ ধরিয়াছে</t>
  </si>
  <si>
    <t>মনের উচ্ছ্বাস সংবরণ করিতে না পারিয়া রামসুন্দর কন্যার সহিত সাক্ষাৎ করিলেন</t>
  </si>
  <si>
    <t>বড় ভাই নজরুলের জোয়ালখানা পুরোপুরি বহন করিবার সামর্থ্য তাহার ছিল না বিধায় ভাগাভাগি করিয়াই কাঁধে লইয়াছিল</t>
  </si>
  <si>
    <t>আমাকে তুমি যা বলেছ তাই করেছি</t>
  </si>
  <si>
    <t>সন্ধ্যার আকাশের সেই চাঁদটা খুব সুন্দর লাগছিল</t>
  </si>
  <si>
    <t>ঐ সময় স্থানীয় রাজার দারুন আধিপত্য ছিল</t>
  </si>
  <si>
    <t>আমি যখন প্রিয় স্মৃতির কথা মনে করি আমি নস্টালজিক অনুভব করি</t>
  </si>
  <si>
    <t>সুজন আমাদের কথা কর্ণপাত করিয়া শুনিয়া ছিল</t>
  </si>
  <si>
    <t>ব্যাঘ্রভয়ে উপর হইতে কাষ্ঠ সংগ্রহ করিয়া আনিতে কেহই স্বীকৃত হইল না</t>
  </si>
  <si>
    <t>ডাক্তার উদ্যত অভিমান দমন করিয়া বলিল একটু সরো</t>
  </si>
  <si>
    <t>যুবার সঙ্গে কতক দূর গেলে সে আমায় বলিল</t>
  </si>
  <si>
    <t>যা কিছুই বলি না কেন আমি আমার এই কাজের প্রতিটি মুহূর্ত দারুণ উপভোগ করেছি</t>
  </si>
  <si>
    <t>অপূর্ণতার মধ্যে সৌন্দর্য খুঁজে পাওয়া গ্রহণযোগ্যতা নিয়ে আসে</t>
  </si>
  <si>
    <t>ইলেকট্রিশিয়ান নতুন ভবনের জন্য তারের সংযোগ স্থাপন করেছেন</t>
  </si>
  <si>
    <t>শিক্ষকের সহকারী আসন্ন পাঠের জন্য শ্রেণীকক্ষের উপকরণগুলি সংগঠিত করতে সাহায্য করেছেন</t>
  </si>
  <si>
    <t>থেকে এই নৌঘাটিতে বন্দী আটক রাখা শুরু হয়</t>
  </si>
  <si>
    <t>অবশেষে যাত্রাকালে আনন্দের ঔদার্যবশত তাহার ছিপ ঘুড়ি লাটাই সমস্ত মাখনকে পুত্রপৌত্রাদিক্রমে ভোগদখল করিবার পুরা অধিকার দিয়া গেল</t>
  </si>
  <si>
    <t>বয়স যে হচ্ছে এটা তার লক্ষণ</t>
  </si>
  <si>
    <t>এইজন্য গলঘণ্টার উৎপত্তি</t>
  </si>
  <si>
    <t>এমন একটা ভাব ধারণ করিল যেন ইচ্ছা করিলেই এখনই উহাকে রীতিমত শাসন করিয়া দিতে পারে করিল না</t>
  </si>
  <si>
    <t>যানবাহনে চলাচলের সময় চোখ কান খোলা রাখিয়া চলিতে হইবে অন্যথায় অনর্থ হইবে</t>
  </si>
  <si>
    <t>রামেশ্বরামের সর্বোচ্চ চূড়া হলো গান্দামাদান পর্বত</t>
  </si>
  <si>
    <t>পত্রিকায় সম্পাদকীয় কার্টুন আমাকে হাসাতে বা ভাবতে ব্যর্থ হয় না</t>
  </si>
  <si>
    <t>সুভ সুমার কাছে বই চেয়েছিল</t>
  </si>
  <si>
    <t>লাইফস্টাইল আপডেটের জন্য সাবস্ক্রাইব করুন</t>
  </si>
  <si>
    <t>আজকের বাজারে বিদ্যা দাতার অভাব নেই</t>
  </si>
  <si>
    <t>ইহা আমাদের ভালো লাগিয়াছে</t>
  </si>
  <si>
    <t>এই সময়টা সমস্ত পাওনার টাকা আদায় করিবার জন্য সে বড়ো ব্যস্ত থাকে</t>
  </si>
  <si>
    <t>সোহান স্যার আমাকে স্কুলে যাইতে বলিয়াছে</t>
  </si>
  <si>
    <t>ইহা কি তোমার নতুন কাজ</t>
  </si>
  <si>
    <t>রনি আমার বই নিয়া গিয়াছিলো</t>
  </si>
  <si>
    <t>বিশ্বাসঘাতক সমুদ্রের মধ্য দিয়ে যাত্রা করে তারা অটল সংকল্পের সাথে সামুদ্রিক দানব ঝড়ের সাথে লড়াই করেছিল</t>
  </si>
  <si>
    <t>আজ ভোরে আমি পড়তে বসেছিলাম</t>
  </si>
  <si>
    <t>আবার বহু গ্রন্থ হারিয়ে গিয়েছে</t>
  </si>
  <si>
    <t>সে ট্রেনের জানালা দিয়ে একজন ভিক্ষুককে দেখতে পেলো</t>
  </si>
  <si>
    <t>সুমি আমাকে শরীফের কাছে যেতে বলল</t>
  </si>
  <si>
    <t>শেষ পর্যন্ত করিম রহিম হইতে ভালো ফলাফল করিল</t>
  </si>
  <si>
    <t>রনি ইহা করিতে পারিবেনা</t>
  </si>
  <si>
    <t>শিলা রবিনের নিকটে আসিয়া ছিল</t>
  </si>
  <si>
    <t>আমি গোসল করিয়া খাইতে যাইবো</t>
  </si>
  <si>
    <t>আমি তোমাকে চিনিতে পারিয়াছি</t>
  </si>
  <si>
    <t>আমার কাজিন আমার দ্বিতীয় পরিবারের মতো</t>
  </si>
  <si>
    <t>মন্টিনেগ্রো ন্যাটোর সদস্যপদ পেতে ইচ্ছুক</t>
  </si>
  <si>
    <t>বিদ্যুৎ চমকাচ্ছে</t>
  </si>
  <si>
    <t>যারা আপনাকে পথ ধরে সমর্থন করেছেন তাদের প্রতি কৃতজ্ঞতা প্রকাশ করুন</t>
  </si>
  <si>
    <t>নিরাপত্তা প্রহরী কোনো সন্দেহজনক কার্যকলাপের জন্য নজরদারি করেন</t>
  </si>
  <si>
    <t>ইতিমধ্যে একটা সুবিধা হইল বর সহসা তাহার পিতৃদেবের অবাধ্য হইয়া উঠিল</t>
  </si>
  <si>
    <t>ক্ষণপরেই দরজা খোলার শব্দের সহিত ক্ষীণ আলোর রেখা পথের উপরে আসিয়া পড়িল</t>
  </si>
  <si>
    <t>শেষ পর্যন্ত রহিম করিমকে বিপদে ফেলিল</t>
  </si>
  <si>
    <t>কায়েতপাড়ার সংকীর্ণ পথটির দুদিকে বাঁশঝাড়ে মশা ভন ভন করিতেছিল</t>
  </si>
  <si>
    <t>অন্য পাঠকের জন্য সেই পাহাড় জঙ্গলের কথা কিঞ্চিৎ উত্থাপন করা আবশ্যক হইয়াছে</t>
  </si>
  <si>
    <t>আজকে সবাই আমার সাথে কথা বলেছিল</t>
  </si>
  <si>
    <t>দেবতা উল্লর তাঁর সৎপিতা</t>
  </si>
  <si>
    <t>যে কেউ দান জিতলে আবার পুনরায় খেলা শুরু হয়</t>
  </si>
  <si>
    <t>যে এজেন্সি রামেশ্বরামে সংবাদপত্র বিতরণ করত তার মালিকের নাম শামসউদ্দীন</t>
  </si>
  <si>
    <t>দ্বন্দ্ব সমাধান প্রক্রিয়া উত্পাদনশীল দলগত কাজ সহজতর</t>
  </si>
  <si>
    <t>সে তাহার জীবনের প্রতিটি পর্যায়ে সফল হইয়াছে</t>
  </si>
  <si>
    <t>এক একবার সেই লতায় বসিতেছিল লতা তাহাকে নারাজ ভ্রমর বসিলেই অস্থির হইয়া মাথা নাড়িয়া উঠে</t>
  </si>
  <si>
    <t>বেড়াইতে বেড়াইতে জাহাজের যে অংশে তৃতীয় শ্রেণীর যাত্রীরা জড়সড় হইয়া বসিয়াছিল</t>
  </si>
  <si>
    <t>তাহারা দাড়ি হইতে জল তুলিতেছিল</t>
  </si>
  <si>
    <t>রহিম সাহেব ইহা করিবার নির্দেশ দিয়াছিলেন</t>
  </si>
  <si>
    <t>মেয়েটি ছোট থেকেই নাচ গান শিখেছে</t>
  </si>
  <si>
    <t>যার জন্য নিজের স্বপ্নকে বিসর্জন দিতে হয়েছে</t>
  </si>
  <si>
    <t>নিজের অন্যদের প্রতি সদয় সহানুভূতিশীল হন সবাই তাদের নিজেদের যুদ্ধে লড়ছে</t>
  </si>
  <si>
    <t>এরই সূত্র ধরে তাকে নোবেল পুরস্কার দেয়া হয়</t>
  </si>
  <si>
    <t>আমি এখন গোসল করে ঘুমাতে যাব</t>
  </si>
  <si>
    <t>কখন যে তার মনের ঢেউ আলোর দিকে উঠে কখন যে তাহা অন্ধকারের দিকে নামিয়া যায় তাহা ভাবিয়া পাই না</t>
  </si>
  <si>
    <t>তুমি শুন বা না শুন সে তোমায় শুনাবে</t>
  </si>
  <si>
    <t>অনেকে আছেন বড় বড় বিষয় মোটামুটি দেখিতে পারেন সূক্ষ্ম বিষয়ের প্রতি তাহাদের দৃষ্টি একেবারে পড়ে না</t>
  </si>
  <si>
    <t>কেহ ভুলিয়াও এদিকে পা দেয় না</t>
  </si>
  <si>
    <t>পুল পার হইয়া কিছুদূর অবধি রাস্তার দুপাশে শুধু চষা ক্ষেত</t>
  </si>
  <si>
    <t>নিউমোথোরাক্স হল একটি ভেঙে পড়া ফুসফুস যা বুকে ব্যথা শ্বাস নিতে অসুবিধা হতে পারে</t>
  </si>
  <si>
    <t>আর্থিক উপদেষ্টা তাদের সম্পদ বৃদ্ধি করতে খুঁজছেন ক্লায়েন্টদের বিনিয়োগ পরামর্শ প্রস্তাব</t>
  </si>
  <si>
    <t>অহিংসার ধারণা জৈন হিন্দুধর্মে অহিংসা করুণার পক্ষে</t>
  </si>
  <si>
    <t>আমি বাজারে তোমার সাথে যাবো</t>
  </si>
  <si>
    <t>অন্যদের দ্বারা ভুল বোঝার কারণে বিচ্ছিন্নতার অনুভূতি আসে</t>
  </si>
  <si>
    <t>চাষে যাহা জন্মিয়াছিল মহাজন তাহা সমুদয় লইল</t>
  </si>
  <si>
    <t>সে আমাকে একটি উপদেশ দিয়েছিল。</t>
  </si>
  <si>
    <t>বাগান করা তাহার শখে পরিণত হইয়াছে</t>
  </si>
  <si>
    <t>তাঁর ছোটো ভাই হরিমোহন ছিলেন শচীশের পিতা</t>
  </si>
  <si>
    <t>সমস্তদিনের কাজকর্মের পর রাত্রে না ঘুমাইলে তাহার বড় অসুখ করিতো</t>
  </si>
  <si>
    <t>আমি আশা করি ভবিষ্যতে আমি আমার সময়কে ঠিকমতো কাজে লাগাতে পারবো</t>
  </si>
  <si>
    <t>এটা জানতাম না যে ক্যারিয়ার গঠন করার পাশাপাশি বাস্তবতাও শিখতে হবে</t>
  </si>
  <si>
    <t>সালে যুদ্ধ শেষ হয়</t>
  </si>
  <si>
    <t>বাস আবার দেরি করে আমি কাজ করতে বাইক চালানো শুরু করতে পারি</t>
  </si>
  <si>
    <t>খোলা চোখখানা করো বন্ধ মেঘে বাতাসের গন্ধ</t>
  </si>
  <si>
    <t>কোলদের উৎসব সর্ব্বাপেক্ষা বিবাহে</t>
  </si>
  <si>
    <t>তাহাতে সেখানে মহাজনের আবশ্যক নাই হিন্দুস্থানী সভ্যতা তথায় প্রবিষ্ট না হইত</t>
  </si>
  <si>
    <t>মুখ তুলিয়া হঠাৎ বলিয়া ফেলিল সেই ভাল</t>
  </si>
  <si>
    <t>আমি পাড়াগাঁ হইতে কলিকাতায় আসিয়া কালেজে প্রবেশ করিলাম</t>
  </si>
  <si>
    <t>সুজন এখন গল্প পড়িতেছে</t>
  </si>
  <si>
    <t>প্রাপক রবীন্দ্র পুরস্কারের প্রাপকেরা হলেন</t>
  </si>
  <si>
    <t>জুলিয়া তাতে সম্মতি দেননি</t>
  </si>
  <si>
    <t>রমজান হল ইসলামিক ক্যালেন্ডারের নবম মাস যা ভোর থেকে সূর্যাস্ত পর্যন্ত উপবাস করে পালন করা হয়</t>
  </si>
  <si>
    <t>আমার বড় ভাই বাড়ি নেই</t>
  </si>
  <si>
    <t>তাদের কথামতো অগ্রসর হলাম</t>
  </si>
  <si>
    <t>আমি এই ছবিটি দেখতে পছন্দ করি。</t>
  </si>
  <si>
    <t>একদিন হঠাৎ কী এক আবেশে শচীশের এমন একটি অলৌকিক রূপ দেখিতে পাইলাম যাহা বিশেষ কোনো একজন দেবতাতেই সম্ভব</t>
  </si>
  <si>
    <t>তারপর আঁচলটা কোমরে জড়াইয়া মোক্ষদাকে আড়কোলে শূন্যে তুলিয়া শোবার ঘরের সামনে দাওয়ায় নামাইয়া দিল</t>
  </si>
  <si>
    <t>পরিচর্যা ছাড়াই বেড়ে ওঠে</t>
  </si>
  <si>
    <t>বিদ্যালয় পালিয়ে মধুসূদন হতে পারবে না</t>
  </si>
  <si>
    <t>কুরআন হল ইসলামের পবিত্র গ্রন্থ যা মুহাম্মদের কাছে অবতীর্ণ ঈশ্বরের বাণী বলে বিশ্বাস করা হয়</t>
  </si>
  <si>
    <t>ভাজা শাকসবজি প্রাকৃতিক স্বাদ প্রদর্শন করে</t>
  </si>
  <si>
    <t>রহিম আজ ভোরে মাদ্রাসা গিয়েছিল</t>
  </si>
  <si>
    <t>যেরূপে আমার যত টাকা সে চুরি করিয়াছিল</t>
  </si>
  <si>
    <t>রাজা তাহাদের গান গাহিতে বলিলেন</t>
  </si>
  <si>
    <t>শুনিয়া তিনি কপালে করাঘাত করিলেন</t>
  </si>
  <si>
    <t>ঘরের মধ্যে এইরূপ অনাদর ইহার পর আবার হাঁফ ছাড়িবার জায়গা ছিল না</t>
  </si>
  <si>
    <t>সুজন এখন গল্প পড়তেছে</t>
  </si>
  <si>
    <t>পছন্দ দ্বারা অভিভূত বোধ সিদ্ধান্তহীনতার দিকে পরিচালিত করে</t>
  </si>
  <si>
    <t>বাবা জবাব দিলেন না</t>
  </si>
  <si>
    <t>এতক্ষণে দেখার মতো ঘটনা ঘটেছে</t>
  </si>
  <si>
    <t>আপনার ফিটনেস যাত্রা ভাগ করুন</t>
  </si>
  <si>
    <t>তখন হইতে খালি বকবক করিয়া যাচ্ছো</t>
  </si>
  <si>
    <t>অমবস্যার রাতে তাহারা সবাই বাইরে বসিয়াছিল কিছুক্ষণ</t>
  </si>
  <si>
    <t>এক্ষণে হিন্দুস্থানী মহাজনেরা কোলদের সেইরূপ অনিষ্ট ঘটাইতেছে</t>
  </si>
  <si>
    <t>অবশেষে যুদ্ধ শেষ হইলো</t>
  </si>
  <si>
    <t>সে প্রক্ষালনে গিয়া প্রয়োজনের অধিক সময় ব্যয় করিয়া থাকে</t>
  </si>
  <si>
    <t>এটা কি তোমার বড় ভাই</t>
  </si>
  <si>
    <t>আমার ভাই একজন ট্রাক ড্রাইভার তিনি হাইওয়েতে অনেক মাইল কভার করেন</t>
  </si>
  <si>
    <t>ব্লুবেরি মাফিন সকালের আনন্দ নিয়ে আসে</t>
  </si>
  <si>
    <t>বাবরের পূর্বপুরুষরা সাবেক মঙ্গোলদের চেয়ে ফারসি সংস্কৃতি দ্বারা বেশি প্রভাবিত ছিলেন</t>
  </si>
  <si>
    <t>বনের বানরটা নিজের আত্মরক্ষার্থে ছুটে পালিয়ে গেল</t>
  </si>
  <si>
    <t>ভাবিতাম এই আমার দুনিয়া</t>
  </si>
  <si>
    <t>যেরূপ অন্যান্য বিষয়ের বন্দোবস্ত দেখিলাম তাহাতে কলাকাঁদির হিসাব দেখিয়া বরং আরও চমৎকৃত হইলাম</t>
  </si>
  <si>
    <t>শফিক স্যার আমাকে ইহা পড়িতে বলিয়াছে</t>
  </si>
  <si>
    <t>প্রায় এক বছর যাবত এই রুটিন অনুসারেই আমার জীবন এগিয়ে চলল</t>
  </si>
  <si>
    <t>সেখানেও তিনি বিপুল জনপ্রিয়তা লাভ করেন</t>
  </si>
  <si>
    <t>হালাল টাকা উপার্জন খরচ করার মজা কাউকে বলে বুঝাতে পারবোনা</t>
  </si>
  <si>
    <t>স্কুলটি সালে প্রতিষ্ঠার বছর উদযাপন করে</t>
  </si>
  <si>
    <t>তিনটি সম্পর্কিত পৃথক সংগঠন একত্রে এমি পুরস্কার প্রদান করে</t>
  </si>
  <si>
    <t>আপনি না গেলে ইঁহাদের চড়িভাতিতে যে কাণ্ডটা হইবে</t>
  </si>
  <si>
    <t>উঠানে বাঁশ বাঁধিয়া পাল খাটানো হইতেছে বাড়ির ঘরে ঘরে বারান্দায় ঝাড় টাঙাইবার ঠুংঠাং শব্দ উঠিতেছে হাঁকডাকের সীমা নাই</t>
  </si>
  <si>
    <t>তাহলে আমরা যে অসভ্য তার যুক্তি কি</t>
  </si>
  <si>
    <t>আমি তাহার দিকে মুগ্ধ দৃষ্টিতে চাহিয়া রইলাম</t>
  </si>
  <si>
    <t>অবসর সময়ে সে গল্পের বই পড়িয়া থাকে</t>
  </si>
  <si>
    <t>একজন ঘনিষ্ঠ বন্ধুর দ্বারা বিশ্বাসঘাতকতার কারণে আমার হৃদয় ভেঙে যায়</t>
  </si>
  <si>
    <t>মিনা রানা একসাথে বই পড়ছে</t>
  </si>
  <si>
    <t>শেষ জীবনে কবি নিদারুণ অর্থ কষ্টের সম্মুখিন হন</t>
  </si>
  <si>
    <t>রনি এটা করতে পারবে না</t>
  </si>
  <si>
    <t>সে আমাকে একটি সুন্দর শহরে ঘুরতে নিয়ে গিয়েছিল</t>
  </si>
  <si>
    <t>কাহারও সঙ্গে কথা না কহিয়া একা থাকিতেই পছন্দ করিব</t>
  </si>
  <si>
    <t>কারণ তখন আমার পক্ষে দেখা সম্ভব ছিল না</t>
  </si>
  <si>
    <t>গাছটিতে অনেকগুলো নতুন ফল ধরিয়াছে</t>
  </si>
  <si>
    <t>বিনোদিনী তাহাকে বুকে জড়াইয়া ধরিয়া ধীরে ধীরে তাহার চোখ মুছাইয়া দিতেছে</t>
  </si>
  <si>
    <t>মহাকবির ব্যক্তি পরায়ণতা আরও বিস্তৃত</t>
  </si>
  <si>
    <t>শাহেদের বাবা আধাপাগলের মতো হয়ে গেলেন</t>
  </si>
  <si>
    <t>বিদ্যুৎ যেভাবে চমকাচ্ছে তাতে মনে হয় বৃষ্টি নামবে</t>
  </si>
  <si>
    <t>একটি মৃদু বাতাস পুকুরের পৃষ্ঠকে ঝাঁকুনি দিয়েছিল যেখান থেকে একটি ব্যাঙ লাফিয়েছিল সেখান থেকে এককেন্দ্রিক বৃত্তগুলিকে ঢেউয়ের দিকে পাঠায়</t>
  </si>
  <si>
    <t>এ প্রকাশিত হয় প্রবন্ধ গ্রন্থ টু ডু উইথ ফ্রিডম</t>
  </si>
  <si>
    <t>তাহারা মনে সুখে ফুল তুলিতে থাকিলে বাগানের মালি তাহা সহ্য করিতে পারিল না</t>
  </si>
  <si>
    <t>সোজা পথ ছাড়িয়া দীর্ঘ পথ ধরিয়া বহুবিলম্বে ধীরে ধীরে বাড়ি গিয়া পৌঁছিল</t>
  </si>
  <si>
    <t>গর্দান বাঁচাইবার চাহিলে সত্য স্বীকার করিয়া ফেলো</t>
  </si>
  <si>
    <t>শরিফ আমার সঙ্গে সব বই পড়িল</t>
  </si>
  <si>
    <t>সেদিনের প্রচন্ড ঝরে তাহাদের বড় গাছটি ভেঙে গিয়াছে</t>
  </si>
  <si>
    <t>রানা আমার কাছে এসে বলল</t>
  </si>
  <si>
    <t>সংযোগ বিচ্ছিন্ন রিচার্জ করতে সময় নিন</t>
  </si>
  <si>
    <t>রবী ঠাকুর তার লেখায় বিশেষ আগ্রহ বোধ করেন</t>
  </si>
  <si>
    <t>আমাদের চ্যানেলে সাবস্ক্রাইব করুন</t>
  </si>
  <si>
    <t>অর্থনৈতিক মন্দা দুর্ভিক্ষ দেখা দেয়</t>
  </si>
  <si>
    <t>তাহারা তালে তালে পা ফেলিতেছে</t>
  </si>
  <si>
    <t>পরক্ষণেই সে ভ্রম গেল</t>
  </si>
  <si>
    <t>সে বলিল বৃষ্টিটা কমে এলেই সে বাড়ি ফিরিয়া যাবে</t>
  </si>
  <si>
    <t>সুফল শাকিবের কথামতো অগ্রসর হইল</t>
  </si>
  <si>
    <t>কার্তিক মাসের হিমের সময় সমস্ত রাত মাথার দরজা খোলা শীতের সময় গায়ে কাপড় নাই</t>
  </si>
  <si>
    <t>আমি তাকে দেখতে পেয়ে আমার কাছে ডাকলাম</t>
  </si>
  <si>
    <t>ধর্ম এলাকার অবস্থা নিয়ে আলোচনা</t>
  </si>
  <si>
    <t>আদালতে জবরদস্ত যুক্তি উপস্থাপন করেন আইনজীবী</t>
  </si>
  <si>
    <t>অপরাধমূলক বিচারে অপরাধ বা নির্দোষতা প্রতিষ্ঠার ক্ষেত্রে সাক্ষীর সাক্ষ্য গুরুত্বপূর্ণ হতে পারে</t>
  </si>
  <si>
    <t>সোশ্যাল মিডিয়া অনেক মানুষের কাছে খবরের একটি বিশিষ্ট উৎস হয়ে উঠেছে</t>
  </si>
  <si>
    <t>শরৎকালের প্রভাতে একটি বয়স্ক একটি অপ্রাপ্তবয়স্ক শিশুর সরল হাস্য দেখিয়া আমারও বেশ লাগিত</t>
  </si>
  <si>
    <t>তাহার জন্য আমার কথায় ব্যাঘাত কিছু ঘটিয়াছে</t>
  </si>
  <si>
    <t>বারাণ্ডায় গুটিকত বাঙ্গালী বসিয়া আমার গাড়ী নিরীক্ষণ করিতেছিলেন</t>
  </si>
  <si>
    <t>রনি আমাকে একটি চিঠি দিয়াছিল</t>
  </si>
  <si>
    <t>সেরূপ কৃষ্ণবর্ণ কান্তি কখন দেখি নাই</t>
  </si>
  <si>
    <t>নিজেকে এমন লোকেদের সাথে ঘিরে রাখুন যারা আপনাকে উচ্চতায় নিয়ে যায়</t>
  </si>
  <si>
    <t>আলোক গভীরতা যত বেশি স্বচ্ছতা তত কম অনচ্ছতা তত বেশি</t>
  </si>
  <si>
    <t>সে আমার কথা ভুলে গিয়েছিল。</t>
  </si>
  <si>
    <t>অন্য একজনকে চিনেন যে তোমার ঠিকানা জানে</t>
  </si>
  <si>
    <t>এই কার্যক্রমের আওতায় শিক্ষার্থীরা টি ক্রেডিট কোর্স করার সুযোগ পায়</t>
  </si>
  <si>
    <t>সেই ব্যথিত পিতৃহৃদয়কে সান্ত্বনা দিবার উদ্দেশে দিনকতক বাপের বাড়ি যাইবার জন্য নিরু নিতান্ত অধীর হইয়া উঠিয়াছে</t>
  </si>
  <si>
    <t>বিনয় নিজে গিয়া গাড়ি ডাকিয়া আনিল</t>
  </si>
  <si>
    <t>এরূপ স্থলে সাধারণের নিকট রাজসম্মান রক্ষা করিতে হইলে অবাধ্য ভ্রাতার গণ্ডদেশে অনতিবিলম্বে এক চড় কষাইয়া দেওয়া ফটিকের কর্তব্য ছিল সাহস হইল না</t>
  </si>
  <si>
    <t>তখন গভীর ছায়া নামিয়া আসিল সবখানে</t>
  </si>
  <si>
    <t>রফিক ভাত খাইয়া স্কুলে যাইবে</t>
  </si>
  <si>
    <t>পুরানো বন্ধুর সাথে পুনরায় সংযোগ করা নস্টালজিয়া নিয়ে আসে</t>
  </si>
  <si>
    <t>অপরাধমূলক আচরণের ধরণগুলি কখনও কখনও পরিসংখ্যানগত বিশ্লেষণ প্রোফাইলিং কৌশলগুলির উপর ভিত্তি করে ভবিষ্যদ্বাণী করা যেতে পারে</t>
  </si>
  <si>
    <t>কৃষকের বাজার স্থানীয় উৎপাদকদের ভোক্তাদের সাথে সংযোগ স্থাপনের জন্য সরাসরি বিক্রয়ের সুযোগ প্রদান করে</t>
  </si>
  <si>
    <t>আমি আশা করি তুমি একদিন তোমার লক্ষ্যে পৌঁছাতে সক্ষম হবে</t>
  </si>
  <si>
    <t>এ্যামি ওয়াইন হাউজের কাছে পরাজিত হয়</t>
  </si>
  <si>
    <t>আগাগোড়া তাহার সমস্ত ব্যবহারেই অসভ্যতা প্রকাশ পাইয়াছে</t>
  </si>
  <si>
    <t>আমি একটু কৌতুহলী হইয়ে তাহাকে জিজ্ঞেস করিয়াছিলাম তাহার আসল নাম কি</t>
  </si>
  <si>
    <t>আমি প্রত্যুষেই খুব থাকিয়া উঠিয়াছিলাম</t>
  </si>
  <si>
    <t>বৃদ্ধ তিনজনের মধ্যে দুজনের মৃত্যু হইয়াছে</t>
  </si>
  <si>
    <t>মৃত্যু তিনি সালে স্বল্প বয়সে কিডনিজনিত কারনে মৃত্যুবরন করেন</t>
  </si>
  <si>
    <t>রুমি আমার কথা অনেক বলেছিল</t>
  </si>
  <si>
    <t>এই ধারাটিই তাঁকে পরবর্তীকালে প্রভূত জনপ্রিয়তা দিয়েছিল</t>
  </si>
  <si>
    <t>আবেগপ্রবণ হয়ে বাবা তার পুত্রের সামনে দাঁড়িয়ে ছিলো</t>
  </si>
  <si>
    <t>বেকিং কুকিজ একটি মিষ্টি আনন্দ</t>
  </si>
  <si>
    <t>ডাক্তার ব্যস্ত হইয়া ব্যাগটা তুলিয়া বলিল আমি যাই</t>
  </si>
  <si>
    <t>প্রদীপ হাতে উদ্বিগ্ন হইয়া অপেক্ষা করিতেছিলেন</t>
  </si>
  <si>
    <t>সে অন্ধ ব্যক্তিকে রাস্তা পারাপারে সাহায্য করিয়াছিল</t>
  </si>
  <si>
    <t>সে খুব মনোযোগ দিয়ে ঘরে বসিয়া পড়িতেছিল</t>
  </si>
  <si>
    <t>আমার বাড়ির পাশে বিকেলে অনেক পাখির কলরব শোনা যায়</t>
  </si>
  <si>
    <t>জেতার সুযোগের জন্য রিটুইট করুন</t>
  </si>
  <si>
    <t>কারণ ধরা পড়লেই হয়তো বা মৃত্যুদণ্ডে দণ্ডিত হতে হবে</t>
  </si>
  <si>
    <t>সন্ধ্যার পর সে রাস্তায় হাঁটতে গিয়েছিল</t>
  </si>
  <si>
    <t>আমি যা বিশ্বাস করি তার জন্য দাঁড়ানোর ক্ষমতায়িত বোধ আত্মবিশ্বাস নিয়ে আসে</t>
  </si>
  <si>
    <t>অধিকার ছাড়িয়া দিয়া অধিকার ধরিয়া রাখার মত বিড়ম্বনা হয় না</t>
  </si>
  <si>
    <t>সজীব কাজটি করিতে পারিবে না</t>
  </si>
  <si>
    <t>পলাণ্ডু অতি বিষাক্ত সামগ্রী তাহা কেবল ঔষধে ব্যবহার হয়</t>
  </si>
  <si>
    <t>বলিয়া একবার বালাপোশ চোখে দিয়া কাঁদিতে লাগিলেন</t>
  </si>
  <si>
    <t>তীরে উঠিয়া কিয়দ্দূর অগ্রসর হইয়া তাঁহার অনুসন্ধান করে</t>
  </si>
  <si>
    <t>কেউ কোন খারাপ কাজ করলে তাকে শয়তান বলে গালি দেওয়া হয়</t>
  </si>
  <si>
    <t>রামেশ্বরামের স্থানীয় লোকেরা পেশায় ছিল সাধারণ ব্যবসায়ী</t>
  </si>
  <si>
    <t>সেদিনের সেই দূর্ঘটনাটি খুবই দুঃখজনক ছিলো</t>
  </si>
  <si>
    <t>বাতাসে পাতার কোলাহল ছিল একটি ধ্রুব পটভূমির সুর প্রশান্তিদায়ক পরিচিত</t>
  </si>
  <si>
    <t>অভিভাবকদের সম্পৃক্ততা শিক্ষার্থীদের একাডেমিক সাফল্যকে প্রভাবিত করে</t>
  </si>
  <si>
    <t>ইতিপূর্বে এই ডাক্তারটি ঠিক এই জায়গায় অনেকবার আসিয়া দাঁড়াইয়াছেন</t>
  </si>
  <si>
    <t>রাজু রাত্রিতে বাজারে গিয়াছিল</t>
  </si>
  <si>
    <t>এই অঞ্চলে প্রধানতঃ কোলের বাস</t>
  </si>
  <si>
    <t>তাহার এই আগ্রহাতিশয্যে উপেন্দ্র কোনমতেই হাসি চাপিতে পারিল না</t>
  </si>
  <si>
    <t>হারুর চারিপাশে কচুপাতায় আটকানো জলের রুপালি রূপ একেবারে নিভিয়া যায় নাই</t>
  </si>
  <si>
    <t>শেষ মুহূর্তে তাদের নতুন গাড়িটা নষ্ট হয়ে গিয়েছিল</t>
  </si>
  <si>
    <t>শিক্ষকের সহকারী ছাত্রদের তাদের কার্যভারে সহায়তা করেছেন</t>
  </si>
  <si>
    <t>কর্মক্ষমতা মূল্যায়ন ব্যক্তি দলের অবদান পরিমাপ করে</t>
  </si>
  <si>
    <t>চর্বিহীন উত্পাদন নীতিগুলি উত্পাদন প্রক্রিয়াগুলিকে অপ্টিমাইজ করে</t>
  </si>
  <si>
    <t>আমার কষ্ট মা সহ্য করতে পারতেন না</t>
  </si>
  <si>
    <t>তুমি কি আমার সঙ্গে খেলিতে যাইবে</t>
  </si>
  <si>
    <t>সকালবেলায় শরতের স্নিগ্ধ রৌদ্রকিরণের মধ্যে সানাই বাজিতে লাগিল</t>
  </si>
  <si>
    <t>আগন্তুক দিনের এই নিষ্ঠুরতম পরিণামের ইঙ্গিত নতশিরে বহন করিয়া স্নানের জন্য নীরবে বাহির হইয়া গেল</t>
  </si>
  <si>
    <t>নদীর এপার কহে ছাড়িয়া নিশ্বাস ওপারেতে সর্বসুখ আমার বিশ্বাস</t>
  </si>
  <si>
    <t>রিকশাওয়ালা রিকশা চালাতে শুরু করল</t>
  </si>
  <si>
    <t>মুসলমানদের পবিত্র মহাগ্রন্থ আল কোরআন</t>
  </si>
  <si>
    <t>সে আতঙ্কিত হয়ে দেখে দূরে রাস্তার পাশে ছায়ার মতো কে যেন দাঁড়িয়ে আছে</t>
  </si>
  <si>
    <t>আর্থিক স্থিতিশীলতা অর্জনের জন্য একটি বাজেট তৈরি করা তাতে লেগে থাকা অপরিহার্য</t>
  </si>
  <si>
    <t>বাবার কথা ভাবতে ভাবতেই আমার মুখের কোণে হাসির রেখা ফুটে উঠল</t>
  </si>
  <si>
    <t>পাকা দুই ক্রোশ পথ হাঁটিয়া স্কুলে বিদ্যা অর্জন করিতে যাই</t>
  </si>
  <si>
    <t>আমি তাহাদের কথা শুনিতে পারিয়াছিলাম</t>
  </si>
  <si>
    <t>তুমি কি আমার ভ্রাতাকে চিনিতে পারিয়াছ</t>
  </si>
  <si>
    <t>রসালো পীচ গ্রীষ্মের মাধুর্যের প্রতীক</t>
  </si>
  <si>
    <t>রাফি আমাকে মাঠে যেতে বলছিল</t>
  </si>
  <si>
    <t>সে আমার সাথে ঘুরতে যেতে চায়</t>
  </si>
  <si>
    <t>ফোন নষ্ট হয়ে যাওয়ার ফলে কারো সাথে যোগাযোগ সম্ভব হচ্ছে</t>
  </si>
  <si>
    <t>মা প্রায়ই আমাকে এই অতিরিক্ত চাপ নিতে বারণ করতেন</t>
  </si>
  <si>
    <t>আমি তাহার সৌন্দর্য্যে মুগ্ধ হইয়াছিলাম</t>
  </si>
  <si>
    <t>তাহার নিকট গিয়া গল্প শুনিয়াছি</t>
  </si>
  <si>
    <t>আমি সেই দিকে কতক সভয়ে কতক কৌতূহলপরবশে গেলাম</t>
  </si>
  <si>
    <t>কি তোমার ঘরে আসা আমার দোষ হইয়াছে</t>
  </si>
  <si>
    <t>সারাথি ভূপতির আদেশ পাইয়া কাজটি করিল</t>
  </si>
  <si>
    <t>তখন থেকেই ম্যানচেস্টার ইউনাইটেড তার প্রতি আগ্রহ দেখায়</t>
  </si>
  <si>
    <t>সে দুপুরের খাবার খেয়ে আবার কাজে চলে গিয়েছে</t>
  </si>
  <si>
    <t>ছোট জিনিসের জন্য কৃতজ্ঞতা উপলব্ধি নিয়ে আসে</t>
  </si>
  <si>
    <t>আমি ভবিষ্যতে নতুন অভিযানে যোগ দিতে চাই</t>
  </si>
  <si>
    <t>বন্যফুলগুলি তৃণভূমিকে সজ্জিত করেছিল এটি লাল হলুদ বেগুনি রঙের প্রাণবন্ত বর্ণ দিয়ে আঁকা</t>
  </si>
  <si>
    <t>জ্বর আসিবার পূর্বে ডাক্তার দেখাইতে হইবে</t>
  </si>
  <si>
    <t>এ দিকে তাহার স্বামী বিবাহের অল্পদিন পরেই ডেপুটি ম্যাজিস্ট্রেট হইয়া দেশান্তরে চলিয়া গিয়াছে</t>
  </si>
  <si>
    <t>নন্দলালের চাকরটা রাতারাতি বাজিতপুরে পলাইয়াছিল</t>
  </si>
  <si>
    <t>কুকুর হইতে সাবধান না হইলে ধাবন করিতে হইবে</t>
  </si>
  <si>
    <t>অত্যন্ত পবিত্র মঙ্গলময় বোধ হইল</t>
  </si>
  <si>
    <t>পাশাপাশি আমি শামসউদ্দীনকে দেয়া কোনো প্রতিজ্ঞাও কখনও ভঙ্গ করিনি</t>
  </si>
  <si>
    <t>পাইন সূঁচের ঘ্রাণে বাতাস পুরু ছিল এরস জুনিপারের ইঙ্গিত বহন করে</t>
  </si>
  <si>
    <t>রন্ধনপ্রণালী ভাজা ভুনা ঝোল জনপ্রিয়</t>
  </si>
  <si>
    <t>আজ সেগুলি পাওয়া যায় না</t>
  </si>
  <si>
    <t>তৃতীয় অ্যাংলো ডাচ যুদ্ধের প্রথম নৌসমর ছিল ব্যাটল অব সোলবে</t>
  </si>
  <si>
    <t>ইস্কুলে যাওয়ার আগে ভাত খাইয়া যাইবে</t>
  </si>
  <si>
    <t>তদ্ভিন্ন আহারের কোনো দোষ ছিল না সঘৃত আতপান্ন দেবীদুর্লভ ছাগমাংস এই দুই ই নির্দোষী</t>
  </si>
  <si>
    <t>পত্র রচনা করিবার পূর্বেই অন্তরে ভাবনার উদ্রেক হইলো</t>
  </si>
  <si>
    <t>মিনি এখন শ্বশুরবাড়ির অর্থ বোঝে এখন সে পূর্বের মতো উত্তর দিতে পারিল না</t>
  </si>
  <si>
    <t>কারণ এর প্রায় তিন মাস পর সালমানের মৃত্যু ঘটে</t>
  </si>
  <si>
    <t>পরিবারের অনুষ্ঠানের সময় আমি খুব উৎসাহিত হয়ে থাকি</t>
  </si>
  <si>
    <t>রহিমের কথা মত আমি অগ্রসর হয়েছিলাম</t>
  </si>
  <si>
    <t>আমি স্বয়ংক্রিয় ট্রান্সমিশনের চেয়ে ম্যানুয়াল ট্রান্সমিশন চালাতে পছন্দ করি</t>
  </si>
  <si>
    <t>আমি এটা পড়তে পারবো না</t>
  </si>
  <si>
    <t>কথাগুলো যেখানে কর্কশ সেখানে জবাব না করাই ভালো</t>
  </si>
  <si>
    <t>বিস্ময়াপন্ন রাজা পলাণ্ডু এই শব্দ বার বার উচ্চারণ করিয়া তৎক্ষণাৎ তদারকের নিমিত্ত স্বয়ং উঠিলেন</t>
  </si>
  <si>
    <t>যে সকল ব্যক্তিরা তথায় বাস করে তাহারা জঙ্গলী কুৎসিত কদাকার জানওয়ার তাহাদের পরিচয় লেখা বৃথা</t>
  </si>
  <si>
    <t>শেষকালে আমার স্বামীর কাছে তো হার মানিতে হইল</t>
  </si>
  <si>
    <t>আমি সানিকে আমার নিকটে ডাকিলাম</t>
  </si>
  <si>
    <t>এর সাথে সাথেই সংবাদপত্র আনা নেয়ার কাজ করতে হবে</t>
  </si>
  <si>
    <t>আরো অন্বেষণ করতে ক্লিক করুন</t>
  </si>
  <si>
    <t>আমি খেলা শেষে স্কুলে যাব</t>
  </si>
  <si>
    <t>চুমকি আমাদের সাথে অনেক কথা বলল</t>
  </si>
  <si>
    <t>মজার জন্য খেলাধুলায় অংশগ্রহণ করুন</t>
  </si>
  <si>
    <t>প্রাচীনকালে এই সময়েই রাজারা দিগ্‌বিজয়ে বাহির হইতেন</t>
  </si>
  <si>
    <t>দুখিনীর বিলবপত্রখানি চরণতলে বোধ করি স্থান পাইয়াছে</t>
  </si>
  <si>
    <t>অভিনেতা মঞ্চে একটি শক্তিশালী অভিনয় প্রদান করেন</t>
  </si>
  <si>
    <t>আমার শিকার করা একটি শক</t>
  </si>
  <si>
    <t>একটি জরুরী তহবিল তৈরি করা আপনাকে ঋণে যাওয়া এড়াতে সাহায্য করতে পারে যখন অপ্রত্যাশিত খরচ দেখা দেয়</t>
  </si>
  <si>
    <t>রনি আমার ঘরে আসবে বলে ভরসা করছি না</t>
  </si>
  <si>
    <t>পশুচিকিত্সক ক্লিনিকে অসুস্থ আহত প্রাণীদের চিকিত্সা করেছিলেন</t>
  </si>
  <si>
    <t>শশীর চরিত্রের এই দিকটা গড়িয়া তুলিয়াছে তাহার বাবা গোপাল দাস</t>
  </si>
  <si>
    <t>অমনি যুবতীদের দেহ যেন শিহরিয়া উঠিল</t>
  </si>
  <si>
    <t>সজ্জন বলিয়া তাঁহার প্রশংসা সকলেই করে</t>
  </si>
  <si>
    <t>সুমি আমার পিতাকে ইহা বলিয়া ছিল</t>
  </si>
  <si>
    <t>তোমার বাবা একজনকে তাঁর সর্বস্ব লিখে দেবার সঙ্কল্প করেন</t>
  </si>
  <si>
    <t>রেগান এই নীতিকে সমর্থন করেছিলেন</t>
  </si>
  <si>
    <t>সঙ্গীতশিল্পী প্রতিদিন ঘন্টার পর ঘন্টা তাদের যন্ত্রের অনুশীলন করতেন</t>
  </si>
  <si>
    <t>আমার কাজিনরা সব কাজগুলিকে মজার করে তোলে</t>
  </si>
  <si>
    <t>এটা কি তোমার বাবা</t>
  </si>
  <si>
    <t>এই সংবাদপত্রগুলো যে পদ্ধতিতে পাঠকদের হাতে পৌছাত তাও বেশ স্বতন্ত্র</t>
  </si>
  <si>
    <t>বিনয় ছেলেবেলা হইতেই কলিকাতার বাসায় থাকিয়া পড়াশুনা করিয়াছে</t>
  </si>
  <si>
    <t>অথচ শশীর সেনদিদি সত্য কৈফিয়তই দেয়</t>
  </si>
  <si>
    <t>যাই হোক সে আমার ঢের করেছে</t>
  </si>
  <si>
    <t>তাহার কত দুঃখ বোধ হয় আমিও পৃথিবীর রং ফেরা দেখিতে যাইতাম</t>
  </si>
  <si>
    <t>তাহারই মধ্যে একটিকে আমি বড় ভাল বাসিতাম তাহার নাম কুমারী রাখিয়াছিলাম</t>
  </si>
  <si>
    <t>সে আমার কথাগুলো শুনে আমার কষ্টে ব্যথিত হয়েছিল</t>
  </si>
  <si>
    <t>নির্ভুল পশুপালন পশুর স্বাস্থ্য আচরণ নিরীক্ষণ করতে সেন্সর ডেটা বিশ্লেষণ ব্যবহার করে</t>
  </si>
  <si>
    <t>প্রয়োজনে বিরতি বিশ্রাম নিন</t>
  </si>
  <si>
    <t>আমি বই নিয়ে স্কুলে যাচ্ছি</t>
  </si>
  <si>
    <t>ঘন বনের মধ্য দিয়ে ট্রেকিং করার সময় তারা কল্পনার বাইরে বিদেশী উদ্ভিদ প্রাণীজগতের মুখোমুখি হয়েছিল</t>
  </si>
  <si>
    <t>মুরগি খাইয়া লোকসমাজে সেটাকে পাঁঠা বলিয়া পরিচয় দিলেও তিনি সহ্য করিতেন</t>
  </si>
  <si>
    <t>চাহিতে চাহিতে বনের দুই একটি ডাল দুলিয়া উঠিল</t>
  </si>
  <si>
    <t>নববধূ পূর্ব্ববমত দৌড়িয়া পিতার কাছে গেল না</t>
  </si>
  <si>
    <t>লতা তাহাকে নারাজ ভ্রমর বসিলেই অস্থির হইয়া মাথা নাড়িয়া উঠে</t>
  </si>
  <si>
    <t>চক্ষের পলকে বিস্ময়ে শ্রদ্ধায় অবনত হইয়া সে সেখানেই বসিয়া পড়িল</t>
  </si>
  <si>
    <t>পেশাগত স্বাস্থ্য নিরাপত্তা প্রোটোকল কর্মীদের মঙ্গলকে অগ্রাধিকার দেয়</t>
  </si>
  <si>
    <t>তার একটাই সমস্যা সেটি হচ্ছে গোলদানের ব্যাপারে</t>
  </si>
  <si>
    <t>হিসাবরক্ষক কোম্পানির আর্থিক বিবৃতি বিশ্লেষণ</t>
  </si>
  <si>
    <t>সুষম সালাদ অপরাধ মুক্ত প্রশ্রয় প্রদান করে</t>
  </si>
  <si>
    <t>ঘৃণামূলক অপরাধ ব্যক্তিদের তাদের জাতি ধর্ম বা অন্যান্য বৈশিষ্ট্যের ভিত্তিতে লক্ষ্য করে</t>
  </si>
  <si>
    <t>রাত্রির প্রহর শেষে তাহারা বাড়ি ফিরিয়া আসিয়াছিল</t>
  </si>
  <si>
    <t>সে একটু বিশ্রাম নিয়ে আবার খেলিতে গিয়াছিল</t>
  </si>
  <si>
    <t>মুঘল সম্রাটরা ছিলেন মূলত মধ্য এশিয়ার তুর্কি মঙ্গোল বংশোদ্ভূত</t>
  </si>
  <si>
    <t>রাজা তাহাদের ইহা করিতে বলিয়াছিলেন</t>
  </si>
  <si>
    <t>বেকিং কুকিজ ঘর গরম করে</t>
  </si>
  <si>
    <t>আল্লাহপাক অনেক চিন্তা ভাবনা করে মানুষ বানিয়েছেন</t>
  </si>
  <si>
    <t>গুণমানের নিশ্চয়তা গ্রাহকের আস্থা আনুগত্যের নিশ্চয়তা দেয়</t>
  </si>
  <si>
    <t>শিক্ষা দক্ষতা উন্নয়নে বিনিয়োগ উচ্চ আয়ের সম্ভাবনার দিকে নিয়ে যেতে পারে</t>
  </si>
  <si>
    <t>লেনদেন অফলাইনে সম্পন্ন হয়েছে</t>
  </si>
  <si>
    <t>এ সকল তো বাহ্যিক ব্যাপার</t>
  </si>
  <si>
    <t>রুমি আমাকে বই পড়িতে বলিল</t>
  </si>
  <si>
    <t>ভূত প্রেতের অস্তিত্ব হয়তো গ্রামবাসীরই ভীরু কল্পনায় স্থানটি যে সাপের রাজ্য তাহাতে সন্দেহ নাই</t>
  </si>
  <si>
    <t>এই সময়ের কোনো স্বাভাবিক অনিবার্য ত্রুটিও যেন অসহ্য বোধ হয়</t>
  </si>
  <si>
    <t>নেহা আমার গৃহ তে আসিয়াছিল</t>
  </si>
  <si>
    <t>এই ঋণাত্মক ফলাফলের ছিল দ্বিমুখী তাৎপর্য</t>
  </si>
  <si>
    <t>সোমা তার বলটি বদলাবে</t>
  </si>
  <si>
    <t>গ্রাহক সহায়তা দল আমার উদ্বেগের সমাধানে প্রতিক্রিয়াশীল সহায়ক ছিল</t>
  </si>
  <si>
    <t>মানসপুত্র কি সৃষ্টির প্রারম্ভে ব্রহ্মা প্রজাপতিদের সৃষ্টি করেন</t>
  </si>
  <si>
    <t>তার এই উপন্যাস যথেস্ট বিতর্ক প্রশংসার জন্ম দেয়</t>
  </si>
  <si>
    <t>এত টাকা তাহারা কোথা পাইবে</t>
  </si>
  <si>
    <t>পরদিন দিনের বেলা কিছুক্ষণের জন্য সচেতন হইয়া ফটিক কাহার প্রত্যাশায় ফ্যাল্‌ফ্যাল্‌ করিয়া ঘরের চারি দিকে চাহিল</t>
  </si>
  <si>
    <t>প্রকৃতির এই অপরূপ সৌন্দর্য্য দেখে আমি খানিকক্ষণ মুগ্ধ দৃষ্টিতে তাকিয়েছিলাম。</t>
  </si>
  <si>
    <t>সংসারের সমস্ত ভার তাহার মাথায় ছিলো বলিয়া সে ছেলে মানুষ করিতে পারিতো না</t>
  </si>
  <si>
    <t>তাঁহাকে উপরে আমাদের ঘরে আসিতে হইবে</t>
  </si>
  <si>
    <t>এখানে বিবাহিত যুগলেও তাঁর পূজা দিয়ে থাকেন</t>
  </si>
  <si>
    <t>এই মুহূর্তে উপস্থিত থাকা মননশীলতা নিয়ে আসে</t>
  </si>
  <si>
    <t>অতিরিক্ত ব্যবহার এড়াতে ফসলের চাহিদার উপর ভিত্তি করে কৃষি রাসায়নিক প্রয়োগের হার সাবধানে গণনা করা উচিত</t>
  </si>
  <si>
    <t>দুঃসাহসিক খেলা যেমন রক ক্লাইম্বিং স্কাইডাইভিংয়ের জন্য সাহস দক্ষতা প্রয়োজন</t>
  </si>
  <si>
    <t>প্রিয়জনের কাছ থেকে সমর্থন পাওয়া আমাকে শক্তি দেয়</t>
  </si>
  <si>
    <t>ইহা কি তোমার নতুন স্কুল</t>
  </si>
  <si>
    <t>তুমি নিশ্চয়ই আব্বাজানের সিদ্ধান্তকে উষ্ঠা মারিয়া তোমার সহিত দেখা করিতে বলিবেনা</t>
  </si>
  <si>
    <t>কোলদের এই দুর্দ্দশা অতি সাধারণ</t>
  </si>
  <si>
    <t>এমন সময়ে দ্বারের পার্শ্বে কী নড়িল চাহিয়া দেখিলাম সে দিকে কিছুই নাই</t>
  </si>
  <si>
    <t>পক্ষীটির সঙ্গে কতই বেড়াইলাম কত বার এই ছন্দ শনিলাম শেষ সন্ধ্যা হইলে তাঁবুতে ফিরিয়া আসিলাম</t>
  </si>
  <si>
    <t>অনলাইন অপরাধমূলক কার্যকলাপের বিরুদ্ধে সুরক্ষার জন্য সাইবার নিরাপত্তা ব্যবস্থা অপরিহার্য</t>
  </si>
  <si>
    <t>পুকুরধারে এসে সে দেখল তার মা সেখানে বসে ছিলো</t>
  </si>
  <si>
    <t>তিনি সালে জাপানের টোকিওতে মৃত্যুবরণ করেন</t>
  </si>
  <si>
    <t>বিক্রয়কর্মী সম্ভাব্য গ্রাহকদের কাছে পণ্যটি তুলে ধরেন</t>
  </si>
  <si>
    <t>জিমি রানা গল্প করতেছিল</t>
  </si>
  <si>
    <t>তুমি কি আমাকে চিনতে পারিয়াছ</t>
  </si>
  <si>
    <t>আমার বাবা যখন জীবিত ছিলেন তখনও ওই বেদনার সাথে মানিয়ে নিতে পারিনি</t>
  </si>
  <si>
    <t>তাহার এক স্থান অনেক দূর পর্য্যন্ত ফাটিয়া গিয়াছে সেই ফাটার উপর বৃহৎ এক অশ্বত্থগাছ জন্মিয়াছে</t>
  </si>
  <si>
    <t>বই পড়ে সে প্রচুর জ্ঞান অর্জন করিতে সক্ষম হইয়াছে</t>
  </si>
  <si>
    <t>আমি ইহা করিতে পারিব ভালো করিয়া</t>
  </si>
  <si>
    <t>সচেতনতা ছড়িয়ে দিতে রিটুইট করুন</t>
  </si>
  <si>
    <t>গরীব ঘরে জন্ম তার</t>
  </si>
  <si>
    <t>রনি সাহেব জীবনের বাকি অংশ আরামে কাটাবে</t>
  </si>
  <si>
    <t>তারা নিজ থেকেই ধরে ফেলতেন</t>
  </si>
  <si>
    <t>মলি ভাত খেয়ে স্কুলে যাবে</t>
  </si>
  <si>
    <t>আমি তাকে ডাকিয়াছিলাম সে আসিয়া ছিলো না</t>
  </si>
  <si>
    <t>মৌয়া গাছ তথায় বিস্তর কতকগুলি একত্রে গলাগলি করে বাস করে</t>
  </si>
  <si>
    <t>সারাদিন কাজ করিয়া সন্ধ্যার পর সে একটু স্বস্তির নিঃশ্বাস ফেলিয়াছিল</t>
  </si>
  <si>
    <t>রুপা আমাদের নিকট আসিয়া বসিল</t>
  </si>
  <si>
    <t>চক্রবৃদ্ধি সুদের সুবিধা নিতে যত তাড়াতাড়ি সম্ভব অবসরের জন্য সঞ্চয় শুরু করা উচিত</t>
  </si>
  <si>
    <t>সবুজ সুজনের সাথে ফুটবল খেলছিল</t>
  </si>
  <si>
    <t>তিনি ছিলেন একজন তুখোড় স্ট্রাইকার</t>
  </si>
  <si>
    <t>আমাদের এগিয়ে যাওয়ার আগে লেনদেন যাচাই করতে হবে</t>
  </si>
  <si>
    <t>ইলেকট্রিশিয়ান সদ্য সংস্কার করা বাড়িতে আলোর ফিক্সচার স্থাপন করেছেন</t>
  </si>
  <si>
    <t>চাকরগুলো পর্যন্ত তাঁহাকে নিচু নজরে দেখে</t>
  </si>
  <si>
    <t>কোলদিগের মধ্যে সে উন্নতির বিলম্ব আছে</t>
  </si>
  <si>
    <t>এবারে তোমার এক্‌জামিন আছে পড়াশুনার ব্যাঘাত হইতে পারে</t>
  </si>
  <si>
    <t>চারণভূমির স্বাস্থ্য উৎপাদনশীলতা বজায় রাখার জন্য গবাদি পশু চারণ ব্যবস্থাপনা অত্যন্ত গুরুত্বপূর্ণ</t>
  </si>
  <si>
    <t>তুমি কি তাদের কাছে গিয়েছিলে</t>
  </si>
  <si>
    <t>আমার বয়স তখন মাত্র আট বছর</t>
  </si>
  <si>
    <t>বিভেদমূলক মূল্যায়ন পদ্ধতি বিভিন্ন শিক্ষার্থীকে মিটমাট করে</t>
  </si>
  <si>
    <t>আপনার প্রয়োজন হলে সাহায্য চাইতে ভয় পাবেন না</t>
  </si>
  <si>
    <t>বলিয়া জোর করিয়া তাহাকে কেবিনের মধ্যে টানিয়া আনিল</t>
  </si>
  <si>
    <t>অপরাহ্ণে দেখিলাম একটি সুন্দর পর্ব্বতের নিকট দিয়া গাড়ী যাইতেছে</t>
  </si>
  <si>
    <t>নৃত্য আরম্ভ হইলে পর একজন বৃদ্ধ মঞ্চ হইতে কম্পিতকণ্ঠে একটি গীতের মহড়া আরম্ভ করিল</t>
  </si>
  <si>
    <t>সংসারের সঙ্গে তাহার যাহা কিছু পরিচয় সে সমস্তই বইয়ের ভিতর দিয়া</t>
  </si>
  <si>
    <t>এই ক্ষেত্রে দাতা কর্ণেরও অভাব নাই</t>
  </si>
  <si>
    <t>সাক্ষ্য দেয় মৃত সামুরাই</t>
  </si>
  <si>
    <t>রাজহাঁস অবাক হয়ে মিছিলের মশাল দেখছে</t>
  </si>
  <si>
    <t>আমি এই মূহুর্তে খুব অসহায় অনুভব করছি</t>
  </si>
  <si>
    <t>তার অকাল মৃত্যুতে বাড়ির চারপাশ স্তব্ধ হয়ে ছিলো</t>
  </si>
  <si>
    <t>সেদিন সে খুব ক্লান্ত ছিলো তাই গভীর ঘুমে অচেতন হয়েছিল</t>
  </si>
  <si>
    <t>সে আমাকে বলিল তাহার মা অনেক অসুস্থ হইয়াছে</t>
  </si>
  <si>
    <t>অতি উত্তম হইয়াছে বৎস</t>
  </si>
  <si>
    <t>হরিমোহন তাঁর পুত্রবধূর উপর অত্যন্ত রাগ করিতেন</t>
  </si>
  <si>
    <t>আকাশ হইতে চন্দ্র তাহা দেখিয়া হাসিতেছে বটমূলের অন্ধকারে বসিয়া আমি হাসিতেছি</t>
  </si>
  <si>
    <t>নিতাই সুদেব ওরা কথা কহিতেছে সকলেই কথা নাই কেবল শশীর মুখে</t>
  </si>
  <si>
    <t>মাত্র আট বছর বয়সে নিজের কাঁধে দায়িত্ব নেয়ায় মা আমাকে নিয়ে গর্ব বোধ করত</t>
  </si>
  <si>
    <t>শিক্ষা নীতিতে সকল শিক্ষার্থীর জন্য প্রবেশাধিকার সমতাকে অগ্রাধিকার দেওয়া উচিত</t>
  </si>
  <si>
    <t>তুমি কি আমার সাথে খেলতে যাবে</t>
  </si>
  <si>
    <t>অবশ্য খারাপ আবহাওয়ার কারণে সাল পর্যন্ত খুব বেশি অগ্রগতি ঘটেনি</t>
  </si>
  <si>
    <t>সে খুব মনোযোগ দিয়ে ঘরে বসে পড়ছিল</t>
  </si>
  <si>
    <t>আমি স্কুলে যাওয়ার আগেই পড়া শেষ করিয়াছিলাম</t>
  </si>
  <si>
    <t>রাগ করিয়া বলিল আস্পর্ধা ত কম নয় ঝি আমি গিয়ে দোর খুলে দেব তুই পারিস নে</t>
  </si>
  <si>
    <t>টেবিলের উপর হইতে খবরের কাগজটা হাতে নিয়ে সে বাইরের ঘরে চলিয়া গেলো</t>
  </si>
  <si>
    <t>যামিনী কবিরাজের বউ এর সম্বন্ধে গোপালের বদনাম হয়তো মিথ্যা তবু লোক গোপাল ভালো নয়</t>
  </si>
  <si>
    <t>গত কুড়ি পঁচিশ বছরে তিনি মিথ্যা বলেছেন–এরকম মনে পড়ে না</t>
  </si>
  <si>
    <t>পাতাল রেল ব্যবস্থা শহরের দৈনন্দিন যাতায়াতের জন্য একটি জীবন রক্ষাকারী</t>
  </si>
  <si>
    <t>সেদিন আমরা সিলেট শহর ঘুরে দেখেছিলাম。</t>
  </si>
  <si>
    <t>পিয়ানো বাজানো প্রশান্তিদায়ক আনন্দ নিয়ে আসে</t>
  </si>
  <si>
    <t>যাহা বলতেন তাহাই ঠিক ঠিক ফলে যেত</t>
  </si>
  <si>
    <t>তাহার অকাল মৃত্যুতে বাড়ির চারপাশ স্তব্ধ হইয়া ছিলো</t>
  </si>
  <si>
    <t>করিম সাহেব আমাকে বই দিয়াছিল</t>
  </si>
  <si>
    <t>তবু শশীর মনকে কে বাঁধিয়া রাখিবে দীর্ঘ জীবন পড়িয়া আছে পড়িয়া আছে বিপুল পৃথিবী</t>
  </si>
  <si>
    <t>তাহাকে জোর করিয়া টানিয়া আনিয়া বসাইল</t>
  </si>
  <si>
    <t>সে আমাকে খেলার জন্য ডেকেছিল আমি অসুস্থতার জন্য যেতে পারিনি</t>
  </si>
  <si>
    <t>হিন্দুধর্ম পুনর্জন্ম কর্ম সহ বিশ্বাস অনুশীলনের একটি বিস্তৃত বিন্যাসকে অন্তর্ভুক্ত করে</t>
  </si>
  <si>
    <t>নাগরিকত্বের জন্য শিক্ষা নাগরিক দায়িত্ব নিযুক্তি প্রচার করে</t>
  </si>
  <si>
    <t>গভীর জঙ্গলের মধ্য দিয়ে তাদের সাহসী দুঃসাহসিক কাজটি ছিল রোমাঞ্চকর বিপজ্জনক</t>
  </si>
  <si>
    <t>রুহির বাজারে গিয়েছিল মাছ কিনতে</t>
  </si>
  <si>
    <t>হারুর মরণের সংস্রবে অকস্মাৎ আসিয়া পড়িয়া শশীর কম দুঃখ হয় নাই</t>
  </si>
  <si>
    <t>গল্প শুনিয়া আমার সর্বশরীর কাঁটা দিয়া উঠিল</t>
  </si>
  <si>
    <t>ভ্রাতা আমাকে গঞ্জে যাইতে বলিয়াছিল</t>
  </si>
  <si>
    <t>ফুলকফি আলু দিয়ে সবজি রান্না খুব মজা হয়</t>
  </si>
  <si>
    <t>তিনি তার বাগানের রাস্তায় হাঁটতে হাঁটতে তার নারকেলের গাছগুলোর দিকে তাকিয়ে থাকতেন</t>
  </si>
  <si>
    <t>রহিম করিম আমার কথা শুনত</t>
  </si>
  <si>
    <t>ফৌজদারি বিচার ন্যায্যতা যথাযথ প্রক্রিয়া নিশ্চিত করতে কঠোর পদ্ধতি অনুসরণ করে</t>
  </si>
  <si>
    <t>সূচনাপর্ব সালের জুন মাসে দলটি গঠিত হয়</t>
  </si>
  <si>
    <t>এদিকে মানুষের বসতি নাই</t>
  </si>
  <si>
    <t>আমি তাহার ডাকে বিরক্ত হইয়াছিলাম</t>
  </si>
  <si>
    <t>পীড়িত সন্তানের সংবাদ লইবার উৎসাহও তাঁহার রহিল না</t>
  </si>
  <si>
    <t>যাহার দিনগুলা পর্যন্ত গণনায় আসিয়া ঠেকিয়াছে তাহারই হাতে সে একজনের সেবার গুরুভার ন্যস্ত করিতে চাহিতেছে</t>
  </si>
  <si>
    <t>বুড়া হইয়া যামিনীর মাথাটা খারাপ হইয়া গিয়াছে</t>
  </si>
  <si>
    <t>হাইপারটেনসিভ হৃদরোগ হল এমন একটি অবস্থা যেখানে উচ্চ রক্তচাপ হৃদপিন্ডের পেশী রক্তনালীগুলির ক্ষতি করে</t>
  </si>
  <si>
    <t>তাদের মাটির ঘরটি ভেঙে গিয়েছে</t>
  </si>
  <si>
    <t>যবের ছাতু খুবই উপাদেয় খাদ্য</t>
  </si>
  <si>
    <t>এটিই শেকসপিয়রের সর্বাপেক্ষা ক্ষুদ্রাকার ট্র্যাজেডি</t>
  </si>
  <si>
    <t>শিক্ষাগত প্রযুক্তি সম্পদ তথ্যের অ্যাক্সেস বাড়ায়</t>
  </si>
  <si>
    <t>অন্যের দোষ না খুজে নিজের চরকায় তেল দাও。</t>
  </si>
  <si>
    <t>পাঠশালাটি সরকারি বা বেসরকারি কোনো বিদ্যালয়ের কোনো নিয়ম মানিয়া চলে না</t>
  </si>
  <si>
    <t>আমার কাছে বাদাম তিন ধরনের মানুষ্যকুল খাইয়া থাকে</t>
  </si>
  <si>
    <t>স্ট্রাইকার হিসেবে খেলতেন</t>
  </si>
  <si>
    <t>রিকশা ভাড়া সম্পর্কে তাঁর ধারণা নেই</t>
  </si>
  <si>
    <t>কৃষি জৈবপ্রযুক্তি অ্যাপ্লিকেশনগুলি কীট প্রতিরোধী ফসল থেকে শুরু করে জৈব জ্বালানি উৎপাদন পর্যন্ত</t>
  </si>
  <si>
    <t>সাংবাদিকরা গুরুত্বপূর্ণ গল্প উন্মোচন রিপোর্ট করার জন্য অক্লান্ত পরিশ্রম করেন</t>
  </si>
  <si>
    <t>রামানাথস্বোয়ামী মন্দিরের পুরোহিত বাবার খুব কাছের বন্ধু ছিলেন</t>
  </si>
  <si>
    <t>যে ঋণভার কাঁধে চাপিয়াছে তাহারই ভার সামলানো দুঃসাধ্য</t>
  </si>
  <si>
    <t>তখন তাঁহার বয়ঃক্রম বোধহয় পঞ্চাশ অতীত হইয়াছিল</t>
  </si>
  <si>
    <t>মুখের নিকট সুন্দর নখরসংযুক্ত একটি থাবা দর্পণের ন্যায় ধরিয়া নিদ্রা যাইতেছে</t>
  </si>
  <si>
    <t>ইহাই তিনি আহূত সভায় বিশদরূপে বুঝাইয়া বলিবেন</t>
  </si>
  <si>
    <t>এই হারু ঘোষ খালের ধারে বটগাছের তলে যে সেদিন অপরাহ্লে বজ্রাঘাতে মরিয়া গিয়াছে</t>
  </si>
  <si>
    <t>বোবা প্ৰাণী মনের কষ্টের কথা কাউকে বলতে পারবে না</t>
  </si>
  <si>
    <t>প্রায় সকল বিমানবন্দরেই আলোকোজ্জ্বল পরিবেশ সৃষ্টি করে থাকে</t>
  </si>
  <si>
    <t>মডেল বিমানের কারুকাজ নির্ভুলতার দাবি করে</t>
  </si>
  <si>
    <t>আমি আমার বাবাকে দেখতে পাই ইমামের নির্ধারিত কুর্তা পরিহিত অবস্থায়</t>
  </si>
  <si>
    <t>একটি বকবক স্রোতের শব্দ বাতাসে ভরে উঠল এর মৃদু গোঙানি শান্ত দৃশ্যের প্রশান্তিদায়ক পটভূমি</t>
  </si>
  <si>
    <t>আমি আর্মি স্টাইলে চুলের কাটিং দিয়া সেলুন হইতে বাহির হইলাম</t>
  </si>
  <si>
    <t>বহু কালের পর পালামৌ সম্বন্ধে দুইটা কথা লিখিতে বসিয়াছি</t>
  </si>
  <si>
    <t>ডাক্তার নিজের নাম ছাপানো একখণ্ড কার্ড বাহির করিয়া বলিলেন আমার বাড়ির ঠিকানাটা—</t>
  </si>
  <si>
    <t>পৃথিবীর রং ফিরিতেছে বাহির হইয়া সে তাহা দেখিতে পাইল না</t>
  </si>
  <si>
    <t>খানিক্ষন চুপ করে থেকে সে আমাকে জিজ্ঞেস করল তুমি কি অলৌকিক জিনিস বিশ্বাস কর</t>
  </si>
  <si>
    <t>শাস্ত্রীকে দেখতে পাই তার ধুতি পরনে ফাদারকে তার পাদ্রীর পোশাক পরিহিত অবস্থায়</t>
  </si>
  <si>
    <t>ডিজিটাল মিডিয়ার উত্থানের সাথে সংবাদপত্র শিল্প উল্লেখযোগ্যভাবে বিকশিত হয়েছে</t>
  </si>
  <si>
    <t>চিঠি পাঠানো এই যুগে হয়ে উঠে না</t>
  </si>
  <si>
    <t>ভিনটেজ ভিনাইল রেকর্ড আমার আবেগকে অনুপ্রাণিত করে</t>
  </si>
  <si>
    <t>আজ তাই যাহা কিছু এখানে আসিয়া পড়িল</t>
  </si>
  <si>
    <t>কোনো অবস্থাতেই ট্রেন থামানো হতো না</t>
  </si>
  <si>
    <t>আমরা সকলে একসঙ্গে খেলিতেছি</t>
  </si>
  <si>
    <t>সুজন আমাকে ব্যাটটি দিয়া গিয়াছে</t>
  </si>
  <si>
    <t>আমি রাজীবকে ইহা করিতে বলিলাম</t>
  </si>
  <si>
    <t>ধারাবাহিকভাবে আপনার হার্ট রেট নিরীক্ষণ করুন</t>
  </si>
  <si>
    <t>আল্লাহ তায়ালা মানুষকে সৃষ্টি করেছেন তার ইবাদতের জন্য</t>
  </si>
  <si>
    <t>দায়িত্বের দ্বারা অভিভূত বোধ মানসিক চাপের দিকে নিয়ে যায়</t>
  </si>
  <si>
    <t>ক্লাবটির এর দশক ভালোই কাটে</t>
  </si>
  <si>
    <t>সে বিকেলে মাঠে খেলতে গিয়েছিল</t>
  </si>
  <si>
    <t>আহা তুমি বুঝিতে পারিতেছ না আমি অপারগ হইয়া পড়িয়াছি</t>
  </si>
  <si>
    <t>আমরা এ কথা সম্বন্ধে এইমাত্র বলিতে পারি যে ভারতবর্ষে আদিম জাতিদের কুলক্ষয় অনেক দিন আরম্ভ হইয়াছে ইংরেজদের সমাগমের পর কোন জাতির ক্ষয় ধরিয়াছে এমত নিশ্চয় বলিতে পারি না</t>
  </si>
  <si>
    <t>তাহারা আপনাদের সন্তানকে ভাল কাপড় ভাল জুতা পড়ায়</t>
  </si>
  <si>
    <t>আমি ত পূর্ব্বেই বলিয়াছিলাম মহাশয়ের বাটীতে অভিভাবক কেহ নাই</t>
  </si>
  <si>
    <t>আমাদের ঘরটি ভেঙে যেতে লাগলো</t>
  </si>
  <si>
    <t>প্রাণে বেঁচে যান সুভাষ</t>
  </si>
  <si>
    <t>তিনি প্রধানত রোমান্টিক আবার আধুনিকও</t>
  </si>
  <si>
    <t>আমি এখন গোসল করে পড়তে বসবো</t>
  </si>
  <si>
    <t>কোথাও কর্ষিত ক্ষেত্র নাই গ্রাম নাই নদী নাই পথ নাই কেবল বন—ঘন নিবিড় বন</t>
  </si>
  <si>
    <t>মা আপনাকে ভেতরে আসতে বলেছে</t>
  </si>
  <si>
    <t>কোলের সমাজ এক্ষণে যে অবস্থায় আছে দেখা যায়</t>
  </si>
  <si>
    <t>মারকিন অন্যান্য দেশে যেখানে সাহেবেরা গিয়া রাজ্য স্থাপন করিয়াছেন সেখানকার আদিমবাসীরা ক্রমে ক্রমে লোপ পাইতেছে</t>
  </si>
  <si>
    <t>আমি তাহাকে আমার জীবনের গল্প শুনাইয়াছিলাম</t>
  </si>
  <si>
    <t>অ্যাপেনডিসাইটিস হল অ্যাপেন্ডিক্সের প্রদাহ অস্ত্রোপচারের মাধ্যমে অপসারণের প্রয়োজন</t>
  </si>
  <si>
    <t>আমি তার সাথে একটি ছোট্ট আলোচনা করতে চাই</t>
  </si>
  <si>
    <t>বাড়ির পাশে বিভিন্ন ধরনের পাখিরা কিচিরমিচির করছিল</t>
  </si>
  <si>
    <t>শিক্ষাগত হস্তক্ষেপের লক্ষ্য শেখার ফাঁক বৈষম্য দূর করা</t>
  </si>
  <si>
    <t>বন্ধুর কাছ থেকে অপ্রত্যাশিত সাহায্য পাওয়া কৃতজ্ঞতা নিয়ে আসে</t>
  </si>
  <si>
    <t>বনের মধ্যে যেখানে সেখানে মদের ভাঁটি দেখিলাম বাঙ্গালায় ভাঁটিখানায় যেরূপ মাতাল দেখা যায় পালামৌ পরগণায় কোন ভাঁটিখানায় তাহা দেখিলাম না</t>
  </si>
  <si>
    <t>প্রান্তরের পর এক ক্ষুদ্র গ্রাম তাহার নাম স্মরণ নাই</t>
  </si>
  <si>
    <t>বিদেশ বিভূঁইয়ে আসিবার পর বড় ভাইকে নির্ভার করিলেও সৃষ্টিকর্তা কি হেতু যেন মানিয়া লইতে পারিল না</t>
  </si>
  <si>
    <t>যখন আমি নিকটবর্ত্তী হইলাম তখন স্ত্রীলোকেরা নিরস্ত হইয়া এক পার্শ্বে দাঁড়াইল</t>
  </si>
  <si>
    <t>স্থির করিয়াছিলেন বাড়ি বিক্রয় করিয়া সেই বাড়িই ভাড়া লইয়া বাস করিবেন</t>
  </si>
  <si>
    <t>সার প্রবাহ থেকে পরিবেশ দূষণ রোধে প্রাণিসম্পদ বর্জ্য ব্যবস্থাপনা অপরিহার্য</t>
  </si>
  <si>
    <t>কর্পোরেট সামাজিক দায়বদ্ধতার উদ্যোগ ব্র্যান্ডের সুনাম শক্তিশালী করে</t>
  </si>
  <si>
    <t>সংবাদপত্রের জীবনধারা বিভাগে ফ্যাশন খাবার ভ্রমণের মতো বিষয়গুলিকে কভার করে</t>
  </si>
  <si>
    <t>আপনার মানসিক সুস্থতা রক্ষা করার জন্য সীমানা নির্ধারণ করুন</t>
  </si>
  <si>
    <t>এর্নো তাঁর কাজকে ভালোবাসতেন</t>
  </si>
  <si>
    <t>রানা রনি মাঠে ফুটবল খেলিতেছে</t>
  </si>
  <si>
    <t>বোধ হয় দূরে কোথায় একটা হাট বসিয়াছে</t>
  </si>
  <si>
    <t>আমরা সকলেই এক সঙ্গে স্কুলে গিয়াছিলাম</t>
  </si>
  <si>
    <t>সে রক্তশূণ্য বিবর্ণ মুখে আমার দিকে কিছুক্ষণ তাকিয়া রহিল</t>
  </si>
  <si>
    <t>রফিক নতুন বই কিনিতে গিয়াছিল</t>
  </si>
  <si>
    <t>ফ্রাঙ্ক ব্যাস্‌কোম্ব্‌ উপন্যাস জোড়াঃ</t>
  </si>
  <si>
    <t>খাবার খেয়ে ছেলেটি স্কুলে গিয়েছিল</t>
  </si>
  <si>
    <t>সিফাত তাদের কথা শুনে ছিল</t>
  </si>
  <si>
    <t>স্বামী বিবেকানন্দের ভাবাদর্শ তাঁকে উদ্বুদ্ধ করেছিল</t>
  </si>
  <si>
    <t>রিনা সুন্দর মুখ দেখিয়া ভুলিয়া যাইও না</t>
  </si>
  <si>
    <t>রানা স্কুলের রাস্তায় হাঁটিতেছে</t>
  </si>
  <si>
    <t>তাঁহাদের নিকটে গিয়া গাড়ি থামিলে আমি গাড়ী হইতে অবতরণ করিলাম</t>
  </si>
  <si>
    <t>তাহাদের গাছের সব পাতা ঝরিয়া গিয়াছে</t>
  </si>
  <si>
    <t>তাহাদের বয়ঃপ্রাপ্ত পুরুষদের গায়ে খড়ি উঠিতেছে চক্ষে মাছি উড়িতেছে মুখে হাসি নাই যেন সকলেরই জীবনীশক্তি কমিয়া আসিয়াছে</t>
  </si>
  <si>
    <t>সোহান স্যার আমাকে স্কুলে যেতে বলেছে</t>
  </si>
  <si>
    <t>আমার প্রিয়জনকে খুশি দেখে আমার আনন্দে ভরে যায়</t>
  </si>
  <si>
    <t>সে তার প্রতিজ্ঞা রাখতে পারেনি。</t>
  </si>
  <si>
    <t>ইনস্টাগ্রামে আমাদের অনুসরণ করুন</t>
  </si>
  <si>
    <t>করিম সাহেব আমাকে বই দিয়েছিল</t>
  </si>
  <si>
    <t>কলিকাতায় মামার বাড়ি পৌঁছিয়া প্রথমত মামির সঙ্গে আলাপ হইল</t>
  </si>
  <si>
    <t>তাহাতে সব মনটা ভরিয়া উঠে নাই</t>
  </si>
  <si>
    <t>উপহাস আমি কিছুই বুঝিতে পারিলাম না</t>
  </si>
  <si>
    <t>সেই অবধি তাহাদের কথা কেহ আমায় বলে নাই</t>
  </si>
  <si>
    <t>রানা রনির কাছে চিঠি লিখেছে</t>
  </si>
  <si>
    <t>ত্রিপিটক হল বৌদ্ধধর্মের প্রাথমিক ধর্মগ্রন্থ যা গৌতম বুদ্ধের শিক্ষার অন্তর্ভুক্ত</t>
  </si>
  <si>
    <t>ডিএনএ বিশ্লেষণ ফৌজদারি মামলায় ফরেনসিক তদন্তে বৈপ্লবিক পরিবর্তন এনেছে</t>
  </si>
  <si>
    <t>একটি বৃদ্ধির মানসিকতা গড়ে তুলুন ব্যক্তিগত পেশাদার বিকাশের সুযোগ হিসাবে চ্যালেঞ্জগুলিকে আলিঙ্গন করুন</t>
  </si>
  <si>
    <t>ডাইসড অ্যাভোকাডো বিভিন্ন খাবারকে উন্নত করে</t>
  </si>
  <si>
    <t>আমি অন্যমনস্কে এই সকল দেখিতাম</t>
  </si>
  <si>
    <t>তাহারা আমাকে দেখিয়াও না দেখিবার ভান করিলো</t>
  </si>
  <si>
    <t>এমত সময়ে কুঞ্জের একটা পক্ষী বৃক্ষশাখা হইতে বলিয়া উঠিল রাধে রাগ করিও না চেয়ে দেখ স্বয়ং হরি তোমার পদতলে</t>
  </si>
  <si>
    <t>প্রত্যেক পটের এক একটা করিয়া বন্ধনী থাকে</t>
  </si>
  <si>
    <t>সে গরীব অসহায়দের সাহায্য করিয়া আনন্দ পায়</t>
  </si>
  <si>
    <t>সুমন আমাদের কথা শুনতে পেরেছিল</t>
  </si>
  <si>
    <t>ব্রিটেইন হিটলারের নাজি জার্মানির বিরুদ্ধে যুদ্ধ ঘোষণা করল</t>
  </si>
  <si>
    <t>আমি তার কাজে খুবই অসন্তুষ্ট হয়েছিলাম。</t>
  </si>
  <si>
    <t>সাজু রাজশাহী গিয়ে অনেক বেড়ালো</t>
  </si>
  <si>
    <t>ডিম্বাশয়ের সিস্ট হল তরল ভরা থলি যা ডিম্বাশয়ে বিকশিত হয় পেলভিক ব্যথার কারণ হতে পারে</t>
  </si>
  <si>
    <t>রাগ হইবার অনেক কারণও ছিল</t>
  </si>
  <si>
    <t>আসলে তারাই ছিল সভ্য তাদের বদলে আমরাই হচ্ছি অসভ্য</t>
  </si>
  <si>
    <t>আমার অপেক্ষা কিঞ্চিৎমাত্র বয়োজ্যেষ্ঠা সুতরাং এই উপলক্ষে বাইচ খেলার আমোদ তাঁহার মনে আসা সম্ভব</t>
  </si>
  <si>
    <t>ঠিকাগাড়িটা সম্পূর্ণ উল্টাইয়া না পড়িয়া এক পাশে কাত হইয়া পড়িল</t>
  </si>
  <si>
    <t>মনুষ্যমধ্যেও সেই নিয়ম</t>
  </si>
  <si>
    <t>আমি একটু কৌতুহলী হয়ে তাকে জিজ্ঞেস করেছিলাম তার আসল নাম কি</t>
  </si>
  <si>
    <t>এ মিলন ঘটায় কমিউনিস্ট পার্টি</t>
  </si>
  <si>
    <t>শাহেদ কি ঠিক করেছে</t>
  </si>
  <si>
    <t>সে অন্ধকারে ছায়ামূর্তির মতো তিনজনকে অগ্রসর হতে দেখেছিল</t>
  </si>
  <si>
    <t>সুমি আমি রাস্তা দিয়ে হাঁটছিলাম</t>
  </si>
  <si>
    <t>ভৃত্যকে কি একটা আদেশ করিয়া বাহির হইয়া গেলেন</t>
  </si>
  <si>
    <t>আমার কর্তব্য মানুষের কাছে খোদার বাণী পৌঁছাইয়া দেওয়া</t>
  </si>
  <si>
    <t>দেখিতে কুৎসিত কি রূপবান্‌ তাহা আমি মীমাংসা করিতে পারি না যে সকল কোল কলিকাতা আইসে বা চা বাগানে যায় তাহাদের মধ্যে আমি কাহাকেও রূপবান্‌ দেখি নাই</t>
  </si>
  <si>
    <t>কখন তিনি যাত্রা করিবেন সে কথা বালিকা কী কারণে জিজ্ঞাসা করিতে পারে নাই পাছে প্রাতঃকালে আবশ্যক হয় এইজন্য রতন তত রাত্রে নদী হইতে তাঁহার স্নানের জল তুলিয়া আনিয়াছিল</t>
  </si>
  <si>
    <t>আপনি যা নিয়ন্ত্রণ করতে পারবেন না তা ছেড়ে দিন আপনি যা পারেন তার উপর ফোকাস করুন</t>
  </si>
  <si>
    <t>আপনার পছন্দের রঙ দিয়ে মন্তব্য করুন</t>
  </si>
  <si>
    <t>বীমা অপ্রত্যাশিত ঘটনার কারণে আর্থিক ক্ষতির বিরুদ্ধে সুরক্ষা প্রদান করে</t>
  </si>
  <si>
    <t>আমি বগুড়ায় বেড়াতে গিয়েছিলাম</t>
  </si>
  <si>
    <t>পাল্কীর ভিতরে কে বা কি তাহা কেহই দেখিল না</t>
  </si>
  <si>
    <t>রহিম করিমকে ওইখানে প্রবেশ করিতে দেখিয়াছি</t>
  </si>
  <si>
    <t>প্রাঙ্গণের এক পার্শ্বে ব্যাঘ্র নিরীহ ভাল মানুষের ন্যায় চোখ বুজিয়া আছে মুখের নিকট সুন্দর নখরসংযুক্ত একটি থাবা দর্পণের ন্যায় ধরিয়া নিদ্রা যাইতেছে</t>
  </si>
  <si>
    <t>আমি বাসায় ফিরে আসার পর বাবা আমাকে আরবি শেখার স্কুলে নিয়ে যেতেন</t>
  </si>
  <si>
    <t>প্রযুক্তিগত সমস্যার কারণে লেনদেন বিলম্বিত হয়েছে</t>
  </si>
  <si>
    <t>আমি পরিষেবাটিকে দ্রুত দক্ষ বলে মনে করেছি</t>
  </si>
  <si>
    <t>আপনার প্রিয় মুভি মন্তব্য করুন</t>
  </si>
  <si>
    <t>বেকিং সজ্জিত কেক সন্তুষ্ট</t>
  </si>
  <si>
    <t>অজানা রোমাঞ্চ সাহসিকতাকে আরও উত্তেজনাপূর্ণ করে তুলেছে</t>
  </si>
  <si>
    <t>কাষ্ঠঘণ্টা পূর্ব্বে মেদিনীপুর অঞ্চলে দেখিয়াছিলাম</t>
  </si>
  <si>
    <t>ইহা কি তোমার বড় ভ্রাতা</t>
  </si>
  <si>
    <t>রাত্রির পর আবার শচীশ সাবেক চাল ধরিল তার নাওয়া খাওয়ার ঠিক ঠিকানা রহিল না</t>
  </si>
  <si>
    <t>আসিয়া যখন পরিয়াছো ক দিন থাকিয়াই যাও</t>
  </si>
  <si>
    <t>আব্বাজানের ধবলচুল মেহেন্দিতে যখন লাল হইবে তখন এই যুবকের প্রজ্জ্বলিত হৃদয় তমশায় ডুবিয়া যাইবে</t>
  </si>
  <si>
    <t>কলেজ শিক্ষার জন্য সঞ্চয় করা অনেক পিতামাতার জন্য একটি প্রধান আর্থিক লক্ষ্য</t>
  </si>
  <si>
    <t>টাটকা পুদিনা ডেজার্ট উপস্থাপনাকে উন্নত করে</t>
  </si>
  <si>
    <t>মেকানিক নির্ভুলতার সাথে গাড়ির ইঞ্জিন মেরামত করে</t>
  </si>
  <si>
    <t>শহরের অধিকাংশ লোক মাছ ধরে বা নারকেল চাষের মাধ্যমে মন্দিরের কারণে আসা পর্যটক</t>
  </si>
  <si>
    <t>আমি যখন জনাকীর্ণ শহরতলির এলাকায় পরিদর্শন করি তখন আমি পাবলিক ট্রান্সপোর্ট ব্যবহার করতে পছন্দ করি</t>
  </si>
  <si>
    <t>খোশামুদেরা বলে তাহাদের অলকদাম সরাইবার নিমিত্ত বায়ু ধীরে ধীরে বহে</t>
  </si>
  <si>
    <t>আজই চিঠি লেখার প্রয়োজন কি কিছুদিন পরে লিখলেও ত হয়</t>
  </si>
  <si>
    <t>আমি সুমনকে ভাত খাইতে বলিয়া ছিলাম</t>
  </si>
  <si>
    <t>পেনাল কোড যত ভালো হয় সাহস তত অন্তর্হিত হয় এখন এ সকল কচকচি যাক</t>
  </si>
  <si>
    <t>যতীন ছিলেন শক্ত সমর্থ নির্ভীক চিত্তধারী এক যুবক</t>
  </si>
  <si>
    <t>কিছু স্থিতিশীল আইসোটোপসমূহ হচ্ছে</t>
  </si>
  <si>
    <t>সুজন আজ বাজারে যাবে</t>
  </si>
  <si>
    <t>ভিড়ের সময় ট্রেনে এত ভিড় ছিল আমি একটি আসন খুঁজে পাচ্ছি না</t>
  </si>
  <si>
    <t>অভিনয় শিল্পী পুরস্কার মনোনয়ন উৎসব</t>
  </si>
  <si>
    <t>খনিক সময় দেরি করিবার ফলে ট্রেন আমাকে না লাইয়াই চলিয়া গেলো</t>
  </si>
  <si>
    <t>সকলের উচিত পরিশ্রমের সহিত সফলতা অর্জন করা</t>
  </si>
  <si>
    <t>নিরন্তর ঝগড়া করিয়া সে সত্যই শ্রান্ত হইয়া পড়িয়াছিল</t>
  </si>
  <si>
    <t>এইরূপ কথাপ্রসঙ্গে মাঝে মাঝে বেশি রাত হইয়া যাইত তখন আলস্যক্রমে পোস্টমাস্টারের রাঁধিতে ইচ্ছা করিত না</t>
  </si>
  <si>
    <t>ভ্রাতা আমাকে পড়িতে বসিতে বলিয়াছিল</t>
  </si>
  <si>
    <t>তিনি নিউমোনিয়াতে আক্রান্ত হয়ে মারা যান</t>
  </si>
  <si>
    <t>বাজারের প্রবণতার সাথে মানিয়ে নেওয়া আমাদের প্রতিযোগিতামূলক প্রান্ত নিশ্চিত করে</t>
  </si>
  <si>
    <t>এর মধ্যেই পেরেকের ব্যাপারটা না তুললেও হতো</t>
  </si>
  <si>
    <t>সে আমাকে দূর হতে ডেকেছিল</t>
  </si>
  <si>
    <t>সম্যক্ বিবেচনা না করিয়া কাষ্ঠ আহরণে আসিয়াছিলেন</t>
  </si>
  <si>
    <t>বলিয়া সে নিজের কাজে মন দিল</t>
  </si>
  <si>
    <t>ইহা কি তোমার মাতা</t>
  </si>
  <si>
    <t>শেষ পর্যন্ত খেলাটি আমরা জয়লাভ করিয়াছি</t>
  </si>
  <si>
    <t>গোবর্ধনের কোনো আপত্তিই সে কানে তোলে নাই</t>
  </si>
  <si>
    <t>সেখানকার জানালা দিয়ে সমুদ্র দেখা যাচ্ছিল</t>
  </si>
  <si>
    <t>তুমি কি আমার গল্পটি পড়েছিলে</t>
  </si>
  <si>
    <t>বিভিন্ন বক্স অফিসের সফল চলচ্চিত্রে ফ্রিম্যানকে দেখতে পাওয়া যায়</t>
  </si>
  <si>
    <t>শিপিং প্রক্রিয়াটি একটি দুঃস্বপ্ন ছিল আমার প্যাকেজটি দেরিতে পৌঁছেছিল ক্ষতিগ্রস্থ হয়েছিল</t>
  </si>
  <si>
    <t>আর্থ্রাইটিস আপনার জয়েন্টগুলোতে ব্যথা ফোলা সৃষ্টি করে</t>
  </si>
  <si>
    <t>গল্পের বই পড়াটা তার অভ্যাসে পরিণত হয়েছে</t>
  </si>
  <si>
    <t>আমি তোমার পড়ায় কী বাধা দিয়াছি</t>
  </si>
  <si>
    <t>তোমার সুন্দর বনের মত ঘন ম্যানগ্রোভ চুলের বনকে ছাটাই করিবার জন্য একদল ব্যক্তি তাহাদের স্ব স্ব অস্ত্র লইয়া ধাওয়া করিবার প্রস্তুতি লইতেছেন</t>
  </si>
  <si>
    <t>বিকালে বৃষ্টি থামিলে এখানে খেলিতে আসিয়া শ্ৰীনাথের মেয়ে পুতুলটা ফেলিয়া গিয়াছে</t>
  </si>
  <si>
    <t>অধিকন্তু তিনি নারীদের লেখায় উৎসাহিত করতেন</t>
  </si>
  <si>
    <t>শিক্ষাগত নীতি সংস্কার শিক্ষার পদ্ধতিগত সমস্যাগুলি মোকাবেলা করতে চায়</t>
  </si>
  <si>
    <t>সুজনের স্কুলটি বদলাতে হবে</t>
  </si>
  <si>
    <t>শরীর আশযুক্ত হয়ে গিয়েছে</t>
  </si>
  <si>
    <t>পারিবারিক পুনর্মিলন বিশৃঙ্খল হতে পারে সবসময় মজাদার</t>
  </si>
  <si>
    <t>রানা আমার কথা শুনিয়া আসিয়া ছিল</t>
  </si>
  <si>
    <t>গন্তব্যে পৌছাইতে গাড়ি খুজিতে লাগিলাম</t>
  </si>
  <si>
    <t>তাহাদের আপত্তি অত্যন্ত গুরুতর হইয়া দাঁড়াইল বাড়ি বিক্রয় স্থগিত হইল</t>
  </si>
  <si>
    <t>আমার বড় ভ্রাতা বাড়ি নাই</t>
  </si>
  <si>
    <t>যে মাঠে জন্মে মাঠের বায়ু দূষিত হইয়া যায় এই ভয়ে সে মাঠ দিয়া কেহ যাতায়াত করে না সে মাঠে কোনো ফসল হয় না</t>
  </si>
  <si>
    <t>আমি সেদিন রাস্তায় একটা বিড়াল দেখেছিলাম</t>
  </si>
  <si>
    <t>তথ্য যুগে নেভিগেট করার জন্য ডিজিটাল সাক্ষরতা অপরিহার্য</t>
  </si>
  <si>
    <t>দমন পীড়নের প্রকৃতি নির্ণয় করা কঠিন</t>
  </si>
  <si>
    <t>তারা দুজনে মিলে সে বছরের পুরস্কারের অর্ধেক পান</t>
  </si>
  <si>
    <t>আমার ঘরে এখন বাজার নেই</t>
  </si>
  <si>
    <t>পূর্ব্বে লিখিলে যাহা লিখিতাম এক্ষণে যে তাহাই লিখিতেছি এমত নহে</t>
  </si>
  <si>
    <t>আমি বড় শ্রান্ত বোধ করিতেছি</t>
  </si>
  <si>
    <t>ভাবিতেছি এবার কী লিখি</t>
  </si>
  <si>
    <t>রনি রহিমকে মাঠে হাঁটিয়া যাইতে হইল</t>
  </si>
  <si>
    <t>শাকিব আমাকে তার কাছে যেতে বলল</t>
  </si>
  <si>
    <t>আমার বাবা একজন সৎ ব্যক্তি</t>
  </si>
  <si>
    <t>সুজন তোমার মাকে ডেকেছিল</t>
  </si>
  <si>
    <t>এভাবেই তিনি এগিয়ে গেছেন তাঁর বৌদ্ধিক সততা লাভের উদ্দেশ্যে</t>
  </si>
  <si>
    <t>আমার কাজটি সবার ভালো লাগবে</t>
  </si>
  <si>
    <t>হাঁকডাক দিয়া সাড়া না পাইয়া গোবর্ধনকে সে নৌকা ভিড়াইতে বলিয়াছিল</t>
  </si>
  <si>
    <t>তাহার বিপদ্‌ কতক অনুভব করিতে পারিলাম</t>
  </si>
  <si>
    <t>অন্য লোকে শুনুন বলিলে সহ্য হয় না</t>
  </si>
  <si>
    <t>অর্ধেক রাতে তাহার সতর্ক নিদ্রা মায়ের ডাকে ভাঙ্গিয়া গেল</t>
  </si>
  <si>
    <t>অল্প বিলম্বেই অর্ধশুষ্ক তৃণাবৃত একটি ক্ষুদ্র প্রান্তর দেখা গেল</t>
  </si>
  <si>
    <t>আপনার প্রিয় শখের সাথে মন্তব্য করুন</t>
  </si>
  <si>
    <t>ভুপেন্দ্র খুব অল্প বয়সেই মারা যায়</t>
  </si>
  <si>
    <t>তথ্যদাতাদের নিরাপত্তা নিশ্চিত করার জন্য সাক্ষী সুরক্ষা কর্মসূচি অত্যন্ত গুরুত্বপূর্ণ</t>
  </si>
  <si>
    <t>কারণ এমন কোন বিচ্যুতিই প্রদর্শিত হয়নি</t>
  </si>
  <si>
    <t>এখন রফিক মসজিদে যাচ্ছে</t>
  </si>
  <si>
    <t>সংসারও তাহাদের অন্নাভাবে শীঘ্রই লোপ পায়</t>
  </si>
  <si>
    <t>করিম শিক্ষা নিয়া আবার ফিরিয়া আসিবে</t>
  </si>
  <si>
    <t>তাহার ভয় ছিল পাছে চিনিতে না পারায় গলিটা পার হইয়া যায়</t>
  </si>
  <si>
    <t>আমি তাহাকে একটি বই উপহার করিয়াছিলাম</t>
  </si>
  <si>
    <t>ছোট্ট শিশুটি তাহার বাবার জন্য অনেক কান্না করিতেছিল</t>
  </si>
  <si>
    <t>পণ্যটি আমার প্রত্যাশা পূরণ করেনি আমি হতাশ হয়ে পড়েছিলাম</t>
  </si>
  <si>
    <t>এর ইতিহাস সমৃদ্ধ বিচিত্র</t>
  </si>
  <si>
    <t>জিগস পাজল আমার মনকে চ্যালেঞ্জ করে</t>
  </si>
  <si>
    <t>আমার মা ঘরে কাজ করছে</t>
  </si>
  <si>
    <t>সব ই ভালো ভাবে যাচ্ছিলো খারাপ আড্ডায় পরে এতো ভালো ক্যারিয়ার হাতে ধরেই নষ্ট করলো</t>
  </si>
  <si>
    <t>ঙ্গসমাজের আভ্যন্তরীণ ব্যাপার কি একবার অনুসন্ধান করিলে ভাল হয় না</t>
  </si>
  <si>
    <t>হারুর মরণের খবরটা সে শান্তভাবে গ্রহণ করে</t>
  </si>
  <si>
    <t>সুমন ভ্রাতা আমার গৃহে আসিয়াছিল</t>
  </si>
  <si>
    <t>সোহাগ আমার নিকট আসিয়া বসিয়াছিল</t>
  </si>
  <si>
    <t>আমরা সেখানে ঘুরিতে যাইয়া একটা চাতক পাখি দেখিয়াছিলাম</t>
  </si>
  <si>
    <t>শিক্ষাগত মূল্যায়ন হতে হবে সুষ্ঠু স্বচ্ছ</t>
  </si>
  <si>
    <t>সানি আমাকে ঘরে গিয়ে বসতে বলল</t>
  </si>
  <si>
    <t>শাকিব সুমনকে খেতে ডাকলো</t>
  </si>
  <si>
    <t>কমলাপুর থেকে মালিবাগ এক টাকা ভাড়ায় ইরতাজউদ্দিন একটা রিকশা জোগাড় করে ফেললেন</t>
  </si>
  <si>
    <t>এক খানা বুদ্ধি আসিয়াছে আব্বাজানকে বলিবে মাস্টারমশাই ডাকিয়াছে</t>
  </si>
  <si>
    <t>আমি কি স্বপ্নেও এত সৌভাগ্য প্রত্যাশা করিয়াছিলাম</t>
  </si>
  <si>
    <t>অনেক গুরুতর ঘটনার চেয়ে সেই কথাটাই তাহার মনে বেশি উদয় হইত</t>
  </si>
  <si>
    <t>পাশের বাড়ির ছাতের উপরে গোটা তিনেক কাক কী লইয়া ডাকাডাকি করিতেছিল</t>
  </si>
  <si>
    <t>পূর্বে কবে চুল কাটাইয়াছি তাহা ঠিক স্বরণ করিতে পারিতেছি না</t>
  </si>
  <si>
    <t>লেনদেন অ্যাকাউন্ট ধারক দ্বারা অনুমোদিত ছিল</t>
  </si>
  <si>
    <t>সবুজের কথা মনে পড়ে যাচ্ছে</t>
  </si>
  <si>
    <t>আমি জানতাম আমার উপার্জন সামান্য হলেও তা পরিবারের কাজে আসছে</t>
  </si>
  <si>
    <t>ভাজা বাদাম তৃপ্তি সঙ্গে খাওয়া যায়</t>
  </si>
  <si>
    <t>ডার্ট খেলা একটি কৌশলগত আনন্দ</t>
  </si>
  <si>
    <t>শশী ভাবিল পনেরো বিশ মিনিট দেরি করিয়া বটগাছটার কাছে পৌঁছিলে হারুকে সে ঠাহর করিতে পারিত না</t>
  </si>
  <si>
    <t>তাহাকে একবার না দেখাইয়া হারুকে পোড়াইয়া ফেলিবার কথাটা শশী ভাবিতেও পারিতেছিল না</t>
  </si>
  <si>
    <t>সুমি আমাকে শরীফের নিকটে যাইতে বলিল</t>
  </si>
  <si>
    <t>আগন্তুক গালি খাইয়া কোন উত্তর করিল না</t>
  </si>
  <si>
    <t>আমার এই বন্ধুটিও একজন সফল অনুবাদক</t>
  </si>
  <si>
    <t>সে স্যারের অনুমতি নিয়ে কক্ষে প্রবেশ করেছিল</t>
  </si>
  <si>
    <t>ভারত তখন একটি ব্রিটিশ কলোনি</t>
  </si>
  <si>
    <t>এগুলো অত্যন্ত মূল্যবান অলঙ্কার উপাদান হিসেবে ইউরোপে সমাদৃত ছিল</t>
  </si>
  <si>
    <t>কোনোদিন গুরুতর কোনো ঝামেলা হয়নি</t>
  </si>
  <si>
    <t>বোধ করি মধ্যে মধ্যে মাথায় অনেক ভাবনা উদয় হইয়াছিল</t>
  </si>
  <si>
    <t>সব আমি কিছু জানিনে আজ আপনি যাও বলিয়া সে চলিয়া গেল</t>
  </si>
  <si>
    <t>এতক্ষণে সন্ধ্যা হইয়াছে</t>
  </si>
  <si>
    <t>হারুর পরিবারের ক্ষতি বেদনার প্রকৃতি উপলব্ধি যেন এতক্ষণে শশী আয়ত্ত করিতে পারিল</t>
  </si>
  <si>
    <t>আমার পুত্র সুমন মাঠে খেলিতে গিয়াছে</t>
  </si>
  <si>
    <t>এর আগে টাইটানিককে পুনরাবিষ্কারের সকল প্রচেষ্টাই ব্যর্থ হয়</t>
  </si>
  <si>
    <t>ফৌজদারি তদন্ত প্রায়ই নজরদারি গোপন অপারেশন জড়িত</t>
  </si>
  <si>
    <t>মাঠে ভলিবল খেলছে রাকিব সুমন</t>
  </si>
  <si>
    <t>স্কার্ফ কম্বল তৈরি করা শিথিল হয়</t>
  </si>
  <si>
    <t>এছাড়া ইঞ্জিন হাতে ঘুরিয়েও চালু করা যেতে পারে</t>
  </si>
  <si>
    <t>যথার্থ ই দেহ মনে বড় শক্ত করিয়া গড়িয়াছিলেন</t>
  </si>
  <si>
    <t>আমি তাহাকে স্কুলে যাওয়ার জন্য অনুরোধ করিয়াছিলাম</t>
  </si>
  <si>
    <t>বন্যেরা বনে সুন্দর শিশুরা মাতৃক্রোড়ে</t>
  </si>
  <si>
    <t>পর্ব্বত পূর্বমতো সেই পাঁচ মিনিটের পথ বলিয়া বোধ হইতে লাগিল</t>
  </si>
  <si>
    <t>রনি আমাকে ডেকে এসেছিল</t>
  </si>
  <si>
    <t>তাদের কোন সন্তান ছিল না</t>
  </si>
  <si>
    <t>পাখি কখনো গাছের ডাল থেকে পরে যায় না কারন সে ডালের উপর নয় নিজের পাখার উপর বিশ্বাসী</t>
  </si>
  <si>
    <t>খুবই আশ্চর্যের ব্যাপার এই বাড়ির সামনেও একটা ছাতিম গাছ</t>
  </si>
  <si>
    <t>পলিসিস্টিক ওভারি সিন্ড্রোম হল একটি হরমোনজনিত ব্যাধি যা মহিলাদের প্রজনন স্বাস্থ্যকে প্রভাবিত করে যার ফলে অনিয়মিত মাসিক উর্বরতা সমস্যা হয়</t>
  </si>
  <si>
    <t>যাহা সে উপার্জ্জন করিবে তাহা মহাজনের</t>
  </si>
  <si>
    <t>আকাশের দেবতা সেইখানে তাহার দিকে চাহিয়া কটাক্ষ করিলেন</t>
  </si>
  <si>
    <t>বাহিরে আকাশের খণ্ড চন্দ্র তাহাকে অনুসরণ করিয়া ছুটিয়া চলিতে লাগিল</t>
  </si>
  <si>
    <t>পেনাল কোড যত ভালো হয় সাহস তত অন্তর্হিত হয়</t>
  </si>
  <si>
    <t>ওভারহেডের ছাউনিটি বানরের আড্ডায় জীবন্ত ছিল খাবারের সন্ধানে ডালে ডালে দোল খাচ্ছিল</t>
  </si>
  <si>
    <t>ভূগর্ভস্থ গুহাগুলির মধ্য দিয়ে অতিক্রম করে তারা প্রকৃতির দ্বারা খোদাই করা জটিল গঠনগুলি দেখে বিস্মিত হয়েছিল</t>
  </si>
  <si>
    <t>তিনি জনগণকে শ্রদ্ধা করেন তাদেরকে তুচ্ছ তাচ্ছিল্য করেন না</t>
  </si>
  <si>
    <t>কৃষি জৈবপ্রযুক্তি গবেষণা বর্ধিত বৈশিষ্ট্য সহ জেনেটিকালি পরিবর্তিত ফসলের বিকাশের উপর দৃষ্টি নিবদ্ধ করে</t>
  </si>
  <si>
    <t>মাস্টার যখন মার আরম্ভ করিত তখন ভারক্লান্ত গর্দভের মতো নীরবে সহ্য করিত</t>
  </si>
  <si>
    <t>বাবা তাহার মেয়েকে বলিয়াছিল তুমি আমার মেয়ে হইয়েও অপরিচিত শত্রুদের সাহায্য করিয়াছ</t>
  </si>
  <si>
    <t>শরীরটা যেন গেল গেল এই ভাব করিয়া সকলকে শাসাইয়া রাখিলেন</t>
  </si>
  <si>
    <t>গোবর্ধন প্রথমটা রাজি হয় নাই</t>
  </si>
  <si>
    <t>খোদা না করুন কোনো দুঃসংবাদ নাইতো জমিদার সাহেব</t>
  </si>
  <si>
    <t>আপনার অভ্যন্তরীণ কথোপকথন সম্পর্কে সচেতন হন ইতিবাচক স্ব কথোপকথন অনুশীলন করুন আপনার চিন্তা আপনার বাস্তবতা গঠন</t>
  </si>
  <si>
    <t>খাদ্য নিরাপত্তা মান নিশ্চিত করে যে কৃষি পণ্যগুলি ব্যবহারের জন্য গুণমান স্বাস্থ্যবিধি প্রয়োজনীয়তা পূরণ করে</t>
  </si>
  <si>
    <t>দুঃখ পেয়ে জাহ্নবী মুন্নার সাথে বিচ্ছেদ ঘটায়</t>
  </si>
  <si>
    <t>সমন্বিত কীটপতঙ্গ ব্যবস্থাপনা কৌশলগুলি কীটনাশকের উপর নির্ভরতা কমাতে সাংস্কৃতিক অনুশীলনের সাথে জৈবিক নিয়ন্ত্রণকে একত্রিত করে</t>
  </si>
  <si>
    <t>আমি তার ব্যবহারে কষ্ট পেয়েছি。</t>
  </si>
  <si>
    <t>আকাশে ছায়া পড়িতেছে পৃথিবীর রং ফিরিতেছে</t>
  </si>
  <si>
    <t>স্খলিত আঁচলটা মাথায় তুলিয়া দিয়া কহিল তুমি এখানে কেন মা</t>
  </si>
  <si>
    <t>উপরে উঠিয়া বৌ ফিরিয়া চাহিয়া বলিল আজ ঝিকে নিয়ে মা কালীবাড়ি গেছেন</t>
  </si>
  <si>
    <t>আজ যে বস্তুটি তাঁহার চোখে পড়িল তাহা সম্পূর্ণ হৃদয়ঙ্গম করিবার সামর্থ্য তাঁহার ছিল না</t>
  </si>
  <si>
    <t>দ্রুত গিয়া মাখনকে এক সশব্দ চড় কষাইয়া দিয়া কহিল ফের মিথ্যে কথা</t>
  </si>
  <si>
    <t>ক্রনিক অবস্ট্রাকটিভ পালমোনারি ডিজিজ সিওপিডি হল একটি ফুসফুসের অবস্থা যা শ্বাস নিতে কষ্ট করে</t>
  </si>
  <si>
    <t>এটা আমাকে রবিন দিয়েছিল</t>
  </si>
  <si>
    <t>তারার কম্বলের নীচে ক্যাম্পিং করে তারা মহাবিশ্বের বিশালতা নিয়ে চিন্তা করেছিল</t>
  </si>
  <si>
    <t>শাকিব আমাকে তার সাথে খেতে বললো</t>
  </si>
  <si>
    <t>সর্বদা উন্নতির জন্য চেষ্টা করুন পরিপূর্ণতা নয়</t>
  </si>
  <si>
    <t>যুবতীদের সুরের ঢেউ নিকটের পাহাড়ে গিয়া লাগিতে লাগিল</t>
  </si>
  <si>
    <t>খেয়াল হইলো কাকিমার দরজার সামনে আসিয়া</t>
  </si>
  <si>
    <t>একটা কথা বুঝিতে পারিলাম না ঘরে থাকিয়াও কি তুমি আমাকে ফেলিতে পারিতে না</t>
  </si>
  <si>
    <t>যেন সকলেরই জীবনীশক্তি কমিয়া আসিয়াছে</t>
  </si>
  <si>
    <t>সখি পরাণের দাগ মুছিয়া ফেলিতে তোমারে স্মরিছি ফিরাইওনা খালি হাতে</t>
  </si>
  <si>
    <t>তারা সবাই তাদের নিজ নিজ কাজে ব্যস্ত ছিলো</t>
  </si>
  <si>
    <t>তিনিই প্রথম জাপানি যিনি নোবেল পুরস্কারে ভূষিত হন</t>
  </si>
  <si>
    <t>আমি সবসময় আমার ট্রাঙ্কে জাম্পার তারগুলি বহন করি ঠিক সেই ক্ষেত্রে</t>
  </si>
  <si>
    <t>আশির দশকে আবাহনী দলে খেলতেন</t>
  </si>
  <si>
    <t>এই ছোট বয়সেই আমি আমার স্বল্প আয়ের দ্বারা কিছুটা হলেও পরিবারে সাহায্য করতে পারব</t>
  </si>
  <si>
    <t>দেশের নামী দামী লেখকবৃন্দ তোমার মত বৎসকে সকল প্রকার সাহায্য করিবার জন্য দুই হাতে শিক্ষার উপকরন লইয়া উপস্থিত হইবার চেষ্টা চালাইতাছেন</t>
  </si>
  <si>
    <t>সে তাহার দেওয়া প্রতিজ্ঞা রাখিতে পারেনি</t>
  </si>
  <si>
    <t>এতদিন কি চেয়েছিলুম শুনি সে কি টাকা</t>
  </si>
  <si>
    <t>সে দেখিল বনের ভেতর থেকে তাহার সামনে এক অপরূপ সুন্দরী আসিয়া দাঁড়িইয়াছিল</t>
  </si>
  <si>
    <t>আমি এ কথা কোনরূপে বিশ্বাস করিলাম না</t>
  </si>
  <si>
    <t>এগ্রোইকোসিস্টেম হল কৃষি ল্যান্ডস্কেপে জীবের মধ্যে মিথস্ক্রিয়াগুলির জটিল নেটওয়ার্ক</t>
  </si>
  <si>
    <t>সম্ভবত প্রথম দিকে হ্যাথাওয়েকে ভালবাসতেন শেকসপিয়র</t>
  </si>
  <si>
    <t>সে চুপ করে বসে আনমনে কিছু একটা ভাবছিল。</t>
  </si>
  <si>
    <t>বৃদ্ধি সাহসিকতার সুযোগ হিসাবে অনিশ্চয়তাকে আলিঙ্গন করুন</t>
  </si>
  <si>
    <t>খাস্তা ভাজা খাবারকে আনন্দদায়ক করে তোলে</t>
  </si>
  <si>
    <t>তাঁর মনে হইত কোনো কিছুতে বাধা দিলে সে যেন বাঁচিবে না</t>
  </si>
  <si>
    <t>সুতরাং খাতক জন্মের মত মহাজনের নিকট বিক্রীত হইল</t>
  </si>
  <si>
    <t>মাঝে মাঝে কবিতাও কুমুদ লিখিত</t>
  </si>
  <si>
    <t>অথচ সন্ধ্যাদীপ জ্বলে নাই</t>
  </si>
  <si>
    <t>মহারাজের আজ্ঞা করিলে দূর প্রবাসের উদ্দেশ্যে বাহির হইবো</t>
  </si>
  <si>
    <t>শিক্ষাগত অর্জন আর্থ সামাজিক ফলাফলের সাথে সম্পর্কযুক্ত</t>
  </si>
  <si>
    <t>আমি প্রানি পুষতে ভালোবাসি পরিবারের কেউ পছন্দ করেন না</t>
  </si>
  <si>
    <t>এতক্ষণ ধরে মাফলার পরে থাকায় গলা চুলকাচ্ছে</t>
  </si>
  <si>
    <t>একজন আরেকজনকে খুঁজবে</t>
  </si>
  <si>
    <t>জন্মের পনেরো দিনের দিন শাহেদেরও এই রোগ হলো</t>
  </si>
  <si>
    <t>স্নান সমাপন হইলে রতনের ডাক পড়িল</t>
  </si>
  <si>
    <t>রুমি সুমার কথা কর্ণপাত করিয়া শুনিতে ছিল</t>
  </si>
  <si>
    <t>লোকটা নমস্কার করিয়া চলিয়া গেল</t>
  </si>
  <si>
    <t>জিজ্ঞাসা করায় বালকেরা বলিল চারি কোণে আমরা চারিজন শয়ন করি মধ্যস্থলে মাষ্টার মহাশয় থাকেন</t>
  </si>
  <si>
    <t>পরিশেষে ছেদনযোগ্য একটি বৃক্ষ পাইয়া তাহা হইতে প্রয়োজনীয় কাষ্ঠ সমাহরণ করিলেন</t>
  </si>
  <si>
    <t>বিভিন্ন যুদ্ধক্ষেত্রে রেকর্ড সংখ্যক ভারতীয় সৈন্য মোতায়েন করা হয়</t>
  </si>
  <si>
    <t>সেই সামান্য কজন বন্ধুর মধ্যে নিয়াজ অন্যতম</t>
  </si>
  <si>
    <t>অতিসূক্ষ্ম পরিমাপে মিকেলসনের পারদর্শিতা ছিল অসাধারণ</t>
  </si>
  <si>
    <t>আমার বাবা মাঠে কাজ করেছিল</t>
  </si>
  <si>
    <t>গাছটার বয়স একশ র বেশি হবে</t>
  </si>
  <si>
    <t>বাজার হইতে ইলিশ আনিবার পূর্বের তাহা রাধিবার সকল ব্যবস্থাই করিয়া রাখিয়াছে গিন্নি</t>
  </si>
  <si>
    <t>মেজমেয়ে বিন্দুবাসিনীর বিবাহ হইয়াছে খাস কলিকাতায় বড়বাজারের নন্দলাল অ্যান্ড কোং এর নন্দলালের সঙ্গে</t>
  </si>
  <si>
    <t>সঙ্গে সঙ্গে কর্ণেও তাহার কার্য্য হইয়াছিল</t>
  </si>
  <si>
    <t>গাড়ী ঠেলিয়া পার করিতে হইবে গাড়ওয়ান কুলি ডাকিতে গেল</t>
  </si>
  <si>
    <t>হেয়ার স্টাইলিস্ট ক্লায়েন্টদের চুলকে নির্ভুল কাট প্রাণবন্ত রং দিয়ে রূপান্তরিত করেছেন</t>
  </si>
  <si>
    <t>আমি গ্যাস বাঁচাতে একটি বৈদ্যুতিক গাড়ি কেনার কথা ভাবছি</t>
  </si>
  <si>
    <t>আলহামদুলিল্লাহ৷ আজকে মায়ের হাতে গাড়ির চাবি দিয়ে খুব ভালো লাগতেছে</t>
  </si>
  <si>
    <t>মাইগ্রেন হল তীব্র মাথাব্যথা যা প্রায়ই বমি বমি ভাব আলোর প্রতি সংবেদনশীলতার সাথে থাকে</t>
  </si>
  <si>
    <t>এগুলো আগের মতোই চালিয়ে যেতে হবে</t>
  </si>
  <si>
    <t>ছেলে চলিয়া যাইতেই একেবারে নির্জীবের মত শয্যা গ্রহণ করিলেন দীর্ঘশ্বাস ফেলিয়া বলিলেন ভগবান</t>
  </si>
  <si>
    <t>তাহারা আসিয়াই যুবাদিগের প্রতি উপহাস আরম্ভ করিল</t>
  </si>
  <si>
    <t>নিরাপত্তার জন্য যথাযথ যন্ত্রপাতি ব্যবহার করুন</t>
  </si>
  <si>
    <t>হাইকিং ক্যাম্পিংয়ের মতো আউটডোর অ্যাডভেঞ্চারগুলি মানুষকে প্রকৃতির সাথে সংযুক্ত করে</t>
  </si>
  <si>
    <t>কিউবান বিপ্লব কেন্দ্রীয় গণতন্ত্রের প্রতিশ্রুতি দেয়</t>
  </si>
  <si>
    <t>আমার গণিত শিক্ষকের একটাই শর্ত ছিল</t>
  </si>
  <si>
    <t>আপনার স্বপ্নের দিকে প্রতিদিন ছোট ছোট পদক্ষেপ নিন</t>
  </si>
  <si>
    <t>সানি আমাকে গৃহে গিয়া বসিতে বলিল</t>
  </si>
  <si>
    <t>নন্দলালের কাছে বিন্দুবাসিনী হয়তো সুখেই আছে</t>
  </si>
  <si>
    <t>রের প্রদীপটা হাতে লইয়া বারান্দার ধারে আসিয়া চেঁচাইয়া বলিলেন তুই কি কানের মাথা খেয়েচিস লা</t>
  </si>
  <si>
    <t>পক্ষীটির সঙ্গে কতই বেড়াইলাম কত বার এই ছন্দ শনিলাম</t>
  </si>
  <si>
    <t>গল্প করিতে করিতে আমি তাঁহাকে যুবতীর কথা বলিলাম</t>
  </si>
  <si>
    <t>আমাকে দেখে রুমি হাসতে লাগলো</t>
  </si>
  <si>
    <t>আজীবন সুবিধার জন্য ধারাবাহিক থাকুন</t>
  </si>
  <si>
    <t>বাবা আমাকে এই কলমটি কিনে দিয়েছেন</t>
  </si>
  <si>
    <t>আপনি যা নিয়ন্ত্রণ করতে পারেন তার উপর ফোকাস করুন আপনি যা করতে পারবেন না তা ছেড়ে দিন জীবনের প্রবাহে আত্মসমর্পণ করা</t>
  </si>
  <si>
    <t>শহরের মানুষ সবকিছু বিবেচনা করে দাম দিয়ে</t>
  </si>
  <si>
    <t>রানা আমাকে দেখিয়া চলিয়া গিয়াছে</t>
  </si>
  <si>
    <t>যখন ফিরিলেন তখন আমার চুল কাটা চলছে</t>
  </si>
  <si>
    <t>যে যেখানে দাঁড়াইয়াছিল সে সেইখানেই দাঁড়াইয়া তালে তালে পা ফেলিতে লাগিল</t>
  </si>
  <si>
    <t>যাহা উপার্জ্জন করিবে তাহা মহাজনকে আনিয়া দিতে হইবে</t>
  </si>
  <si>
    <t>সেকালের হরকরা নামক ইংরেজী পত্রিকায় দেখিতাম কোন একজন মিলিটারি সাহেব পেরেড বৃত্তান্ত ব্যাণ্ডের বাদ্যচর্চ্চা প্রভৃতি নানা কথা পালামৌ হইতে লিখিতেন</t>
  </si>
  <si>
    <t>শিক্ষা আবিষ্কার বৃদ্ধির একটি জীবনব্যাপী যাত্রা</t>
  </si>
  <si>
    <t>যারা আপনাকে অনুপ্রাণিত সমর্থন করে তাদের সাথে নিজেকে ঘিরে রাখুন</t>
  </si>
  <si>
    <t>কলা শিক্ষা সৃজনশীলতা আত্ম প্রকাশকে উৎসাহিত করে</t>
  </si>
  <si>
    <t>লেনদেন আর্থিক প্রতিষ্ঠান দ্বারা অনুমোদিত হয়</t>
  </si>
  <si>
    <t>লোকটি আমার কাজ দেখে প্রশংসা করেছিল</t>
  </si>
  <si>
    <t>গোড়া হইতেই সুখের প্রত্যাশা ছাড়িয়াছিলাম</t>
  </si>
  <si>
    <t>একদিন সকালে আমার ছোটো ঘরে বসিয়া প্রুফশীট সংশোধন করিতেছি</t>
  </si>
  <si>
    <t>এখন আমি যাহা লিখিব তাহা আমার চুল কাটা বিষয়ে</t>
  </si>
  <si>
    <t>তাহার কল্পনাময় অংশটুকু গোপন মূক</t>
  </si>
  <si>
    <t>এই দুইজন ব্যক্তি আমার গভীর চিন্তাভাবনা আবেগ অনুভূতি খুব সহজেই বুঝে ফেলতেন</t>
  </si>
  <si>
    <t>এনিয়ে তোলপাড় হচ্ছে সোশ্যাল মিডিয়াও</t>
  </si>
  <si>
    <t>পারিবারিক ছুটি এমন স্মৃতি তৈরি করে যা সারাজীবন স্থায়ী হয়</t>
  </si>
  <si>
    <t>ফটোগ্রাফার একটি বিয়ের অনুষ্ঠানের সুন্দর মুহূর্তগুলি বন্দী করেছেন</t>
  </si>
  <si>
    <t>হাতের কাজগুলো শেষ করে আমরা ঘুরতে গিয়েছিলাম。</t>
  </si>
  <si>
    <t>অপরাধ তদন্ত আইন প্রয়োগকারী সংস্থা ফরেনসিক বিশেষজ্ঞদের মধ্যে সহযোগিতার উপর নির্ভর করে</t>
  </si>
  <si>
    <t>যুবতীরা তালে তালে নাচিতেছে</t>
  </si>
  <si>
    <t>রনি আমাকে দেখিয়া হাসিয়াছিল</t>
  </si>
  <si>
    <t>সে বজ্র কেবল দগ্ধ করিল কেন</t>
  </si>
  <si>
    <t>আমি তাহা কোনরূপে ভাবিতে পারিলাম না</t>
  </si>
  <si>
    <t>তিনি তাহার মোবাইলে মায়ের দেওয়া অর্থ হইতে বিষ টাকা ঢুকাইয়া খরচ করিয়া ফেলিয়াছেন</t>
  </si>
  <si>
    <t>যোগাযোগহীন অর্থপ্রদানের মাধ্যমে লেনদেন শুরু করা হয়েছিল</t>
  </si>
  <si>
    <t>ডার্ক চকোলেট অত্যাধুনিক তালুতে লিপ্ত হয়</t>
  </si>
  <si>
    <t>এই বইটি সালে পুলিৎজার পুরস্কার পেয়েছিল</t>
  </si>
  <si>
    <t>ছৌ মূলত উৎসব নৃত্য</t>
  </si>
  <si>
    <t>তার প্রস্তাব শুনে আমি ভীষণ খুশি হয়েছিলাম</t>
  </si>
  <si>
    <t>একদিন অস্তুর ওখানে বাজার বসে</t>
  </si>
  <si>
    <t>রহমতের গাত্রবস্ত্রে রক্তচিহ্ন একজন পাহারাওয়ালার হাতে রক্তাক্ত ছোরা</t>
  </si>
  <si>
    <t>সুমন ভাত খাইয়া নামাজে যাইবে</t>
  </si>
  <si>
    <t>অবশেষে কোথাও না পাইয়া বিশ্বম্ভরবাবু পুলিসে খবর দিলেন</t>
  </si>
  <si>
    <t>রনি রানাকে ভ্রমণ করিতে যাইতে বলিল</t>
  </si>
  <si>
    <t>সালের পর তারা কেবল একবার শীর্ষ বিভাগে খেলেছে</t>
  </si>
  <si>
    <t>এই আইটেমটির কারুকার্যের বিশদ স্তরটি চিত্তাকর্ষক ছিল</t>
  </si>
  <si>
    <t>সালে তিনি আগ্রহী হয়ে ওঠেন স্থাপত্যবিদ্যায়</t>
  </si>
  <si>
    <t>এছাড়া রেপোশে পদ্ধতিতে দুই ব্রোঞ্জ পদক বিজয়ী স্থির করা হয়</t>
  </si>
  <si>
    <t>আমি নতুন জামা কিনতে গিয়েছিলাম</t>
  </si>
  <si>
    <t>সে দাঁতের উপরে দাঁত চাপিয়া আস্তে আস্তে বলিল তুমি কি মনে কর</t>
  </si>
  <si>
    <t>সে প্রথমে আমাকে দেখিয়া চিনিতে পারেনি</t>
  </si>
  <si>
    <t>স্কুল পালাইয়া নজরুল হইতে পারিবে না</t>
  </si>
  <si>
    <t>ফিটনেস হচ্ছে একটা জীবের প্রজননের সামর্থ</t>
  </si>
  <si>
    <t>বিদেশী গন্তব্যে ভ্রমণ করা অ্যাডভেঞ্চারের একটি জনপ্রিয় রূপ</t>
  </si>
  <si>
    <t>এই অবিচ্ছন্নতা আমার জীবনে সংবাদপত্র বিতরণ ব্যবসায় অদ্ভুতভাবে প্রভাব ফেলে</t>
  </si>
  <si>
    <t>প্রতিটি পদক্ষেপের সাথে তারা আবিষ্কারের মোহ দ্বারা চালিত অজানার গভীরে প্রবেশ করেছে</t>
  </si>
  <si>
    <t>মাছের দিক দিয়ে বাংলাদেশ খুব সমৃদ্ধ</t>
  </si>
  <si>
    <t>সে হয়ত কোনদিন আসিয়া বলে বাবু দুজন ভদ্দর বাঙালী সুমুখের রাস্তা দিয়ে বোধ করি ত্রিকূট দেখতে যাচ্ছেন—</t>
  </si>
  <si>
    <t>সখী মেগাবাইট ফুরাইয়া গেলেই কি দেখা করিবার ইচ্ছা চলিয়া যাইবে</t>
  </si>
  <si>
    <t>প্রবল বেগে মলয় প্রবাহিত হইতেছে</t>
  </si>
  <si>
    <t>আমি সকালে ঘুম থেকে উঠিয়া আমার বন্ধুদের বাড়িতে গিয়াছিলাম</t>
  </si>
  <si>
    <t>সে আমার গা ঘেঁষিয়া কাবুলির মুখ ঝুলির দিকে সন্দিগ্ধ নেত্রক্ষেপ করিয়া দাঁড়াইয়া রহিল</t>
  </si>
  <si>
    <t>ছেলেবেলা থেকেই সাঁতারে তাঁর দারুণ উৎসাহ ছিল</t>
  </si>
  <si>
    <t>প্রতিদিনের পত্রিকা খুললেই সাম্প্রদায়িক দাঙ্গা সংঘর্ষের সংবাদ দেখা যেত</t>
  </si>
  <si>
    <t>নিয়মিত বহিরঙ্গন ক্রিয়াকলাপে নিযুক্ত হন</t>
  </si>
  <si>
    <t>অনেক ভারতীয়দের কাছে রামেশ্বরাম পবিত্রতম ধর্মীয় স্থান</t>
  </si>
  <si>
    <t>আমি সফল লেনদেন নিশ্চিত করে একটি বিজ্ঞপ্তি পেয়েছি</t>
  </si>
  <si>
    <t>মাঠে ভলিবল খেলিতেছে রাকিব সুমন</t>
  </si>
  <si>
    <t>এ আট বৎসরে তাহার কী হইয়াছে তাই বা কে জানে</t>
  </si>
  <si>
    <t>আসন পাতিয়া থালের উপর পরিপাটি করিয়া আহার্য সাজাইয়া দিয়া কাছে বসিয়া একান্ত আগ্রহের সহিত বলিল তার পরে</t>
  </si>
  <si>
    <t>তুমি কি আমার নিকট আসিবে</t>
  </si>
  <si>
    <t>রক্তাল্পতা ঘটে যখন আপনার শরীরে পর্যাপ্ত স্বাস্থ্যকর লোহিত রক্তকণিকার অভাব হয়</t>
  </si>
  <si>
    <t>সালে তিনি সাহিত্যে নোবেল পুরস্কার জয় করেন</t>
  </si>
  <si>
    <t>সে অত্যন্ত বিচক্ষণতার সাথে বিষয়টি নিশ্চিত করেছিলেন</t>
  </si>
  <si>
    <t>দি ক্রোকোডাইল হাণ্টার যুক্তরাষ্ট্র যুক্তরাজ্যে সাফল্য অর্জন করে</t>
  </si>
  <si>
    <t>সুমি আমি বেড়াতে যাব</t>
  </si>
  <si>
    <t>তাহাতে পরিতাপ বা পরিহাসের বিষয় কিছুই দেখি না</t>
  </si>
  <si>
    <t>সুমি শরিফকে ইহা করিতে বলিয়াছে</t>
  </si>
  <si>
    <t>বোধ হয় সে বিষয়ে ইহার বড় নিন্দা নাই</t>
  </si>
  <si>
    <t>এইরূপ কথাবার্ত্তা কহিতে কহিতে আমরা উদ্যানের এক প্রান্তভাগে আসিয়া উপস্থিত হইলাম</t>
  </si>
  <si>
    <t>সুমন ভাত খেতে চেয়েছিল</t>
  </si>
  <si>
    <t>লেবুর জেস্ট ডেজার্টের আনন্দকে উজ্জ্বল করে</t>
  </si>
  <si>
    <t>তিনি মানুষ শিরোনামে একটি কবিতা লিখেছিলেন</t>
  </si>
  <si>
    <t>আমি শাওনকে আমার কাছে রাখলাম</t>
  </si>
  <si>
    <t>সুমন আমাকে মাঠে খেলিতে যাইতে বলিল</t>
  </si>
  <si>
    <t>প্রাণের দায়ে শিখিয়াছি নিজের যত্ন নিজেকেই করিতে হয়</t>
  </si>
  <si>
    <t>আমি মাঠে খেলতে গিয়াছিলাম</t>
  </si>
  <si>
    <t>সে আমাকে বলিল আপনি নগরীর শেষ প্রান্তে চলিয়া আসিয়াছেন এখানে অপেক্ষা করার মতো জায়গা নেই</t>
  </si>
  <si>
    <t>প্রতিরোধের প্রশিক্ষণ পেশী ভর তৈরি করে</t>
  </si>
  <si>
    <t>এই প্রেমের কবিতাগুলি তথাকথিত কোনো ডার্ক লেডির উদ্দেশ্যে রচিত</t>
  </si>
  <si>
    <t>তাদের বাড়ির সামনের নদীর পাশে সে তার বন্ধুর সাথে দাঁড়িয়ে ছিলো</t>
  </si>
  <si>
    <t>এটি এক পদবী বিশেষ</t>
  </si>
  <si>
    <t>তারা শান্তিপূর্ণ যোগাযোগ বজায় রাখার জন্য তাদের সর্বাত্মক প্রচেষ্টা করে গেছেন</t>
  </si>
  <si>
    <t>পথের ধারে কোনো বাড়িতে আলো জ্বলিতেছে দেখিলে তাহার ইচ্ছা হয় হাঁক দিয়া বাড়ির লোকের সাড়া নেয়</t>
  </si>
  <si>
    <t>যাহাদের উচিত ন্যায়ের সঙ্গ দেয়া তাহরাই অন্যায় করিতেছে</t>
  </si>
  <si>
    <t>বাপের বাড়ির আত্মীয়দের সহিত নিরুর সাক্ষাৎকার সম্পূর্ণ নিষিদ্ধ হইয়াছে</t>
  </si>
  <si>
    <t>প্রাচীন কালের মানুষদের আমরা অসভ্য বলি</t>
  </si>
  <si>
    <t>সমাজের মহৎ বাক্তিরা প্রতিনিয়ত আমাদের আত্ম উন্নয়ন যেন সাধিত হয় তার জন্য সংগ্রাম করে আসছেন</t>
  </si>
  <si>
    <t>পাখি পাকা পেপে খায়</t>
  </si>
  <si>
    <t>অপরাধী সংগঠনগুলি গোপনীয়তা পরিশীলিততার সাথে কাজ করে</t>
  </si>
  <si>
    <t>নেই পড়ানোর অভিজ্ঞতাও</t>
  </si>
  <si>
    <t>তার ব্যবহারে আমি মনে মনে তার সাথে যুদ্ধ ঘোষণা করে ফেলেছিলাম</t>
  </si>
  <si>
    <t>সবুজ আমাকে মাঠে যেতে বলল</t>
  </si>
  <si>
    <t>তারপর সারা বছর চালাটা পড়িয়া থাকে খালি</t>
  </si>
  <si>
    <t>যে মেয়ে এত দুঃসংবাদ শুনিয়াও ঘুমাইতে পারে</t>
  </si>
  <si>
    <t>পিতা আমাকে মসজিদে যাইতে বলিল</t>
  </si>
  <si>
    <t>তোমার দ্বারের বাহিরে ফেলিয়া রাখিলেও কি আমি তোমার চোখে পড়িতাম</t>
  </si>
  <si>
    <t>আমার মিনির বিবাহের সম্বন্ধ স্থির হইয়াছে</t>
  </si>
  <si>
    <t>আমি আগামীতে আমার জীবনকে আরও সমৃদ্ধ করতে চাই</t>
  </si>
  <si>
    <t>সফ্টওয়্যারটি ব্যবহার করার সময় আমি বেশ কয়েকটি ত্রুটির সম্মুখীন হয়েছি যা হতাশাজনক ছিল</t>
  </si>
  <si>
    <t>লিশম্যানিয়াসিসে প্রতি বছর পৃথিবীতে প্রায় পাঁচ লাখ মানুষের মৃত্যু হয়</t>
  </si>
  <si>
    <t>রহিম সাহেব করিমকে কথাটি জিজ্ঞাসা করিলেন</t>
  </si>
  <si>
    <t>তখন মনে হইত এমন ভালোবাসা বুঝি ইহলোকে নাই</t>
  </si>
  <si>
    <t>মৌরিনামক আদিম জাতি বলিষ্ঠ বুদ্ধিমান্‌ কর্ম্মঠ বলিয়া পরিচিত তাহারাও সাহেবদের অধিকারে ক্রমে লোপ পাইতেছে</t>
  </si>
  <si>
    <t>দুই চারি গ্রাম অন্তর এক জন করিয়া হিন্দুস্থানী মহাজন বাস করে</t>
  </si>
  <si>
    <t>তাহাকে ফিরিয়া পাইবার জন্য প্রাণ তাহার ব্যাকুল হইয়া উঠিয়াছিল</t>
  </si>
  <si>
    <t>গত ছুটিতে সে পাহাড়ি এলাকায় ঘুরতে গিয়েছিল</t>
  </si>
  <si>
    <t>সেরা ফলাফলের জন্য ধারাবাহিকভাবে প্রশিক্ষণ দিন</t>
  </si>
  <si>
    <t>মৃত্যুর খানিক বাদেই রক্ত জমাট বাঁধতে শুরু করে</t>
  </si>
  <si>
    <t>ফ্যাশন ট্রেন্ডের জন্য আমাদের অনুসরণ করুন</t>
  </si>
  <si>
    <t>বাগান একটি থেরাপিউটিক সংযোগকারী শখ</t>
  </si>
  <si>
    <t>আমার বাবু কি আপনার সতীন যে মাথা খাচ্ছেন</t>
  </si>
  <si>
    <t>আমার পেছনের সিটে যে লোক মহিলা বা তরুণী বসে আছে সেটা কি আমরা লক্ষ্য করি</t>
  </si>
  <si>
    <t>অদ্য প্রত্যুষেই রহিম করিম চট্টগ্রাম যাত্রা করিবে</t>
  </si>
  <si>
    <t>তাহার কারণ এক সময় সমালোচনা করা যাইবে</t>
  </si>
  <si>
    <t>সম্মুখে তাহার ধুনির আগুন</t>
  </si>
  <si>
    <t>ভূগর্ভস্থ টানেলগুলি অন্বেষণ করে তারা উপরের বিশ্ব থেকে লুকানো প্রাচীন সভ্যতাগুলিকে উন্মোচিত করেছিল</t>
  </si>
  <si>
    <t>আমি গাড়ি কেনাকাটা করেছি আমি একটি সেডান টোয়োটা গাড়ির মধ্যে সিদ্ধান্ত নিতে পারছি না৷</t>
  </si>
  <si>
    <t>উচ্চ সুদের ঋণ পরিশোধ করা তাদের আর্থিক অবস্থার উন্নতির জন্য খুঁজছেন এমন প্রত্যেকের জন্য একটি শীর্ষ অগ্রাধিকার হওয়া উচিত</t>
  </si>
  <si>
    <t>আমি রনিকে গান গাইতে বলেছিলাম</t>
  </si>
  <si>
    <t>এই ক্ষেত্রে দাতা কর্ণেরও অভাব নেই</t>
  </si>
  <si>
    <t>কেহ কেহ বলেন যে সাহেবদের সংস্পর্শে দোষ আছে</t>
  </si>
  <si>
    <t>আমি তাহাকে বাজারে যাওয়ার জন্য বলিয়াছিলাম সে যায়নি</t>
  </si>
  <si>
    <t>সখী আব্বাজানের ধবল চুল মেহেন্দিতে যখন লাল হইবে তখন এই যুবকের প্রজ্বলিত হৃদয় তমসায় ডুবিয়া যাইবে</t>
  </si>
  <si>
    <t>আমি তাহার অসুস্থ মাকে দেখার জন্য তাদের বাসায় গিয়াছিলাম</t>
  </si>
  <si>
    <t>আমরা যেটা বুঝতে পারিনে তিনি সেটা বোঝেন</t>
  </si>
  <si>
    <t>দীর্ঘস্থায়ী ফলাফলের জন্য ধারাবাহিক থাকুন</t>
  </si>
  <si>
    <t>এর মধ্যে পিঠা উৎসবই ছিল প্রধান</t>
  </si>
  <si>
    <t>শামসউদ্দীন সম্পর্কে আমার চাচাত ভাই</t>
  </si>
  <si>
    <t>আপনার রুটিনে বৈচিত্র্য অন্তর্ভুক্ত করুন</t>
  </si>
  <si>
    <t>স্থানীয় সংবাদপত্রগুলি সম্প্রদায়ের ঘটনা সংবাদের মূল্যবান কভারেজ প্রদান করে</t>
  </si>
  <si>
    <t>ফটিক আসিয়া আস্ফালন করিয়া কহিল দেখ্‌ মার খাবি এইবেলা ওঠ্‌</t>
  </si>
  <si>
    <t>ঘরে ঢুকিয়া কুসুম প্রদীপ জ্বলিল</t>
  </si>
  <si>
    <t>আমাদের জন্য তাদের এই শ্রম এর আমরা কোন মূল্য দেই না</t>
  </si>
  <si>
    <t>আমি তাহার হস্তে একটি পয়সা দিলাম শিশু তাহা ফেলিয়া দিয়া আবার হাত পাতিল</t>
  </si>
  <si>
    <t>তিনি শিবের উপাষক ছিলেন</t>
  </si>
  <si>
    <t>পায়ের শক্তির জন্য সিঁড়ি দিয়ে হাঁটুন</t>
  </si>
  <si>
    <t>শেষ মুহূর্তে লেনদেন বাতিল করা হয়েছে</t>
  </si>
  <si>
    <t>আমরা ওখানে একসাথে ঢুকেছিলাম</t>
  </si>
  <si>
    <t>বাস ড্রাইভার আমার জন্য অপেক্ষা করার জন্য যথেষ্ট সদয় ছিল কারণ আমি এটি ধরতে দৌড়েছিলাম</t>
  </si>
  <si>
    <t>বৃদ্ধ লোকটা লাঠিটা হাতে নিয়ে বসিয়া ছিলো পথের ধারে</t>
  </si>
  <si>
    <t>কঠোর স্বরে সে আমাকে একটি প্রশ্ন করেছিল আমি উত্তর দিতে ব্যর্থ হয়েছিলাম。</t>
  </si>
  <si>
    <t>গ্রাম্য গৃহস্থের স্বকেন্দ্রীয় সংকীর্ণ জীবনযাপনের মোটামুটি একটা ছবিই ছিল ভবিষ্যৎ জীবন সম্বন্ধে তাহার কল্পনার সীমা</t>
  </si>
  <si>
    <t>যাঁহাদের সাধুসঙ্গ যথেষ্ট যাঁহারা অভিধান পড়িয়া নিজে সাধু হইয়াছেন</t>
  </si>
  <si>
    <t>কেহ পালামৌ পড়িতে অনিচ্ছুক হন আমি বলিব যে তা কেমন করে হবে এখনও যে পালামৌর অনেক কথা বাকি</t>
  </si>
  <si>
    <t>আমার বাবা মার জন্য আমি কৃতজ্ঞ</t>
  </si>
  <si>
    <t>দায়িত্বের দ্বারা অভিভূত বোধ মানসিক চাপ নিয়ে আসে</t>
  </si>
  <si>
    <t>তখন তার রক্ষীরে তাকে থামান মারতে থাকে</t>
  </si>
  <si>
    <t>পশুচিকিত্সক সহকারী পরীক্ষার সময় প্রাণীদের সংযত করতে সহায়তা করেছিলেন</t>
  </si>
  <si>
    <t>আজকের গল্পটা আমার মনে থাকিবে</t>
  </si>
  <si>
    <t>আপনার সংসারের সঙ্গে তাহার কোন সম্বন্ধ থাকে না</t>
  </si>
  <si>
    <t>এক্ষণে আমি তাঁহার ভূয়সী প্রশংসা করি</t>
  </si>
  <si>
    <t>সে তাহাদের পুকুরে মাছ ধরিতে গিয়াছিল</t>
  </si>
  <si>
    <t>দুর্বলতা সত্যতা আলিঙ্গন তারা গভীর সংযোগ বৃদ্ধির চাবিকাঠি</t>
  </si>
  <si>
    <t>শেফ রেস্তোরাঁর অতিথিদের জন্য একটি সুস্বাদু খাবার তৈরি করেছিলেন</t>
  </si>
  <si>
    <t>আপডেটের জন্য আমাদের অনুসরণ করুন</t>
  </si>
  <si>
    <t>অনিশ্চয়তা নেভিগেট করা আমাকে উদ্বিগ্ন বোধ করে</t>
  </si>
  <si>
    <t>শান্ত চোরকে বেঁধে রেখেছিল</t>
  </si>
  <si>
    <t>প্রতিকূলতাকে অতিক্রম করে সে আজ সফলতার চূড়ান্ত শিকড়ে পৌঁছাতে সক্ষম হয়েছে</t>
  </si>
  <si>
    <t>তুমি কি রাত্রিতে বাহির হইয়াছিলে</t>
  </si>
  <si>
    <t>অন্য সকলে অক্ষম তাহারা শত কথা বলিয়াও পটের শতাংশ দেখাইতে পারে না</t>
  </si>
  <si>
    <t>তবু ইরতাজউদ্দিন দাঁড়িয়ে আছেন</t>
  </si>
  <si>
    <t>বয়স বা আয়ের স্তর নির্বিশেষে অবসর গ্রহণের জন্য সঞ্চয় সবার জন্য অগ্রাধিকার হওয়া উচিত</t>
  </si>
  <si>
    <t>দুঃসাহসিক ক্রিয়াকলাপগুলিতে জড়িত হওয়া আত্মবিশ্বাস আত্মসম্মানকে বাড়িয়ে তুলতে পারে</t>
  </si>
  <si>
    <t>এক ঝাঁক গিজ মাথার উপর দিয়ে উড়ে গেল তাদের হর্নিং কলগুলি পরিবর্তিত ঋতুর সূচনা করে</t>
  </si>
  <si>
    <t>রুমি ঢাকা গিয়ে অনেক বেড়ালো</t>
  </si>
  <si>
    <t>কে নিজের বুকে শেল পাতিয়া লইয়া তাহাকে অক্ষত রাখিত</t>
  </si>
  <si>
    <t>অন্ধকার আকাশের পানে চাহিয়া চুপ করিয়া রহিল</t>
  </si>
  <si>
    <t>সাকিব মসজিদে গিয়া নামাজ পড়িয়াছে</t>
  </si>
  <si>
    <t>ভাবিতে ভাবিতে হঠাৎ তাঁহার মনে হইল রাগ করে নাই ত</t>
  </si>
  <si>
    <t>সমন্বিত কৃষি ব্যবস্থা টেকসই উৎপাদনশীলতার জন্য শস্য গবাদি পশুর মধ্যে পুষ্টির পুনর্ব্যবহার করে</t>
  </si>
  <si>
    <t>মেয়েটি সেদিন ভিক্ষুককে সাহায্য করেছিল</t>
  </si>
  <si>
    <t>তাঁর মৌলিক কবিতাগুলোর জন্যে তিনি ব্যাপকভাবে নন্দিত প্রশংসিত</t>
  </si>
  <si>
    <t>সংবাদপত্রের আন্তর্জাতিক বিভাগ বৈশ্বিক বিষয়ে অন্তর্দৃষ্টি প্রদান করে</t>
  </si>
  <si>
    <t>নিজেকে ইতিবাচকতা দিয়ে ঘিরে রাখুন নেতিবাচকতা থেকে নিজেকে দূরে রাখুন</t>
  </si>
  <si>
    <t>আমার প্রতিদিনের রুটিন ঠিক রেখেই আমাকে এই নতুন কাজ করতে হয়েছিল</t>
  </si>
  <si>
    <t>সঙ্গে সঙ্গে বড় হাসির ঘটা পড়িয়া গেল</t>
  </si>
  <si>
    <t>ইরূপ অনিশ্চিতের মধ্যে দীর্ঘকাল ফেলিয়া রাখা যায় না</t>
  </si>
  <si>
    <t>তুমি কি আমার গল্পটি পড়িয়াছিলে</t>
  </si>
  <si>
    <t>তখন মন যেন আহ্লাদে কাঁপিয়া উঠে—অথচ কি জন্য এই আহ্লাদ তাহা বুঝা যায় না</t>
  </si>
  <si>
    <t>সমর্থনকারী উন্নত লোকেদের সাথে নিজেকে ঘিরে রাখুন</t>
  </si>
  <si>
    <t>আমি তাকে আমার গল্পের বইটি পড়তে দিয়েছিলাম</t>
  </si>
  <si>
    <t>তুমি কাদের সাথে খেলতে গিয়েছিলে</t>
  </si>
  <si>
    <t>তাঁর দুটা আনারই পরিকল্পনা ছিল</t>
  </si>
  <si>
    <t>একটি বাড়ি কেনা বা পরিবার শুরু করার মতো বড় খরচের জন্য পরিকল্পনা করার জন্য সতর্ক বাজেটের প্রয়োজন</t>
  </si>
  <si>
    <t>পরে বৃষ্টি হইলে কি করে যাবি</t>
  </si>
  <si>
    <t>কেহ না কেহ ওদের মধ্যে ছ মাস এক বছর জেলেই পড়িয়া আছেএকটুকু পার হয়ে গেলে বসতি ঘন হইয়া আসে</t>
  </si>
  <si>
    <t>ঋতু মিনা একসঙ্গে কাজ আরম্ভ করিল</t>
  </si>
  <si>
    <t>যাহারা অপরিষ্কৃত ক্ষুদ্র ঘরে বাস করে প্রায় দেখা যায় তাহাদের মন সেইরূপ অপরিষ্কৃত ক্ষুদ্র</t>
  </si>
  <si>
    <t>তোরাহ হল ইহুদি ধর্মের কেন্দ্রীয় ধর্মীয় পাঠ্য যেখানে মূসাকে দেওয়া আইন শিক্ষা রয়েছে</t>
  </si>
  <si>
    <t>আজ আপনার কৃতজ্ঞতা শেয়ার করুন</t>
  </si>
  <si>
    <t>তাজা মরিচ থালা বাসন উন্নত</t>
  </si>
  <si>
    <t>ফৌজদারি আইন বিচার বিভাগের মধ্যে পরিবর্তিত হতে পারে যা জটিল আইনি সমস্যাগুলির দিকে পরিচালিত করে</t>
  </si>
  <si>
    <t>প্রাচীন মুদ্রা সংগ্রহ করা মুগ্ধতা নিয়ে আসে</t>
  </si>
  <si>
    <t>আমাকে মানিতে হইল ব্যাপারটা যে অসম্ভব তাহা নহে অবিশ্বাস্য</t>
  </si>
  <si>
    <t>তারপর জ্বলিতে গেল প্ৰদীপ</t>
  </si>
  <si>
    <t>তুমি আমাকে খেলিবার জন্য ডাকিতে আসিয়াছিল</t>
  </si>
  <si>
    <t>সুখের আলোক আসিয়া উপস্থিত হয়</t>
  </si>
  <si>
    <t>চাঁদ জগতপিতা শিবের থেকে মহাজ্ঞান লাভ করেছেন</t>
  </si>
  <si>
    <t>রনি আমাকে বই দিয়েছিল</t>
  </si>
  <si>
    <t>একে অপরের প্রেমে পড়ে যায়</t>
  </si>
  <si>
    <t>রবিবারের কাগজটি সংবাদ বৈশিষ্ট্য বিনোদনের ব্যাপক কভারেজের জন্য পরিচিত</t>
  </si>
  <si>
    <t>তারা রহিমকে ধরে বেঁধে রেখেছিল</t>
  </si>
  <si>
    <t>কেন জানিয়া বুঝিয়া পঙ্কের মধ্যে নামিলে</t>
  </si>
  <si>
    <t>আজ বহুকাল পরে দেশে ফিরিয়া আসিয়া বিশ্বম্ভরবাবু তাঁহার ভগিনীকে দেখিতে আসিয়াছেন</t>
  </si>
  <si>
    <t>তাহাকে বারবার ফোন করিয়াও যোগাযোগ না করিতে পারায় ভয় হইতাছে</t>
  </si>
  <si>
    <t>তিন চার ক্ষেপ চালান গেলেই গাওদিয়ার পাট চালানের পাঠ ওঠে</t>
  </si>
  <si>
    <t>তাহারা খোপা বাঁধিয়াছে তাহাতে দুই তিনখানি কাঠের চিরুণী সাজাইয়াছে</t>
  </si>
  <si>
    <t>ছোটবেলায় গোল্লাছুট ছিলো আমার প্রিয় খেলা</t>
  </si>
  <si>
    <t>ক্রিয়াকলাপের জন্য সময় দিন যা আপনাকে আনন্দ পরিপূর্ণতা নিয়ে আসে</t>
  </si>
  <si>
    <t>ইরতাজউদিনের গায়ে তসরের গলাবন্ধ কোটি</t>
  </si>
  <si>
    <t>শক্তির উপর ভিত্তি করে ওয়ার্কআউটগুলি সামঞ্জস্য করুন</t>
  </si>
  <si>
    <t>সেদিন আমরা সারারাত ট্রেনে কাটিয়েছিলাম</t>
  </si>
  <si>
    <t>বিধবা এ প্রস্তাবে সহজেই সম্মত হইলেন</t>
  </si>
  <si>
    <t>সে তাহার জীবনের প্রতিটি মুহূর্ত সুন্দরভাবে উপভোগ করিয়া থাকে</t>
  </si>
  <si>
    <t>পূর্ব্বাপেক্ষা তাহাদের যে কুলক্ষয় হইয়াছে এমত শুনা যায় না</t>
  </si>
  <si>
    <t>তোমার দেহটাকে ত তুমি পূর্বেই নষ্ট করেছ সে না হয় একদিন পুড়েও ছাই হতে পারবে</t>
  </si>
  <si>
    <t>তারপর তিনি অত্যন্ত ক্রোধের সহিত ঝিকে পুনঃ পুনঃ ডাকাডাকি করিতে লাগিলেন</t>
  </si>
  <si>
    <t>রহিম করিমকে দেখতে গিয়েছিল</t>
  </si>
  <si>
    <t>আমি তাকে একটি বই উপহার করেছিলাম</t>
  </si>
  <si>
    <t>এতে তিনি অত্যন্ত নিঃসঙ্গ বোধ করেন মানসিকভাবে ভেঙে পড়েন</t>
  </si>
  <si>
    <t>সে তখন আমকে বলেছিল সবকিছু তার স্বপ্নের মতো লাগছে</t>
  </si>
  <si>
    <t>ডিজিটাল ডাউনলোডের পরবর্তী সময়ে গানটি ইতিবাচক সাড়া পায়</t>
  </si>
  <si>
    <t>এক সসময় একজন বধির ব্রাহ্মণ আমাদের প্রতিবেশি ছিলেন</t>
  </si>
  <si>
    <t>দেখিবার সাধ জাগিলে তাহা হেতুর বিচ্ছুরণ করিবার মনোবাসনা হয় না</t>
  </si>
  <si>
    <t>তাহার পর যথাসর্ব্বস্ব বিক্রয় করিয়া সে কর্জ্জ হইতে উদ্ধার হওয়া ভার হয়</t>
  </si>
  <si>
    <t>বাড়িতে একটা বউ আছে</t>
  </si>
  <si>
    <t>রামসুন্দরকে সান্ত্বনা দিবার সময় তাহার মেয়ের যে কিরূপ মহাসমারোহে মৃত্যু হইয়াছে সকলেই তাহার বহুল বর্ণনা করিল</t>
  </si>
  <si>
    <t>সুজন ঈদের জন্য টাকা জমালো</t>
  </si>
  <si>
    <t>আমার স্বতন্ত্রতার জন্য প্রশংসা করা হচ্ছে বৈধতা নিয়ে আসে</t>
  </si>
  <si>
    <t>অভ্যুত্থানটি প্রাথমিক ভাবে সফলও হয়</t>
  </si>
  <si>
    <t>আমরা সেখানে ঘুরতে যেয়ে একটা চাতক পাখি দেখেছিলাম。</t>
  </si>
  <si>
    <t>তারা প্রিমিয়ার লীগে খেলে ইংরেজ ফুটবলের সপ্তম সেরা দল</t>
  </si>
  <si>
    <t>আমি জানিতাম চোখে বালি পড়িলে রগড়াইতে গেলেই বাজে বেশি</t>
  </si>
  <si>
    <t>সেই অভিপ্রায়ে অপরাহ্ণে পথে দাঁড়াইয়া থাকিলাম কিছুক্ষণ পরে দেখি পাল্‌কীতে বর আসিতেছে</t>
  </si>
  <si>
    <t>এই অবহেলা লাঞ্ছনা প্রথমটা ডাক্তারকে গভীর আঘাত করিল</t>
  </si>
  <si>
    <t>এই বন্দোবস্ত দেখিয়া বড় পরিতৃপ্ত হইলাম</t>
  </si>
  <si>
    <t>এই পুরস্কারের জন্য গ্রাহাম বেল হাজার মার্কিন ডলার লাভ করেন</t>
  </si>
  <si>
    <t>এগ্রোইকোসিস্টেম স্থিতিস্থাপকতা একটি কৃষি ব্যবস্থার ব্যাঘাত সহ্য করার ক্ষমতাকে বোঝায়</t>
  </si>
  <si>
    <t>বড় ট্রাকটি আবার আমার গাড়ি চালানোর রাস্তা বন্ধ করে দিয়েছে এটা হতাশাজনক</t>
  </si>
  <si>
    <t>জন্মের সময় এদের গায়ে ঘোলাটে সাদা লোম থাকে</t>
  </si>
  <si>
    <t>ইরতাজউদ্দিন মনে মনে তিনবার বললেন তওবা আস্তাগাফিরুল্লাহ</t>
  </si>
  <si>
    <t>এই গুরুতর বিপদের যে মূল কারণ সে চেলি পরিয়া গহনা পরিয়া কপালে চন্দন লেপিয়া চুপ করিয়া বসিয়া আছে</t>
  </si>
  <si>
    <t>পরে ক্রমে যত তাহার বয়স বাড়িয়া উঠিতে লাগিল ততই সখার পরিবর্তে একটি একটি করিয়া সখী জুটিতে লাগিত</t>
  </si>
  <si>
    <t>তাই আমাকে শুনাইয়া শচীশের সম্বন্ধে কটু কথা বলিতে তাহাদের একদিনও কামাই যাইত না</t>
  </si>
  <si>
    <t>পক্ষী আবার বলিল রাধে মন্যুং পরিহর হরিঃ পাদমূলে তবায়ং</t>
  </si>
  <si>
    <t>রহিম বিদ্যালয়ে থাকিয়া শিক্ষা নিয়া আসিবে</t>
  </si>
  <si>
    <t>সূক্ষ্ম কলাই রন্ধনসম্পর্কীয় শৈল্পিকতা প্রদর্শন করে</t>
  </si>
  <si>
    <t>উচ্চ তীব্রতার ওয়ার্কআউট ক্যালোরি পোড়ায়</t>
  </si>
  <si>
    <t>মূল স্থায়িত্ব জন্য তক্তা</t>
  </si>
  <si>
    <t>বাপ্তিস্ম হল খ্রিস্টধর্মের একটি আচার যা শুদ্ধিকরণ বিশ্বাসে প্রবেশের প্রতীক</t>
  </si>
  <si>
    <t>বরফের ভূখণ্ডের মধ্য দিয়ে নেভিগেট করে তারা তুষারপাত অন্ধ তুষারঝড়ের সাথে লড়াই করেছিল</t>
  </si>
  <si>
    <t>সামিয়ানা হইতে টোপে টোপে উঠানে শিশির পড়িতেছে</t>
  </si>
  <si>
    <t>সে মুখে হিংসার বিদ্যুৎ খেলিতে লাগিল</t>
  </si>
  <si>
    <t>তাহারা তাদের পরীক্ষা নিয়ে খুবই চিন্তিত ছিল</t>
  </si>
  <si>
    <t>তখন জানিতাম না যে পালামৌ শহর নহে একটি প্রকাণ্ড পরগণামাত্র</t>
  </si>
  <si>
    <t>অনেকটাই পিতা পুত্র সম্পর্ক</t>
  </si>
  <si>
    <t>দীর্ঘস্থায়ী প্রতিক্রিয়া পরিষ্কার না</t>
  </si>
  <si>
    <t>কৃষি টেকসইতা কৃষি অনুশীলনের অর্থনৈতিক সামাজিক পরিবেশগত দিক বিবেচনা করে</t>
  </si>
  <si>
    <t>সম্পূর্ণ পোস্ট দেখতে ক্লিক করুন</t>
  </si>
  <si>
    <t>সক্রিয় থাকার মধ্যে আনন্দ খুঁজুন</t>
  </si>
  <si>
    <t>পশ্চাৎ ফিরিয়া পাহাড়ের প্রতি চাহিয়া আবার চীৎকার করিলাম প্রতিধ্বনি আবার পূর্ব্বমত হ্রস্ব দীর্ঘ হইতে হইতে পাহাড়ের অপর প্রান্তে চলিয়া গেল</t>
  </si>
  <si>
    <t>আমি একটি এইরূপ নববধূ দেখিয়াছি</t>
  </si>
  <si>
    <t>অনেকে আমায় সাহেব বলিয়া জানে</t>
  </si>
  <si>
    <t>রবিন আমাকে চোর ধরিয়া দিয়াছিল</t>
  </si>
  <si>
    <t>এই পরিস্থিতি প্রকৃতির প্রতি আমার আবেগ বোঝা সহজ হচ্ছে না</t>
  </si>
  <si>
    <t>আমার বয়স এখন আশির উর্ধ্বে</t>
  </si>
  <si>
    <t>ভুতুড়ে বনে ভেঞ্চার করে তারা ভয়ঙ্কর নীরবতাকে সাহসী করে কিংবদন্তি ফিসফিস করে</t>
  </si>
  <si>
    <t>একসাথে ট্রানজিস্টর উদ্ভাবনের জন্য তারা এই পুরস্কার লাভ করেছিলেন</t>
  </si>
  <si>
    <t>লেনদেন একাধিক অ্যাকাউন্টের মধ্যে বিভক্ত ছিল</t>
  </si>
  <si>
    <t>রাত্রে পুতুলের শোকে মেয়েটা কাঁদিবে</t>
  </si>
  <si>
    <t>সাজু আমাকে খেলিতে নিয়া যাইতেছে</t>
  </si>
  <si>
    <t>বাঙ্গালী ইংরেজী শিখিতেছে উপাধি পাইতেছে বিলাত যাইতেছে বাঙ্গালী সভ্যতার সোপানে উঠিতেছে বাঙ্গালীর ভাবনা কী</t>
  </si>
  <si>
    <t>জঙ্গলের মধ্যে দুই বন্ধু হারিয়া গিয়াছিল</t>
  </si>
  <si>
    <t>রামসুন্দর মেয়ের কাছে মুখ না দেখাইয়া কম্পিতহস্তে কয়েকখানি নোট চাদরের প্রান্তে বাঁধিয়া বাড়ি ফিরিয়া গেলেন</t>
  </si>
  <si>
    <t>লেনদেন একটি নিরাপদ গেটওয়ে মাধ্যমে প্রক্রিয়া করা হয়েছে</t>
  </si>
  <si>
    <t>আপনার প্রিয় মুহূর্তগুলি ভাগ করুন</t>
  </si>
  <si>
    <t>তিনি আবার তোমার ঠিকানা জানেন না</t>
  </si>
  <si>
    <t>সে আমার দেওয়া গল্পের বইটা পড়ে আনন্দ পেয়েছিল</t>
  </si>
  <si>
    <t>তাঁর সাউদার্ন পপুলিস্ট তত্ত্বের জন্য তিনি সর্বাধিক পরিচিত</t>
  </si>
  <si>
    <t>কেহ ধনসম্পদ উজাড় করিয়া আমার পায় ঢালিয়া দিয়াছে</t>
  </si>
  <si>
    <t>লোকটি সারাদিন কঠোর পরিশ্রম করিয়া থাকে</t>
  </si>
  <si>
    <t>কিছুকাল অনাবৃষ্টিতে যে শস্যদল শুষ্ক পীতবর্ণ হইয়া আসে বৃষ্টি পাইবামাত্র সে বিলম্ব করে না</t>
  </si>
  <si>
    <t>আমি তৎক্ষণাৎ তাহাকে অন্তঃপুর হইতে ডাকাইয়া পাঠাইলাম</t>
  </si>
  <si>
    <t>রন্ধনপ্রণালী দোপেয়াজা জনপ্রিয়</t>
  </si>
  <si>
    <t>শেষে রহিম করিমকে বিপদে ফেলল</t>
  </si>
  <si>
    <t>হাফিজ কে তারাই বিপদে ফেলল</t>
  </si>
  <si>
    <t>সালে আলেকজান্ডার কানিংহাম প্রথম হড়প্পা সিলমোহর প্রকাশ করেন</t>
  </si>
  <si>
    <t>সুমন ভাত খেয়ে খেলতে যাবে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</si>
</sst>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b/>
      <sz val="12"/>
      <color theme="1"/>
      <name val="Calibri"/>
    </font>
    <font>
      <sz val="11"/>
      <color theme="1"/>
      <name val="Calibri"/>
    </font>
    <font>
      <sz val="12"/>
      <color theme="1"/>
      <name val="Calibri"/>
    </font>
  </fonts>
  <fills count="3">
    <fill>
      <patternFill patternType="none"/>
    </fill>
    <fill>
      <patternFill patternType="gray125"/>
    </fill>
    <fill>
      <patternFill patternType="solid">
        <fgColor rgb="FFFF00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2" fillId="0" borderId="0" xfId="0" applyFont="1" applyAlignment="1">
      <alignment horizontal="center"/>
    </xf>
    <xf numFmtId="0" fontId="2" fillId="0" borderId="1" xfId="0" applyFont="1" applyBorder="1" applyAlignment="1">
      <alignment horizontal="center" vertical="top"/>
    </xf>
    <xf numFmtId="0" fontId="1"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4" fillId="2" borderId="2" xfId="0" applyFont="1" applyFill="1" applyBorder="1" applyAlignment="1">
      <alignment horizontal="center"/>
    </xf>
    <xf numFmtId="0" fontId="3"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51"/>
  <sheetViews>
    <sheetView tabSelected="1" topLeftCell="A7" workbookViewId="0">
      <selection activeCell="E1" sqref="E1"/>
    </sheetView>
  </sheetViews>
  <sheetFormatPr defaultColWidth="14.42578125" defaultRowHeight="15" customHeight="1" x14ac:dyDescent="0.25"/>
  <cols>
    <col min="1" max="2" width="146.85546875" customWidth="1"/>
    <col min="3" max="4" width="15.28515625" customWidth="1"/>
    <col min="5" max="5" width="26.42578125" customWidth="1"/>
    <col min="6" max="6" width="8.7109375" customWidth="1"/>
  </cols>
  <sheetData>
    <row r="1" spans="1:7" ht="15.75" x14ac:dyDescent="0.25">
      <c r="A1" s="1" t="s">
        <v>0</v>
      </c>
      <c r="B1" s="2" t="s">
        <v>1</v>
      </c>
      <c r="C1" s="3" t="s">
        <v>2</v>
      </c>
      <c r="D1" s="3" t="s">
        <v>3</v>
      </c>
      <c r="E1" s="4" t="s">
        <v>4</v>
      </c>
      <c r="F1" s="5"/>
      <c r="G1" s="5"/>
    </row>
    <row r="2" spans="1:7" x14ac:dyDescent="0.25">
      <c r="A2" s="6" t="s">
        <v>5</v>
      </c>
      <c r="B2" s="6" t="str">
        <f ca="1">IFERROR(__xludf.DUMMYFUNCTION("GOOGLETRANSLATE(A2,""bn"",""en"")")," The sea could be seen from the window there")</f>
        <v xml:space="preserve"> The sea could be seen from the window there</v>
      </c>
      <c r="C2" s="7" t="s">
        <v>6</v>
      </c>
      <c r="D2" s="7" t="s">
        <v>7</v>
      </c>
      <c r="E2" s="7">
        <v>0</v>
      </c>
    </row>
    <row r="3" spans="1:7" x14ac:dyDescent="0.25">
      <c r="A3" s="6" t="s">
        <v>8</v>
      </c>
      <c r="B3" s="6" t="str">
        <f ca="1">IFERROR(__xludf.DUMMYFUNCTION("GOOGLETRANSLATE(A3,""bn"",""en"")"),"I can't see anything")</f>
        <v>I can't see anything</v>
      </c>
      <c r="C3" s="7" t="s">
        <v>6</v>
      </c>
      <c r="D3" s="7" t="s">
        <v>7</v>
      </c>
      <c r="E3" s="7">
        <v>0</v>
      </c>
    </row>
    <row r="4" spans="1:7" x14ac:dyDescent="0.25">
      <c r="A4" s="6" t="s">
        <v>9</v>
      </c>
      <c r="B4" s="6" t="str">
        <f ca="1">IFERROR(__xludf.DUMMYFUNCTION("GOOGLETRANSLATE(A4,""bn"",""en"")"),"Everyone's naked body is burning once in the moonlight in that naked chest of everyone.")</f>
        <v>Everyone's naked body is burning once in the moonlight in that naked chest of everyone.</v>
      </c>
      <c r="C4" s="7" t="s">
        <v>6</v>
      </c>
      <c r="D4" s="7" t="s">
        <v>7</v>
      </c>
      <c r="E4" s="7">
        <v>0</v>
      </c>
    </row>
    <row r="5" spans="1:7" x14ac:dyDescent="0.25">
      <c r="A5" s="6" t="s">
        <v>10</v>
      </c>
      <c r="B5" s="6" t="str">
        <f ca="1">IFERROR(__xludf.DUMMYFUNCTION("GOOGLETRANSLATE(A5,""bn"",""en"")"),"The girl had helped the beggar that day")</f>
        <v>The girl had helped the beggar that day</v>
      </c>
      <c r="C5" s="7" t="s">
        <v>6</v>
      </c>
      <c r="D5" s="7" t="s">
        <v>7</v>
      </c>
      <c r="E5" s="7">
        <v>0</v>
      </c>
    </row>
    <row r="6" spans="1:7" x14ac:dyDescent="0.25">
      <c r="A6" s="6" t="s">
        <v>11</v>
      </c>
      <c r="B6" s="6" t="str">
        <f ca="1">IFERROR(__xludf.DUMMYFUNCTION("GOOGLETRANSLATE(A6,""bn"",""en"")"),"You don't praise the old man and he will tell you old stories")</f>
        <v>You don't praise the old man and he will tell you old stories</v>
      </c>
      <c r="C6" s="7" t="s">
        <v>6</v>
      </c>
      <c r="D6" s="7" t="s">
        <v>7</v>
      </c>
      <c r="E6" s="7">
        <v>0</v>
      </c>
    </row>
    <row r="7" spans="1:7" ht="15.75" x14ac:dyDescent="0.25">
      <c r="A7" s="6" t="s">
        <v>12</v>
      </c>
      <c r="B7" s="6" t="str">
        <f ca="1">IFERROR(__xludf.DUMMYFUNCTION("GOOGLETRANSLATE(A7,""bn"",""en"")"),"Stay true to your values ​​and don't compromise who you are for someone else")</f>
        <v>Stay true to your values ​​and don't compromise who you are for someone else</v>
      </c>
      <c r="C7" s="8" t="s">
        <v>13</v>
      </c>
      <c r="D7" s="8" t="s">
        <v>14</v>
      </c>
      <c r="E7" s="8">
        <v>1</v>
      </c>
    </row>
    <row r="8" spans="1:7" ht="15.75" x14ac:dyDescent="0.25">
      <c r="A8" s="6" t="s">
        <v>15</v>
      </c>
      <c r="B8" s="6" t="str">
        <f ca="1">IFERROR(__xludf.DUMMYFUNCTION("GOOGLETRANSLATE(A8,""bn"",""en"")"),"I will take a shower and eat")</f>
        <v>I will take a shower and eat</v>
      </c>
      <c r="C8" s="8" t="s">
        <v>13</v>
      </c>
      <c r="D8" s="8" t="s">
        <v>14</v>
      </c>
      <c r="E8" s="8">
        <v>1</v>
      </c>
    </row>
    <row r="9" spans="1:7" ht="15.75" x14ac:dyDescent="0.25">
      <c r="A9" s="6" t="s">
        <v>16</v>
      </c>
      <c r="B9" s="6" t="str">
        <f ca="1">IFERROR(__xludf.DUMMYFUNCTION("GOOGLETRANSLATE(A9,""bn"",""en"")"),"Various news of freedom movement were printed in newspapers")</f>
        <v>Various news of freedom movement were printed in newspapers</v>
      </c>
      <c r="C9" s="8" t="s">
        <v>13</v>
      </c>
      <c r="D9" s="8" t="s">
        <v>14</v>
      </c>
      <c r="E9" s="8">
        <v>1</v>
      </c>
    </row>
    <row r="10" spans="1:7" ht="15.75" x14ac:dyDescent="0.25">
      <c r="A10" s="6" t="s">
        <v>17</v>
      </c>
      <c r="B10" s="6" t="str">
        <f ca="1">IFERROR(__xludf.DUMMYFUNCTION("GOOGLETRANSLATE(A10,""bn"",""en"")"),"He can be called Tarzan a larger than life superhero")</f>
        <v>He can be called Tarzan a larger than life superhero</v>
      </c>
      <c r="C10" s="8" t="s">
        <v>13</v>
      </c>
      <c r="D10" s="8" t="s">
        <v>14</v>
      </c>
      <c r="E10" s="8">
        <v>1</v>
      </c>
    </row>
    <row r="11" spans="1:7" ht="15.75" x14ac:dyDescent="0.25">
      <c r="A11" s="6" t="s">
        <v>18</v>
      </c>
      <c r="B11" s="6" t="str">
        <f ca="1">IFERROR(__xludf.DUMMYFUNCTION("GOOGLETRANSLATE(A11,""bn"",""en"")"),"I went on vacation with family")</f>
        <v>I went on vacation with family</v>
      </c>
      <c r="C11" s="8" t="s">
        <v>13</v>
      </c>
      <c r="D11" s="8" t="s">
        <v>14</v>
      </c>
      <c r="E11" s="8">
        <v>1</v>
      </c>
    </row>
    <row r="12" spans="1:7" x14ac:dyDescent="0.25">
      <c r="A12" s="6" t="s">
        <v>19</v>
      </c>
      <c r="B12" s="6" t="str">
        <f ca="1">IFERROR(__xludf.DUMMYFUNCTION("GOOGLETRANSLATE(A12,""bn"",""en"")")," I tried to help him in his work")</f>
        <v xml:space="preserve"> I tried to help him in his work</v>
      </c>
      <c r="C12" s="7" t="s">
        <v>6</v>
      </c>
      <c r="D12" s="7" t="s">
        <v>7</v>
      </c>
      <c r="E12" s="7">
        <v>0</v>
      </c>
    </row>
    <row r="13" spans="1:7" x14ac:dyDescent="0.25">
      <c r="A13" s="6" t="s">
        <v>20</v>
      </c>
      <c r="B13" s="6" t="str">
        <f ca="1">IFERROR(__xludf.DUMMYFUNCTION("GOOGLETRANSLATE(A13,""bn"",""en"")"),"He heard my words and was saddened by my pain")</f>
        <v>He heard my words and was saddened by my pain</v>
      </c>
      <c r="C13" s="7" t="s">
        <v>6</v>
      </c>
      <c r="D13" s="7" t="s">
        <v>7</v>
      </c>
      <c r="E13" s="7">
        <v>0</v>
      </c>
    </row>
    <row r="14" spans="1:7" x14ac:dyDescent="0.25">
      <c r="A14" s="6" t="s">
        <v>21</v>
      </c>
      <c r="B14" s="6" t="str">
        <f ca="1">IFERROR(__xludf.DUMMYFUNCTION("GOOGLETRANSLATE(A14,""bn"",""en"")")," A large black goch was moving around him")</f>
        <v xml:space="preserve"> A large black goch was moving around him</v>
      </c>
      <c r="C14" s="7" t="s">
        <v>6</v>
      </c>
      <c r="D14" s="7" t="s">
        <v>7</v>
      </c>
      <c r="E14" s="7">
        <v>0</v>
      </c>
    </row>
    <row r="15" spans="1:7" x14ac:dyDescent="0.25">
      <c r="A15" s="6" t="s">
        <v>22</v>
      </c>
      <c r="B15" s="6" t="str">
        <f ca="1">IFERROR(__xludf.DUMMYFUNCTION("GOOGLETRANSLATE(A15,""bn"",""en"")"),"I was very shocked to hear")</f>
        <v>I was very shocked to hear</v>
      </c>
      <c r="C15" s="7" t="s">
        <v>6</v>
      </c>
      <c r="D15" s="7" t="s">
        <v>7</v>
      </c>
      <c r="E15" s="7">
        <v>0</v>
      </c>
    </row>
    <row r="16" spans="1:7" x14ac:dyDescent="0.25">
      <c r="A16" s="6" t="s">
        <v>23</v>
      </c>
      <c r="B16" s="6" t="str">
        <f ca="1">IFERROR(__xludf.DUMMYFUNCTION("GOOGLETRANSLATE(A16,""bn"",""en"")")," I have run out of resources abroad")</f>
        <v xml:space="preserve"> I have run out of resources abroad</v>
      </c>
      <c r="C16" s="7" t="s">
        <v>6</v>
      </c>
      <c r="D16" s="7" t="s">
        <v>7</v>
      </c>
      <c r="E16" s="7">
        <v>0</v>
      </c>
    </row>
    <row r="17" spans="1:5" ht="15.75" x14ac:dyDescent="0.25">
      <c r="A17" s="6" t="s">
        <v>24</v>
      </c>
      <c r="B17" s="6" t="str">
        <f ca="1">IFERROR(__xludf.DUMMYFUNCTION("GOOGLETRANSLATE(A17,""bn"",""en"")"),"Suman gave me food")</f>
        <v>Suman gave me food</v>
      </c>
      <c r="C17" s="8" t="s">
        <v>13</v>
      </c>
      <c r="D17" s="8" t="s">
        <v>14</v>
      </c>
      <c r="E17" s="8">
        <v>1</v>
      </c>
    </row>
    <row r="18" spans="1:5" ht="15.75" x14ac:dyDescent="0.25">
      <c r="A18" s="6" t="s">
        <v>25</v>
      </c>
      <c r="B18" s="6" t="str">
        <f ca="1">IFERROR(__xludf.DUMMYFUNCTION("GOOGLETRANSLATE(A18,""bn"",""en"")"),"In football this is called the killer ball or the final ball")</f>
        <v>In football this is called the killer ball or the final ball</v>
      </c>
      <c r="C18" s="8" t="s">
        <v>13</v>
      </c>
      <c r="D18" s="8" t="s">
        <v>14</v>
      </c>
      <c r="E18" s="8">
        <v>1</v>
      </c>
    </row>
    <row r="19" spans="1:5" ht="15.75" x14ac:dyDescent="0.25">
      <c r="A19" s="6" t="s">
        <v>26</v>
      </c>
      <c r="B19" s="6" t="str">
        <f ca="1">IFERROR(__xludf.DUMMYFUNCTION("GOOGLETRANSLATE(A19,""bn"",""en"")"),"Ruma told my mother everything")</f>
        <v>Ruma told my mother everything</v>
      </c>
      <c r="C19" s="8" t="s">
        <v>13</v>
      </c>
      <c r="D19" s="8" t="s">
        <v>14</v>
      </c>
      <c r="E19" s="8">
        <v>1</v>
      </c>
    </row>
    <row r="20" spans="1:5" ht="15.75" x14ac:dyDescent="0.25">
      <c r="A20" s="6" t="s">
        <v>27</v>
      </c>
      <c r="B20" s="6" t="str">
        <f ca="1">IFERROR(__xludf.DUMMYFUNCTION("GOOGLETRANSLATE(A20,""bn"",""en"")"),"Akbar made alliances with many Hindu Rajput states")</f>
        <v>Akbar made alliances with many Hindu Rajput states</v>
      </c>
      <c r="C20" s="8" t="s">
        <v>13</v>
      </c>
      <c r="D20" s="8" t="s">
        <v>14</v>
      </c>
      <c r="E20" s="8">
        <v>1</v>
      </c>
    </row>
    <row r="21" spans="1:5" ht="15.75" customHeight="1" x14ac:dyDescent="0.25">
      <c r="A21" s="6" t="s">
        <v>28</v>
      </c>
      <c r="B21" s="6" t="str">
        <f ca="1">IFERROR(__xludf.DUMMYFUNCTION("GOOGLETRANSLATE(A21,""bn"",""en"")"),"Not daring")</f>
        <v>Not daring</v>
      </c>
      <c r="C21" s="8" t="s">
        <v>13</v>
      </c>
      <c r="D21" s="8" t="s">
        <v>14</v>
      </c>
      <c r="E21" s="8">
        <v>1</v>
      </c>
    </row>
    <row r="22" spans="1:5" ht="15.75" customHeight="1" x14ac:dyDescent="0.25">
      <c r="A22" s="6" t="s">
        <v>29</v>
      </c>
      <c r="B22" s="6" t="str">
        <f ca="1">IFERROR(__xludf.DUMMYFUNCTION("GOOGLETRANSLATE(A22,""bn"",""en"")")," Sheila took Robin to school")</f>
        <v xml:space="preserve"> Sheila took Robin to school</v>
      </c>
      <c r="C22" s="7" t="s">
        <v>6</v>
      </c>
      <c r="D22" s="7" t="s">
        <v>7</v>
      </c>
      <c r="E22" s="7">
        <v>0</v>
      </c>
    </row>
    <row r="23" spans="1:5" ht="15.75" customHeight="1" x14ac:dyDescent="0.25">
      <c r="A23" s="6" t="s">
        <v>30</v>
      </c>
      <c r="B23" s="6" t="str">
        <f ca="1">IFERROR(__xludf.DUMMYFUNCTION("GOOGLETRANSLATE(A23,""bn"",""en"")")," The color of his body is not a color but a glow")</f>
        <v xml:space="preserve"> The color of his body is not a color but a glow</v>
      </c>
      <c r="C23" s="7" t="s">
        <v>6</v>
      </c>
      <c r="D23" s="7" t="s">
        <v>7</v>
      </c>
      <c r="E23" s="7">
        <v>0</v>
      </c>
    </row>
    <row r="24" spans="1:5" ht="15.75" customHeight="1" x14ac:dyDescent="0.25">
      <c r="A24" s="6" t="s">
        <v>31</v>
      </c>
      <c r="B24" s="6" t="str">
        <f ca="1">IFERROR(__xludf.DUMMYFUNCTION("GOOGLETRANSLATE(A24,""bn"",""en"")")," Everyone came out and stood on one side of the road")</f>
        <v xml:space="preserve"> Everyone came out and stood on one side of the road</v>
      </c>
      <c r="C24" s="7" t="s">
        <v>6</v>
      </c>
      <c r="D24" s="7" t="s">
        <v>7</v>
      </c>
      <c r="E24" s="7">
        <v>0</v>
      </c>
    </row>
    <row r="25" spans="1:5" ht="15.75" customHeight="1" x14ac:dyDescent="0.25">
      <c r="A25" s="6" t="s">
        <v>32</v>
      </c>
      <c r="B25" s="6" t="str">
        <f ca="1">IFERROR(__xludf.DUMMYFUNCTION("GOOGLETRANSLATE(A25,""bn"",""en"")"),"When there is musical accompaniment, the groom looks inside the palanquin to see the bride")</f>
        <v>When there is musical accompaniment, the groom looks inside the palanquin to see the bride</v>
      </c>
      <c r="C25" s="7" t="s">
        <v>6</v>
      </c>
      <c r="D25" s="7" t="s">
        <v>7</v>
      </c>
      <c r="E25" s="7">
        <v>0</v>
      </c>
    </row>
    <row r="26" spans="1:5" ht="15.75" customHeight="1" x14ac:dyDescent="0.25">
      <c r="A26" s="6" t="s">
        <v>33</v>
      </c>
      <c r="B26" s="6" t="str">
        <f ca="1">IFERROR(__xludf.DUMMYFUNCTION("GOOGLETRANSLATE(A26,""bn"",""en"")"),"Kumari's relatives and friends cut big bamboos and collect bows and arrows and sharpen them into weapons")</f>
        <v>Kumari's relatives and friends cut big bamboos and collect bows and arrows and sharpen them into weapons</v>
      </c>
      <c r="C26" s="7" t="s">
        <v>6</v>
      </c>
      <c r="D26" s="7" t="s">
        <v>7</v>
      </c>
      <c r="E26" s="7">
        <v>0</v>
      </c>
    </row>
    <row r="27" spans="1:5" ht="15.75" customHeight="1" x14ac:dyDescent="0.25">
      <c r="A27" s="6" t="s">
        <v>34</v>
      </c>
      <c r="B27" s="6" t="str">
        <f ca="1">IFERROR(__xludf.DUMMYFUNCTION("GOOGLETRANSLATE(A27,""bn"",""en"")"),"The job is easy they said")</f>
        <v>The job is easy they said</v>
      </c>
      <c r="C27" s="8" t="s">
        <v>13</v>
      </c>
      <c r="D27" s="8" t="s">
        <v>14</v>
      </c>
      <c r="E27" s="8">
        <v>1</v>
      </c>
    </row>
    <row r="28" spans="1:5" ht="15.75" customHeight="1" x14ac:dyDescent="0.25">
      <c r="A28" s="6" t="s">
        <v>35</v>
      </c>
      <c r="B28" s="6" t="str">
        <f ca="1">IFERROR(__xludf.DUMMYFUNCTION("GOOGLETRANSLATE(A28,""bn"",""en"")"),"Educational assessment should measure both knowledge skills")</f>
        <v>Educational assessment should measure both knowledge skills</v>
      </c>
      <c r="C28" s="8" t="s">
        <v>13</v>
      </c>
      <c r="D28" s="8" t="s">
        <v>14</v>
      </c>
      <c r="E28" s="8">
        <v>1</v>
      </c>
    </row>
    <row r="29" spans="1:5" ht="15.75" customHeight="1" x14ac:dyDescent="0.25">
      <c r="A29" s="6" t="s">
        <v>36</v>
      </c>
      <c r="B29" s="6" t="str">
        <f ca="1">IFERROR(__xludf.DUMMYFUNCTION("GOOGLETRANSLATE(A29,""bn"",""en"")"),"Plant breeding aims to develop new crop varieties with desirable traits such as disease resistance")</f>
        <v>Plant breeding aims to develop new crop varieties with desirable traits such as disease resistance</v>
      </c>
      <c r="C29" s="8" t="s">
        <v>13</v>
      </c>
      <c r="D29" s="8" t="s">
        <v>14</v>
      </c>
      <c r="E29" s="8">
        <v>1</v>
      </c>
    </row>
    <row r="30" spans="1:5" ht="15.75" customHeight="1" x14ac:dyDescent="0.25">
      <c r="A30" s="6" t="s">
        <v>37</v>
      </c>
      <c r="B30" s="6" t="str">
        <f ca="1">IFERROR(__xludf.DUMMYFUNCTION("GOOGLETRANSLATE(A30,""bn"",""en"")"),"Making handmade cards is fun")</f>
        <v>Making handmade cards is fun</v>
      </c>
      <c r="C30" s="8" t="s">
        <v>13</v>
      </c>
      <c r="D30" s="8" t="s">
        <v>14</v>
      </c>
      <c r="E30" s="8">
        <v>1</v>
      </c>
    </row>
    <row r="31" spans="1:5" ht="15.75" customHeight="1" x14ac:dyDescent="0.25">
      <c r="A31" s="6" t="s">
        <v>38</v>
      </c>
      <c r="B31" s="6" t="str">
        <f ca="1">IFERROR(__xludf.DUMMYFUNCTION("GOOGLETRANSLATE(A31,""bn"",""en"")"),"He used to wake up before me and arrange my bath")</f>
        <v>He used to wake up before me and arrange my bath</v>
      </c>
      <c r="C31" s="8" t="s">
        <v>13</v>
      </c>
      <c r="D31" s="8" t="s">
        <v>14</v>
      </c>
      <c r="E31" s="8">
        <v>1</v>
      </c>
    </row>
    <row r="32" spans="1:5" ht="15.75" customHeight="1" x14ac:dyDescent="0.25">
      <c r="A32" s="6" t="s">
        <v>39</v>
      </c>
      <c r="B32" s="6" t="str">
        <f ca="1">IFERROR(__xludf.DUMMYFUNCTION("GOOGLETRANSLATE(A32,""bn"",""en"")"),"He is about six feet tall at the head")</f>
        <v>He is about six feet tall at the head</v>
      </c>
      <c r="C32" s="7" t="s">
        <v>6</v>
      </c>
      <c r="D32" s="7" t="s">
        <v>7</v>
      </c>
      <c r="E32" s="7">
        <v>0</v>
      </c>
    </row>
    <row r="33" spans="1:6" ht="15.75" customHeight="1" x14ac:dyDescent="0.25">
      <c r="A33" s="6" t="s">
        <v>40</v>
      </c>
      <c r="B33" s="6" t="str">
        <f ca="1">IFERROR(__xludf.DUMMYFUNCTION("GOOGLETRANSLATE(A33,""bn"",""en"")"),"Many will be surprised to hear this")</f>
        <v>Many will be surprised to hear this</v>
      </c>
      <c r="C33" s="7" t="s">
        <v>6</v>
      </c>
      <c r="D33" s="7" t="s">
        <v>7</v>
      </c>
      <c r="E33" s="7">
        <v>0</v>
      </c>
    </row>
    <row r="34" spans="1:6" ht="15.75" customHeight="1" x14ac:dyDescent="0.25">
      <c r="A34" s="6" t="s">
        <v>41</v>
      </c>
      <c r="B34" s="6" t="str">
        <f ca="1">IFERROR(__xludf.DUMMYFUNCTION("GOOGLETRANSLATE(A34,""bn"",""en"")"),"The doctor's leg did not rise")</f>
        <v>The doctor's leg did not rise</v>
      </c>
      <c r="C34" s="7" t="s">
        <v>6</v>
      </c>
      <c r="D34" s="7" t="s">
        <v>7</v>
      </c>
      <c r="E34" s="7">
        <v>0</v>
      </c>
    </row>
    <row r="35" spans="1:6" ht="15.75" customHeight="1" x14ac:dyDescent="0.25">
      <c r="A35" s="6" t="s">
        <v>42</v>
      </c>
      <c r="B35" s="6" t="str">
        <f ca="1">IFERROR(__xludf.DUMMYFUNCTION("GOOGLETRANSLATE(A35,""bn"",""en"")"),"It is not possible that all the trees born in Bengal's juicy soft soil will live without suffering.")</f>
        <v>It is not possible that all the trees born in Bengal's juicy soft soil will live without suffering.</v>
      </c>
      <c r="C35" s="7" t="s">
        <v>6</v>
      </c>
      <c r="D35" s="7" t="s">
        <v>7</v>
      </c>
      <c r="E35" s="7">
        <v>0</v>
      </c>
    </row>
    <row r="36" spans="1:6" ht="15.75" customHeight="1" x14ac:dyDescent="0.25">
      <c r="A36" s="6" t="s">
        <v>43</v>
      </c>
      <c r="B36" s="6" t="str">
        <f ca="1">IFERROR(__xludf.DUMMYFUNCTION("GOOGLETRANSLATE(A36,""bn"",""en"")"),"That night mother told me a story")</f>
        <v>That night mother told me a story</v>
      </c>
      <c r="C36" s="7" t="s">
        <v>6</v>
      </c>
      <c r="D36" s="7" t="s">
        <v>7</v>
      </c>
      <c r="E36" s="7">
        <v>0</v>
      </c>
    </row>
    <row r="37" spans="1:6" ht="15.75" customHeight="1" x14ac:dyDescent="0.25">
      <c r="A37" s="6" t="s">
        <v>44</v>
      </c>
      <c r="B37" s="6" t="str">
        <f ca="1">IFERROR(__xludf.DUMMYFUNCTION("GOOGLETRANSLATE(A37,""bn"",""en"")"),"As if he were one of the procession")</f>
        <v>As if he were one of the procession</v>
      </c>
      <c r="C37" s="8" t="s">
        <v>13</v>
      </c>
      <c r="D37" s="8" t="s">
        <v>14</v>
      </c>
      <c r="E37" s="8">
        <v>1</v>
      </c>
    </row>
    <row r="38" spans="1:6" ht="15.75" customHeight="1" x14ac:dyDescent="0.25">
      <c r="A38" s="6" t="s">
        <v>45</v>
      </c>
      <c r="B38" s="6" t="str">
        <f ca="1">IFERROR(__xludf.DUMMYFUNCTION("GOOGLETRANSLATE(A38,""bn"",""en"")"),"He excelled in both cinema and drama")</f>
        <v>He excelled in both cinema and drama</v>
      </c>
      <c r="C38" s="8" t="s">
        <v>13</v>
      </c>
      <c r="D38" s="8" t="s">
        <v>14</v>
      </c>
      <c r="E38" s="8">
        <v>1</v>
      </c>
    </row>
    <row r="39" spans="1:6" ht="15.75" customHeight="1" x14ac:dyDescent="0.25">
      <c r="A39" s="6" t="s">
        <v>46</v>
      </c>
      <c r="B39" s="6" t="str">
        <f ca="1">IFERROR(__xludf.DUMMYFUNCTION("GOOGLETRANSLATE(A39,""bn"",""en"")"),"The hawker is walking restlessly")</f>
        <v>The hawker is walking restlessly</v>
      </c>
      <c r="C39" s="9" t="s">
        <v>13</v>
      </c>
      <c r="D39" s="9" t="s">
        <v>14</v>
      </c>
      <c r="E39" s="9">
        <v>1</v>
      </c>
      <c r="F39" s="10"/>
    </row>
    <row r="40" spans="1:6" ht="15.75" customHeight="1" x14ac:dyDescent="0.25">
      <c r="A40" s="6" t="s">
        <v>47</v>
      </c>
      <c r="B40" s="6" t="str">
        <f ca="1">IFERROR(__xludf.DUMMYFUNCTION("GOOGLETRANSLATE(A40,""bn"",""en"")"),"Security officers patrol the premises to deter potential intruders")</f>
        <v>Security officers patrol the premises to deter potential intruders</v>
      </c>
      <c r="C40" s="8" t="s">
        <v>13</v>
      </c>
      <c r="D40" s="8" t="s">
        <v>14</v>
      </c>
      <c r="E40" s="8">
        <v>1</v>
      </c>
    </row>
    <row r="41" spans="1:6" ht="15.75" customHeight="1" x14ac:dyDescent="0.25">
      <c r="A41" s="6" t="s">
        <v>48</v>
      </c>
      <c r="B41" s="6" t="str">
        <f ca="1">IFERROR(__xludf.DUMMYFUNCTION("GOOGLETRANSLATE(A41,""bn"",""en"")"),"This honor was conferred by UNESCO in AD")</f>
        <v>This honor was conferred by UNESCO in AD</v>
      </c>
      <c r="C41" s="8" t="s">
        <v>13</v>
      </c>
      <c r="D41" s="8" t="s">
        <v>14</v>
      </c>
      <c r="E41" s="8">
        <v>1</v>
      </c>
    </row>
    <row r="42" spans="1:6" ht="15.75" customHeight="1" x14ac:dyDescent="0.25">
      <c r="A42" s="6" t="s">
        <v>49</v>
      </c>
      <c r="B42" s="6" t="str">
        <f ca="1">IFERROR(__xludf.DUMMYFUNCTION("GOOGLETRANSLATE(A42,""bn"",""en"")"),"He was startled to see a huge shadow in the dark night")</f>
        <v>He was startled to see a huge shadow in the dark night</v>
      </c>
      <c r="C42" s="7" t="s">
        <v>6</v>
      </c>
      <c r="D42" s="7" t="s">
        <v>7</v>
      </c>
      <c r="E42" s="7">
        <v>0</v>
      </c>
    </row>
    <row r="43" spans="1:6" ht="15.75" customHeight="1" x14ac:dyDescent="0.25">
      <c r="A43" s="6" t="s">
        <v>50</v>
      </c>
      <c r="B43" s="6" t="str">
        <f ca="1">IFERROR(__xludf.DUMMYFUNCTION("GOOGLETRANSLATE(A43,""bn"",""en"")"),"I got addicted gradually")</f>
        <v>I got addicted gradually</v>
      </c>
      <c r="C43" s="7" t="s">
        <v>6</v>
      </c>
      <c r="D43" s="7" t="s">
        <v>7</v>
      </c>
      <c r="E43" s="7">
        <v>0</v>
      </c>
    </row>
    <row r="44" spans="1:6" ht="15.75" customHeight="1" x14ac:dyDescent="0.25">
      <c r="A44" s="6" t="s">
        <v>51</v>
      </c>
      <c r="B44" s="6" t="str">
        <f ca="1">IFERROR(__xludf.DUMMYFUNCTION("GOOGLETRANSLATE(A44,""bn"",""en"")"),"Who was mocking what he said")</f>
        <v>Who was mocking what he said</v>
      </c>
      <c r="C44" s="7" t="s">
        <v>6</v>
      </c>
      <c r="D44" s="7" t="s">
        <v>7</v>
      </c>
      <c r="E44" s="7">
        <v>0</v>
      </c>
    </row>
    <row r="45" spans="1:6" ht="15.75" customHeight="1" x14ac:dyDescent="0.25">
      <c r="A45" s="6" t="s">
        <v>52</v>
      </c>
      <c r="B45" s="6" t="str">
        <f ca="1">IFERROR(__xludf.DUMMYFUNCTION("GOOGLETRANSLATE(A45,""bn"",""en"")"),"Love is not right")</f>
        <v>Love is not right</v>
      </c>
      <c r="C45" s="7" t="s">
        <v>6</v>
      </c>
      <c r="D45" s="7" t="s">
        <v>7</v>
      </c>
      <c r="E45" s="7">
        <v>0</v>
      </c>
    </row>
    <row r="46" spans="1:6" ht="15.75" customHeight="1" x14ac:dyDescent="0.25">
      <c r="A46" s="6" t="s">
        <v>53</v>
      </c>
      <c r="B46" s="6" t="str">
        <f ca="1">IFERROR(__xludf.DUMMYFUNCTION("GOOGLETRANSLATE(A46,""bn"",""en"")"),"I corrected him. I heard that the fate of a cat is that it will tear its hair and open its forehead.")</f>
        <v>I corrected him. I heard that the fate of a cat is that it will tear its hair and open its forehead.</v>
      </c>
      <c r="C46" s="7" t="s">
        <v>6</v>
      </c>
      <c r="D46" s="7" t="s">
        <v>7</v>
      </c>
      <c r="E46" s="7">
        <v>0</v>
      </c>
    </row>
    <row r="47" spans="1:6" ht="15.75" customHeight="1" x14ac:dyDescent="0.25">
      <c r="A47" s="6" t="s">
        <v>54</v>
      </c>
      <c r="B47" s="6" t="str">
        <f ca="1">IFERROR(__xludf.DUMMYFUNCTION("GOOGLETRANSLATE(A47,""bn"",""en"")"),"Ronnie will not come to the field today")</f>
        <v>Ronnie will not come to the field today</v>
      </c>
      <c r="C47" s="8" t="s">
        <v>13</v>
      </c>
      <c r="D47" s="8" t="s">
        <v>14</v>
      </c>
      <c r="E47" s="8">
        <v>1</v>
      </c>
    </row>
    <row r="48" spans="1:6" ht="15.75" customHeight="1" x14ac:dyDescent="0.25">
      <c r="A48" s="6" t="s">
        <v>55</v>
      </c>
      <c r="B48" s="6" t="str">
        <f ca="1">IFERROR(__xludf.DUMMYFUNCTION("GOOGLETRANSLATE(A48,""bn"",""en"")"),"Get out of your comfort zone")</f>
        <v>Get out of your comfort zone</v>
      </c>
      <c r="C48" s="8" t="s">
        <v>13</v>
      </c>
      <c r="D48" s="8" t="s">
        <v>14</v>
      </c>
      <c r="E48" s="8">
        <v>1</v>
      </c>
    </row>
    <row r="49" spans="1:5" ht="15.75" customHeight="1" x14ac:dyDescent="0.25">
      <c r="A49" s="6" t="s">
        <v>56</v>
      </c>
      <c r="B49" s="6" t="str">
        <f ca="1">IFERROR(__xludf.DUMMYFUNCTION("GOOGLETRANSLATE(A49,""bn"",""en"")"),"Conflict resolution skills promote a harmonious work environment")</f>
        <v>Conflict resolution skills promote a harmonious work environment</v>
      </c>
      <c r="C49" s="8" t="s">
        <v>13</v>
      </c>
      <c r="D49" s="8" t="s">
        <v>14</v>
      </c>
      <c r="E49" s="8">
        <v>1</v>
      </c>
    </row>
    <row r="50" spans="1:5" ht="15.75" customHeight="1" x14ac:dyDescent="0.25">
      <c r="A50" s="6" t="s">
        <v>57</v>
      </c>
      <c r="B50" s="6" t="str">
        <f ca="1">IFERROR(__xludf.DUMMYFUNCTION("GOOGLETRANSLATE(A50,""bn"",""en"")"),"Mr. Irtajuddin noticed that he felt hungry")</f>
        <v>Mr. Irtajuddin noticed that he felt hungry</v>
      </c>
      <c r="C50" s="8" t="s">
        <v>13</v>
      </c>
      <c r="D50" s="8" t="s">
        <v>14</v>
      </c>
      <c r="E50" s="8">
        <v>1</v>
      </c>
    </row>
    <row r="51" spans="1:5" ht="15.75" customHeight="1" x14ac:dyDescent="0.25">
      <c r="A51" s="6" t="s">
        <v>58</v>
      </c>
      <c r="B51" s="6" t="str">
        <f ca="1">IFERROR(__xludf.DUMMYFUNCTION("GOOGLETRANSLATE(A51,""bn"",""en"")"),"This database amazes me")</f>
        <v>This database amazes me</v>
      </c>
      <c r="C51" s="8" t="s">
        <v>13</v>
      </c>
      <c r="D51" s="8" t="s">
        <v>14</v>
      </c>
      <c r="E51" s="8">
        <v>1</v>
      </c>
    </row>
    <row r="52" spans="1:5" ht="15.75" customHeight="1" x14ac:dyDescent="0.25">
      <c r="A52" s="6" t="s">
        <v>59</v>
      </c>
      <c r="B52" s="6" t="str">
        <f ca="1">IFERROR(__xludf.DUMMYFUNCTION("GOOGLETRANSLATE(A52,""bn"",""en"")"),"By saying this in the saintly language, the soul began to go out")</f>
        <v>By saying this in the saintly language, the soul began to go out</v>
      </c>
      <c r="C52" s="7" t="s">
        <v>6</v>
      </c>
      <c r="D52" s="7" t="s">
        <v>7</v>
      </c>
      <c r="E52" s="7">
        <v>0</v>
      </c>
    </row>
    <row r="53" spans="1:5" ht="15.75" customHeight="1" x14ac:dyDescent="0.25">
      <c r="A53" s="6" t="s">
        <v>60</v>
      </c>
      <c r="B53" s="6" t="str">
        <f ca="1">IFERROR(__xludf.DUMMYFUNCTION("GOOGLETRANSLATE(A53,""bn"",""en"")"),"This time I understood that words adopt a special level")</f>
        <v>This time I understood that words adopt a special level</v>
      </c>
      <c r="C53" s="7" t="s">
        <v>6</v>
      </c>
      <c r="D53" s="7" t="s">
        <v>7</v>
      </c>
      <c r="E53" s="7">
        <v>0</v>
      </c>
    </row>
    <row r="54" spans="1:5" ht="15.75" customHeight="1" x14ac:dyDescent="0.25">
      <c r="A54" s="6" t="s">
        <v>61</v>
      </c>
      <c r="B54" s="6" t="str">
        <f ca="1">IFERROR(__xludf.DUMMYFUNCTION("GOOGLETRANSLATE(A54,""bn"",""en"")"),"Sunny's father came to me")</f>
        <v>Sunny's father came to me</v>
      </c>
      <c r="C54" s="7" t="s">
        <v>6</v>
      </c>
      <c r="D54" s="7" t="s">
        <v>7</v>
      </c>
      <c r="E54" s="7">
        <v>0</v>
      </c>
    </row>
    <row r="55" spans="1:5" ht="15.75" customHeight="1" x14ac:dyDescent="0.25">
      <c r="A55" s="6" t="s">
        <v>62</v>
      </c>
      <c r="B55" s="6" t="str">
        <f ca="1">IFERROR(__xludf.DUMMYFUNCTION("GOOGLETRANSLATE(A55,""bn"",""en"")"),"As they used to puff their chests and raise their faces and push the wind, I am a weak Bengali. Where is my pride and strength?")</f>
        <v>As they used to puff their chests and raise their faces and push the wind, I am a weak Bengali. Where is my pride and strength?</v>
      </c>
      <c r="C55" s="7" t="s">
        <v>6</v>
      </c>
      <c r="D55" s="7" t="s">
        <v>7</v>
      </c>
      <c r="E55" s="7">
        <v>0</v>
      </c>
    </row>
    <row r="56" spans="1:5" ht="15.75" customHeight="1" x14ac:dyDescent="0.25">
      <c r="A56" s="6" t="s">
        <v>63</v>
      </c>
      <c r="B56" s="6" t="str">
        <f ca="1">IFERROR(__xludf.DUMMYFUNCTION("GOOGLETRANSLATE(A56,""bn"",""en"")"),"On Sunday morning the baggage was brought in a second class carriage for the servants, a third class for the masters.")</f>
        <v>On Sunday morning the baggage was brought in a second class carriage for the servants, a third class for the masters.</v>
      </c>
      <c r="C56" s="7" t="s">
        <v>6</v>
      </c>
      <c r="D56" s="7" t="s">
        <v>7</v>
      </c>
      <c r="E56" s="7">
        <v>0</v>
      </c>
    </row>
    <row r="57" spans="1:5" ht="15.75" customHeight="1" x14ac:dyDescent="0.25">
      <c r="A57" s="6" t="s">
        <v>64</v>
      </c>
      <c r="B57" s="6" t="str">
        <f ca="1">IFERROR(__xludf.DUMMYFUNCTION("GOOGLETRANSLATE(A57,""bn"",""en"")"),"Dentists regularly check up their patient's teeth")</f>
        <v>Dentists regularly check up their patient's teeth</v>
      </c>
      <c r="C57" s="8" t="s">
        <v>13</v>
      </c>
      <c r="D57" s="8" t="s">
        <v>14</v>
      </c>
      <c r="E57" s="8">
        <v>1</v>
      </c>
    </row>
    <row r="58" spans="1:5" ht="15.75" customHeight="1" x14ac:dyDescent="0.25">
      <c r="A58" s="6" t="s">
        <v>65</v>
      </c>
      <c r="B58" s="6" t="str">
        <f ca="1">IFERROR(__xludf.DUMMYFUNCTION("GOOGLETRANSLATE(A58,""bn"",""en"")"),"Now let's talk about my own words")</f>
        <v>Now let's talk about my own words</v>
      </c>
      <c r="C58" s="8" t="s">
        <v>13</v>
      </c>
      <c r="D58" s="8" t="s">
        <v>14</v>
      </c>
      <c r="E58" s="8">
        <v>1</v>
      </c>
    </row>
    <row r="59" spans="1:5" ht="15.75" customHeight="1" x14ac:dyDescent="0.25">
      <c r="A59" s="6" t="s">
        <v>66</v>
      </c>
      <c r="B59" s="6" t="str">
        <f ca="1">IFERROR(__xludf.DUMMYFUNCTION("GOOGLETRANSLATE(A59,""bn"",""en"")"),"Educational research informs evidence-based teaching practice")</f>
        <v>Educational research informs evidence-based teaching practice</v>
      </c>
      <c r="C59" s="8" t="s">
        <v>13</v>
      </c>
      <c r="D59" s="8" t="s">
        <v>14</v>
      </c>
      <c r="E59" s="8">
        <v>1</v>
      </c>
    </row>
    <row r="60" spans="1:5" ht="15.75" customHeight="1" x14ac:dyDescent="0.25">
      <c r="A60" s="6" t="s">
        <v>67</v>
      </c>
      <c r="B60" s="6" t="str">
        <f ca="1">IFERROR(__xludf.DUMMYFUNCTION("GOOGLETRANSLATE(A60,""bn"",""en"")"),"I also remembered the people involved in my childhood memories")</f>
        <v>I also remembered the people involved in my childhood memories</v>
      </c>
      <c r="C60" s="8" t="s">
        <v>13</v>
      </c>
      <c r="D60" s="8" t="s">
        <v>14</v>
      </c>
      <c r="E60" s="8">
        <v>1</v>
      </c>
    </row>
    <row r="61" spans="1:5" ht="15.75" customHeight="1" x14ac:dyDescent="0.25">
      <c r="A61" s="6" t="s">
        <v>68</v>
      </c>
      <c r="B61" s="6" t="str">
        <f ca="1">IFERROR(__xludf.DUMMYFUNCTION("GOOGLETRANSLATE(A61,""bn"",""en"")"),"They die because they don't live in the city")</f>
        <v>They die because they don't live in the city</v>
      </c>
      <c r="C61" s="8" t="s">
        <v>13</v>
      </c>
      <c r="D61" s="8" t="s">
        <v>14</v>
      </c>
      <c r="E61" s="8">
        <v>1</v>
      </c>
    </row>
    <row r="62" spans="1:5" ht="15.75" customHeight="1" x14ac:dyDescent="0.25">
      <c r="A62" s="6" t="s">
        <v>69</v>
      </c>
      <c r="B62" s="6" t="str">
        <f ca="1">IFERROR(__xludf.DUMMYFUNCTION("GOOGLETRANSLATE(A62,""bn"",""en"")"),"His speech is very funny")</f>
        <v>His speech is very funny</v>
      </c>
      <c r="C62" s="7" t="s">
        <v>6</v>
      </c>
      <c r="D62" s="7" t="s">
        <v>7</v>
      </c>
      <c r="E62" s="7">
        <v>0</v>
      </c>
    </row>
    <row r="63" spans="1:5" ht="15.75" customHeight="1" x14ac:dyDescent="0.25">
      <c r="A63" s="6" t="s">
        <v>70</v>
      </c>
      <c r="B63" s="6" t="str">
        <f ca="1">IFERROR(__xludf.DUMMYFUNCTION("GOOGLETRANSLATE(A63,""bn"",""en"")"),"He could not cross this forest")</f>
        <v>He could not cross this forest</v>
      </c>
      <c r="C63" s="7" t="s">
        <v>6</v>
      </c>
      <c r="D63" s="7" t="s">
        <v>7</v>
      </c>
      <c r="E63" s="7">
        <v>0</v>
      </c>
    </row>
    <row r="64" spans="1:5" ht="15.75" customHeight="1" x14ac:dyDescent="0.25">
      <c r="A64" s="6" t="s">
        <v>71</v>
      </c>
      <c r="B64" s="6" t="str">
        <f ca="1">IFERROR(__xludf.DUMMYFUNCTION("GOOGLETRANSLATE(A64,""bn"",""en"")"),"All words should be written in Sadhu language for the satisfaction of Sadhus")</f>
        <v>All words should be written in Sadhu language for the satisfaction of Sadhus</v>
      </c>
      <c r="C64" s="7" t="s">
        <v>6</v>
      </c>
      <c r="D64" s="7" t="s">
        <v>7</v>
      </c>
      <c r="E64" s="7">
        <v>0</v>
      </c>
    </row>
    <row r="65" spans="1:5" ht="15.75" customHeight="1" x14ac:dyDescent="0.25">
      <c r="A65" s="6" t="s">
        <v>72</v>
      </c>
      <c r="B65" s="6" t="str">
        <f ca="1">IFERROR(__xludf.DUMMYFUNCTION("GOOGLETRANSLATE(A65,""bn"",""en"")"),"Chumki talked to us a lot")</f>
        <v>Chumki talked to us a lot</v>
      </c>
      <c r="C65" s="7" t="s">
        <v>6</v>
      </c>
      <c r="D65" s="7" t="s">
        <v>7</v>
      </c>
      <c r="E65" s="7">
        <v>0</v>
      </c>
    </row>
    <row r="66" spans="1:5" ht="15.75" customHeight="1" x14ac:dyDescent="0.25">
      <c r="A66" s="6" t="s">
        <v>73</v>
      </c>
      <c r="B66" s="6" t="str">
        <f ca="1">IFERROR(__xludf.DUMMYFUNCTION("GOOGLETRANSLATE(A66,""bn"",""en"")"),"He did not open his eyes today")</f>
        <v>He did not open his eyes today</v>
      </c>
      <c r="C66" s="7" t="s">
        <v>6</v>
      </c>
      <c r="D66" s="7" t="s">
        <v>7</v>
      </c>
      <c r="E66" s="7">
        <v>0</v>
      </c>
    </row>
    <row r="67" spans="1:5" ht="15.75" customHeight="1" x14ac:dyDescent="0.25">
      <c r="A67" s="6" t="s">
        <v>74</v>
      </c>
      <c r="B67" s="6" t="str">
        <f ca="1">IFERROR(__xludf.DUMMYFUNCTION("GOOGLETRANSLATE(A67,""bn"",""en"")"),"It was well received by the music-loving audiences")</f>
        <v>It was well received by the music-loving audiences</v>
      </c>
      <c r="C67" s="8" t="s">
        <v>13</v>
      </c>
      <c r="D67" s="8" t="s">
        <v>14</v>
      </c>
      <c r="E67" s="8">
        <v>1</v>
      </c>
    </row>
    <row r="68" spans="1:5" ht="15.75" customHeight="1" x14ac:dyDescent="0.25">
      <c r="A68" s="6" t="s">
        <v>75</v>
      </c>
      <c r="B68" s="6" t="str">
        <f ca="1">IFERROR(__xludf.DUMMYFUNCTION("GOOGLETRANSLATE(A68,""bn"",""en"")"),"Babur founded the Mughal Empire")</f>
        <v>Babur founded the Mughal Empire</v>
      </c>
      <c r="C68" s="8" t="s">
        <v>13</v>
      </c>
      <c r="D68" s="8" t="s">
        <v>14</v>
      </c>
      <c r="E68" s="8">
        <v>1</v>
      </c>
    </row>
    <row r="69" spans="1:5" ht="15.75" customHeight="1" x14ac:dyDescent="0.25">
      <c r="A69" s="6" t="s">
        <v>76</v>
      </c>
      <c r="B69" s="6" t="str">
        <f ca="1">IFERROR(__xludf.DUMMYFUNCTION("GOOGLETRANSLATE(A69,""bn"",""en"")"),"He died young")</f>
        <v>He died young</v>
      </c>
      <c r="C69" s="8" t="s">
        <v>13</v>
      </c>
      <c r="D69" s="8" t="s">
        <v>14</v>
      </c>
      <c r="E69" s="8">
        <v>1</v>
      </c>
    </row>
    <row r="70" spans="1:5" ht="15.75" customHeight="1" x14ac:dyDescent="0.25">
      <c r="A70" s="6" t="s">
        <v>77</v>
      </c>
      <c r="B70" s="6" t="str">
        <f ca="1">IFERROR(__xludf.DUMMYFUNCTION("GOOGLETRANSLATE(A70,""bn"",""en"")"),"After the birth of Irtazuddin, Shahed was the next of five siblings")</f>
        <v>After the birth of Irtazuddin, Shahed was the next of five siblings</v>
      </c>
      <c r="C70" s="8" t="s">
        <v>13</v>
      </c>
      <c r="D70" s="8" t="s">
        <v>14</v>
      </c>
      <c r="E70" s="8">
        <v>1</v>
      </c>
    </row>
    <row r="71" spans="1:5" ht="15.75" customHeight="1" x14ac:dyDescent="0.25">
      <c r="A71" s="6" t="s">
        <v>78</v>
      </c>
      <c r="B71" s="6" t="str">
        <f ca="1">IFERROR(__xludf.DUMMYFUNCTION("GOOGLETRANSLATE(A71,""bn"",""en"")"),"Always prioritize sleep for recovery")</f>
        <v>Always prioritize sleep for recovery</v>
      </c>
      <c r="C71" s="8" t="s">
        <v>13</v>
      </c>
      <c r="D71" s="8" t="s">
        <v>14</v>
      </c>
      <c r="E71" s="8">
        <v>1</v>
      </c>
    </row>
    <row r="72" spans="1:5" ht="15.75" customHeight="1" x14ac:dyDescent="0.25">
      <c r="A72" s="6" t="s">
        <v>79</v>
      </c>
      <c r="B72" s="6" t="str">
        <f ca="1">IFERROR(__xludf.DUMMYFUNCTION("GOOGLETRANSLATE(A72,""bn"",""en"")"),"I didn't have any problem with that much")</f>
        <v>I didn't have any problem with that much</v>
      </c>
      <c r="C72" s="7" t="s">
        <v>6</v>
      </c>
      <c r="D72" s="7" t="s">
        <v>7</v>
      </c>
      <c r="E72" s="7">
        <v>0</v>
      </c>
    </row>
    <row r="73" spans="1:5" ht="15.75" customHeight="1" x14ac:dyDescent="0.25">
      <c r="A73" s="6" t="s">
        <v>80</v>
      </c>
      <c r="B73" s="6" t="str">
        <f ca="1">IFERROR(__xludf.DUMMYFUNCTION("GOOGLETRANSLATE(A73,""bn"",""en"")"),"I looked everywhere, but there was no one")</f>
        <v>I looked everywhere, but there was no one</v>
      </c>
      <c r="C73" s="7" t="s">
        <v>6</v>
      </c>
      <c r="D73" s="7" t="s">
        <v>7</v>
      </c>
      <c r="E73" s="7">
        <v>0</v>
      </c>
    </row>
    <row r="74" spans="1:5" ht="15.75" customHeight="1" x14ac:dyDescent="0.25">
      <c r="A74" s="6" t="s">
        <v>81</v>
      </c>
      <c r="B74" s="6" t="str">
        <f ca="1">IFERROR(__xludf.DUMMYFUNCTION("GOOGLETRANSLATE(A74,""bn"",""en"")"),"On the day when the morning cannot come, I see the time of the evening has come")</f>
        <v>On the day when the morning cannot come, I see the time of the evening has come</v>
      </c>
      <c r="C74" s="7" t="s">
        <v>6</v>
      </c>
      <c r="D74" s="7" t="s">
        <v>7</v>
      </c>
      <c r="E74" s="7">
        <v>0</v>
      </c>
    </row>
    <row r="75" spans="1:5" ht="15.75" customHeight="1" x14ac:dyDescent="0.25">
      <c r="A75" s="6" t="s">
        <v>82</v>
      </c>
      <c r="B75" s="6" t="str">
        <f ca="1">IFERROR(__xludf.DUMMYFUNCTION("GOOGLETRANSLATE(A75,""bn"",""en"")"),"Shashi says now you don't give Haribol")</f>
        <v>Shashi says now you don't give Haribol</v>
      </c>
      <c r="C75" s="7" t="s">
        <v>6</v>
      </c>
      <c r="D75" s="7" t="s">
        <v>7</v>
      </c>
      <c r="E75" s="7">
        <v>0</v>
      </c>
    </row>
    <row r="76" spans="1:5" ht="15.75" customHeight="1" x14ac:dyDescent="0.25">
      <c r="A76" s="6" t="s">
        <v>83</v>
      </c>
      <c r="B76" s="6" t="str">
        <f ca="1">IFERROR(__xludf.DUMMYFUNCTION("GOOGLETRANSLATE(A76,""bn"",""en"")"),"Amina came from the house and stood at the door")</f>
        <v>Amina came from the house and stood at the door</v>
      </c>
      <c r="C76" s="7" t="s">
        <v>6</v>
      </c>
      <c r="D76" s="7" t="s">
        <v>7</v>
      </c>
      <c r="E76" s="7">
        <v>0</v>
      </c>
    </row>
    <row r="77" spans="1:5" ht="15.75" customHeight="1" x14ac:dyDescent="0.25">
      <c r="A77" s="6" t="s">
        <v>84</v>
      </c>
      <c r="B77" s="6" t="str">
        <f ca="1">IFERROR(__xludf.DUMMYFUNCTION("GOOGLETRANSLATE(A77,""bn"",""en"")"),"Shafiq sir asked me to read it")</f>
        <v>Shafiq sir asked me to read it</v>
      </c>
      <c r="C77" s="8" t="s">
        <v>13</v>
      </c>
      <c r="D77" s="8" t="s">
        <v>14</v>
      </c>
      <c r="E77" s="8">
        <v>1</v>
      </c>
    </row>
    <row r="78" spans="1:5" ht="15.75" customHeight="1" x14ac:dyDescent="0.25">
      <c r="A78" s="6" t="s">
        <v>85</v>
      </c>
      <c r="B78" s="6" t="str">
        <f ca="1">IFERROR(__xludf.DUMMYFUNCTION("GOOGLETRANSLATE(A78,""bn"",""en"")"),"Thus five of their cities were destroyed")</f>
        <v>Thus five of their cities were destroyed</v>
      </c>
      <c r="C78" s="8" t="s">
        <v>13</v>
      </c>
      <c r="D78" s="8" t="s">
        <v>14</v>
      </c>
      <c r="E78" s="8">
        <v>1</v>
      </c>
    </row>
    <row r="79" spans="1:5" ht="15.75" customHeight="1" x14ac:dyDescent="0.25">
      <c r="A79" s="6" t="s">
        <v>86</v>
      </c>
      <c r="B79" s="6" t="str">
        <f ca="1">IFERROR(__xludf.DUMMYFUNCTION("GOOGLETRANSLATE(A79,""bn"",""en"")"),"I have revealed it on a blessed night")</f>
        <v>I have revealed it on a blessed night</v>
      </c>
      <c r="C79" s="8" t="s">
        <v>13</v>
      </c>
      <c r="D79" s="8" t="s">
        <v>14</v>
      </c>
      <c r="E79" s="8">
        <v>1</v>
      </c>
    </row>
    <row r="80" spans="1:5" ht="15.75" customHeight="1" x14ac:dyDescent="0.25">
      <c r="A80" s="6" t="s">
        <v>87</v>
      </c>
      <c r="B80" s="6" t="str">
        <f ca="1">IFERROR(__xludf.DUMMYFUNCTION("GOOGLETRANSLATE(A80,""bn"",""en"")"),"Criminal behavior can vary from minor crimes to serious crimes")</f>
        <v>Criminal behavior can vary from minor crimes to serious crimes</v>
      </c>
      <c r="C80" s="8" t="s">
        <v>13</v>
      </c>
      <c r="D80" s="8" t="s">
        <v>14</v>
      </c>
      <c r="E80" s="8">
        <v>1</v>
      </c>
    </row>
    <row r="81" spans="1:5" ht="15.75" customHeight="1" x14ac:dyDescent="0.25">
      <c r="A81" s="6" t="s">
        <v>88</v>
      </c>
      <c r="B81" s="6" t="str">
        <f ca="1">IFERROR(__xludf.DUMMYFUNCTION("GOOGLETRANSLATE(A81,""bn"",""en"")"),"Social learning enhances students' overall well-being")</f>
        <v>Social learning enhances students' overall well-being</v>
      </c>
      <c r="C81" s="8" t="s">
        <v>13</v>
      </c>
      <c r="D81" s="8" t="s">
        <v>14</v>
      </c>
      <c r="E81" s="8">
        <v>1</v>
      </c>
    </row>
    <row r="82" spans="1:5" ht="15.75" customHeight="1" x14ac:dyDescent="0.25">
      <c r="A82" s="6" t="s">
        <v>89</v>
      </c>
      <c r="B82" s="6" t="str">
        <f ca="1">IFERROR(__xludf.DUMMYFUNCTION("GOOGLETRANSLATE(A82,""bn"",""en"")"),"I failed to resolve the issue")</f>
        <v>I failed to resolve the issue</v>
      </c>
      <c r="C82" s="7" t="s">
        <v>6</v>
      </c>
      <c r="D82" s="7" t="s">
        <v>7</v>
      </c>
      <c r="E82" s="7">
        <v>0</v>
      </c>
    </row>
    <row r="83" spans="1:5" ht="15.75" customHeight="1" x14ac:dyDescent="0.25">
      <c r="A83" s="6" t="s">
        <v>90</v>
      </c>
      <c r="B83" s="6" t="str">
        <f ca="1">IFERROR(__xludf.DUMMYFUNCTION("GOOGLETRANSLATE(A83,""bn"",""en"")"),"The butter immediately left the ground bed and fell on the fatik")</f>
        <v>The butter immediately left the ground bed and fell on the fatik</v>
      </c>
      <c r="C83" s="7" t="s">
        <v>6</v>
      </c>
      <c r="D83" s="7" t="s">
        <v>7</v>
      </c>
      <c r="E83" s="7">
        <v>0</v>
      </c>
    </row>
    <row r="84" spans="1:5" ht="15.75" customHeight="1" x14ac:dyDescent="0.25">
      <c r="A84" s="6" t="s">
        <v>91</v>
      </c>
      <c r="B84" s="6" t="str">
        <f ca="1">IFERROR(__xludf.DUMMYFUNCTION("GOOGLETRANSLATE(A84,""bn"",""en"")"),"Rehmat sat inside a street in Calcutta and started to see the view of a desert mountain in Afghanistan.")</f>
        <v>Rehmat sat inside a street in Calcutta and started to see the view of a desert mountain in Afghanistan.</v>
      </c>
      <c r="C84" s="7" t="s">
        <v>6</v>
      </c>
      <c r="D84" s="7" t="s">
        <v>7</v>
      </c>
      <c r="E84" s="7">
        <v>0</v>
      </c>
    </row>
    <row r="85" spans="1:5" ht="15.75" customHeight="1" x14ac:dyDescent="0.25">
      <c r="A85" s="6" t="s">
        <v>92</v>
      </c>
      <c r="B85" s="6" t="str">
        <f ca="1">IFERROR(__xludf.DUMMYFUNCTION("GOOGLETRANSLATE(A85,""bn"",""en"")"),"No one comes to hear your call, go alone")</f>
        <v>No one comes to hear your call, go alone</v>
      </c>
      <c r="C85" s="7" t="s">
        <v>6</v>
      </c>
      <c r="D85" s="7" t="s">
        <v>7</v>
      </c>
      <c r="E85" s="7">
        <v>0</v>
      </c>
    </row>
    <row r="86" spans="1:5" ht="15.75" customHeight="1" x14ac:dyDescent="0.25">
      <c r="A86" s="6" t="s">
        <v>93</v>
      </c>
      <c r="B86" s="6" t="str">
        <f ca="1">IFERROR(__xludf.DUMMYFUNCTION("GOOGLETRANSLATE(A86,""bn"",""en"")"),"Ruma collected money for the fair")</f>
        <v>Ruma collected money for the fair</v>
      </c>
      <c r="C86" s="7" t="s">
        <v>6</v>
      </c>
      <c r="D86" s="7" t="s">
        <v>7</v>
      </c>
      <c r="E86" s="7">
        <v>0</v>
      </c>
    </row>
    <row r="87" spans="1:5" ht="15.75" customHeight="1" x14ac:dyDescent="0.25">
      <c r="A87" s="6" t="s">
        <v>94</v>
      </c>
      <c r="B87" s="6" t="str">
        <f ca="1">IFERROR(__xludf.DUMMYFUNCTION("GOOGLETRANSLATE(A87,""bn"",""en"")"),"Join a fitness class for motivation")</f>
        <v>Join a fitness class for motivation</v>
      </c>
      <c r="C87" s="8" t="s">
        <v>13</v>
      </c>
      <c r="D87" s="8" t="s">
        <v>14</v>
      </c>
      <c r="E87" s="8">
        <v>1</v>
      </c>
    </row>
    <row r="88" spans="1:5" ht="15.75" customHeight="1" x14ac:dyDescent="0.25">
      <c r="A88" s="6" t="s">
        <v>95</v>
      </c>
      <c r="B88" s="6" t="str">
        <f ca="1">IFERROR(__xludf.DUMMYFUNCTION("GOOGLETRANSLATE(A88,""bn"",""en"")"),"Sudoku puzzles improve mental well-being")</f>
        <v>Sudoku puzzles improve mental well-being</v>
      </c>
      <c r="C88" s="8" t="s">
        <v>13</v>
      </c>
      <c r="D88" s="8" t="s">
        <v>14</v>
      </c>
      <c r="E88" s="8">
        <v>1</v>
      </c>
    </row>
    <row r="89" spans="1:5" ht="15.75" customHeight="1" x14ac:dyDescent="0.25">
      <c r="A89" s="6" t="s">
        <v>96</v>
      </c>
      <c r="B89" s="6" t="str">
        <f ca="1">IFERROR(__xludf.DUMMYFUNCTION("GOOGLETRANSLATE(A89,""bn"",""en"")"),"Standing there, the entire city of Rameswaram can be seen")</f>
        <v>Standing there, the entire city of Rameswaram can be seen</v>
      </c>
      <c r="C89" s="8" t="s">
        <v>13</v>
      </c>
      <c r="D89" s="8" t="s">
        <v>14</v>
      </c>
      <c r="E89" s="8">
        <v>1</v>
      </c>
    </row>
    <row r="90" spans="1:5" ht="15.75" customHeight="1" x14ac:dyDescent="0.25">
      <c r="A90" s="6" t="s">
        <v>97</v>
      </c>
      <c r="B90" s="6" t="str">
        <f ca="1">IFERROR(__xludf.DUMMYFUNCTION("GOOGLETRANSLATE(A90,""bn"",""en"")"),"The scent of wild roses hangs heavy in the air as their delicate petals perfume the air with their sweet scent.")</f>
        <v>The scent of wild roses hangs heavy in the air as their delicate petals perfume the air with their sweet scent.</v>
      </c>
      <c r="C90" s="8" t="s">
        <v>13</v>
      </c>
      <c r="D90" s="8" t="s">
        <v>14</v>
      </c>
      <c r="E90" s="8">
        <v>1</v>
      </c>
    </row>
    <row r="91" spans="1:5" ht="15.75" customHeight="1" x14ac:dyDescent="0.25">
      <c r="A91" s="6" t="s">
        <v>98</v>
      </c>
      <c r="B91" s="6" t="str">
        <f ca="1">IFERROR(__xludf.DUMMYFUNCTION("GOOGLETRANSLATE(A91,""bn"",""en"")"),"Lalan also loved Gagan's songs and Gagan's proximity")</f>
        <v>Lalan also loved Gagan's songs and Gagan's proximity</v>
      </c>
      <c r="C91" s="8" t="s">
        <v>13</v>
      </c>
      <c r="D91" s="8" t="s">
        <v>14</v>
      </c>
      <c r="E91" s="8">
        <v>1</v>
      </c>
    </row>
    <row r="92" spans="1:5" ht="15.75" customHeight="1" x14ac:dyDescent="0.25">
      <c r="A92" s="6" t="s">
        <v>99</v>
      </c>
      <c r="B92" s="6" t="str">
        <f ca="1">IFERROR(__xludf.DUMMYFUNCTION("GOOGLETRANSLATE(A92,""bn"",""en"")"),"Kumari was forced to scream in this situation")</f>
        <v>Kumari was forced to scream in this situation</v>
      </c>
      <c r="C92" s="7" t="s">
        <v>6</v>
      </c>
      <c r="D92" s="7" t="s">
        <v>7</v>
      </c>
      <c r="E92" s="7">
        <v>0</v>
      </c>
    </row>
    <row r="93" spans="1:5" ht="15.75" customHeight="1" x14ac:dyDescent="0.25">
      <c r="A93" s="6" t="s">
        <v>100</v>
      </c>
      <c r="B93" s="6" t="str">
        <f ca="1">IFERROR(__xludf.DUMMYFUNCTION("GOOGLETRANSLATE(A93,""bn"",""en"")"),"That is, the father paid the full price and the daughter received the full care")</f>
        <v>That is, the father paid the full price and the daughter received the full care</v>
      </c>
      <c r="C93" s="7" t="s">
        <v>6</v>
      </c>
      <c r="D93" s="7" t="s">
        <v>7</v>
      </c>
      <c r="E93" s="7">
        <v>0</v>
      </c>
    </row>
    <row r="94" spans="1:5" ht="15.75" customHeight="1" x14ac:dyDescent="0.25">
      <c r="A94" s="6" t="s">
        <v>101</v>
      </c>
      <c r="B94" s="6" t="str">
        <f ca="1">IFERROR(__xludf.DUMMYFUNCTION("GOOGLETRANSLATE(A94,""bn"",""en"")"),"On both sides of the path, two branches are seen starting to go out towards the side of the path")</f>
        <v>On both sides of the path, two branches are seen starting to go out towards the side of the path</v>
      </c>
      <c r="C94" s="7" t="s">
        <v>6</v>
      </c>
      <c r="D94" s="7" t="s">
        <v>7</v>
      </c>
      <c r="E94" s="7">
        <v>0</v>
      </c>
    </row>
    <row r="95" spans="1:5" ht="15.75" customHeight="1" x14ac:dyDescent="0.25">
      <c r="A95" s="6" t="s">
        <v>102</v>
      </c>
      <c r="B95" s="6" t="str">
        <f ca="1">IFERROR(__xludf.DUMMYFUNCTION("GOOGLETRANSLATE(A95,""bn"",""en"")"),"Bibira can prove it by hand")</f>
        <v>Bibira can prove it by hand</v>
      </c>
      <c r="C95" s="7" t="s">
        <v>6</v>
      </c>
      <c r="D95" s="7" t="s">
        <v>7</v>
      </c>
      <c r="E95" s="7">
        <v>0</v>
      </c>
    </row>
    <row r="96" spans="1:5" ht="15.75" customHeight="1" x14ac:dyDescent="0.25">
      <c r="A96" s="6" t="s">
        <v>103</v>
      </c>
      <c r="B96" s="6" t="str">
        <f ca="1">IFERROR(__xludf.DUMMYFUNCTION("GOOGLETRANSLATE(A96,""bn"",""en"")"),"After reading the letter two or three times, he returned it and sat in silence for a while.")</f>
        <v>After reading the letter two or three times, he returned it and sat in silence for a while.</v>
      </c>
      <c r="C96" s="7" t="s">
        <v>6</v>
      </c>
      <c r="D96" s="7" t="s">
        <v>7</v>
      </c>
      <c r="E96" s="7">
        <v>0</v>
      </c>
    </row>
    <row r="97" spans="1:5" ht="15.75" customHeight="1" x14ac:dyDescent="0.25">
      <c r="A97" s="6" t="s">
        <v>104</v>
      </c>
      <c r="B97" s="6" t="str">
        <f ca="1">IFERROR(__xludf.DUMMYFUNCTION("GOOGLETRANSLATE(A97,""bn"",""en"")"),"Climbing is an adventurous pursuit")</f>
        <v>Climbing is an adventurous pursuit</v>
      </c>
      <c r="C97" s="8" t="s">
        <v>13</v>
      </c>
      <c r="D97" s="8" t="s">
        <v>14</v>
      </c>
      <c r="E97" s="8">
        <v>1</v>
      </c>
    </row>
    <row r="98" spans="1:5" ht="15.75" customHeight="1" x14ac:dyDescent="0.25">
      <c r="A98" s="6" t="s">
        <v>105</v>
      </c>
      <c r="B98" s="6" t="str">
        <f ca="1">IFERROR(__xludf.DUMMYFUNCTION("GOOGLETRANSLATE(A98,""bn"",""en"")"),"Comment your favorite emoji")</f>
        <v>Comment your favorite emoji</v>
      </c>
      <c r="C98" s="8" t="s">
        <v>13</v>
      </c>
      <c r="D98" s="8" t="s">
        <v>14</v>
      </c>
      <c r="E98" s="8">
        <v>1</v>
      </c>
    </row>
    <row r="99" spans="1:5" ht="15.75" customHeight="1" x14ac:dyDescent="0.25">
      <c r="A99" s="6" t="s">
        <v>106</v>
      </c>
      <c r="B99" s="6" t="str">
        <f ca="1">IFERROR(__xludf.DUMMYFUNCTION("GOOGLETRANSLATE(A99,""bn"",""en"")"),"I asked Raju to play")</f>
        <v>I asked Raju to play</v>
      </c>
      <c r="C99" s="8" t="s">
        <v>13</v>
      </c>
      <c r="D99" s="8" t="s">
        <v>14</v>
      </c>
      <c r="E99" s="8">
        <v>1</v>
      </c>
    </row>
    <row r="100" spans="1:5" ht="15.75" customHeight="1" x14ac:dyDescent="0.25">
      <c r="A100" s="6" t="s">
        <v>107</v>
      </c>
      <c r="B100" s="6" t="str">
        <f ca="1">IFERROR(__xludf.DUMMYFUNCTION("GOOGLETRANSLATE(A100,""bn"",""en"")"),"Its story revolves around a murderer suffering from mental disorder")</f>
        <v>Its story revolves around a murderer suffering from mental disorder</v>
      </c>
      <c r="C100" s="8" t="s">
        <v>13</v>
      </c>
      <c r="D100" s="8" t="s">
        <v>14</v>
      </c>
      <c r="E100" s="8">
        <v>1</v>
      </c>
    </row>
    <row r="101" spans="1:5" ht="15.75" customHeight="1" x14ac:dyDescent="0.25">
      <c r="A101" s="6" t="s">
        <v>108</v>
      </c>
      <c r="B101" s="6" t="str">
        <f ca="1">IFERROR(__xludf.DUMMYFUNCTION("GOOGLETRANSLATE(A101,""bn"",""en"")"),"Share your favorite songs")</f>
        <v>Share your favorite songs</v>
      </c>
      <c r="C101" s="8" t="s">
        <v>13</v>
      </c>
      <c r="D101" s="8" t="s">
        <v>14</v>
      </c>
      <c r="E101" s="8">
        <v>1</v>
      </c>
    </row>
    <row r="102" spans="1:5" ht="15.75" customHeight="1" x14ac:dyDescent="0.25">
      <c r="A102" s="6" t="s">
        <v>109</v>
      </c>
      <c r="B102" s="6" t="str">
        <f ca="1">IFERROR(__xludf.DUMMYFUNCTION("GOOGLETRANSLATE(A102,""bn"",""en"")"),"Then I slowly lowered the gun and started looking at the bird")</f>
        <v>Then I slowly lowered the gun and started looking at the bird</v>
      </c>
      <c r="C102" s="7" t="s">
        <v>6</v>
      </c>
      <c r="D102" s="7" t="s">
        <v>7</v>
      </c>
      <c r="E102" s="7">
        <v>0</v>
      </c>
    </row>
    <row r="103" spans="1:5" ht="15.75" customHeight="1" x14ac:dyDescent="0.25">
      <c r="A103" s="6" t="s">
        <v>110</v>
      </c>
      <c r="B103" s="6" t="str">
        <f ca="1">IFERROR(__xludf.DUMMYFUNCTION("GOOGLETRANSLATE(A103,""bn"",""en"")"),"He asked me to solve a question")</f>
        <v>He asked me to solve a question</v>
      </c>
      <c r="C103" s="7" t="s">
        <v>6</v>
      </c>
      <c r="D103" s="7" t="s">
        <v>7</v>
      </c>
      <c r="E103" s="7">
        <v>0</v>
      </c>
    </row>
    <row r="104" spans="1:5" ht="15.75" customHeight="1" x14ac:dyDescent="0.25">
      <c r="A104" s="6" t="s">
        <v>111</v>
      </c>
      <c r="B104" s="6" t="str">
        <f ca="1">IFERROR(__xludf.DUMMYFUNCTION("GOOGLETRANSLATE(A104,""bn"",""en"")"),"Behind me the screams echoed in wonder")</f>
        <v>Behind me the screams echoed in wonder</v>
      </c>
      <c r="C104" s="7" t="s">
        <v>6</v>
      </c>
      <c r="D104" s="7" t="s">
        <v>7</v>
      </c>
      <c r="E104" s="7">
        <v>0</v>
      </c>
    </row>
    <row r="105" spans="1:5" ht="15.75" customHeight="1" x14ac:dyDescent="0.25">
      <c r="A105" s="6" t="s">
        <v>112</v>
      </c>
      <c r="B105" s="6" t="str">
        <f ca="1">IFERROR(__xludf.DUMMYFUNCTION("GOOGLETRANSLATE(A105,""bn"",""en"")"),"Why would you go along and increase that danger?")</f>
        <v>Why would you go along and increase that danger?</v>
      </c>
      <c r="C105" s="7" t="s">
        <v>6</v>
      </c>
      <c r="D105" s="7" t="s">
        <v>7</v>
      </c>
      <c r="E105" s="7">
        <v>0</v>
      </c>
    </row>
    <row r="106" spans="1:5" ht="15.75" customHeight="1" x14ac:dyDescent="0.25">
      <c r="A106" s="6" t="s">
        <v>113</v>
      </c>
      <c r="B106" s="6" t="str">
        <f ca="1">IFERROR(__xludf.DUMMYFUNCTION("GOOGLETRANSLATE(A106,""bn"",""en"")"),"Some have written verses in Sadhu language and sent them")</f>
        <v>Some have written verses in Sadhu language and sent them</v>
      </c>
      <c r="C106" s="7" t="s">
        <v>6</v>
      </c>
      <c r="D106" s="7" t="s">
        <v>7</v>
      </c>
      <c r="E106" s="7">
        <v>0</v>
      </c>
    </row>
    <row r="107" spans="1:5" ht="15.75" customHeight="1" x14ac:dyDescent="0.25">
      <c r="A107" s="6" t="s">
        <v>114</v>
      </c>
      <c r="B107" s="6" t="str">
        <f ca="1">IFERROR(__xludf.DUMMYFUNCTION("GOOGLETRANSLATE(A107,""bn"",""en"")"),"Better treatment is possible in the country only if the doctors fulfill their duties well")</f>
        <v>Better treatment is possible in the country only if the doctors fulfill their duties well</v>
      </c>
      <c r="C107" s="8" t="s">
        <v>13</v>
      </c>
      <c r="D107" s="8" t="s">
        <v>14</v>
      </c>
      <c r="E107" s="8">
        <v>1</v>
      </c>
    </row>
    <row r="108" spans="1:5" ht="15.75" customHeight="1" x14ac:dyDescent="0.25">
      <c r="A108" s="6" t="s">
        <v>115</v>
      </c>
      <c r="B108" s="6" t="str">
        <f ca="1">IFERROR(__xludf.DUMMYFUNCTION("GOOGLETRANSLATE(A108,""bn"",""en"")"),"Topar is used very carefully")</f>
        <v>Topar is used very carefully</v>
      </c>
      <c r="C108" s="8" t="s">
        <v>13</v>
      </c>
      <c r="D108" s="8" t="s">
        <v>14</v>
      </c>
      <c r="E108" s="8">
        <v>1</v>
      </c>
    </row>
    <row r="109" spans="1:5" ht="15.75" customHeight="1" x14ac:dyDescent="0.25">
      <c r="A109" s="6" t="s">
        <v>116</v>
      </c>
      <c r="B109" s="6" t="str">
        <f ca="1">IFERROR(__xludf.DUMMYFUNCTION("GOOGLETRANSLATE(A109,""bn"",""en"")"),"India was attracted to the pilgrimage after having a dream in the year Tirtha Yatra")</f>
        <v>India was attracted to the pilgrimage after having a dream in the year Tirtha Yatra</v>
      </c>
      <c r="C109" s="8" t="s">
        <v>13</v>
      </c>
      <c r="D109" s="8" t="s">
        <v>14</v>
      </c>
      <c r="E109" s="8">
        <v>1</v>
      </c>
    </row>
    <row r="110" spans="1:5" ht="15.75" customHeight="1" x14ac:dyDescent="0.25">
      <c r="A110" s="6" t="s">
        <v>117</v>
      </c>
      <c r="B110" s="6" t="str">
        <f ca="1">IFERROR(__xludf.DUMMYFUNCTION("GOOGLETRANSLATE(A110,""bn"",""en"")"),"I would like to accept this offer")</f>
        <v>I would like to accept this offer</v>
      </c>
      <c r="C110" s="8" t="s">
        <v>13</v>
      </c>
      <c r="D110" s="8" t="s">
        <v>14</v>
      </c>
      <c r="E110" s="8">
        <v>1</v>
      </c>
    </row>
    <row r="111" spans="1:5" ht="15.75" customHeight="1" x14ac:dyDescent="0.25">
      <c r="A111" s="6" t="s">
        <v>118</v>
      </c>
      <c r="B111" s="6" t="str">
        <f ca="1">IFERROR(__xludf.DUMMYFUNCTION("GOOGLETRANSLATE(A111,""bn"",""en"")"),"Accidents often happen when the bullet hits the eye")</f>
        <v>Accidents often happen when the bullet hits the eye</v>
      </c>
      <c r="C111" s="8" t="s">
        <v>13</v>
      </c>
      <c r="D111" s="8" t="s">
        <v>14</v>
      </c>
      <c r="E111" s="8">
        <v>1</v>
      </c>
    </row>
    <row r="112" spans="1:5" ht="15.75" customHeight="1" x14ac:dyDescent="0.25">
      <c r="A112" s="6" t="s">
        <v>119</v>
      </c>
      <c r="B112" s="6" t="str">
        <f ca="1">IFERROR(__xludf.DUMMYFUNCTION("GOOGLETRANSLATE(A112,""bn"",""en"")"),"Having said that, I have never been afraid of tigers")</f>
        <v>Having said that, I have never been afraid of tigers</v>
      </c>
      <c r="C112" s="7" t="s">
        <v>6</v>
      </c>
      <c r="D112" s="7" t="s">
        <v>7</v>
      </c>
      <c r="E112" s="7">
        <v>0</v>
      </c>
    </row>
    <row r="113" spans="1:5" ht="15.75" customHeight="1" x14ac:dyDescent="0.25">
      <c r="A113" s="6" t="s">
        <v>120</v>
      </c>
      <c r="B113" s="6" t="str">
        <f ca="1">IFERROR(__xludf.DUMMYFUNCTION("GOOGLETRANSLATE(A113,""bn"",""en"")"),"He approached and slowly asked if Babu was going home")</f>
        <v>He approached and slowly asked if Babu was going home</v>
      </c>
      <c r="C113" s="7" t="s">
        <v>6</v>
      </c>
      <c r="D113" s="7" t="s">
        <v>7</v>
      </c>
      <c r="E113" s="7">
        <v>0</v>
      </c>
    </row>
    <row r="114" spans="1:5" ht="15.75" customHeight="1" x14ac:dyDescent="0.25">
      <c r="A114" s="6" t="s">
        <v>121</v>
      </c>
      <c r="B114" s="6" t="str">
        <f ca="1">IFERROR(__xludf.DUMMYFUNCTION("GOOGLETRANSLATE(A114,""bn"",""en"")"),"He wanted to go for a walk in the sea")</f>
        <v>He wanted to go for a walk in the sea</v>
      </c>
      <c r="C114" s="7" t="s">
        <v>6</v>
      </c>
      <c r="D114" s="7" t="s">
        <v>7</v>
      </c>
      <c r="E114" s="7">
        <v>0</v>
      </c>
    </row>
    <row r="115" spans="1:5" ht="15.75" customHeight="1" x14ac:dyDescent="0.25">
      <c r="A115" s="6" t="s">
        <v>122</v>
      </c>
      <c r="B115" s="6" t="str">
        <f ca="1">IFERROR(__xludf.DUMMYFUNCTION("GOOGLETRANSLATE(A115,""bn"",""en"")"),"The light of Damini's insufferable radiance was gone, and the heat was gone")</f>
        <v>The light of Damini's insufferable radiance was gone, and the heat was gone</v>
      </c>
      <c r="C115" s="7" t="s">
        <v>6</v>
      </c>
      <c r="D115" s="7" t="s">
        <v>7</v>
      </c>
      <c r="E115" s="7">
        <v>0</v>
      </c>
    </row>
    <row r="116" spans="1:5" ht="15.75" customHeight="1" x14ac:dyDescent="0.25">
      <c r="A116" s="6" t="s">
        <v>123</v>
      </c>
      <c r="B116" s="6" t="str">
        <f ca="1">IFERROR(__xludf.DUMMYFUNCTION("GOOGLETRANSLATE(A116,""bn"",""en"")"),"I used to think that Palamau was a place of great happiness in the mighty city")</f>
        <v>I used to think that Palamau was a place of great happiness in the mighty city</v>
      </c>
      <c r="C116" s="7" t="s">
        <v>6</v>
      </c>
      <c r="D116" s="7" t="s">
        <v>7</v>
      </c>
      <c r="E116" s="7">
        <v>0</v>
      </c>
    </row>
    <row r="117" spans="1:5" ht="15.75" customHeight="1" x14ac:dyDescent="0.25">
      <c r="A117" s="6" t="s">
        <v>124</v>
      </c>
      <c r="B117" s="6" t="str">
        <f ca="1">IFERROR(__xludf.DUMMYFUNCTION("GOOGLETRANSLATE(A117,""bn"",""en"")"),"Project based learning promotes hands-on learning experiences")</f>
        <v>Project based learning promotes hands-on learning experiences</v>
      </c>
      <c r="C117" s="8" t="s">
        <v>13</v>
      </c>
      <c r="D117" s="8" t="s">
        <v>14</v>
      </c>
      <c r="E117" s="8">
        <v>1</v>
      </c>
    </row>
    <row r="118" spans="1:5" ht="15.75" customHeight="1" x14ac:dyDescent="0.25">
      <c r="A118" s="6" t="s">
        <v>125</v>
      </c>
      <c r="B118" s="6" t="str">
        <f ca="1">IFERROR(__xludf.DUMMYFUNCTION("GOOGLETRANSLATE(A118,""bn"",""en"")"),"During his stay in India, he wrote creative literature with utmost devotion")</f>
        <v>During his stay in India, he wrote creative literature with utmost devotion</v>
      </c>
      <c r="C118" s="8" t="s">
        <v>13</v>
      </c>
      <c r="D118" s="8" t="s">
        <v>14</v>
      </c>
      <c r="E118" s="8">
        <v>1</v>
      </c>
    </row>
    <row r="119" spans="1:5" ht="15.75" customHeight="1" x14ac:dyDescent="0.25">
      <c r="A119" s="6" t="s">
        <v>126</v>
      </c>
      <c r="B119" s="6" t="str">
        <f ca="1">IFERROR(__xludf.DUMMYFUNCTION("GOOGLETRANSLATE(A119,""bn"",""en"")"),"Advances in agricultural machinery increase efficiency in planting, harvesting, or processing crops")</f>
        <v>Advances in agricultural machinery increase efficiency in planting, harvesting, or processing crops</v>
      </c>
      <c r="C119" s="8" t="s">
        <v>13</v>
      </c>
      <c r="D119" s="8" t="s">
        <v>14</v>
      </c>
      <c r="E119" s="8">
        <v>1</v>
      </c>
    </row>
    <row r="120" spans="1:5" ht="15.75" customHeight="1" x14ac:dyDescent="0.25">
      <c r="A120" s="6" t="s">
        <v>127</v>
      </c>
      <c r="B120" s="6" t="str">
        <f ca="1">IFERROR(__xludf.DUMMYFUNCTION("GOOGLETRANSLATE(A120,""bn"",""en"")"),"Then it increased slightly")</f>
        <v>Then it increased slightly</v>
      </c>
      <c r="C120" s="8" t="s">
        <v>13</v>
      </c>
      <c r="D120" s="8" t="s">
        <v>14</v>
      </c>
      <c r="E120" s="8">
        <v>1</v>
      </c>
    </row>
    <row r="121" spans="1:5" ht="15.75" customHeight="1" x14ac:dyDescent="0.25">
      <c r="A121" s="6" t="s">
        <v>128</v>
      </c>
      <c r="B121" s="6" t="str">
        <f ca="1">IFERROR(__xludf.DUMMYFUNCTION("GOOGLETRANSLATE(A121,""bn"",""en"")"),"It is Lawrence's third novel considered his masterpiece")</f>
        <v>It is Lawrence's third novel considered his masterpiece</v>
      </c>
      <c r="C121" s="8" t="s">
        <v>13</v>
      </c>
      <c r="D121" s="8" t="s">
        <v>14</v>
      </c>
      <c r="E121" s="8">
        <v>1</v>
      </c>
    </row>
    <row r="122" spans="1:5" ht="15.75" customHeight="1" x14ac:dyDescent="0.25">
      <c r="A122" s="6" t="s">
        <v>129</v>
      </c>
      <c r="B122" s="6" t="str">
        <f ca="1">IFERROR(__xludf.DUMMYFUNCTION("GOOGLETRANSLATE(A122,""bn"",""en"")"),"Chandi's mother sometimes comes here in the afternoon to collect wood")</f>
        <v>Chandi's mother sometimes comes here in the afternoon to collect wood</v>
      </c>
      <c r="C122" s="7" t="s">
        <v>6</v>
      </c>
      <c r="D122" s="7" t="s">
        <v>7</v>
      </c>
      <c r="E122" s="7">
        <v>0</v>
      </c>
    </row>
    <row r="123" spans="1:5" ht="15.75" customHeight="1" x14ac:dyDescent="0.25">
      <c r="A123" s="6" t="s">
        <v>130</v>
      </c>
      <c r="B123" s="6" t="str">
        <f ca="1">IFERROR(__xludf.DUMMYFUNCTION("GOOGLETRANSLATE(A123,""bn"",""en"")"),"Today morning Rana will go for a ride in the car")</f>
        <v>Today morning Rana will go for a ride in the car</v>
      </c>
      <c r="C123" s="7" t="s">
        <v>6</v>
      </c>
      <c r="D123" s="7" t="s">
        <v>7</v>
      </c>
      <c r="E123" s="7">
        <v>0</v>
      </c>
    </row>
    <row r="124" spans="1:5" ht="15.75" customHeight="1" x14ac:dyDescent="0.25">
      <c r="A124" s="6" t="s">
        <v>131</v>
      </c>
      <c r="B124" s="6" t="str">
        <f ca="1">IFERROR(__xludf.DUMMYFUNCTION("GOOGLETRANSLATE(A124,""bn"",""en"")"),"It always disturbed their comfort")</f>
        <v>It always disturbed their comfort</v>
      </c>
      <c r="C124" s="7" t="s">
        <v>6</v>
      </c>
      <c r="D124" s="7" t="s">
        <v>7</v>
      </c>
      <c r="E124" s="7">
        <v>0</v>
      </c>
    </row>
    <row r="125" spans="1:5" ht="15.75" customHeight="1" x14ac:dyDescent="0.25">
      <c r="A125" s="6" t="s">
        <v>132</v>
      </c>
      <c r="B125" s="6" t="str">
        <f ca="1">IFERROR(__xludf.DUMMYFUNCTION("GOOGLETRANSLATE(A125,""bn"",""en"")"),"I saw in this young woman exactly what I saw in that bird")</f>
        <v>I saw in this young woman exactly what I saw in that bird</v>
      </c>
      <c r="C125" s="7" t="s">
        <v>6</v>
      </c>
      <c r="D125" s="7" t="s">
        <v>7</v>
      </c>
      <c r="E125" s="7">
        <v>0</v>
      </c>
    </row>
    <row r="126" spans="1:5" ht="15.75" customHeight="1" x14ac:dyDescent="0.25">
      <c r="A126" s="6" t="s">
        <v>133</v>
      </c>
      <c r="B126" s="6" t="str">
        <f ca="1">IFERROR(__xludf.DUMMYFUNCTION("GOOGLETRANSLATE(A126,""bn"",""en"")"),"Rana came to me and said")</f>
        <v>Rana came to me and said</v>
      </c>
      <c r="C126" s="7" t="s">
        <v>6</v>
      </c>
      <c r="D126" s="7" t="s">
        <v>7</v>
      </c>
      <c r="E126" s="7">
        <v>0</v>
      </c>
    </row>
    <row r="127" spans="1:5" ht="15.75" customHeight="1" x14ac:dyDescent="0.25">
      <c r="A127" s="6" t="s">
        <v>134</v>
      </c>
      <c r="B127" s="6" t="str">
        <f ca="1">IFERROR(__xludf.DUMMYFUNCTION("GOOGLETRANSLATE(A127,""bn"",""en"")"),"Suman's father went to work in the field")</f>
        <v>Suman's father went to work in the field</v>
      </c>
      <c r="C127" s="8" t="s">
        <v>13</v>
      </c>
      <c r="D127" s="8" t="s">
        <v>14</v>
      </c>
      <c r="E127" s="8">
        <v>1</v>
      </c>
    </row>
    <row r="128" spans="1:5" ht="15.75" customHeight="1" x14ac:dyDescent="0.25">
      <c r="A128" s="6" t="s">
        <v>135</v>
      </c>
      <c r="B128" s="6" t="str">
        <f ca="1">IFERROR(__xludf.DUMMYFUNCTION("GOOGLETRANSLATE(A128,""bn"",""en"")"),"Crime prevention strategies aim to reduce opportunities for illegal activity")</f>
        <v>Crime prevention strategies aim to reduce opportunities for illegal activity</v>
      </c>
      <c r="C128" s="8" t="s">
        <v>13</v>
      </c>
      <c r="D128" s="8" t="s">
        <v>14</v>
      </c>
      <c r="E128" s="8">
        <v>1</v>
      </c>
    </row>
    <row r="129" spans="1:5" ht="15.75" customHeight="1" x14ac:dyDescent="0.25">
      <c r="A129" s="6" t="s">
        <v>136</v>
      </c>
      <c r="B129" s="6" t="str">
        <f ca="1">IFERROR(__xludf.DUMMYFUNCTION("GOOGLETRANSLATE(A129,""bn"",""en"")"),"Laila also feels deep attraction towards Majnu")</f>
        <v>Laila also feels deep attraction towards Majnu</v>
      </c>
      <c r="C129" s="8" t="s">
        <v>13</v>
      </c>
      <c r="D129" s="8" t="s">
        <v>14</v>
      </c>
      <c r="E129" s="8">
        <v>1</v>
      </c>
    </row>
    <row r="130" spans="1:5" ht="15.75" customHeight="1" x14ac:dyDescent="0.25">
      <c r="A130" s="6" t="s">
        <v>137</v>
      </c>
      <c r="B130" s="6" t="str">
        <f ca="1">IFERROR(__xludf.DUMMYFUNCTION("GOOGLETRANSLATE(A130,""bn"",""en"")"),"It's a long story")</f>
        <v>It's a long story</v>
      </c>
      <c r="C130" s="8" t="s">
        <v>13</v>
      </c>
      <c r="D130" s="8" t="s">
        <v>14</v>
      </c>
      <c r="E130" s="8">
        <v>1</v>
      </c>
    </row>
    <row r="131" spans="1:5" ht="15.75" customHeight="1" x14ac:dyDescent="0.25">
      <c r="A131" s="6" t="s">
        <v>138</v>
      </c>
      <c r="B131" s="6" t="str">
        <f ca="1">IFERROR(__xludf.DUMMYFUNCTION("GOOGLETRANSLATE(A131,""bn"",""en"")"),"Trust your instincts and listen to reason")</f>
        <v>Trust your instincts and listen to reason</v>
      </c>
      <c r="C131" s="8" t="s">
        <v>13</v>
      </c>
      <c r="D131" s="8" t="s">
        <v>14</v>
      </c>
      <c r="E131" s="8">
        <v>1</v>
      </c>
    </row>
    <row r="132" spans="1:5" ht="15.75" customHeight="1" x14ac:dyDescent="0.25">
      <c r="A132" s="6" t="s">
        <v>139</v>
      </c>
      <c r="B132" s="6" t="str">
        <f ca="1">IFERROR(__xludf.DUMMYFUNCTION("GOOGLETRANSLATE(A132,""bn"",""en"")"),"On one side of the courtyard, the tiger has its eyes closed like an innocent good man")</f>
        <v>On one side of the courtyard, the tiger has its eyes closed like an innocent good man</v>
      </c>
      <c r="C132" s="7" t="s">
        <v>6</v>
      </c>
      <c r="D132" s="7" t="s">
        <v>7</v>
      </c>
      <c r="E132" s="7">
        <v>0</v>
      </c>
    </row>
    <row r="133" spans="1:5" ht="15.75" customHeight="1" x14ac:dyDescent="0.25">
      <c r="A133" s="6" t="s">
        <v>140</v>
      </c>
      <c r="B133" s="6" t="str">
        <f ca="1">IFERROR(__xludf.DUMMYFUNCTION("GOOGLETRANSLATE(A133,""bn"",""en"")"),"I could not see anything like the shal tal tamal hintal that I had heard in the forest description")</f>
        <v>I could not see anything like the shal tal tamal hintal that I had heard in the forest description</v>
      </c>
      <c r="C133" s="7" t="s">
        <v>6</v>
      </c>
      <c r="D133" s="7" t="s">
        <v>7</v>
      </c>
      <c r="E133" s="7">
        <v>0</v>
      </c>
    </row>
    <row r="134" spans="1:5" ht="15.75" customHeight="1" x14ac:dyDescent="0.25">
      <c r="A134" s="6" t="s">
        <v>141</v>
      </c>
      <c r="B134" s="6" t="str">
        <f ca="1">IFERROR(__xludf.DUMMYFUNCTION("GOOGLETRANSLATE(A134,""bn"",""en"")"),"Close your eyes and see the glow of light on Sarsi's body in the east of the room")</f>
        <v>Close your eyes and see the glow of light on Sarsi's body in the east of the room</v>
      </c>
      <c r="C134" s="7" t="s">
        <v>6</v>
      </c>
      <c r="D134" s="7" t="s">
        <v>7</v>
      </c>
      <c r="E134" s="7">
        <v>0</v>
      </c>
    </row>
    <row r="135" spans="1:5" ht="15.75" customHeight="1" x14ac:dyDescent="0.25">
      <c r="A135" s="6" t="s">
        <v>142</v>
      </c>
      <c r="B135" s="6" t="str">
        <f ca="1">IFERROR(__xludf.DUMMYFUNCTION("GOOGLETRANSLATE(A135,""bn"",""en"")"),"Sumi will go to school with her father")</f>
        <v>Sumi will go to school with her father</v>
      </c>
      <c r="C135" s="7" t="s">
        <v>6</v>
      </c>
      <c r="D135" s="7" t="s">
        <v>7</v>
      </c>
      <c r="E135" s="7">
        <v>0</v>
      </c>
    </row>
    <row r="136" spans="1:5" ht="15.75" customHeight="1" x14ac:dyDescent="0.25">
      <c r="A136" s="6" t="s">
        <v>143</v>
      </c>
      <c r="B136" s="6" t="str">
        <f ca="1">IFERROR(__xludf.DUMMYFUNCTION("GOOGLETRANSLATE(A136,""bn"",""en"")"),"Your Mahinda does not engage in business – he is content with what he has")</f>
        <v>Your Mahinda does not engage in business – he is content with what he has</v>
      </c>
      <c r="C136" s="7" t="s">
        <v>6</v>
      </c>
      <c r="D136" s="7" t="s">
        <v>7</v>
      </c>
      <c r="E136" s="7">
        <v>0</v>
      </c>
    </row>
    <row r="137" spans="1:5" ht="15.75" customHeight="1" x14ac:dyDescent="0.25">
      <c r="A137" s="6" t="s">
        <v>144</v>
      </c>
      <c r="B137" s="6" t="str">
        <f ca="1">IFERROR(__xludf.DUMMYFUNCTION("GOOGLETRANSLATE(A137,""bn"",""en"")"),"Today we had exam in school")</f>
        <v>Today we had exam in school</v>
      </c>
      <c r="C137" s="8" t="s">
        <v>13</v>
      </c>
      <c r="D137" s="8" t="s">
        <v>14</v>
      </c>
      <c r="E137" s="8">
        <v>1</v>
      </c>
    </row>
    <row r="138" spans="1:5" ht="15.75" customHeight="1" x14ac:dyDescent="0.25">
      <c r="A138" s="6" t="s">
        <v>145</v>
      </c>
      <c r="B138" s="6" t="str">
        <f ca="1">IFERROR(__xludf.DUMMYFUNCTION("GOOGLETRANSLATE(A138,""bn"",""en"")"),"Achilles was killed by a poisoned arrow in the ankle")</f>
        <v>Achilles was killed by a poisoned arrow in the ankle</v>
      </c>
      <c r="C138" s="8" t="s">
        <v>13</v>
      </c>
      <c r="D138" s="8" t="s">
        <v>14</v>
      </c>
      <c r="E138" s="8">
        <v>1</v>
      </c>
    </row>
    <row r="139" spans="1:5" ht="15.75" customHeight="1" x14ac:dyDescent="0.25">
      <c r="A139" s="6" t="s">
        <v>146</v>
      </c>
      <c r="B139" s="6" t="str">
        <f ca="1">IFERROR(__xludf.DUMMYFUNCTION("GOOGLETRANSLATE(A139,""bn"",""en"")"),"Pancreatitis can be acute or chronic involving inflammation of the pancreas resulting in severe abdominal pain and digestive problems")</f>
        <v>Pancreatitis can be acute or chronic involving inflammation of the pancreas resulting in severe abdominal pain and digestive problems</v>
      </c>
      <c r="C139" s="8" t="s">
        <v>13</v>
      </c>
      <c r="D139" s="8" t="s">
        <v>14</v>
      </c>
      <c r="E139" s="8">
        <v>1</v>
      </c>
    </row>
    <row r="140" spans="1:5" ht="15.75" customHeight="1" x14ac:dyDescent="0.25">
      <c r="A140" s="6" t="s">
        <v>147</v>
      </c>
      <c r="B140" s="6" t="str">
        <f ca="1">IFERROR(__xludf.DUMMYFUNCTION("GOOGLETRANSLATE(A140,""bn"",""en"")"),"He was captured and killed by Pak invaders during the liberation war")</f>
        <v>He was captured and killed by Pak invaders during the liberation war</v>
      </c>
      <c r="C140" s="8" t="s">
        <v>13</v>
      </c>
      <c r="D140" s="8" t="s">
        <v>14</v>
      </c>
      <c r="E140" s="8">
        <v>1</v>
      </c>
    </row>
    <row r="141" spans="1:5" ht="15.75" customHeight="1" x14ac:dyDescent="0.25">
      <c r="A141" s="6" t="s">
        <v>148</v>
      </c>
      <c r="B141" s="6" t="str">
        <f ca="1">IFERROR(__xludf.DUMMYFUNCTION("GOOGLETRANSLATE(A141,""bn"",""en"")"),"Chandimangal Devi Chandi's Mahima Geet")</f>
        <v>Chandimangal Devi Chandi's Mahima Geet</v>
      </c>
      <c r="C141" s="8" t="s">
        <v>13</v>
      </c>
      <c r="D141" s="8" t="s">
        <v>14</v>
      </c>
      <c r="E141" s="8">
        <v>1</v>
      </c>
    </row>
    <row r="142" spans="1:5" ht="15.75" customHeight="1" x14ac:dyDescent="0.25">
      <c r="A142" s="6" t="s">
        <v>149</v>
      </c>
      <c r="B142" s="6" t="str">
        <f ca="1">IFERROR(__xludf.DUMMYFUNCTION("GOOGLETRANSLATE(A142,""bn"",""en"")"),"The people of the country welcomed them with joyous festivities")</f>
        <v>The people of the country welcomed them with joyous festivities</v>
      </c>
      <c r="C142" s="7" t="s">
        <v>6</v>
      </c>
      <c r="D142" s="7" t="s">
        <v>7</v>
      </c>
      <c r="E142" s="7">
        <v>0</v>
      </c>
    </row>
    <row r="143" spans="1:5" ht="15.75" customHeight="1" x14ac:dyDescent="0.25">
      <c r="A143" s="6" t="s">
        <v>150</v>
      </c>
      <c r="B143" s="6" t="str">
        <f ca="1">IFERROR(__xludf.DUMMYFUNCTION("GOOGLETRANSLATE(A143,""bn"",""en"")"),"He did well in the exam.")</f>
        <v>He did well in the exam.</v>
      </c>
      <c r="C143" s="7" t="s">
        <v>6</v>
      </c>
      <c r="D143" s="7" t="s">
        <v>7</v>
      </c>
      <c r="E143" s="7">
        <v>0</v>
      </c>
    </row>
    <row r="144" spans="1:5" ht="15.75" customHeight="1" x14ac:dyDescent="0.25">
      <c r="A144" s="6" t="s">
        <v>151</v>
      </c>
      <c r="B144" s="6" t="str">
        <f ca="1">IFERROR(__xludf.DUMMYFUNCTION("GOOGLETRANSLATE(A144,""bn"",""en"")"),"His college professor used to call him Rajatgiri")</f>
        <v>His college professor used to call him Rajatgiri</v>
      </c>
      <c r="C144" s="7" t="s">
        <v>6</v>
      </c>
      <c r="D144" s="7" t="s">
        <v>7</v>
      </c>
      <c r="E144" s="7">
        <v>0</v>
      </c>
    </row>
    <row r="145" spans="1:5" ht="15.75" customHeight="1" x14ac:dyDescent="0.25">
      <c r="A145" s="6" t="s">
        <v>152</v>
      </c>
      <c r="B145" s="6" t="str">
        <f ca="1">IFERROR(__xludf.DUMMYFUNCTION("GOOGLETRANSLATE(A145,""bn"",""en"")"),"Everyone feels that this time the yoke of the world will be taken off his shoulders")</f>
        <v>Everyone feels that this time the yoke of the world will be taken off his shoulders</v>
      </c>
      <c r="C145" s="7" t="s">
        <v>6</v>
      </c>
      <c r="D145" s="7" t="s">
        <v>7</v>
      </c>
      <c r="E145" s="7">
        <v>0</v>
      </c>
    </row>
    <row r="146" spans="1:5" ht="15.75" customHeight="1" x14ac:dyDescent="0.25">
      <c r="A146" s="6" t="s">
        <v>153</v>
      </c>
      <c r="B146" s="6" t="str">
        <f ca="1">IFERROR(__xludf.DUMMYFUNCTION("GOOGLETRANSLATE(A146,""bn"",""en"")"),"No one listened to his story")</f>
        <v>No one listened to his story</v>
      </c>
      <c r="C146" s="7" t="s">
        <v>6</v>
      </c>
      <c r="D146" s="7" t="s">
        <v>7</v>
      </c>
      <c r="E146" s="7">
        <v>0</v>
      </c>
    </row>
    <row r="147" spans="1:5" ht="15.75" customHeight="1" x14ac:dyDescent="0.25">
      <c r="A147" s="6" t="s">
        <v>154</v>
      </c>
      <c r="B147" s="6" t="str">
        <f ca="1">IFERROR(__xludf.DUMMYFUNCTION("GOOGLETRANSLATE(A147,""bn"",""en"")"),"He requested me to sit for a while")</f>
        <v>He requested me to sit for a while</v>
      </c>
      <c r="C147" s="8" t="s">
        <v>13</v>
      </c>
      <c r="D147" s="8" t="s">
        <v>14</v>
      </c>
      <c r="E147" s="8">
        <v>1</v>
      </c>
    </row>
    <row r="148" spans="1:5" ht="15.75" customHeight="1" x14ac:dyDescent="0.25">
      <c r="A148" s="6" t="s">
        <v>155</v>
      </c>
      <c r="B148" s="6" t="str">
        <f ca="1">IFERROR(__xludf.DUMMYFUNCTION("GOOGLETRANSLATE(A148,""bn"",""en"")"),"I was always a really good kid and quite responsible")</f>
        <v>I was always a really good kid and quite responsible</v>
      </c>
      <c r="C148" s="8" t="s">
        <v>13</v>
      </c>
      <c r="D148" s="8" t="s">
        <v>14</v>
      </c>
      <c r="E148" s="8">
        <v>1</v>
      </c>
    </row>
    <row r="149" spans="1:5" ht="15.75" customHeight="1" x14ac:dyDescent="0.25">
      <c r="A149" s="6" t="s">
        <v>156</v>
      </c>
      <c r="B149" s="6" t="str">
        <f ca="1">IFERROR(__xludf.DUMMYFUNCTION("GOOGLETRANSLATE(A149,""bn"",""en"")"),"He doesn't understand")</f>
        <v>He doesn't understand</v>
      </c>
      <c r="C149" s="8" t="s">
        <v>13</v>
      </c>
      <c r="D149" s="8" t="s">
        <v>14</v>
      </c>
      <c r="E149" s="8">
        <v>1</v>
      </c>
    </row>
    <row r="150" spans="1:5" ht="15.75" customHeight="1" x14ac:dyDescent="0.25">
      <c r="A150" s="6" t="s">
        <v>157</v>
      </c>
      <c r="B150" s="6" t="str">
        <f ca="1">IFERROR(__xludf.DUMMYFUNCTION("GOOGLETRANSLATE(A150,""bn"",""en"")"),"I've always been by your side and still am")</f>
        <v>I've always been by your side and still am</v>
      </c>
      <c r="C150" s="8" t="s">
        <v>13</v>
      </c>
      <c r="D150" s="8" t="s">
        <v>14</v>
      </c>
      <c r="E150" s="8">
        <v>1</v>
      </c>
    </row>
    <row r="151" spans="1:5" ht="15.75" customHeight="1" x14ac:dyDescent="0.25">
      <c r="A151" s="6" t="s">
        <v>158</v>
      </c>
      <c r="B151" s="6" t="str">
        <f ca="1">IFERROR(__xludf.DUMMYFUNCTION("GOOGLETRANSLATE(A151,""bn"",""en"")"),"She screamed as soon as she got off her lap")</f>
        <v>She screamed as soon as she got off her lap</v>
      </c>
      <c r="C151" s="8" t="s">
        <v>13</v>
      </c>
      <c r="D151" s="8" t="s">
        <v>14</v>
      </c>
      <c r="E151" s="8">
        <v>1</v>
      </c>
    </row>
    <row r="152" spans="1:5" ht="15.75" customHeight="1" x14ac:dyDescent="0.25">
      <c r="A152" s="6" t="s">
        <v>159</v>
      </c>
      <c r="B152" s="6" t="str">
        <f ca="1">IFERROR(__xludf.DUMMYFUNCTION("GOOGLETRANSLATE(A152,""bn"",""en"")"),"Just like that layer is a sound conductor")</f>
        <v>Just like that layer is a sound conductor</v>
      </c>
      <c r="C152" s="7" t="s">
        <v>6</v>
      </c>
      <c r="D152" s="7" t="s">
        <v>7</v>
      </c>
      <c r="E152" s="7">
        <v>0</v>
      </c>
    </row>
    <row r="153" spans="1:5" ht="15.75" customHeight="1" x14ac:dyDescent="0.25">
      <c r="A153" s="6" t="s">
        <v>160</v>
      </c>
      <c r="B153" s="6" t="str">
        <f ca="1">IFERROR(__xludf.DUMMYFUNCTION("GOOGLETRANSLATE(A153,""bn"",""en"")"),"I could understand that his fever was coming")</f>
        <v>I could understand that his fever was coming</v>
      </c>
      <c r="C153" s="7" t="s">
        <v>6</v>
      </c>
      <c r="D153" s="7" t="s">
        <v>7</v>
      </c>
      <c r="E153" s="7">
        <v>0</v>
      </c>
    </row>
    <row r="154" spans="1:5" ht="15.75" customHeight="1" x14ac:dyDescent="0.25">
      <c r="A154" s="6" t="s">
        <v>161</v>
      </c>
      <c r="B154" s="6" t="str">
        <f ca="1">IFERROR(__xludf.DUMMYFUNCTION("GOOGLETRANSLATE(A154,""bn"",""en"")"),"Everyone felt like Krishna Tagore")</f>
        <v>Everyone felt like Krishna Tagore</v>
      </c>
      <c r="C154" s="7" t="s">
        <v>6</v>
      </c>
      <c r="D154" s="7" t="s">
        <v>7</v>
      </c>
      <c r="E154" s="7">
        <v>0</v>
      </c>
    </row>
    <row r="155" spans="1:5" ht="15.75" customHeight="1" x14ac:dyDescent="0.25">
      <c r="A155" s="6" t="s">
        <v>162</v>
      </c>
      <c r="B155" s="6" t="str">
        <f ca="1">IFERROR(__xludf.DUMMYFUNCTION("GOOGLETRANSLATE(A155,""bn"",""en"")"),"Robin asks Chumki to come home")</f>
        <v>Robin asks Chumki to come home</v>
      </c>
      <c r="C155" s="7" t="s">
        <v>6</v>
      </c>
      <c r="D155" s="7" t="s">
        <v>7</v>
      </c>
      <c r="E155" s="7">
        <v>0</v>
      </c>
    </row>
    <row r="156" spans="1:5" ht="15.75" customHeight="1" x14ac:dyDescent="0.25">
      <c r="A156" s="6" t="s">
        <v>163</v>
      </c>
      <c r="B156" s="6" t="str">
        <f ca="1">IFERROR(__xludf.DUMMYFUNCTION("GOOGLETRANSLATE(A156,""bn"",""en"")"),"As I used to go to this mountain every afternoon, one day I saw a young man going towards the mountain in Virdarpe.")</f>
        <v>As I used to go to this mountain every afternoon, one day I saw a young man going towards the mountain in Virdarpe.</v>
      </c>
      <c r="C156" s="7" t="s">
        <v>6</v>
      </c>
      <c r="D156" s="7" t="s">
        <v>7</v>
      </c>
      <c r="E156" s="7">
        <v>0</v>
      </c>
    </row>
    <row r="157" spans="1:5" ht="15.75" customHeight="1" x14ac:dyDescent="0.25">
      <c r="A157" s="6" t="s">
        <v>164</v>
      </c>
      <c r="B157" s="6" t="str">
        <f ca="1">IFERROR(__xludf.DUMMYFUNCTION("GOOGLETRANSLATE(A157,""bn"",""en"")"),"He won the Nobel Prize in Literature")</f>
        <v>He won the Nobel Prize in Literature</v>
      </c>
      <c r="C157" s="8" t="s">
        <v>13</v>
      </c>
      <c r="D157" s="8" t="s">
        <v>14</v>
      </c>
      <c r="E157" s="8">
        <v>1</v>
      </c>
    </row>
    <row r="158" spans="1:5" ht="15.75" customHeight="1" x14ac:dyDescent="0.25">
      <c r="A158" s="6" t="s">
        <v>165</v>
      </c>
      <c r="B158" s="6" t="str">
        <f ca="1">IFERROR(__xludf.DUMMYFUNCTION("GOOGLETRANSLATE(A158,""bn"",""en"")"),"I was walking along the field")</f>
        <v>I was walking along the field</v>
      </c>
      <c r="C158" s="8" t="s">
        <v>13</v>
      </c>
      <c r="D158" s="8" t="s">
        <v>14</v>
      </c>
      <c r="E158" s="8">
        <v>1</v>
      </c>
    </row>
    <row r="159" spans="1:5" ht="15.75" customHeight="1" x14ac:dyDescent="0.25">
      <c r="A159" s="6" t="s">
        <v>166</v>
      </c>
      <c r="B159" s="6" t="str">
        <f ca="1">IFERROR(__xludf.DUMMYFUNCTION("GOOGLETRANSLATE(A159,""bn"",""en"")"),"Prioritize emotional well-being")</f>
        <v>Prioritize emotional well-being</v>
      </c>
      <c r="C159" s="8" t="s">
        <v>13</v>
      </c>
      <c r="D159" s="8" t="s">
        <v>14</v>
      </c>
      <c r="E159" s="8">
        <v>1</v>
      </c>
    </row>
    <row r="160" spans="1:5" ht="15.75" customHeight="1" x14ac:dyDescent="0.25">
      <c r="A160" s="6" t="s">
        <v>167</v>
      </c>
      <c r="B160" s="6" t="str">
        <f ca="1">IFERROR(__xludf.DUMMYFUNCTION("GOOGLETRANSLATE(A160,""bn"",""en"")"),"Homemade pizza always tastes better")</f>
        <v>Homemade pizza always tastes better</v>
      </c>
      <c r="C160" s="8" t="s">
        <v>13</v>
      </c>
      <c r="D160" s="8" t="s">
        <v>14</v>
      </c>
      <c r="E160" s="8">
        <v>1</v>
      </c>
    </row>
    <row r="161" spans="1:5" ht="15.75" customHeight="1" x14ac:dyDescent="0.25">
      <c r="A161" s="6" t="s">
        <v>168</v>
      </c>
      <c r="B161" s="6" t="str">
        <f ca="1">IFERROR(__xludf.DUMMYFUNCTION("GOOGLETRANSLATE(A161,""bn"",""en"")"),"His eyes are said to be terrible")</f>
        <v>His eyes are said to be terrible</v>
      </c>
      <c r="C161" s="8" t="s">
        <v>13</v>
      </c>
      <c r="D161" s="8" t="s">
        <v>14</v>
      </c>
      <c r="E161" s="8">
        <v>1</v>
      </c>
    </row>
    <row r="162" spans="1:5" ht="15.75" customHeight="1" x14ac:dyDescent="0.25">
      <c r="A162" s="6" t="s">
        <v>169</v>
      </c>
      <c r="B162" s="6" t="str">
        <f ca="1">IFERROR(__xludf.DUMMYFUNCTION("GOOGLETRANSLATE(A162,""bn"",""en"")"),"The sound of that unknown bird started to count in the mind")</f>
        <v>The sound of that unknown bird started to count in the mind</v>
      </c>
      <c r="C162" s="7" t="s">
        <v>6</v>
      </c>
      <c r="D162" s="7" t="s">
        <v>7</v>
      </c>
      <c r="E162" s="7">
        <v>0</v>
      </c>
    </row>
    <row r="163" spans="1:5" ht="15.75" customHeight="1" x14ac:dyDescent="0.25">
      <c r="A163" s="6" t="s">
        <v>170</v>
      </c>
      <c r="B163" s="6" t="str">
        <f ca="1">IFERROR(__xludf.DUMMYFUNCTION("GOOGLETRANSLATE(A163,""bn"",""en"")"),"The stillness of the night did not frighten them.")</f>
        <v>The stillness of the night did not frighten them.</v>
      </c>
      <c r="C163" s="7" t="s">
        <v>6</v>
      </c>
      <c r="D163" s="7" t="s">
        <v>7</v>
      </c>
      <c r="E163" s="7">
        <v>0</v>
      </c>
    </row>
    <row r="164" spans="1:5" ht="15.75" customHeight="1" x14ac:dyDescent="0.25">
      <c r="A164" s="6" t="s">
        <v>171</v>
      </c>
      <c r="B164" s="6" t="str">
        <f ca="1">IFERROR(__xludf.DUMMYFUNCTION("GOOGLETRANSLATE(A164,""bn"",""en"")"),"It seems that marriage will not be as common as before because they have become inebriated")</f>
        <v>It seems that marriage will not be as common as before because they have become inebriated</v>
      </c>
      <c r="C164" s="7" t="s">
        <v>6</v>
      </c>
      <c r="D164" s="7" t="s">
        <v>7</v>
      </c>
      <c r="E164" s="7">
        <v>0</v>
      </c>
    </row>
    <row r="165" spans="1:5" ht="15.75" customHeight="1" x14ac:dyDescent="0.25">
      <c r="A165" s="6" t="s">
        <v>172</v>
      </c>
      <c r="B165" s="6" t="str">
        <f ca="1">IFERROR(__xludf.DUMMYFUNCTION("GOOGLETRANSLATE(A165,""bn"",""en"")"),"I don't blame you so you don't think so")</f>
        <v>I don't blame you so you don't think so</v>
      </c>
      <c r="C165" s="7" t="s">
        <v>6</v>
      </c>
      <c r="D165" s="7" t="s">
        <v>7</v>
      </c>
      <c r="E165" s="7">
        <v>0</v>
      </c>
    </row>
    <row r="166" spans="1:5" ht="15.75" customHeight="1" x14ac:dyDescent="0.25">
      <c r="A166" s="6" t="s">
        <v>173</v>
      </c>
      <c r="B166" s="6" t="str">
        <f ca="1">IFERROR(__xludf.DUMMYFUNCTION("GOOGLETRANSLATE(A166,""bn"",""en"")"),"At school he was such that his cousins ​​were ashamed to admit their relationship with him")</f>
        <v>At school he was such that his cousins ​​were ashamed to admit their relationship with him</v>
      </c>
      <c r="C166" s="7" t="s">
        <v>6</v>
      </c>
      <c r="D166" s="7" t="s">
        <v>7</v>
      </c>
      <c r="E166" s="7">
        <v>0</v>
      </c>
    </row>
    <row r="167" spans="1:5" ht="15.75" customHeight="1" x14ac:dyDescent="0.25">
      <c r="A167" s="6" t="s">
        <v>174</v>
      </c>
      <c r="B167" s="6" t="str">
        <f ca="1">IFERROR(__xludf.DUMMYFUNCTION("GOOGLETRANSLATE(A167,""bn"",""en"")"),"Surprisingly, the Madras Dhanushkari mail never arrived on time")</f>
        <v>Surprisingly, the Madras Dhanushkari mail never arrived on time</v>
      </c>
      <c r="C167" s="8" t="s">
        <v>13</v>
      </c>
      <c r="D167" s="8" t="s">
        <v>14</v>
      </c>
      <c r="E167" s="8">
        <v>1</v>
      </c>
    </row>
    <row r="168" spans="1:5" ht="15.75" customHeight="1" x14ac:dyDescent="0.25">
      <c r="A168" s="6" t="s">
        <v>175</v>
      </c>
      <c r="B168" s="6" t="str">
        <f ca="1">IFERROR(__xludf.DUMMYFUNCTION("GOOGLETRANSLATE(A168,""bn"",""en"")"),"The city is overcrowded")</f>
        <v>The city is overcrowded</v>
      </c>
      <c r="C168" s="8" t="s">
        <v>13</v>
      </c>
      <c r="D168" s="8" t="s">
        <v>14</v>
      </c>
      <c r="E168" s="8">
        <v>1</v>
      </c>
    </row>
    <row r="169" spans="1:5" ht="15.75" customHeight="1" x14ac:dyDescent="0.25">
      <c r="A169" s="6" t="s">
        <v>176</v>
      </c>
      <c r="B169" s="6" t="str">
        <f ca="1">IFERROR(__xludf.DUMMYFUNCTION("GOOGLETRANSLATE(A169,""bn"",""en"")"),"Sumi can do the job")</f>
        <v>Sumi can do the job</v>
      </c>
      <c r="C169" s="8" t="s">
        <v>13</v>
      </c>
      <c r="D169" s="8" t="s">
        <v>14</v>
      </c>
      <c r="E169" s="8">
        <v>1</v>
      </c>
    </row>
    <row r="170" spans="1:5" ht="15.75" customHeight="1" x14ac:dyDescent="0.25">
      <c r="A170" s="6" t="s">
        <v>177</v>
      </c>
      <c r="B170" s="6" t="str">
        <f ca="1">IFERROR(__xludf.DUMMYFUNCTION("GOOGLETRANSLATE(A170,""bn"",""en"")"),"The child was playing with a doll")</f>
        <v>The child was playing with a doll</v>
      </c>
      <c r="C170" s="8" t="s">
        <v>13</v>
      </c>
      <c r="D170" s="8" t="s">
        <v>14</v>
      </c>
      <c r="E170" s="8">
        <v>1</v>
      </c>
    </row>
    <row r="171" spans="1:5" ht="15.75" customHeight="1" x14ac:dyDescent="0.25">
      <c r="A171" s="6" t="s">
        <v>178</v>
      </c>
      <c r="B171" s="6" t="str">
        <f ca="1">IFERROR(__xludf.DUMMYFUNCTION("GOOGLETRANSLATE(A171,""bn"",""en"")"),"The Hajj is a pilgrimage to Mecca that is an obligatory religious duty for Muslims at least once in their lifetime")</f>
        <v>The Hajj is a pilgrimage to Mecca that is an obligatory religious duty for Muslims at least once in their lifetime</v>
      </c>
      <c r="C171" s="8" t="s">
        <v>13</v>
      </c>
      <c r="D171" s="8" t="s">
        <v>14</v>
      </c>
      <c r="E171" s="8">
        <v>1</v>
      </c>
    </row>
    <row r="172" spans="1:5" ht="15.75" customHeight="1" x14ac:dyDescent="0.25">
      <c r="A172" s="6" t="s">
        <v>179</v>
      </c>
      <c r="B172" s="6" t="str">
        <f ca="1">IFERROR(__xludf.DUMMYFUNCTION("GOOGLETRANSLATE(A172,""bn"",""en"")"),"What is the harm in staying a little late?")</f>
        <v>What is the harm in staying a little late?</v>
      </c>
      <c r="C172" s="7" t="s">
        <v>6</v>
      </c>
      <c r="D172" s="7" t="s">
        <v>7</v>
      </c>
      <c r="E172" s="7">
        <v>0</v>
      </c>
    </row>
    <row r="173" spans="1:5" ht="15.75" customHeight="1" x14ac:dyDescent="0.25">
      <c r="A173" s="6" t="s">
        <v>180</v>
      </c>
      <c r="B173" s="6" t="str">
        <f ca="1">IFERROR(__xludf.DUMMYFUNCTION("GOOGLETRANSLATE(A173,""bn"",""en"")"),"This parting turn will have to end one day")</f>
        <v>This parting turn will have to end one day</v>
      </c>
      <c r="C173" s="7" t="s">
        <v>6</v>
      </c>
      <c r="D173" s="7" t="s">
        <v>7</v>
      </c>
      <c r="E173" s="7">
        <v>0</v>
      </c>
    </row>
    <row r="174" spans="1:5" ht="15.75" customHeight="1" x14ac:dyDescent="0.25">
      <c r="A174" s="6" t="s">
        <v>181</v>
      </c>
      <c r="B174" s="6" t="str">
        <f ca="1">IFERROR(__xludf.DUMMYFUNCTION("GOOGLETRANSLATE(A174,""bn"",""en"")"),"Soon Ratan entered to blow on Kalika with two swollen cheeks")</f>
        <v>Soon Ratan entered to blow on Kalika with two swollen cheeks</v>
      </c>
      <c r="C174" s="7" t="s">
        <v>6</v>
      </c>
      <c r="D174" s="7" t="s">
        <v>7</v>
      </c>
      <c r="E174" s="7">
        <v>0</v>
      </c>
    </row>
    <row r="175" spans="1:5" ht="15.75" customHeight="1" x14ac:dyDescent="0.25">
      <c r="A175" s="6" t="s">
        <v>182</v>
      </c>
      <c r="B175" s="6" t="str">
        <f ca="1">IFERROR(__xludf.DUMMYFUNCTION("GOOGLETRANSLATE(A175,""bn"",""en"")"),"Did you go to them?")</f>
        <v>Did you go to them?</v>
      </c>
      <c r="C175" s="7" t="s">
        <v>6</v>
      </c>
      <c r="D175" s="7" t="s">
        <v>7</v>
      </c>
      <c r="E175" s="7">
        <v>0</v>
      </c>
    </row>
    <row r="176" spans="1:5" ht="15.75" customHeight="1" x14ac:dyDescent="0.25">
      <c r="A176" s="6" t="s">
        <v>183</v>
      </c>
      <c r="B176" s="6" t="str">
        <f ca="1">IFERROR(__xludf.DUMMYFUNCTION("GOOGLETRANSLATE(A176,""bn"",""en"")"),"Soon after, Mahendra found a letter in his dormitory in a familiar handwriting")</f>
        <v>Soon after, Mahendra found a letter in his dormitory in a familiar handwriting</v>
      </c>
      <c r="C176" s="7" t="s">
        <v>6</v>
      </c>
      <c r="D176" s="7" t="s">
        <v>7</v>
      </c>
      <c r="E176" s="7">
        <v>0</v>
      </c>
    </row>
    <row r="177" spans="1:5" ht="15.75" customHeight="1" x14ac:dyDescent="0.25">
      <c r="A177" s="6" t="s">
        <v>184</v>
      </c>
      <c r="B177" s="6" t="str">
        <f ca="1">IFERROR(__xludf.DUMMYFUNCTION("GOOGLETRANSLATE(A177,""bn"",""en"")"),"Chordal graphs are a subset of perfect graphs")</f>
        <v>Chordal graphs are a subset of perfect graphs</v>
      </c>
      <c r="C177" s="8" t="s">
        <v>13</v>
      </c>
      <c r="D177" s="8" t="s">
        <v>14</v>
      </c>
      <c r="E177" s="8">
        <v>1</v>
      </c>
    </row>
    <row r="178" spans="1:5" ht="15.75" customHeight="1" x14ac:dyDescent="0.25">
      <c r="A178" s="6" t="s">
        <v>185</v>
      </c>
      <c r="B178" s="6" t="str">
        <f ca="1">IFERROR(__xludf.DUMMYFUNCTION("GOOGLETRANSLATE(A178,""bn"",""en"")"),"He did his job very responsibly")</f>
        <v>He did his job very responsibly</v>
      </c>
      <c r="C178" s="8" t="s">
        <v>13</v>
      </c>
      <c r="D178" s="8" t="s">
        <v>14</v>
      </c>
      <c r="E178" s="8">
        <v>1</v>
      </c>
    </row>
    <row r="179" spans="1:5" ht="15.75" customHeight="1" x14ac:dyDescent="0.25">
      <c r="A179" s="6" t="s">
        <v>186</v>
      </c>
      <c r="B179" s="6" t="str">
        <f ca="1">IFERROR(__xludf.DUMMYFUNCTION("GOOGLETRANSLATE(A179,""bn"",""en"")"),"Practice self-care regularly to rejuvenate, recharge, and recharge your mind, body, and spirit")</f>
        <v>Practice self-care regularly to rejuvenate, recharge, and recharge your mind, body, and spirit</v>
      </c>
      <c r="C179" s="8" t="s">
        <v>13</v>
      </c>
      <c r="D179" s="8" t="s">
        <v>14</v>
      </c>
      <c r="E179" s="8">
        <v>1</v>
      </c>
    </row>
    <row r="180" spans="1:5" ht="15.75" customHeight="1" x14ac:dyDescent="0.25">
      <c r="A180" s="6" t="s">
        <v>187</v>
      </c>
      <c r="B180" s="6" t="str">
        <f ca="1">IFERROR(__xludf.DUMMYFUNCTION("GOOGLETRANSLATE(A180,""bn"",""en"")"),"The love of my parents is unbreakable")</f>
        <v>The love of my parents is unbreakable</v>
      </c>
      <c r="C180" s="8" t="s">
        <v>13</v>
      </c>
      <c r="D180" s="8" t="s">
        <v>14</v>
      </c>
      <c r="E180" s="8">
        <v>1</v>
      </c>
    </row>
    <row r="181" spans="1:5" ht="15.75" customHeight="1" x14ac:dyDescent="0.25">
      <c r="A181" s="6" t="s">
        <v>188</v>
      </c>
      <c r="B181" s="6" t="str">
        <f ca="1">IFERROR(__xludf.DUMMYFUNCTION("GOOGLETRANSLATE(A181,""bn"",""en"")"),"He went on hunger strike in Bilaspur Jail")</f>
        <v>He went on hunger strike in Bilaspur Jail</v>
      </c>
      <c r="C181" s="8" t="s">
        <v>13</v>
      </c>
      <c r="D181" s="8" t="s">
        <v>14</v>
      </c>
      <c r="E181" s="8">
        <v>1</v>
      </c>
    </row>
    <row r="182" spans="1:5" ht="15.75" customHeight="1" x14ac:dyDescent="0.25">
      <c r="A182" s="6" t="s">
        <v>189</v>
      </c>
      <c r="B182" s="6" t="str">
        <f ca="1">IFERROR(__xludf.DUMMYFUNCTION("GOOGLETRANSLATE(A182,""bn"",""en"")"),"That day he did not say a single word that showed any evidence of his intelligence")</f>
        <v>That day he did not say a single word that showed any evidence of his intelligence</v>
      </c>
      <c r="C182" s="7" t="s">
        <v>6</v>
      </c>
      <c r="D182" s="7" t="s">
        <v>7</v>
      </c>
      <c r="E182" s="7">
        <v>0</v>
      </c>
    </row>
    <row r="183" spans="1:5" ht="15.75" customHeight="1" x14ac:dyDescent="0.25">
      <c r="A183" s="6" t="s">
        <v>190</v>
      </c>
      <c r="B183" s="6" t="str">
        <f ca="1">IFERROR(__xludf.DUMMYFUNCTION("GOOGLETRANSLATE(A183,""bn"",""en"")"),"He was even more surprised to hear the voice")</f>
        <v>He was even more surprised to hear the voice</v>
      </c>
      <c r="C183" s="7" t="s">
        <v>6</v>
      </c>
      <c r="D183" s="7" t="s">
        <v>7</v>
      </c>
      <c r="E183" s="7">
        <v>0</v>
      </c>
    </row>
    <row r="184" spans="1:5" ht="15.75" customHeight="1" x14ac:dyDescent="0.25">
      <c r="A184" s="6" t="s">
        <v>191</v>
      </c>
      <c r="B184" s="6" t="str">
        <f ca="1">IFERROR(__xludf.DUMMYFUNCTION("GOOGLETRANSLATE(A184,""bn"",""en"")"),"Biswambharbabu understood his mind and bowed his face to his ear and said in a soft voice, ""Fatik, I have sent you to fetch your mother.""")</f>
        <v>Biswambharbabu understood his mind and bowed his face to his ear and said in a soft voice, "Fatik, I have sent you to fetch your mother."</v>
      </c>
      <c r="C184" s="7" t="s">
        <v>6</v>
      </c>
      <c r="D184" s="7" t="s">
        <v>7</v>
      </c>
      <c r="E184" s="7">
        <v>0</v>
      </c>
    </row>
    <row r="185" spans="1:5" ht="15.75" customHeight="1" x14ac:dyDescent="0.25">
      <c r="A185" s="6" t="s">
        <v>192</v>
      </c>
      <c r="B185" s="6" t="str">
        <f ca="1">IFERROR(__xludf.DUMMYFUNCTION("GOOGLETRANSLATE(A185,""bn"",""en"")"),"Saints' housewives do not use Sadhu language")</f>
        <v>Saints' housewives do not use Sadhu language</v>
      </c>
      <c r="C185" s="7" t="s">
        <v>6</v>
      </c>
      <c r="D185" s="7" t="s">
        <v>7</v>
      </c>
      <c r="E185" s="7">
        <v>0</v>
      </c>
    </row>
    <row r="186" spans="1:5" ht="15.75" customHeight="1" x14ac:dyDescent="0.25">
      <c r="A186" s="6" t="s">
        <v>193</v>
      </c>
      <c r="B186" s="6" t="str">
        <f ca="1">IFERROR(__xludf.DUMMYFUNCTION("GOOGLETRANSLATE(A186,""bn"",""en"")"),"Now I admire the horse")</f>
        <v>Now I admire the horse</v>
      </c>
      <c r="C186" s="7" t="s">
        <v>6</v>
      </c>
      <c r="D186" s="7" t="s">
        <v>7</v>
      </c>
      <c r="E186" s="7">
        <v>0</v>
      </c>
    </row>
    <row r="187" spans="1:5" ht="15.75" customHeight="1" x14ac:dyDescent="0.25">
      <c r="A187" s="6" t="s">
        <v>194</v>
      </c>
      <c r="B187" s="6" t="str">
        <f ca="1">IFERROR(__xludf.DUMMYFUNCTION("GOOGLETRANSLATE(A187,""bn"",""en"")"),"Hadith narrators can benefit in another way")</f>
        <v>Hadith narrators can benefit in another way</v>
      </c>
      <c r="C187" s="8" t="s">
        <v>13</v>
      </c>
      <c r="D187" s="8" t="s">
        <v>14</v>
      </c>
      <c r="E187" s="8">
        <v>1</v>
      </c>
    </row>
    <row r="188" spans="1:5" ht="15.75" customHeight="1" x14ac:dyDescent="0.25">
      <c r="A188" s="6" t="s">
        <v>195</v>
      </c>
      <c r="B188" s="6" t="str">
        <f ca="1">IFERROR(__xludf.DUMMYFUNCTION("GOOGLETRANSLATE(A188,""bn"",""en"")"),"I saw him buying a book")</f>
        <v>I saw him buying a book</v>
      </c>
      <c r="C188" s="8" t="s">
        <v>13</v>
      </c>
      <c r="D188" s="8" t="s">
        <v>14</v>
      </c>
      <c r="E188" s="8">
        <v>1</v>
      </c>
    </row>
    <row r="189" spans="1:5" ht="15.75" customHeight="1" x14ac:dyDescent="0.25">
      <c r="A189" s="6" t="s">
        <v>196</v>
      </c>
      <c r="B189" s="6" t="str">
        <f ca="1">IFERROR(__xludf.DUMMYFUNCTION("GOOGLETRANSLATE(A189,""bn"",""en"")"),"That day, their chests were filled with pride, courage and confidence")</f>
        <v>That day, their chests were filled with pride, courage and confidence</v>
      </c>
      <c r="C189" s="8" t="s">
        <v>13</v>
      </c>
      <c r="D189" s="8" t="s">
        <v>14</v>
      </c>
      <c r="E189" s="8">
        <v>1</v>
      </c>
    </row>
    <row r="190" spans="1:5" ht="15.75" customHeight="1" x14ac:dyDescent="0.25">
      <c r="A190" s="6" t="s">
        <v>197</v>
      </c>
      <c r="B190" s="6" t="str">
        <f ca="1">IFERROR(__xludf.DUMMYFUNCTION("GOOGLETRANSLATE(A190,""bn"",""en"")"),"He sat and chatted with my father for a while and then went home")</f>
        <v>He sat and chatted with my father for a while and then went home</v>
      </c>
      <c r="C190" s="8" t="s">
        <v>13</v>
      </c>
      <c r="D190" s="8" t="s">
        <v>14</v>
      </c>
      <c r="E190" s="8">
        <v>1</v>
      </c>
    </row>
    <row r="191" spans="1:5" ht="15.75" customHeight="1" x14ac:dyDescent="0.25">
      <c r="A191" s="6" t="s">
        <v>198</v>
      </c>
      <c r="B191" s="6" t="str">
        <f ca="1">IFERROR(__xludf.DUMMYFUNCTION("GOOGLETRANSLATE(A191,""bn"",""en"")"),"Once many people lived in this village")</f>
        <v>Once many people lived in this village</v>
      </c>
      <c r="C191" s="8" t="s">
        <v>13</v>
      </c>
      <c r="D191" s="8" t="s">
        <v>14</v>
      </c>
      <c r="E191" s="8">
        <v>1</v>
      </c>
    </row>
    <row r="192" spans="1:5" ht="15.75" customHeight="1" x14ac:dyDescent="0.25">
      <c r="A192" s="6" t="s">
        <v>199</v>
      </c>
      <c r="B192" s="6" t="str">
        <f ca="1">IFERROR(__xludf.DUMMYFUNCTION("GOOGLETRANSLATE(A192,""bn"",""en"")"),"Bengali is flourishing all around")</f>
        <v>Bengali is flourishing all around</v>
      </c>
      <c r="C192" s="7" t="s">
        <v>6</v>
      </c>
      <c r="D192" s="7" t="s">
        <v>7</v>
      </c>
      <c r="E192" s="7">
        <v>0</v>
      </c>
    </row>
    <row r="193" spans="1:5" ht="15.75" customHeight="1" x14ac:dyDescent="0.25">
      <c r="A193" s="6" t="s">
        <v>200</v>
      </c>
      <c r="B193" s="6" t="str">
        <f ca="1">IFERROR(__xludf.DUMMYFUNCTION("GOOGLETRANSLATE(A193,""bn"",""en"")"),"Today in the sweet winter afternoon the house is deserted and quiet")</f>
        <v>Today in the sweet winter afternoon the house is deserted and quiet</v>
      </c>
      <c r="C193" s="7" t="s">
        <v>6</v>
      </c>
      <c r="D193" s="7" t="s">
        <v>7</v>
      </c>
      <c r="E193" s="7">
        <v>0</v>
      </c>
    </row>
    <row r="194" spans="1:5" ht="15.75" customHeight="1" x14ac:dyDescent="0.25">
      <c r="A194" s="6" t="s">
        <v>201</v>
      </c>
      <c r="B194" s="6" t="str">
        <f ca="1">IFERROR(__xludf.DUMMYFUNCTION("GOOGLETRANSLATE(A194,""bn"",""en"")"),"In front stands a charapasi with a similar gairik clay in hand")</f>
        <v>In front stands a charapasi with a similar gairik clay in hand</v>
      </c>
      <c r="C194" s="7" t="s">
        <v>6</v>
      </c>
      <c r="D194" s="7" t="s">
        <v>7</v>
      </c>
      <c r="E194" s="7">
        <v>0</v>
      </c>
    </row>
    <row r="195" spans="1:5" ht="15.75" customHeight="1" x14ac:dyDescent="0.25">
      <c r="A195" s="6" t="s">
        <v>202</v>
      </c>
      <c r="B195" s="6" t="str">
        <f ca="1">IFERROR(__xludf.DUMMYFUNCTION("GOOGLETRANSLATE(A195,""bn"",""en"")"),"Sumon's school began to collapse")</f>
        <v>Sumon's school began to collapse</v>
      </c>
      <c r="C195" s="7" t="s">
        <v>6</v>
      </c>
      <c r="D195" s="7" t="s">
        <v>7</v>
      </c>
      <c r="E195" s="7">
        <v>0</v>
      </c>
    </row>
    <row r="196" spans="1:5" ht="15.75" customHeight="1" x14ac:dyDescent="0.25">
      <c r="A196" s="6" t="s">
        <v>203</v>
      </c>
      <c r="B196" s="6" t="str">
        <f ca="1">IFERROR(__xludf.DUMMYFUNCTION("GOOGLETRANSLATE(A196,""bn"",""en"")"),"What a horrible dream he had that night")</f>
        <v>What a horrible dream he had that night</v>
      </c>
      <c r="C196" s="7" t="s">
        <v>6</v>
      </c>
      <c r="D196" s="7" t="s">
        <v>7</v>
      </c>
      <c r="E196" s="7">
        <v>0</v>
      </c>
    </row>
    <row r="197" spans="1:5" ht="15.75" customHeight="1" x14ac:dyDescent="0.25">
      <c r="A197" s="6" t="s">
        <v>204</v>
      </c>
      <c r="B197" s="6" t="str">
        <f ca="1">IFERROR(__xludf.DUMMYFUNCTION("GOOGLETRANSLATE(A197,""bn"",""en"")"),"The product arrived in perfect condition and met all my needs")</f>
        <v>The product arrived in perfect condition and met all my needs</v>
      </c>
      <c r="C197" s="8" t="s">
        <v>13</v>
      </c>
      <c r="D197" s="8" t="s">
        <v>14</v>
      </c>
      <c r="E197" s="8">
        <v>1</v>
      </c>
    </row>
    <row r="198" spans="1:5" ht="15.75" customHeight="1" x14ac:dyDescent="0.25">
      <c r="A198" s="6" t="s">
        <v>205</v>
      </c>
      <c r="B198" s="6" t="str">
        <f ca="1">IFERROR(__xludf.DUMMYFUNCTION("GOOGLETRANSLATE(A198,""bn"",""en"")"),"Bangladeshi youth formed the Bangladesh Youth Movement against apartheid")</f>
        <v>Bangladeshi youth formed the Bangladesh Youth Movement against apartheid</v>
      </c>
      <c r="C198" s="8" t="s">
        <v>13</v>
      </c>
      <c r="D198" s="8" t="s">
        <v>14</v>
      </c>
      <c r="E198" s="8">
        <v>1</v>
      </c>
    </row>
    <row r="199" spans="1:5" ht="15.75" customHeight="1" x14ac:dyDescent="0.25">
      <c r="A199" s="6" t="s">
        <v>206</v>
      </c>
      <c r="B199" s="6" t="str">
        <f ca="1">IFERROR(__xludf.DUMMYFUNCTION("GOOGLETRANSLATE(A199,""bn"",""en"")"),"He was waiting for me with tea")</f>
        <v>He was waiting for me with tea</v>
      </c>
      <c r="C199" s="8" t="s">
        <v>13</v>
      </c>
      <c r="D199" s="8" t="s">
        <v>14</v>
      </c>
      <c r="E199" s="8">
        <v>1</v>
      </c>
    </row>
    <row r="200" spans="1:5" ht="15.75" customHeight="1" x14ac:dyDescent="0.25">
      <c r="A200" s="6" t="s">
        <v>207</v>
      </c>
      <c r="B200" s="6" t="str">
        <f ca="1">IFERROR(__xludf.DUMMYFUNCTION("GOOGLETRANSLATE(A200,""bn"",""en"")"),"The Bible consists of the Old Testament and the New Testament which contains the Holy Scriptures for Christians")</f>
        <v>The Bible consists of the Old Testament and the New Testament which contains the Holy Scriptures for Christians</v>
      </c>
      <c r="C200" s="8" t="s">
        <v>13</v>
      </c>
      <c r="D200" s="8" t="s">
        <v>14</v>
      </c>
      <c r="E200" s="8">
        <v>1</v>
      </c>
    </row>
    <row r="201" spans="1:5" ht="15.75" customHeight="1" x14ac:dyDescent="0.25">
      <c r="A201" s="6" t="s">
        <v>208</v>
      </c>
      <c r="B201" s="6" t="str">
        <f ca="1">IFERROR(__xludf.DUMMYFUNCTION("GOOGLETRANSLATE(A201,""bn"",""en"")"),"My mother used to wait for me with breakfast")</f>
        <v>My mother used to wait for me with breakfast</v>
      </c>
      <c r="C201" s="8" t="s">
        <v>13</v>
      </c>
      <c r="D201" s="8" t="s">
        <v>14</v>
      </c>
      <c r="E201" s="8">
        <v>1</v>
      </c>
    </row>
    <row r="202" spans="1:5" ht="15.75" customHeight="1" x14ac:dyDescent="0.25">
      <c r="A202" s="6" t="s">
        <v>209</v>
      </c>
      <c r="B202" s="6" t="str">
        <f ca="1">IFERROR(__xludf.DUMMYFUNCTION("GOOGLETRANSLATE(A202,""bn"",""en"")"),"Rumi went to Dhaka and traveled a lot")</f>
        <v>Rumi went to Dhaka and traveled a lot</v>
      </c>
      <c r="C202" s="7" t="s">
        <v>6</v>
      </c>
      <c r="D202" s="7" t="s">
        <v>7</v>
      </c>
      <c r="E202" s="7">
        <v>0</v>
      </c>
    </row>
    <row r="203" spans="1:5" ht="15.75" customHeight="1" x14ac:dyDescent="0.25">
      <c r="A203" s="6" t="s">
        <v>210</v>
      </c>
      <c r="B203" s="6" t="str">
        <f ca="1">IFERROR(__xludf.DUMMYFUNCTION("GOOGLETRANSLATE(A203,""bn"",""en"")"),"Bihari came running from Gadai Ghosh's Chandimandap on hearing the news")</f>
        <v>Bihari came running from Gadai Ghosh's Chandimandap on hearing the news</v>
      </c>
      <c r="C203" s="7" t="s">
        <v>6</v>
      </c>
      <c r="D203" s="7" t="s">
        <v>7</v>
      </c>
      <c r="E203" s="7">
        <v>0</v>
      </c>
    </row>
    <row r="204" spans="1:5" ht="15.75" customHeight="1" x14ac:dyDescent="0.25">
      <c r="A204" s="6" t="s">
        <v>211</v>
      </c>
      <c r="B204" s="6" t="str">
        <f ca="1">IFERROR(__xludf.DUMMYFUNCTION("GOOGLETRANSLATE(A204,""bn"",""en"")"),"His mother was very indignant at the thought that she was wasting the next penny")</f>
        <v>His mother was very indignant at the thought that she was wasting the next penny</v>
      </c>
      <c r="C204" s="7" t="s">
        <v>6</v>
      </c>
      <c r="D204" s="7" t="s">
        <v>7</v>
      </c>
      <c r="E204" s="7">
        <v>0</v>
      </c>
    </row>
    <row r="205" spans="1:5" ht="15.75" customHeight="1" x14ac:dyDescent="0.25">
      <c r="A205" s="6" t="s">
        <v>212</v>
      </c>
      <c r="B205" s="6" t="str">
        <f ca="1">IFERROR(__xludf.DUMMYFUNCTION("GOOGLETRANSLATE(A205,""bn"",""en"")"),"Every moment a new image is being photographed in our hearts and there it remains.")</f>
        <v>Every moment a new image is being photographed in our hearts and there it remains.</v>
      </c>
      <c r="C205" s="7" t="s">
        <v>6</v>
      </c>
      <c r="D205" s="7" t="s">
        <v>7</v>
      </c>
      <c r="E205" s="7">
        <v>0</v>
      </c>
    </row>
    <row r="206" spans="1:5" ht="15.75" customHeight="1" x14ac:dyDescent="0.25">
      <c r="A206" s="6" t="s">
        <v>213</v>
      </c>
      <c r="B206" s="6" t="str">
        <f ca="1">IFERROR(__xludf.DUMMYFUNCTION("GOOGLETRANSLATE(A206,""bn"",""en"")"),"As I used to go to this mountain every afternoon, I used to go for a day")</f>
        <v>As I used to go to this mountain every afternoon, I used to go for a day</v>
      </c>
      <c r="C206" s="7" t="s">
        <v>6</v>
      </c>
      <c r="D206" s="7" t="s">
        <v>7</v>
      </c>
      <c r="E206" s="7">
        <v>0</v>
      </c>
    </row>
    <row r="207" spans="1:5" ht="15.75" customHeight="1" x14ac:dyDescent="0.25">
      <c r="A207" s="6" t="s">
        <v>214</v>
      </c>
      <c r="B207" s="6" t="str">
        <f ca="1">IFERROR(__xludf.DUMMYFUNCTION("GOOGLETRANSLATE(A207,""bn"",""en"")"),"Dance for fun fitness")</f>
        <v>Dance for fun fitness</v>
      </c>
      <c r="C207" s="8" t="s">
        <v>13</v>
      </c>
      <c r="D207" s="8" t="s">
        <v>14</v>
      </c>
      <c r="E207" s="8">
        <v>1</v>
      </c>
    </row>
    <row r="208" spans="1:5" ht="15.75" customHeight="1" x14ac:dyDescent="0.25">
      <c r="A208" s="6" t="s">
        <v>215</v>
      </c>
      <c r="B208" s="6" t="str">
        <f ca="1">IFERROR(__xludf.DUMMYFUNCTION("GOOGLETRANSLATE(A208,""bn"",""en"")"),"A lone eagle soared atop the mountain its sharp eyes scanning the landscape below")</f>
        <v>A lone eagle soared atop the mountain its sharp eyes scanning the landscape below</v>
      </c>
      <c r="C208" s="8" t="s">
        <v>13</v>
      </c>
      <c r="D208" s="8" t="s">
        <v>14</v>
      </c>
      <c r="E208" s="8">
        <v>1</v>
      </c>
    </row>
    <row r="209" spans="1:5" ht="15.75" customHeight="1" x14ac:dyDescent="0.25">
      <c r="A209" s="6" t="s">
        <v>216</v>
      </c>
      <c r="B209" s="6" t="str">
        <f ca="1">IFERROR(__xludf.DUMMYFUNCTION("GOOGLETRANSLATE(A209,""bn"",""en"")"),"He went fishing in their pond")</f>
        <v>He went fishing in their pond</v>
      </c>
      <c r="C209" s="8" t="s">
        <v>13</v>
      </c>
      <c r="D209" s="8" t="s">
        <v>14</v>
      </c>
      <c r="E209" s="8">
        <v>1</v>
      </c>
    </row>
    <row r="210" spans="1:5" ht="15.75" customHeight="1" x14ac:dyDescent="0.25">
      <c r="A210" s="6" t="s">
        <v>217</v>
      </c>
      <c r="B210" s="6" t="str">
        <f ca="1">IFERROR(__xludf.DUMMYFUNCTION("GOOGLETRANSLATE(A210,""bn"",""en"")"),"He was very fond of football as a child")</f>
        <v>He was very fond of football as a child</v>
      </c>
      <c r="C210" s="8" t="s">
        <v>13</v>
      </c>
      <c r="D210" s="8" t="s">
        <v>14</v>
      </c>
      <c r="E210" s="8">
        <v>1</v>
      </c>
    </row>
    <row r="211" spans="1:5" ht="15.75" customHeight="1" x14ac:dyDescent="0.25">
      <c r="A211" s="6" t="s">
        <v>218</v>
      </c>
      <c r="B211" s="6" t="str">
        <f ca="1">IFERROR(__xludf.DUMMYFUNCTION("GOOGLETRANSLATE(A211,""bn"",""en"")"),"They didn't have to say anything to me")</f>
        <v>They didn't have to say anything to me</v>
      </c>
      <c r="C211" s="8" t="s">
        <v>13</v>
      </c>
      <c r="D211" s="8" t="s">
        <v>14</v>
      </c>
      <c r="E211" s="8">
        <v>1</v>
      </c>
    </row>
    <row r="212" spans="1:5" ht="15.75" customHeight="1" x14ac:dyDescent="0.25">
      <c r="A212" s="6" t="s">
        <v>219</v>
      </c>
      <c r="B212" s="6" t="str">
        <f ca="1">IFERROR(__xludf.DUMMYFUNCTION("GOOGLETRANSLATE(A212,""bn"",""en"")"),"Rahmat added an unnecessary moon spot and replied with a smile")</f>
        <v>Rahmat added an unnecessary moon spot and replied with a smile</v>
      </c>
      <c r="C212" s="7" t="s">
        <v>6</v>
      </c>
      <c r="D212" s="7" t="s">
        <v>7</v>
      </c>
      <c r="E212" s="7">
        <v>0</v>
      </c>
    </row>
    <row r="213" spans="1:5" ht="15.75" customHeight="1" x14ac:dyDescent="0.25">
      <c r="A213" s="6" t="s">
        <v>220</v>
      </c>
      <c r="B213" s="6" t="str">
        <f ca="1">IFERROR(__xludf.DUMMYFUNCTION("GOOGLETRANSLATE(A213,""bn"",""en"")"),"Ghosts are those without a body")</f>
        <v>Ghosts are those without a body</v>
      </c>
      <c r="C213" s="7" t="s">
        <v>6</v>
      </c>
      <c r="D213" s="7" t="s">
        <v>7</v>
      </c>
      <c r="E213" s="7">
        <v>0</v>
      </c>
    </row>
    <row r="214" spans="1:5" ht="15.75" customHeight="1" x14ac:dyDescent="0.25">
      <c r="A214" s="6" t="s">
        <v>221</v>
      </c>
      <c r="B214" s="6" t="str">
        <f ca="1">IFERROR(__xludf.DUMMYFUNCTION("GOOGLETRANSLATE(A214,""bn"",""en"")"),"I have also seen in our bungalow that the boys and girls in Palligram are almost shocked to see the Palki Behara.")</f>
        <v>I have also seen in our bungalow that the boys and girls in Palligram are almost shocked to see the Palki Behara.</v>
      </c>
      <c r="C214" s="7" t="s">
        <v>6</v>
      </c>
      <c r="D214" s="7" t="s">
        <v>7</v>
      </c>
      <c r="E214" s="7">
        <v>0</v>
      </c>
    </row>
    <row r="215" spans="1:5" ht="15.75" customHeight="1" x14ac:dyDescent="0.25">
      <c r="A215" s="6" t="s">
        <v>222</v>
      </c>
      <c r="B215" s="6" t="str">
        <f ca="1">IFERROR(__xludf.DUMMYFUNCTION("GOOGLETRANSLATE(A215,""bn"",""en"")"),"As much has been said about the lap dance, now I want to introduce their marriage")</f>
        <v>As much has been said about the lap dance, now I want to introduce their marriage</v>
      </c>
      <c r="C215" s="7" t="s">
        <v>6</v>
      </c>
      <c r="D215" s="7" t="s">
        <v>7</v>
      </c>
      <c r="E215" s="7">
        <v>0</v>
      </c>
    </row>
    <row r="216" spans="1:5" ht="15.75" customHeight="1" x14ac:dyDescent="0.25">
      <c r="A216" s="6" t="s">
        <v>223</v>
      </c>
      <c r="B216" s="6" t="str">
        <f ca="1">IFERROR(__xludf.DUMMYFUNCTION("GOOGLETRANSLATE(A216,""bn"",""en"")"),"No, that is not right. I will give up hope of happiness. I am not such a big inhuman. I must have hoped for happiness.")</f>
        <v>No, that is not right. I will give up hope of happiness. I am not such a big inhuman. I must have hoped for happiness.</v>
      </c>
      <c r="C216" s="7" t="s">
        <v>6</v>
      </c>
      <c r="D216" s="7" t="s">
        <v>7</v>
      </c>
      <c r="E216" s="7">
        <v>0</v>
      </c>
    </row>
    <row r="217" spans="1:5" ht="15.75" customHeight="1" x14ac:dyDescent="0.25">
      <c r="A217" s="6" t="s">
        <v>224</v>
      </c>
      <c r="B217" s="6" t="str">
        <f ca="1">IFERROR(__xludf.DUMMYFUNCTION("GOOGLETRANSLATE(A217,""bn"",""en"")"),"Consistent effort yields lasting results")</f>
        <v>Consistent effort yields lasting results</v>
      </c>
      <c r="C217" s="8" t="s">
        <v>13</v>
      </c>
      <c r="D217" s="8" t="s">
        <v>14</v>
      </c>
      <c r="E217" s="8">
        <v>1</v>
      </c>
    </row>
    <row r="218" spans="1:5" ht="15.75" customHeight="1" x14ac:dyDescent="0.25">
      <c r="A218" s="6" t="s">
        <v>225</v>
      </c>
      <c r="B218" s="6" t="str">
        <f ca="1">IFERROR(__xludf.DUMMYFUNCTION("GOOGLETRANSLATE(A218,""bn"",""en"")"),"You don't come to see me")</f>
        <v>You don't come to see me</v>
      </c>
      <c r="C218" s="8" t="s">
        <v>13</v>
      </c>
      <c r="D218" s="8" t="s">
        <v>14</v>
      </c>
      <c r="E218" s="8">
        <v>1</v>
      </c>
    </row>
    <row r="219" spans="1:5" ht="15.75" customHeight="1" x14ac:dyDescent="0.25">
      <c r="A219" s="6" t="s">
        <v>226</v>
      </c>
      <c r="B219" s="6" t="str">
        <f ca="1">IFERROR(__xludf.DUMMYFUNCTION("GOOGLETRANSLATE(A219,""bn"",""en"")"),"Being able to forgive others brings inner peace")</f>
        <v>Being able to forgive others brings inner peace</v>
      </c>
      <c r="C219" s="8" t="s">
        <v>13</v>
      </c>
      <c r="D219" s="8" t="s">
        <v>14</v>
      </c>
      <c r="E219" s="8">
        <v>1</v>
      </c>
    </row>
    <row r="220" spans="1:5" ht="15.75" customHeight="1" x14ac:dyDescent="0.25">
      <c r="A220" s="6" t="s">
        <v>227</v>
      </c>
      <c r="B220" s="6" t="str">
        <f ca="1">IFERROR(__xludf.DUMMYFUNCTION("GOOGLETRANSLATE(A220,""bn"",""en"")"),"It is a Vaishnavism")</f>
        <v>It is a Vaishnavism</v>
      </c>
      <c r="C220" s="8" t="s">
        <v>13</v>
      </c>
      <c r="D220" s="8" t="s">
        <v>14</v>
      </c>
      <c r="E220" s="8">
        <v>1</v>
      </c>
    </row>
    <row r="221" spans="1:5" ht="15.75" customHeight="1" x14ac:dyDescent="0.25">
      <c r="A221" s="6" t="s">
        <v>228</v>
      </c>
      <c r="B221" s="6" t="str">
        <f ca="1">IFERROR(__xludf.DUMMYFUNCTION("GOOGLETRANSLATE(A221,""bn"",""en"")"),"Comment with your favorite song")</f>
        <v>Comment with your favorite song</v>
      </c>
      <c r="C221" s="8" t="s">
        <v>13</v>
      </c>
      <c r="D221" s="8" t="s">
        <v>14</v>
      </c>
      <c r="E221" s="8">
        <v>1</v>
      </c>
    </row>
    <row r="222" spans="1:5" ht="15.75" customHeight="1" x14ac:dyDescent="0.25">
      <c r="A222" s="6" t="s">
        <v>229</v>
      </c>
      <c r="B222" s="6" t="str">
        <f ca="1">IFERROR(__xludf.DUMMYFUNCTION("GOOGLETRANSLATE(A222,""bn"",""en"")"),"As soon as I uttered the rhyme, the verse came to my mind, and at once it took effect on the ear.")</f>
        <v>As soon as I uttered the rhyme, the verse came to my mind, and at once it took effect on the ear.</v>
      </c>
      <c r="C222" s="7" t="s">
        <v>6</v>
      </c>
      <c r="D222" s="7" t="s">
        <v>7</v>
      </c>
      <c r="E222" s="7">
        <v>0</v>
      </c>
    </row>
    <row r="223" spans="1:5" ht="15.75" customHeight="1" x14ac:dyDescent="0.25">
      <c r="A223" s="6" t="s">
        <v>230</v>
      </c>
      <c r="B223" s="6" t="str">
        <f ca="1">IFERROR(__xludf.DUMMYFUNCTION("GOOGLETRANSLATE(A223,""bn"",""en"")"),"Behari wiped her eyes and said baby I am like your son")</f>
        <v>Behari wiped her eyes and said baby I am like your son</v>
      </c>
      <c r="C223" s="7" t="s">
        <v>6</v>
      </c>
      <c r="D223" s="7" t="s">
        <v>7</v>
      </c>
      <c r="E223" s="7">
        <v>0</v>
      </c>
    </row>
    <row r="224" spans="1:5" ht="15.75" customHeight="1" x14ac:dyDescent="0.25">
      <c r="A224" s="6" t="s">
        <v>231</v>
      </c>
      <c r="B224" s="6" t="str">
        <f ca="1">IFERROR(__xludf.DUMMYFUNCTION("GOOGLETRANSLATE(A224,""bn"",""en"")"),"Gagri fell from Kol Kumari's head")</f>
        <v>Gagri fell from Kol Kumari's head</v>
      </c>
      <c r="C224" s="7" t="s">
        <v>6</v>
      </c>
      <c r="D224" s="7" t="s">
        <v>7</v>
      </c>
      <c r="E224" s="7">
        <v>0</v>
      </c>
    </row>
    <row r="225" spans="1:5" ht="15.75" customHeight="1" x14ac:dyDescent="0.25">
      <c r="A225" s="6" t="s">
        <v>232</v>
      </c>
      <c r="B225" s="6" t="str">
        <f ca="1">IFERROR(__xludf.DUMMYFUNCTION("GOOGLETRANSLATE(A225,""bn"",""en"")"),"He woke up just minutes before the prayer started")</f>
        <v>He woke up just minutes before the prayer started</v>
      </c>
      <c r="C225" s="7" t="s">
        <v>6</v>
      </c>
      <c r="D225" s="7" t="s">
        <v>7</v>
      </c>
      <c r="E225" s="7">
        <v>0</v>
      </c>
    </row>
    <row r="226" spans="1:5" ht="15.75" customHeight="1" x14ac:dyDescent="0.25">
      <c r="A226" s="6" t="s">
        <v>233</v>
      </c>
      <c r="B226" s="6" t="str">
        <f ca="1">IFERROR(__xludf.DUMMYFUNCTION("GOOGLETRANSLATE(A226,""bn"",""en"")"),"Vishwambhar is so old but still has some knowledge")</f>
        <v>Vishwambhar is so old but still has some knowledge</v>
      </c>
      <c r="C226" s="7" t="s">
        <v>6</v>
      </c>
      <c r="D226" s="7" t="s">
        <v>7</v>
      </c>
      <c r="E226" s="7">
        <v>0</v>
      </c>
    </row>
    <row r="227" spans="1:5" ht="15.75" customHeight="1" x14ac:dyDescent="0.25">
      <c r="A227" s="6" t="s">
        <v>234</v>
      </c>
      <c r="B227" s="6" t="str">
        <f ca="1">IFERROR(__xludf.DUMMYFUNCTION("GOOGLETRANSLATE(A227,""bn"",""en"")"),"Cultivate gratitude for the present moment for what it is")</f>
        <v>Cultivate gratitude for the present moment for what it is</v>
      </c>
      <c r="C227" s="8" t="s">
        <v>13</v>
      </c>
      <c r="D227" s="8" t="s">
        <v>14</v>
      </c>
      <c r="E227" s="8">
        <v>1</v>
      </c>
    </row>
    <row r="228" spans="1:5" ht="15.75" customHeight="1" x14ac:dyDescent="0.25">
      <c r="A228" s="6" t="s">
        <v>235</v>
      </c>
      <c r="B228" s="6" t="str">
        <f ca="1">IFERROR(__xludf.DUMMYFUNCTION("GOOGLETRANSLATE(A228,""bn"",""en"")"),"It is the lowest region of Bangladesh")</f>
        <v>It is the lowest region of Bangladesh</v>
      </c>
      <c r="C228" s="8" t="s">
        <v>13</v>
      </c>
      <c r="D228" s="8" t="s">
        <v>14</v>
      </c>
      <c r="E228" s="8">
        <v>1</v>
      </c>
    </row>
    <row r="229" spans="1:5" ht="15.75" customHeight="1" x14ac:dyDescent="0.25">
      <c r="A229" s="6" t="s">
        <v>236</v>
      </c>
      <c r="B229" s="6" t="str">
        <f ca="1">IFERROR(__xludf.DUMMYFUNCTION("GOOGLETRANSLATE(A229,""bn"",""en"")"),"Nurul Momen's play Alo Chaya became very popular under his direction")</f>
        <v>Nurul Momen's play Alo Chaya became very popular under his direction</v>
      </c>
      <c r="C229" s="8" t="s">
        <v>13</v>
      </c>
      <c r="D229" s="8" t="s">
        <v>14</v>
      </c>
      <c r="E229" s="8">
        <v>1</v>
      </c>
    </row>
    <row r="230" spans="1:5" ht="15.75" customHeight="1" x14ac:dyDescent="0.25">
      <c r="A230" s="6" t="s">
        <v>237</v>
      </c>
      <c r="B230" s="6" t="str">
        <f ca="1">IFERROR(__xludf.DUMMYFUNCTION("GOOGLETRANSLATE(A230,""bn"",""en"")"),"Closing gaps in the achievement of educational intervention goals")</f>
        <v>Closing gaps in the achievement of educational intervention goals</v>
      </c>
      <c r="C230" s="8" t="s">
        <v>13</v>
      </c>
      <c r="D230" s="8" t="s">
        <v>14</v>
      </c>
      <c r="E230" s="8">
        <v>1</v>
      </c>
    </row>
    <row r="231" spans="1:5" ht="15.75" customHeight="1" x14ac:dyDescent="0.25">
      <c r="A231" s="6" t="s">
        <v>238</v>
      </c>
      <c r="B231" s="6" t="str">
        <f ca="1">IFERROR(__xludf.DUMMYFUNCTION("GOOGLETRANSLATE(A231,""bn"",""en"")"),"Crispy fried calamari is a seafood lover's delight")</f>
        <v>Crispy fried calamari is a seafood lover's delight</v>
      </c>
      <c r="C231" s="8" t="s">
        <v>13</v>
      </c>
      <c r="D231" s="8" t="s">
        <v>14</v>
      </c>
      <c r="E231" s="8">
        <v>1</v>
      </c>
    </row>
    <row r="232" spans="1:5" ht="15.75" customHeight="1" x14ac:dyDescent="0.25">
      <c r="A232" s="6" t="s">
        <v>239</v>
      </c>
      <c r="B232" s="6" t="str">
        <f ca="1">IFERROR(__xludf.DUMMYFUNCTION("GOOGLETRANSLATE(A232,""bn"",""en"")"),"No hesitation at all")</f>
        <v>No hesitation at all</v>
      </c>
      <c r="C232" s="7" t="s">
        <v>6</v>
      </c>
      <c r="D232" s="7" t="s">
        <v>7</v>
      </c>
      <c r="E232" s="7">
        <v>0</v>
      </c>
    </row>
    <row r="233" spans="1:5" ht="15.75" customHeight="1" x14ac:dyDescent="0.25">
      <c r="A233" s="6" t="s">
        <v>240</v>
      </c>
      <c r="B233" s="6" t="str">
        <f ca="1">IFERROR(__xludf.DUMMYFUNCTION("GOOGLETRANSLATE(A233,""bn"",""en"")"),"By the time he went to medical college in Calcutta, he had a narrow-minded heart, a blunt sense of humor, and a fat heart.")</f>
        <v>By the time he went to medical college in Calcutta, he had a narrow-minded heart, a blunt sense of humor, and a fat heart.</v>
      </c>
      <c r="C233" s="7" t="s">
        <v>6</v>
      </c>
      <c r="D233" s="7" t="s">
        <v>7</v>
      </c>
      <c r="E233" s="7">
        <v>0</v>
      </c>
    </row>
    <row r="234" spans="1:5" ht="15.75" customHeight="1" x14ac:dyDescent="0.25">
      <c r="A234" s="6" t="s">
        <v>241</v>
      </c>
      <c r="B234" s="6" t="str">
        <f ca="1">IFERROR(__xludf.DUMMYFUNCTION("GOOGLETRANSLATE(A234,""bn"",""en"")"),"Everyone laughed out loud at the manner in which he concluded his speech")</f>
        <v>Everyone laughed out loud at the manner in which he concluded his speech</v>
      </c>
      <c r="C234" s="7" t="s">
        <v>6</v>
      </c>
      <c r="D234" s="7" t="s">
        <v>7</v>
      </c>
      <c r="E234" s="7">
        <v>0</v>
      </c>
    </row>
    <row r="235" spans="1:5" ht="15.75" customHeight="1" x14ac:dyDescent="0.25">
      <c r="A235" s="6" t="s">
        <v>242</v>
      </c>
      <c r="B235" s="6" t="str">
        <f ca="1">IFERROR(__xludf.DUMMYFUNCTION("GOOGLETRANSLATE(A235,""bn"",""en"")"),"Three or four innocent gentlemen seem to be coming of age")</f>
        <v>Three or four innocent gentlemen seem to be coming of age</v>
      </c>
      <c r="C235" s="7" t="s">
        <v>6</v>
      </c>
      <c r="D235" s="7" t="s">
        <v>7</v>
      </c>
      <c r="E235" s="7">
        <v>0</v>
      </c>
    </row>
    <row r="236" spans="1:5" ht="15.75" customHeight="1" x14ac:dyDescent="0.25">
      <c r="A236" s="6" t="s">
        <v>243</v>
      </c>
      <c r="B236" s="6" t="str">
        <f ca="1">IFERROR(__xludf.DUMMYFUNCTION("GOOGLETRANSLATE(A236,""bn"",""en"")"),"What does his family eat?")</f>
        <v>What does his family eat?</v>
      </c>
      <c r="C236" s="7" t="s">
        <v>6</v>
      </c>
      <c r="D236" s="7" t="s">
        <v>7</v>
      </c>
      <c r="E236" s="7">
        <v>0</v>
      </c>
    </row>
    <row r="237" spans="1:5" ht="15.75" customHeight="1" x14ac:dyDescent="0.25">
      <c r="A237" s="6" t="s">
        <v>244</v>
      </c>
      <c r="B237" s="6" t="str">
        <f ca="1">IFERROR(__xludf.DUMMYFUNCTION("GOOGLETRANSLATE(A237,""bn"",""en"")"),"Agricultural engineering designs machinery structures for efficient farm management")</f>
        <v>Agricultural engineering designs machinery structures for efficient farm management</v>
      </c>
      <c r="C237" s="8" t="s">
        <v>13</v>
      </c>
      <c r="D237" s="8" t="s">
        <v>14</v>
      </c>
      <c r="E237" s="8">
        <v>1</v>
      </c>
    </row>
    <row r="238" spans="1:5" ht="15.75" customHeight="1" x14ac:dyDescent="0.25">
      <c r="A238" s="6" t="s">
        <v>245</v>
      </c>
      <c r="B238" s="6" t="str">
        <f ca="1">IFERROR(__xludf.DUMMYFUNCTION("GOOGLETRANSLATE(A238,""bn"",""en"")"),"Sumaiya went to them")</f>
        <v>Sumaiya went to them</v>
      </c>
      <c r="C238" s="8" t="s">
        <v>13</v>
      </c>
      <c r="D238" s="8" t="s">
        <v>14</v>
      </c>
      <c r="E238" s="8">
        <v>1</v>
      </c>
    </row>
    <row r="239" spans="1:5" ht="15.75" customHeight="1" x14ac:dyDescent="0.25">
      <c r="A239" s="6" t="s">
        <v>246</v>
      </c>
      <c r="B239" s="6" t="str">
        <f ca="1">IFERROR(__xludf.DUMMYFUNCTION("GOOGLETRANSLATE(A239,""bn"",""en"")"),"I told Rana about you")</f>
        <v>I told Rana about you</v>
      </c>
      <c r="C239" s="8" t="s">
        <v>13</v>
      </c>
      <c r="D239" s="8" t="s">
        <v>14</v>
      </c>
      <c r="E239" s="8">
        <v>1</v>
      </c>
    </row>
    <row r="240" spans="1:5" ht="15.75" customHeight="1" x14ac:dyDescent="0.25">
      <c r="A240" s="6" t="s">
        <v>247</v>
      </c>
      <c r="B240" s="6" t="str">
        <f ca="1">IFERROR(__xludf.DUMMYFUNCTION("GOOGLETRANSLATE(A240,""bn"",""en"")"),"Sujan came to school with her mother")</f>
        <v>Sujan came to school with her mother</v>
      </c>
      <c r="C240" s="8" t="s">
        <v>13</v>
      </c>
      <c r="D240" s="8" t="s">
        <v>14</v>
      </c>
      <c r="E240" s="8">
        <v>1</v>
      </c>
    </row>
    <row r="241" spans="1:5" ht="15.75" customHeight="1" x14ac:dyDescent="0.25">
      <c r="A241" s="6" t="s">
        <v>248</v>
      </c>
      <c r="B241" s="6" t="str">
        <f ca="1">IFERROR(__xludf.DUMMYFUNCTION("GOOGLETRANSLATE(A241,""bn"",""en"")"),"The natural beauty of this place captivated him from childhood")</f>
        <v>The natural beauty of this place captivated him from childhood</v>
      </c>
      <c r="C241" s="8" t="s">
        <v>13</v>
      </c>
      <c r="D241" s="8" t="s">
        <v>14</v>
      </c>
      <c r="E241" s="8">
        <v>1</v>
      </c>
    </row>
    <row r="242" spans="1:5" ht="15.75" customHeight="1" x14ac:dyDescent="0.25">
      <c r="A242" s="6" t="s">
        <v>249</v>
      </c>
      <c r="B242" s="6" t="str">
        <f ca="1">IFERROR(__xludf.DUMMYFUNCTION("GOOGLETRANSLATE(A242,""bn"",""en"")"),"We will see if we can meet once again")</f>
        <v>We will see if we can meet once again</v>
      </c>
      <c r="C242" s="7" t="s">
        <v>6</v>
      </c>
      <c r="D242" s="7" t="s">
        <v>7</v>
      </c>
      <c r="E242" s="7">
        <v>0</v>
      </c>
    </row>
    <row r="243" spans="1:5" ht="15.75" customHeight="1" x14ac:dyDescent="0.25">
      <c r="A243" s="6" t="s">
        <v>250</v>
      </c>
      <c r="B243" s="6" t="str">
        <f ca="1">IFERROR(__xludf.DUMMYFUNCTION("GOOGLETRANSLATE(A243,""bn"",""en"")"),"They wanted to spend the rest of their lives in that unknown city")</f>
        <v>They wanted to spend the rest of their lives in that unknown city</v>
      </c>
      <c r="C243" s="7" t="s">
        <v>6</v>
      </c>
      <c r="D243" s="7" t="s">
        <v>7</v>
      </c>
      <c r="E243" s="7">
        <v>0</v>
      </c>
    </row>
    <row r="244" spans="1:5" ht="15.75" customHeight="1" x14ac:dyDescent="0.25">
      <c r="A244" s="6" t="s">
        <v>251</v>
      </c>
      <c r="B244" s="6" t="str">
        <f ca="1">IFERROR(__xludf.DUMMYFUNCTION("GOOGLETRANSLATE(A244,""bn"",""en"")"),"He can't stay away from his father's pale face")</f>
        <v>He can't stay away from his father's pale face</v>
      </c>
      <c r="C244" s="7" t="s">
        <v>6</v>
      </c>
      <c r="D244" s="7" t="s">
        <v>7</v>
      </c>
      <c r="E244" s="7">
        <v>0</v>
      </c>
    </row>
    <row r="245" spans="1:5" ht="15.75" customHeight="1" x14ac:dyDescent="0.25">
      <c r="A245" s="6" t="s">
        <v>252</v>
      </c>
      <c r="B245" s="6" t="str">
        <f ca="1">IFERROR(__xludf.DUMMYFUNCTION("GOOGLETRANSLATE(A245,""bn"",""en"")"),"Because of laziness, men grow old like Bengali women")</f>
        <v>Because of laziness, men grow old like Bengali women</v>
      </c>
      <c r="C245" s="7" t="s">
        <v>6</v>
      </c>
      <c r="D245" s="7" t="s">
        <v>7</v>
      </c>
      <c r="E245" s="7">
        <v>0</v>
      </c>
    </row>
    <row r="246" spans="1:5" ht="15.75" customHeight="1" x14ac:dyDescent="0.25">
      <c r="A246" s="6" t="s">
        <v>253</v>
      </c>
      <c r="B246" s="6" t="str">
        <f ca="1">IFERROR(__xludf.DUMMYFUNCTION("GOOGLETRANSLATE(A246,""bn"",""en"")"),"Green asked me to sit in his house")</f>
        <v>Green asked me to sit in his house</v>
      </c>
      <c r="C246" s="7" t="s">
        <v>6</v>
      </c>
      <c r="D246" s="7" t="s">
        <v>7</v>
      </c>
      <c r="E246" s="7">
        <v>0</v>
      </c>
    </row>
    <row r="247" spans="1:5" ht="15.75" customHeight="1" x14ac:dyDescent="0.25">
      <c r="A247" s="6" t="s">
        <v>254</v>
      </c>
      <c r="B247" s="6" t="str">
        <f ca="1">IFERROR(__xludf.DUMMYFUNCTION("GOOGLETRANSLATE(A247,""bn"",""en"")"),"Cybercrime has become a significant threat in the digital age")</f>
        <v>Cybercrime has become a significant threat in the digital age</v>
      </c>
      <c r="C247" s="8" t="s">
        <v>13</v>
      </c>
      <c r="D247" s="8" t="s">
        <v>14</v>
      </c>
      <c r="E247" s="8">
        <v>1</v>
      </c>
    </row>
    <row r="248" spans="1:5" ht="15.75" customHeight="1" x14ac:dyDescent="0.25">
      <c r="A248" s="6" t="s">
        <v>255</v>
      </c>
      <c r="B248" s="6" t="str">
        <f ca="1">IFERROR(__xludf.DUMMYFUNCTION("GOOGLETRANSLATE(A248,""bn"",""en"")"),"Arab sailors gave it a distorted name of Kalambu")</f>
        <v>Arab sailors gave it a distorted name of Kalambu</v>
      </c>
      <c r="C248" s="8" t="s">
        <v>13</v>
      </c>
      <c r="D248" s="8" t="s">
        <v>14</v>
      </c>
      <c r="E248" s="8">
        <v>1</v>
      </c>
    </row>
    <row r="249" spans="1:5" ht="15.75" customHeight="1" x14ac:dyDescent="0.25">
      <c r="A249" s="6" t="s">
        <v>256</v>
      </c>
      <c r="B249" s="6" t="str">
        <f ca="1">IFERROR(__xludf.DUMMYFUNCTION("GOOGLETRANSLATE(A249,""bn"",""en"")"),"Agricultural policy regulations affect trade agreements that affect subsidized industries")</f>
        <v>Agricultural policy regulations affect trade agreements that affect subsidized industries</v>
      </c>
      <c r="C249" s="8" t="s">
        <v>13</v>
      </c>
      <c r="D249" s="8" t="s">
        <v>14</v>
      </c>
      <c r="E249" s="8">
        <v>1</v>
      </c>
    </row>
    <row r="250" spans="1:5" ht="15.75" customHeight="1" x14ac:dyDescent="0.25">
      <c r="A250" s="6" t="s">
        <v>257</v>
      </c>
      <c r="B250" s="6" t="str">
        <f ca="1">IFERROR(__xludf.DUMMYFUNCTION("GOOGLETRANSLATE(A250,""bn"",""en"")"),"Then I remembered my long journey")</f>
        <v>Then I remembered my long journey</v>
      </c>
      <c r="C250" s="8" t="s">
        <v>13</v>
      </c>
      <c r="D250" s="8" t="s">
        <v>14</v>
      </c>
      <c r="E250" s="8">
        <v>1</v>
      </c>
    </row>
    <row r="251" spans="1:5" ht="15.75" customHeight="1" x14ac:dyDescent="0.25">
      <c r="A251" s="6" t="s">
        <v>258</v>
      </c>
      <c r="B251" s="6" t="str">
        <f ca="1">IFERROR(__xludf.DUMMYFUNCTION("GOOGLETRANSLATE(A251,""bn"",""en"")"),"An exhibition has been organized in his own house on the occasion of the holy month of Ramadan")</f>
        <v>An exhibition has been organized in his own house on the occasion of the holy month of Ramadan</v>
      </c>
      <c r="C251" s="8" t="s">
        <v>13</v>
      </c>
      <c r="D251" s="8" t="s">
        <v>14</v>
      </c>
      <c r="E251" s="8">
        <v>1</v>
      </c>
    </row>
    <row r="252" spans="1:5" ht="15.75" customHeight="1" x14ac:dyDescent="0.25">
      <c r="A252" s="6" t="s">
        <v>259</v>
      </c>
      <c r="B252" s="6" t="str">
        <f ca="1">IFERROR(__xludf.DUMMYFUNCTION("GOOGLETRANSLATE(A252,""bn"",""en"")"),"At the bottom of that trench, the dark shadow can be said to be a little dark")</f>
        <v>At the bottom of that trench, the dark shadow can be said to be a little dark</v>
      </c>
      <c r="C252" s="7" t="s">
        <v>6</v>
      </c>
      <c r="D252" s="7" t="s">
        <v>7</v>
      </c>
      <c r="E252" s="7">
        <v>0</v>
      </c>
    </row>
    <row r="253" spans="1:5" ht="15.75" customHeight="1" x14ac:dyDescent="0.25">
      <c r="A253" s="6" t="s">
        <v>260</v>
      </c>
      <c r="B253" s="6" t="str">
        <f ca="1">IFERROR(__xludf.DUMMYFUNCTION("GOOGLETRANSLATE(A253,""bn"",""en"")"),"Sinful sojourners who have no sojourners have no anger are called sages")</f>
        <v>Sinful sojourners who have no sojourners have no anger are called sages</v>
      </c>
      <c r="C253" s="7" t="s">
        <v>6</v>
      </c>
      <c r="D253" s="7" t="s">
        <v>7</v>
      </c>
      <c r="E253" s="7">
        <v>0</v>
      </c>
    </row>
    <row r="254" spans="1:5" ht="15.75" customHeight="1" x14ac:dyDescent="0.25">
      <c r="A254" s="6" t="s">
        <v>261</v>
      </c>
      <c r="B254" s="6" t="str">
        <f ca="1">IFERROR(__xludf.DUMMYFUNCTION("GOOGLETRANSLATE(A254,""bn"",""en"")"),"If asked one thing, he would have said yes")</f>
        <v>If asked one thing, he would have said yes</v>
      </c>
      <c r="C254" s="7" t="s">
        <v>6</v>
      </c>
      <c r="D254" s="7" t="s">
        <v>7</v>
      </c>
      <c r="E254" s="7">
        <v>0</v>
      </c>
    </row>
    <row r="255" spans="1:5" ht="15.75" customHeight="1" x14ac:dyDescent="0.25">
      <c r="A255" s="6" t="s">
        <v>262</v>
      </c>
      <c r="B255" s="6" t="str">
        <f ca="1">IFERROR(__xludf.DUMMYFUNCTION("GOOGLETRANSLATE(A255,""bn"",""en"")"),"Sujan's brother came to me")</f>
        <v>Sujan's brother came to me</v>
      </c>
      <c r="C255" s="7" t="s">
        <v>6</v>
      </c>
      <c r="D255" s="7" t="s">
        <v>7</v>
      </c>
      <c r="E255" s="7">
        <v>0</v>
      </c>
    </row>
    <row r="256" spans="1:5" ht="15.75" customHeight="1" x14ac:dyDescent="0.25">
      <c r="A256" s="6" t="s">
        <v>263</v>
      </c>
      <c r="B256" s="6" t="str">
        <f ca="1">IFERROR(__xludf.DUMMYFUNCTION("GOOGLETRANSLATE(A256,""bn"",""en"")"),"I was called Sujan Rumi")</f>
        <v>I was called Sujan Rumi</v>
      </c>
      <c r="C256" s="7" t="s">
        <v>6</v>
      </c>
      <c r="D256" s="7" t="s">
        <v>7</v>
      </c>
      <c r="E256" s="7">
        <v>0</v>
      </c>
    </row>
    <row r="257" spans="1:6" ht="15.75" customHeight="1" x14ac:dyDescent="0.25">
      <c r="A257" s="6" t="s">
        <v>264</v>
      </c>
      <c r="B257" s="6" t="str">
        <f ca="1">IFERROR(__xludf.DUMMYFUNCTION("GOOGLETRANSLATE(A257,""bn"",""en"")"),"Invest in experiences rather than assets")</f>
        <v>Invest in experiences rather than assets</v>
      </c>
      <c r="C257" s="8" t="s">
        <v>13</v>
      </c>
      <c r="D257" s="8" t="s">
        <v>14</v>
      </c>
      <c r="E257" s="8">
        <v>1</v>
      </c>
    </row>
    <row r="258" spans="1:6" ht="15.75" customHeight="1" x14ac:dyDescent="0.25">
      <c r="A258" s="6" t="s">
        <v>265</v>
      </c>
      <c r="B258" s="6" t="str">
        <f ca="1">IFERROR(__xludf.DUMMYFUNCTION("GOOGLETRANSLATE(A258,""bn"",""en"")"),"At that time Shamsuddin came up with a new proposal")</f>
        <v>At that time Shamsuddin came up with a new proposal</v>
      </c>
      <c r="C258" s="9" t="s">
        <v>13</v>
      </c>
      <c r="D258" s="9" t="s">
        <v>14</v>
      </c>
      <c r="E258" s="9">
        <v>1</v>
      </c>
      <c r="F258" s="10"/>
    </row>
    <row r="259" spans="1:6" ht="15.75" customHeight="1" x14ac:dyDescent="0.25">
      <c r="A259" s="6" t="s">
        <v>266</v>
      </c>
      <c r="B259" s="6" t="str">
        <f ca="1">IFERROR(__xludf.DUMMYFUNCTION("GOOGLETRANSLATE(A259,""bn"",""en"")"),"Sunny's father came to me")</f>
        <v>Sunny's father came to me</v>
      </c>
      <c r="C259" s="8" t="s">
        <v>13</v>
      </c>
      <c r="D259" s="8" t="s">
        <v>14</v>
      </c>
      <c r="E259" s="8">
        <v>1</v>
      </c>
    </row>
    <row r="260" spans="1:6" ht="15.75" customHeight="1" x14ac:dyDescent="0.25">
      <c r="A260" s="6" t="s">
        <v>267</v>
      </c>
      <c r="B260" s="6" t="str">
        <f ca="1">IFERROR(__xludf.DUMMYFUNCTION("GOOGLETRANSLATE(A260,""bn"",""en"")"),"Comment like your self care routine")</f>
        <v>Comment like your self care routine</v>
      </c>
      <c r="C260" s="8" t="s">
        <v>13</v>
      </c>
      <c r="D260" s="8" t="s">
        <v>14</v>
      </c>
      <c r="E260" s="8">
        <v>1</v>
      </c>
    </row>
    <row r="261" spans="1:6" ht="15.75" customHeight="1" x14ac:dyDescent="0.25">
      <c r="A261" s="6" t="s">
        <v>268</v>
      </c>
      <c r="B261" s="6" t="str">
        <f ca="1">IFERROR(__xludf.DUMMYFUNCTION("GOOGLETRANSLATE(A261,""bn"",""en"")"),"He wanted to get maximum marks in the exam")</f>
        <v>He wanted to get maximum marks in the exam</v>
      </c>
      <c r="C261" s="8" t="s">
        <v>13</v>
      </c>
      <c r="D261" s="8" t="s">
        <v>14</v>
      </c>
      <c r="E261" s="8">
        <v>1</v>
      </c>
    </row>
    <row r="262" spans="1:6" ht="15.75" customHeight="1" x14ac:dyDescent="0.25">
      <c r="A262" s="6" t="s">
        <v>269</v>
      </c>
      <c r="B262" s="6" t="str">
        <f ca="1">IFERROR(__xludf.DUMMYFUNCTION("GOOGLETRANSLATE(A262,""bn"",""en"")"),"I shouted angrily and called him")</f>
        <v>I shouted angrily and called him</v>
      </c>
      <c r="C262" s="7" t="s">
        <v>6</v>
      </c>
      <c r="D262" s="7" t="s">
        <v>7</v>
      </c>
      <c r="E262" s="7">
        <v>0</v>
      </c>
    </row>
    <row r="263" spans="1:6" ht="15.75" customHeight="1" x14ac:dyDescent="0.25">
      <c r="A263" s="6" t="s">
        <v>270</v>
      </c>
      <c r="B263" s="6" t="str">
        <f ca="1">IFERROR(__xludf.DUMMYFUNCTION("GOOGLETRANSLATE(A263,""bn"",""en"")"),"Rana woke up early today")</f>
        <v>Rana woke up early today</v>
      </c>
      <c r="C263" s="7" t="s">
        <v>6</v>
      </c>
      <c r="D263" s="7" t="s">
        <v>7</v>
      </c>
      <c r="E263" s="7">
        <v>0</v>
      </c>
    </row>
    <row r="264" spans="1:6" ht="15.75" customHeight="1" x14ac:dyDescent="0.25">
      <c r="A264" s="6" t="s">
        <v>271</v>
      </c>
      <c r="B264" s="6" t="str">
        <f ca="1">IFERROR(__xludf.DUMMYFUNCTION("GOOGLETRANSLATE(A264,""bn"",""en"")"),"He is a Joan Mard boy")</f>
        <v>He is a Joan Mard boy</v>
      </c>
      <c r="C264" s="7" t="s">
        <v>6</v>
      </c>
      <c r="D264" s="7" t="s">
        <v>7</v>
      </c>
      <c r="E264" s="7">
        <v>0</v>
      </c>
    </row>
    <row r="265" spans="1:6" ht="15.75" customHeight="1" x14ac:dyDescent="0.25">
      <c r="A265" s="6" t="s">
        <v>272</v>
      </c>
      <c r="B265" s="6" t="str">
        <f ca="1">IFERROR(__xludf.DUMMYFUNCTION("GOOGLETRANSLATE(A265,""bn"",""en"")"),"I learn a foreign language and talk in that language")</f>
        <v>I learn a foreign language and talk in that language</v>
      </c>
      <c r="C265" s="7" t="s">
        <v>6</v>
      </c>
      <c r="D265" s="7" t="s">
        <v>7</v>
      </c>
      <c r="E265" s="7">
        <v>0</v>
      </c>
    </row>
    <row r="266" spans="1:6" ht="15.75" customHeight="1" x14ac:dyDescent="0.25">
      <c r="A266" s="6" t="s">
        <v>273</v>
      </c>
      <c r="B266" s="6" t="str">
        <f ca="1">IFERROR(__xludf.DUMMYFUNCTION("GOOGLETRANSLATE(A266,""bn"",""en"")"),"Shashi recognized the doll")</f>
        <v>Shashi recognized the doll</v>
      </c>
      <c r="C266" s="7" t="s">
        <v>6</v>
      </c>
      <c r="D266" s="7" t="s">
        <v>7</v>
      </c>
      <c r="E266" s="7">
        <v>0</v>
      </c>
    </row>
    <row r="267" spans="1:6" ht="15.75" customHeight="1" x14ac:dyDescent="0.25">
      <c r="A267" s="6" t="s">
        <v>274</v>
      </c>
      <c r="B267" s="6" t="str">
        <f ca="1">IFERROR(__xludf.DUMMYFUNCTION("GOOGLETRANSLATE(A267,""bn"",""en"")"),"Ruma asked me to sit near her")</f>
        <v>Ruma asked me to sit near her</v>
      </c>
      <c r="C267" s="8" t="s">
        <v>13</v>
      </c>
      <c r="D267" s="8" t="s">
        <v>14</v>
      </c>
      <c r="E267" s="8">
        <v>1</v>
      </c>
    </row>
    <row r="268" spans="1:6" ht="15.75" customHeight="1" x14ac:dyDescent="0.25">
      <c r="A268" s="6" t="s">
        <v>275</v>
      </c>
      <c r="B268" s="6" t="str">
        <f ca="1">IFERROR(__xludf.DUMMYFUNCTION("GOOGLETRANSLATE(A268,""bn"",""en"")"),"I hope I can build more trust relationships in the future")</f>
        <v>I hope I can build more trust relationships in the future</v>
      </c>
      <c r="C268" s="8" t="s">
        <v>13</v>
      </c>
      <c r="D268" s="8" t="s">
        <v>14</v>
      </c>
      <c r="E268" s="8">
        <v>1</v>
      </c>
    </row>
    <row r="269" spans="1:6" ht="15.75" customHeight="1" x14ac:dyDescent="0.25">
      <c r="A269" s="6" t="s">
        <v>276</v>
      </c>
      <c r="B269" s="6" t="str">
        <f ca="1">IFERROR(__xludf.DUMMYFUNCTION("GOOGLETRANSLATE(A269,""bn"",""en"")"),"Fragrant spices infuse rich curries")</f>
        <v>Fragrant spices infuse rich curries</v>
      </c>
      <c r="C269" s="8" t="s">
        <v>13</v>
      </c>
      <c r="D269" s="8" t="s">
        <v>14</v>
      </c>
      <c r="E269" s="8">
        <v>1</v>
      </c>
    </row>
    <row r="270" spans="1:6" ht="15.75" customHeight="1" x14ac:dyDescent="0.25">
      <c r="A270" s="6" t="s">
        <v>277</v>
      </c>
      <c r="B270" s="6" t="str">
        <f ca="1">IFERROR(__xludf.DUMMYFUNCTION("GOOGLETRANSLATE(A270,""bn"",""en"")"),"Experiencing betrayal from a close friend brings betrayal")</f>
        <v>Experiencing betrayal from a close friend brings betrayal</v>
      </c>
      <c r="C270" s="8" t="s">
        <v>13</v>
      </c>
      <c r="D270" s="8" t="s">
        <v>14</v>
      </c>
      <c r="E270" s="8">
        <v>1</v>
      </c>
    </row>
    <row r="271" spans="1:6" ht="15.75" customHeight="1" x14ac:dyDescent="0.25">
      <c r="A271" s="6" t="s">
        <v>278</v>
      </c>
      <c r="B271" s="6" t="str">
        <f ca="1">IFERROR(__xludf.DUMMYFUNCTION("GOOGLETRANSLATE(A271,""bn"",""en"")"),"At that time, Shamsuddin made a new proposal to me")</f>
        <v>At that time, Shamsuddin made a new proposal to me</v>
      </c>
      <c r="C271" s="8" t="s">
        <v>13</v>
      </c>
      <c r="D271" s="8" t="s">
        <v>14</v>
      </c>
      <c r="E271" s="8">
        <v>1</v>
      </c>
    </row>
    <row r="272" spans="1:6" ht="15.75" customHeight="1" x14ac:dyDescent="0.25">
      <c r="A272" s="6" t="s">
        <v>279</v>
      </c>
      <c r="B272" s="6" t="str">
        <f ca="1">IFERROR(__xludf.DUMMYFUNCTION("GOOGLETRANSLATE(A272,""bn"",""en"")"),"A six-year-old granddaughter came to Saroda and said that she did not have any good clothes to go to the puja invitation.")</f>
        <v>A six-year-old granddaughter came to Saroda and said that she did not have any good clothes to go to the puja invitation.</v>
      </c>
      <c r="C272" s="7" t="s">
        <v>6</v>
      </c>
      <c r="D272" s="7" t="s">
        <v>7</v>
      </c>
      <c r="E272" s="7">
        <v>0</v>
      </c>
    </row>
    <row r="273" spans="1:5" ht="15.75" customHeight="1" x14ac:dyDescent="0.25">
      <c r="A273" s="6" t="s">
        <v>280</v>
      </c>
      <c r="B273" s="6" t="str">
        <f ca="1">IFERROR(__xludf.DUMMYFUNCTION("GOOGLETRANSLATE(A273,""bn"",""en"")"),"Mauya is so lovely but she doesn't have a garden there")</f>
        <v>Mauya is so lovely but she doesn't have a garden there</v>
      </c>
      <c r="C273" s="7" t="s">
        <v>6</v>
      </c>
      <c r="D273" s="7" t="s">
        <v>7</v>
      </c>
      <c r="E273" s="7">
        <v>0</v>
      </c>
    </row>
    <row r="274" spans="1:5" ht="15.75" customHeight="1" x14ac:dyDescent="0.25">
      <c r="A274" s="6" t="s">
        <v>281</v>
      </c>
      <c r="B274" s="6" t="str">
        <f ca="1">IFERROR(__xludf.DUMMYFUNCTION("GOOGLETRANSLATE(A274,""bn"",""en"")"),"Caution is not the other way around")</f>
        <v>Caution is not the other way around</v>
      </c>
      <c r="C274" s="7" t="s">
        <v>6</v>
      </c>
      <c r="D274" s="7" t="s">
        <v>7</v>
      </c>
      <c r="E274" s="7">
        <v>0</v>
      </c>
    </row>
    <row r="275" spans="1:5" ht="15.75" customHeight="1" x14ac:dyDescent="0.25">
      <c r="A275" s="6" t="s">
        <v>282</v>
      </c>
      <c r="B275" s="6" t="str">
        <f ca="1">IFERROR(__xludf.DUMMYFUNCTION("GOOGLETRANSLATE(A275,""bn"",""en"")"),"The girl was singing in her mind.")</f>
        <v>The girl was singing in her mind.</v>
      </c>
      <c r="C275" s="7" t="s">
        <v>6</v>
      </c>
      <c r="D275" s="7" t="s">
        <v>7</v>
      </c>
      <c r="E275" s="7">
        <v>0</v>
      </c>
    </row>
    <row r="276" spans="1:5" ht="15.75" customHeight="1" x14ac:dyDescent="0.25">
      <c r="A276" s="6" t="s">
        <v>283</v>
      </c>
      <c r="B276" s="6" t="str">
        <f ca="1">IFERROR(__xludf.DUMMYFUNCTION("GOOGLETRANSLATE(A276,""bn"",""en"")"),"Today's meeting was held as planned")</f>
        <v>Today's meeting was held as planned</v>
      </c>
      <c r="C276" s="7" t="s">
        <v>6</v>
      </c>
      <c r="D276" s="7" t="s">
        <v>7</v>
      </c>
      <c r="E276" s="7">
        <v>0</v>
      </c>
    </row>
    <row r="277" spans="1:5" ht="15.75" customHeight="1" x14ac:dyDescent="0.25">
      <c r="A277" s="6" t="s">
        <v>284</v>
      </c>
      <c r="B277" s="6" t="str">
        <f ca="1">IFERROR(__xludf.DUMMYFUNCTION("GOOGLETRANSLATE(A277,""bn"",""en"")"),"The house by the river was destroyed by the flood")</f>
        <v>The house by the river was destroyed by the flood</v>
      </c>
      <c r="C277" s="8" t="s">
        <v>13</v>
      </c>
      <c r="D277" s="8" t="s">
        <v>14</v>
      </c>
      <c r="E277" s="8">
        <v>1</v>
      </c>
    </row>
    <row r="278" spans="1:5" ht="15.75" customHeight="1" x14ac:dyDescent="0.25">
      <c r="A278" s="6" t="s">
        <v>285</v>
      </c>
      <c r="B278" s="6" t="str">
        <f ca="1">IFERROR(__xludf.DUMMYFUNCTION("GOOGLETRANSLATE(A278,""bn"",""en"")"),"Technological integration increases operational agility")</f>
        <v>Technological integration increases operational agility</v>
      </c>
      <c r="C278" s="8" t="s">
        <v>13</v>
      </c>
      <c r="D278" s="8" t="s">
        <v>14</v>
      </c>
      <c r="E278" s="8">
        <v>1</v>
      </c>
    </row>
    <row r="279" spans="1:5" ht="15.75" customHeight="1" x14ac:dyDescent="0.25">
      <c r="A279" s="6" t="s">
        <v>286</v>
      </c>
      <c r="B279" s="6" t="str">
        <f ca="1">IFERROR(__xludf.DUMMYFUNCTION("GOOGLETRANSLATE(A279,""bn"",""en"")"),"This medal was awarded for the first time in")</f>
        <v>This medal was awarded for the first time in</v>
      </c>
      <c r="C279" s="8" t="s">
        <v>13</v>
      </c>
      <c r="D279" s="8" t="s">
        <v>14</v>
      </c>
      <c r="E279" s="8">
        <v>1</v>
      </c>
    </row>
    <row r="280" spans="1:5" ht="15.75" customHeight="1" x14ac:dyDescent="0.25">
      <c r="A280" s="6" t="s">
        <v>287</v>
      </c>
      <c r="B280" s="6" t="str">
        <f ca="1">IFERROR(__xludf.DUMMYFUNCTION("GOOGLETRANSLATE(A280,""bn"",""en"")"),"Its crystals are cube shaped")</f>
        <v>Its crystals are cube shaped</v>
      </c>
      <c r="C280" s="8" t="s">
        <v>13</v>
      </c>
      <c r="D280" s="8" t="s">
        <v>14</v>
      </c>
      <c r="E280" s="8">
        <v>1</v>
      </c>
    </row>
    <row r="281" spans="1:5" ht="15.75" customHeight="1" x14ac:dyDescent="0.25">
      <c r="A281" s="6" t="s">
        <v>288</v>
      </c>
      <c r="B281" s="6" t="str">
        <f ca="1">IFERROR(__xludf.DUMMYFUNCTION("GOOGLETRANSLATE(A281,""bn"",""en"")"),"Rumi madam got it")</f>
        <v>Rumi madam got it</v>
      </c>
      <c r="C281" s="8" t="s">
        <v>13</v>
      </c>
      <c r="D281" s="8" t="s">
        <v>14</v>
      </c>
      <c r="E281" s="8">
        <v>1</v>
      </c>
    </row>
    <row r="282" spans="1:5" ht="15.75" customHeight="1" x14ac:dyDescent="0.25">
      <c r="A282" s="6" t="s">
        <v>289</v>
      </c>
      <c r="B282" s="6" t="str">
        <f ca="1">IFERROR(__xludf.DUMMYFUNCTION("GOOGLETRANSLATE(A282,""bn"",""en"")"),"After that, I went further and saw the young women sitting on the wine rack drinking wine.")</f>
        <v>After that, I went further and saw the young women sitting on the wine rack drinking wine.</v>
      </c>
      <c r="C282" s="7" t="s">
        <v>6</v>
      </c>
      <c r="D282" s="7" t="s">
        <v>7</v>
      </c>
      <c r="E282" s="7">
        <v>0</v>
      </c>
    </row>
    <row r="283" spans="1:5" ht="15.75" customHeight="1" x14ac:dyDescent="0.25">
      <c r="A283" s="6" t="s">
        <v>290</v>
      </c>
      <c r="B283" s="6" t="str">
        <f ca="1">IFERROR(__xludf.DUMMYFUNCTION("GOOGLETRANSLATE(A283,""bn"",""en"")"),"It was great to see")</f>
        <v>It was great to see</v>
      </c>
      <c r="C283" s="7" t="s">
        <v>6</v>
      </c>
      <c r="D283" s="7" t="s">
        <v>7</v>
      </c>
      <c r="E283" s="7">
        <v>0</v>
      </c>
    </row>
    <row r="284" spans="1:5" ht="15.75" customHeight="1" x14ac:dyDescent="0.25">
      <c r="A284" s="6" t="s">
        <v>291</v>
      </c>
      <c r="B284" s="6" t="str">
        <f ca="1">IFERROR(__xludf.DUMMYFUNCTION("GOOGLETRANSLATE(A284,""bn"",""en"")"),"I immediately agreed to take the car to his house")</f>
        <v>I immediately agreed to take the car to his house</v>
      </c>
      <c r="C284" s="7" t="s">
        <v>6</v>
      </c>
      <c r="D284" s="7" t="s">
        <v>7</v>
      </c>
      <c r="E284" s="7">
        <v>0</v>
      </c>
    </row>
    <row r="285" spans="1:5" ht="15.75" customHeight="1" x14ac:dyDescent="0.25">
      <c r="A285" s="6" t="s">
        <v>292</v>
      </c>
      <c r="B285" s="6" t="str">
        <f ca="1">IFERROR(__xludf.DUMMYFUNCTION("GOOGLETRANSLATE(A285,""bn"",""en"")"),"Seeing that my hair was too long, the barber very enthusiastically tried to soften my hair in various ways.")</f>
        <v>Seeing that my hair was too long, the barber very enthusiastically tried to soften my hair in various ways.</v>
      </c>
      <c r="C285" s="7" t="s">
        <v>6</v>
      </c>
      <c r="D285" s="7" t="s">
        <v>7</v>
      </c>
      <c r="E285" s="7">
        <v>0</v>
      </c>
    </row>
    <row r="286" spans="1:5" ht="15.75" customHeight="1" x14ac:dyDescent="0.25">
      <c r="A286" s="6" t="s">
        <v>293</v>
      </c>
      <c r="B286" s="6" t="str">
        <f ca="1">IFERROR(__xludf.DUMMYFUNCTION("GOOGLETRANSLATE(A286,""bn"",""en"")"),"I had a beautiful dream last night")</f>
        <v>I had a beautiful dream last night</v>
      </c>
      <c r="C286" s="7" t="s">
        <v>6</v>
      </c>
      <c r="D286" s="7" t="s">
        <v>7</v>
      </c>
      <c r="E286" s="7">
        <v>0</v>
      </c>
    </row>
    <row r="287" spans="1:5" ht="15.75" customHeight="1" x14ac:dyDescent="0.25">
      <c r="A287" s="6" t="s">
        <v>294</v>
      </c>
      <c r="B287" s="6" t="str">
        <f ca="1">IFERROR(__xludf.DUMMYFUNCTION("GOOGLETRANSLATE(A287,""bn"",""en"")"),"Do you like it here?")</f>
        <v>Do you like it here?</v>
      </c>
      <c r="C287" s="8" t="s">
        <v>13</v>
      </c>
      <c r="D287" s="8" t="s">
        <v>14</v>
      </c>
      <c r="E287" s="8">
        <v>1</v>
      </c>
    </row>
    <row r="288" spans="1:5" ht="15.75" customHeight="1" x14ac:dyDescent="0.25">
      <c r="A288" s="6" t="s">
        <v>295</v>
      </c>
      <c r="B288" s="6" t="str">
        <f ca="1">IFERROR(__xludf.DUMMYFUNCTION("GOOGLETRANSLATE(A288,""bn"",""en"")"),"Comment your favorite quotes")</f>
        <v>Comment your favorite quotes</v>
      </c>
      <c r="C288" s="8" t="s">
        <v>13</v>
      </c>
      <c r="D288" s="8" t="s">
        <v>14</v>
      </c>
      <c r="E288" s="8">
        <v>1</v>
      </c>
    </row>
    <row r="289" spans="1:5" ht="15.75" customHeight="1" x14ac:dyDescent="0.25">
      <c r="A289" s="6" t="s">
        <v>296</v>
      </c>
      <c r="B289" s="6" t="str">
        <f ca="1">IFERROR(__xludf.DUMMYFUNCTION("GOOGLETRANSLATE(A289,""bn"",""en"")"),"Tag a friend who can relate")</f>
        <v>Tag a friend who can relate</v>
      </c>
      <c r="C289" s="8" t="s">
        <v>13</v>
      </c>
      <c r="D289" s="8" t="s">
        <v>14</v>
      </c>
      <c r="E289" s="8">
        <v>1</v>
      </c>
    </row>
    <row r="290" spans="1:5" ht="15.75" customHeight="1" x14ac:dyDescent="0.25">
      <c r="A290" s="6" t="s">
        <v>297</v>
      </c>
      <c r="B290" s="6" t="str">
        <f ca="1">IFERROR(__xludf.DUMMYFUNCTION("GOOGLETRANSLATE(A290,""bn"",""en"")"),"I don't have Suman")</f>
        <v>I don't have Suman</v>
      </c>
      <c r="C290" s="8" t="s">
        <v>13</v>
      </c>
      <c r="D290" s="8" t="s">
        <v>14</v>
      </c>
      <c r="E290" s="8">
        <v>1</v>
      </c>
    </row>
    <row r="291" spans="1:5" ht="15.75" customHeight="1" x14ac:dyDescent="0.25">
      <c r="A291" s="6" t="s">
        <v>298</v>
      </c>
      <c r="B291" s="6" t="str">
        <f ca="1">IFERROR(__xludf.DUMMYFUNCTION("GOOGLETRANSLATE(A291,""bn"",""en"")"),"Later he confessed his sins before his death and died repentant")</f>
        <v>Later he confessed his sins before his death and died repentant</v>
      </c>
      <c r="C291" s="8" t="s">
        <v>13</v>
      </c>
      <c r="D291" s="8" t="s">
        <v>14</v>
      </c>
      <c r="E291" s="8">
        <v>1</v>
      </c>
    </row>
    <row r="292" spans="1:5" ht="15.75" customHeight="1" x14ac:dyDescent="0.25">
      <c r="A292" s="6" t="s">
        <v>299</v>
      </c>
      <c r="B292" s="6" t="str">
        <f ca="1">IFERROR(__xludf.DUMMYFUNCTION("GOOGLETRANSLATE(A292,""bn"",""en"")"),"Mom, I'll take this")</f>
        <v>Mom, I'll take this</v>
      </c>
      <c r="C292" s="7" t="s">
        <v>6</v>
      </c>
      <c r="D292" s="7" t="s">
        <v>7</v>
      </c>
      <c r="E292" s="7">
        <v>0</v>
      </c>
    </row>
    <row r="293" spans="1:5" ht="15.75" customHeight="1" x14ac:dyDescent="0.25">
      <c r="A293" s="6" t="s">
        <v>300</v>
      </c>
      <c r="B293" s="6" t="str">
        <f ca="1">IFERROR(__xludf.DUMMYFUNCTION("GOOGLETRANSLATE(A293,""bn"",""en"")"),"Shilpi Begum went to the market")</f>
        <v>Shilpi Begum went to the market</v>
      </c>
      <c r="C293" s="7" t="s">
        <v>6</v>
      </c>
      <c r="D293" s="7" t="s">
        <v>7</v>
      </c>
      <c r="E293" s="7">
        <v>0</v>
      </c>
    </row>
    <row r="294" spans="1:5" ht="15.75" customHeight="1" x14ac:dyDescent="0.25">
      <c r="A294" s="6" t="s">
        <v>301</v>
      </c>
      <c r="B294" s="6" t="str">
        <f ca="1">IFERROR(__xludf.DUMMYFUNCTION("GOOGLETRANSLATE(A294,""bn"",""en"")"),"In his old age, he did not have any insurance")</f>
        <v>In his old age, he did not have any insurance</v>
      </c>
      <c r="C294" s="7" t="s">
        <v>6</v>
      </c>
      <c r="D294" s="7" t="s">
        <v>7</v>
      </c>
      <c r="E294" s="7">
        <v>0</v>
      </c>
    </row>
    <row r="295" spans="1:5" ht="15.75" customHeight="1" x14ac:dyDescent="0.25">
      <c r="A295" s="6" t="s">
        <v>302</v>
      </c>
      <c r="B295" s="6" t="str">
        <f ca="1">IFERROR(__xludf.DUMMYFUNCTION("GOOGLETRANSLATE(A295,""bn"",""en"")"),"I was fascinated by her beauty.")</f>
        <v>I was fascinated by her beauty.</v>
      </c>
      <c r="C295" s="7" t="s">
        <v>6</v>
      </c>
      <c r="D295" s="7" t="s">
        <v>7</v>
      </c>
      <c r="E295" s="7">
        <v>0</v>
      </c>
    </row>
    <row r="296" spans="1:5" ht="15.75" customHeight="1" x14ac:dyDescent="0.25">
      <c r="A296" s="6" t="s">
        <v>303</v>
      </c>
      <c r="B296" s="6" t="str">
        <f ca="1">IFERROR(__xludf.DUMMYFUNCTION("GOOGLETRANSLATE(A296,""bn"",""en"")"),"His mother's last words made him think sharply")</f>
        <v>His mother's last words made him think sharply</v>
      </c>
      <c r="C296" s="7" t="s">
        <v>6</v>
      </c>
      <c r="D296" s="7" t="s">
        <v>7</v>
      </c>
      <c r="E296" s="7">
        <v>0</v>
      </c>
    </row>
    <row r="297" spans="1:5" ht="15.75" customHeight="1" x14ac:dyDescent="0.25">
      <c r="A297" s="6" t="s">
        <v>304</v>
      </c>
      <c r="B297" s="6" t="str">
        <f ca="1">IFERROR(__xludf.DUMMYFUNCTION("GOOGLETRANSLATE(A297,""bn"",""en"")"),"Then the weak or torn muscles are fixed by stitching")</f>
        <v>Then the weak or torn muscles are fixed by stitching</v>
      </c>
      <c r="C297" s="8" t="s">
        <v>13</v>
      </c>
      <c r="D297" s="8" t="s">
        <v>14</v>
      </c>
      <c r="E297" s="8">
        <v>1</v>
      </c>
    </row>
    <row r="298" spans="1:5" ht="15.75" customHeight="1" x14ac:dyDescent="0.25">
      <c r="A298" s="6" t="s">
        <v>305</v>
      </c>
      <c r="B298" s="6" t="str">
        <f ca="1">IFERROR(__xludf.DUMMYFUNCTION("GOOGLETRANSLATE(A298,""bn"",""en"")"),"The chirping of birds filled the air signaling the arrival of dawn")</f>
        <v>The chirping of birds filled the air signaling the arrival of dawn</v>
      </c>
      <c r="C298" s="8" t="s">
        <v>13</v>
      </c>
      <c r="D298" s="8" t="s">
        <v>14</v>
      </c>
      <c r="E298" s="8">
        <v>1</v>
      </c>
    </row>
    <row r="299" spans="1:5" ht="15.75" customHeight="1" x14ac:dyDescent="0.25">
      <c r="A299" s="6" t="s">
        <v>306</v>
      </c>
      <c r="B299" s="6" t="str">
        <f ca="1">IFERROR(__xludf.DUMMYFUNCTION("GOOGLETRANSLATE(A299,""bn"",""en"")"),"Even if it rains, there is a problem")</f>
        <v>Even if it rains, there is a problem</v>
      </c>
      <c r="C299" s="8" t="s">
        <v>13</v>
      </c>
      <c r="D299" s="8" t="s">
        <v>14</v>
      </c>
      <c r="E299" s="8">
        <v>1</v>
      </c>
    </row>
    <row r="300" spans="1:5" ht="15.75" customHeight="1" x14ac:dyDescent="0.25">
      <c r="A300" s="6" t="s">
        <v>307</v>
      </c>
      <c r="B300" s="6" t="str">
        <f ca="1">IFERROR(__xludf.DUMMYFUNCTION("GOOGLETRANSLATE(A300,""bn"",""en"")"),"The countrymen received them with joy and festivity")</f>
        <v>The countrymen received them with joy and festivity</v>
      </c>
      <c r="C300" s="8" t="s">
        <v>13</v>
      </c>
      <c r="D300" s="8" t="s">
        <v>14</v>
      </c>
      <c r="E300" s="8">
        <v>1</v>
      </c>
    </row>
    <row r="301" spans="1:5" ht="15.75" customHeight="1" x14ac:dyDescent="0.25">
      <c r="A301" s="6" t="s">
        <v>308</v>
      </c>
      <c r="B301" s="6" t="str">
        <f ca="1">IFERROR(__xludf.DUMMYFUNCTION("GOOGLETRANSLATE(A301,""bn"",""en"")"),"He played a special role in the development of quantum mechanics")</f>
        <v>He played a special role in the development of quantum mechanics</v>
      </c>
      <c r="C301" s="8" t="s">
        <v>13</v>
      </c>
      <c r="D301" s="8" t="s">
        <v>14</v>
      </c>
      <c r="E301" s="8">
        <v>1</v>
      </c>
    </row>
    <row r="302" spans="1:5" ht="15.75" customHeight="1" x14ac:dyDescent="0.25">
      <c r="A302" s="6" t="s">
        <v>309</v>
      </c>
      <c r="B302" s="6" t="str">
        <f ca="1">IFERROR(__xludf.DUMMYFUNCTION("GOOGLETRANSLATE(A302,""bn"",""en"")"),"Rana came to call me")</f>
        <v>Rana came to call me</v>
      </c>
      <c r="C302" s="7" t="s">
        <v>6</v>
      </c>
      <c r="D302" s="7" t="s">
        <v>7</v>
      </c>
      <c r="E302" s="7">
        <v>0</v>
      </c>
    </row>
    <row r="303" spans="1:5" ht="15.75" customHeight="1" x14ac:dyDescent="0.25">
      <c r="A303" s="6" t="s">
        <v>310</v>
      </c>
      <c r="B303" s="6" t="str">
        <f ca="1">IFERROR(__xludf.DUMMYFUNCTION("GOOGLETRANSLATE(A303,""bn"",""en"")"),"This is the happiness of all together")</f>
        <v>This is the happiness of all together</v>
      </c>
      <c r="C303" s="7" t="s">
        <v>6</v>
      </c>
      <c r="D303" s="7" t="s">
        <v>7</v>
      </c>
      <c r="E303" s="7">
        <v>0</v>
      </c>
    </row>
    <row r="304" spans="1:5" ht="15.75" customHeight="1" x14ac:dyDescent="0.25">
      <c r="A304" s="6" t="s">
        <v>311</v>
      </c>
      <c r="B304" s="6" t="str">
        <f ca="1">IFERROR(__xludf.DUMMYFUNCTION("GOOGLETRANSLATE(A304,""bn"",""en"")"),"Sir wanted to come to study today")</f>
        <v>Sir wanted to come to study today</v>
      </c>
      <c r="C304" s="7" t="s">
        <v>6</v>
      </c>
      <c r="D304" s="7" t="s">
        <v>7</v>
      </c>
      <c r="E304" s="7">
        <v>0</v>
      </c>
    </row>
    <row r="305" spans="1:5" ht="15.75" customHeight="1" x14ac:dyDescent="0.25">
      <c r="A305" s="6" t="s">
        <v>312</v>
      </c>
      <c r="B305" s="6" t="str">
        <f ca="1">IFERROR(__xludf.DUMMYFUNCTION("GOOGLETRANSLATE(A305,""bn"",""en"")"),"Vaishnavas should place this clan in their respective Kunjas")</f>
        <v>Vaishnavas should place this clan in their respective Kunjas</v>
      </c>
      <c r="C305" s="7" t="s">
        <v>6</v>
      </c>
      <c r="D305" s="7" t="s">
        <v>7</v>
      </c>
      <c r="E305" s="7">
        <v>0</v>
      </c>
    </row>
    <row r="306" spans="1:5" ht="15.75" customHeight="1" x14ac:dyDescent="0.25">
      <c r="A306" s="6" t="s">
        <v>313</v>
      </c>
      <c r="B306" s="6" t="str">
        <f ca="1">IFERROR(__xludf.DUMMYFUNCTION("GOOGLETRANSLATE(A306,""bn"",""en"")"),"Haru was reading like that")</f>
        <v>Haru was reading like that</v>
      </c>
      <c r="C306" s="7" t="s">
        <v>6</v>
      </c>
      <c r="D306" s="7" t="s">
        <v>7</v>
      </c>
      <c r="E306" s="7">
        <v>0</v>
      </c>
    </row>
    <row r="307" spans="1:5" ht="15.75" customHeight="1" x14ac:dyDescent="0.25">
      <c r="A307" s="6" t="s">
        <v>314</v>
      </c>
      <c r="B307" s="6" t="str">
        <f ca="1">IFERROR(__xludf.DUMMYFUNCTION("GOOGLETRANSLATE(A307,""bn"",""en"")"),"Ice skating makes winter fun")</f>
        <v>Ice skating makes winter fun</v>
      </c>
      <c r="C307" s="8" t="s">
        <v>13</v>
      </c>
      <c r="D307" s="8" t="s">
        <v>14</v>
      </c>
      <c r="E307" s="8">
        <v>1</v>
      </c>
    </row>
    <row r="308" spans="1:5" ht="15.75" customHeight="1" x14ac:dyDescent="0.25">
      <c r="A308" s="6" t="s">
        <v>315</v>
      </c>
      <c r="B308" s="6" t="str">
        <f ca="1">IFERROR(__xludf.DUMMYFUNCTION("GOOGLETRANSLATE(A308,""bn"",""en"")"),"Chapter One Definition of Justice: Introduction to the discussion")</f>
        <v>Chapter One Definition of Justice: Introduction to the discussion</v>
      </c>
      <c r="C308" s="8" t="s">
        <v>13</v>
      </c>
      <c r="D308" s="8" t="s">
        <v>14</v>
      </c>
      <c r="E308" s="8">
        <v>1</v>
      </c>
    </row>
    <row r="309" spans="1:5" ht="15.75" customHeight="1" x14ac:dyDescent="0.25">
      <c r="A309" s="6" t="s">
        <v>316</v>
      </c>
      <c r="B309" s="6" t="str">
        <f ca="1">IFERROR(__xludf.DUMMYFUNCTION("GOOGLETRANSLATE(A309,""bn"",""en"")"),"Don't faint from exertion")</f>
        <v>Don't faint from exertion</v>
      </c>
      <c r="C309" s="8" t="s">
        <v>13</v>
      </c>
      <c r="D309" s="8" t="s">
        <v>14</v>
      </c>
      <c r="E309" s="8">
        <v>1</v>
      </c>
    </row>
    <row r="310" spans="1:5" ht="15.75" customHeight="1" x14ac:dyDescent="0.25">
      <c r="A310" s="6" t="s">
        <v>317</v>
      </c>
      <c r="B310" s="6" t="str">
        <f ca="1">IFERROR(__xludf.DUMMYFUNCTION("GOOGLETRANSLATE(A310,""bn"",""en"")"),"You will understand its difficulty")</f>
        <v>You will understand its difficulty</v>
      </c>
      <c r="C310" s="8" t="s">
        <v>13</v>
      </c>
      <c r="D310" s="8" t="s">
        <v>14</v>
      </c>
      <c r="E310" s="8">
        <v>1</v>
      </c>
    </row>
    <row r="311" spans="1:5" ht="15.75" customHeight="1" x14ac:dyDescent="0.25">
      <c r="A311" s="6" t="s">
        <v>318</v>
      </c>
      <c r="B311" s="6" t="str">
        <f ca="1">IFERROR(__xludf.DUMMYFUNCTION("GOOGLETRANSLATE(A311,""bn"",""en"")"),"Rasi Sambhag qualities of different stones")</f>
        <v>Rasi Sambhag qualities of different stones</v>
      </c>
      <c r="C311" s="8" t="s">
        <v>13</v>
      </c>
      <c r="D311" s="8" t="s">
        <v>14</v>
      </c>
      <c r="E311" s="8">
        <v>1</v>
      </c>
    </row>
    <row r="312" spans="1:5" ht="15.75" customHeight="1" x14ac:dyDescent="0.25">
      <c r="A312" s="6" t="s">
        <v>319</v>
      </c>
      <c r="B312" s="6" t="str">
        <f ca="1">IFERROR(__xludf.DUMMYFUNCTION("GOOGLETRANSLATE(A312,""bn"",""en"")"),"So it doesn't look good if you don't talk about it")</f>
        <v>So it doesn't look good if you don't talk about it</v>
      </c>
      <c r="C312" s="7" t="s">
        <v>6</v>
      </c>
      <c r="D312" s="7" t="s">
        <v>7</v>
      </c>
      <c r="E312" s="7">
        <v>0</v>
      </c>
    </row>
    <row r="313" spans="1:5" ht="15.75" customHeight="1" x14ac:dyDescent="0.25">
      <c r="A313" s="6" t="s">
        <v>320</v>
      </c>
      <c r="B313" s="6" t="str">
        <f ca="1">IFERROR(__xludf.DUMMYFUNCTION("GOOGLETRANSLATE(A313,""bn"",""en"")"),"The man looked at me unnaturally and smiled")</f>
        <v>The man looked at me unnaturally and smiled</v>
      </c>
      <c r="C313" s="7" t="s">
        <v>6</v>
      </c>
      <c r="D313" s="7" t="s">
        <v>7</v>
      </c>
      <c r="E313" s="7">
        <v>0</v>
      </c>
    </row>
    <row r="314" spans="1:5" ht="15.75" customHeight="1" x14ac:dyDescent="0.25">
      <c r="A314" s="6" t="s">
        <v>321</v>
      </c>
      <c r="B314" s="6" t="str">
        <f ca="1">IFERROR(__xludf.DUMMYFUNCTION("GOOGLETRANSLATE(A314,""bn"",""en"")"),"On the other side of the ghat, a gentleman is sitting in a bungalow smoking a pipe")</f>
        <v>On the other side of the ghat, a gentleman is sitting in a bungalow smoking a pipe</v>
      </c>
      <c r="C314" s="7" t="s">
        <v>6</v>
      </c>
      <c r="D314" s="7" t="s">
        <v>7</v>
      </c>
      <c r="E314" s="7">
        <v>0</v>
      </c>
    </row>
    <row r="315" spans="1:5" ht="15.75" customHeight="1" x14ac:dyDescent="0.25">
      <c r="A315" s="6" t="s">
        <v>322</v>
      </c>
      <c r="B315" s="6" t="str">
        <f ca="1">IFERROR(__xludf.DUMMYFUNCTION("GOOGLETRANSLATE(A315,""bn"",""en"")"),"For a few rupees he had made the idol-like girl the wife of the old madman Jamini Kaviraj.")</f>
        <v>For a few rupees he had made the idol-like girl the wife of the old madman Jamini Kaviraj.</v>
      </c>
      <c r="C315" s="7" t="s">
        <v>6</v>
      </c>
      <c r="D315" s="7" t="s">
        <v>7</v>
      </c>
      <c r="E315" s="7">
        <v>0</v>
      </c>
    </row>
    <row r="316" spans="1:5" ht="15.75" customHeight="1" x14ac:dyDescent="0.25">
      <c r="A316" s="6" t="s">
        <v>323</v>
      </c>
      <c r="B316" s="6" t="str">
        <f ca="1">IFERROR(__xludf.DUMMYFUNCTION("GOOGLETRANSLATE(A316,""bn"",""en"")"),"I searched once")</f>
        <v>I searched once</v>
      </c>
      <c r="C316" s="7" t="s">
        <v>6</v>
      </c>
      <c r="D316" s="7" t="s">
        <v>7</v>
      </c>
      <c r="E316" s="7">
        <v>0</v>
      </c>
    </row>
    <row r="317" spans="1:5" ht="15.75" customHeight="1" x14ac:dyDescent="0.25">
      <c r="A317" s="6" t="s">
        <v>324</v>
      </c>
      <c r="B317" s="6" t="str">
        <f ca="1">IFERROR(__xludf.DUMMYFUNCTION("GOOGLETRANSLATE(A317,""bn"",""en"")"),"Bonsai cultivation is a peaceful hobby")</f>
        <v>Bonsai cultivation is a peaceful hobby</v>
      </c>
      <c r="C317" s="8" t="s">
        <v>13</v>
      </c>
      <c r="D317" s="8" t="s">
        <v>14</v>
      </c>
      <c r="E317" s="8">
        <v>1</v>
      </c>
    </row>
    <row r="318" spans="1:5" ht="15.75" customHeight="1" x14ac:dyDescent="0.25">
      <c r="A318" s="6" t="s">
        <v>325</v>
      </c>
      <c r="B318" s="6" t="str">
        <f ca="1">IFERROR(__xludf.DUMMYFUNCTION("GOOGLETRANSLATE(A318,""bn"",""en"")"),"Our city was on the east coast")</f>
        <v>Our city was on the east coast</v>
      </c>
      <c r="C318" s="8" t="s">
        <v>13</v>
      </c>
      <c r="D318" s="8" t="s">
        <v>14</v>
      </c>
      <c r="E318" s="8">
        <v>1</v>
      </c>
    </row>
    <row r="319" spans="1:5" ht="15.75" customHeight="1" x14ac:dyDescent="0.25">
      <c r="A319" s="6" t="s">
        <v>326</v>
      </c>
      <c r="B319" s="6" t="str">
        <f ca="1">IFERROR(__xludf.DUMMYFUNCTION("GOOGLETRANSLATE(A319,""bn"",""en"")"),"Volunteering for animal welfare is satisfying")</f>
        <v>Volunteering for animal welfare is satisfying</v>
      </c>
      <c r="C319" s="8" t="s">
        <v>13</v>
      </c>
      <c r="D319" s="8" t="s">
        <v>14</v>
      </c>
      <c r="E319" s="8">
        <v>1</v>
      </c>
    </row>
    <row r="320" spans="1:5" ht="15.75" customHeight="1" x14ac:dyDescent="0.25">
      <c r="A320" s="6" t="s">
        <v>327</v>
      </c>
      <c r="B320" s="6" t="str">
        <f ca="1">IFERROR(__xludf.DUMMYFUNCTION("GOOGLETRANSLATE(A320,""bn"",""en"")"),"She sent me a beautiful letter")</f>
        <v>She sent me a beautiful letter</v>
      </c>
      <c r="C320" s="8" t="s">
        <v>13</v>
      </c>
      <c r="D320" s="8" t="s">
        <v>14</v>
      </c>
      <c r="E320" s="8">
        <v>1</v>
      </c>
    </row>
    <row r="321" spans="1:5" ht="15.75" customHeight="1" x14ac:dyDescent="0.25">
      <c r="A321" s="6" t="s">
        <v>328</v>
      </c>
      <c r="B321" s="6" t="str">
        <f ca="1">IFERROR(__xludf.DUMMYFUNCTION("GOOGLETRANSLATE(A321,""bn"",""en"")"),"Shihab saw me and sat near me")</f>
        <v>Shihab saw me and sat near me</v>
      </c>
      <c r="C321" s="8" t="s">
        <v>13</v>
      </c>
      <c r="D321" s="8" t="s">
        <v>14</v>
      </c>
      <c r="E321" s="8">
        <v>1</v>
      </c>
    </row>
    <row r="322" spans="1:5" ht="15.75" customHeight="1" x14ac:dyDescent="0.25">
      <c r="A322" s="6" t="s">
        <v>329</v>
      </c>
      <c r="B322" s="6" t="str">
        <f ca="1">IFERROR(__xludf.DUMMYFUNCTION("GOOGLETRANSLATE(A322,""bn"",""en"")"),"Seeing that incident, I was standing silently for a while")</f>
        <v>Seeing that incident, I was standing silently for a while</v>
      </c>
      <c r="C322" s="7" t="s">
        <v>6</v>
      </c>
      <c r="D322" s="7" t="s">
        <v>7</v>
      </c>
      <c r="E322" s="7">
        <v>0</v>
      </c>
    </row>
    <row r="323" spans="1:5" ht="15.75" customHeight="1" x14ac:dyDescent="0.25">
      <c r="A323" s="6" t="s">
        <v>330</v>
      </c>
      <c r="B323" s="6" t="str">
        <f ca="1">IFERROR(__xludf.DUMMYFUNCTION("GOOGLETRANSLATE(A323,""bn"",""en"")"),"I let Suman eat")</f>
        <v>I let Suman eat</v>
      </c>
      <c r="C323" s="7" t="s">
        <v>6</v>
      </c>
      <c r="D323" s="7" t="s">
        <v>7</v>
      </c>
      <c r="E323" s="7">
        <v>0</v>
      </c>
    </row>
    <row r="324" spans="1:5" ht="15.75" customHeight="1" x14ac:dyDescent="0.25">
      <c r="A324" s="6" t="s">
        <v>331</v>
      </c>
      <c r="B324" s="6" t="str">
        <f ca="1">IFERROR(__xludf.DUMMYFUNCTION("GOOGLETRANSLATE(A324,""bn"",""en"")"),"The young women held each other's shoulders and looked at each other")</f>
        <v>The young women held each other's shoulders and looked at each other</v>
      </c>
      <c r="C324" s="7" t="s">
        <v>6</v>
      </c>
      <c r="D324" s="7" t="s">
        <v>7</v>
      </c>
      <c r="E324" s="7">
        <v>0</v>
      </c>
    </row>
    <row r="325" spans="1:5" ht="15.75" customHeight="1" x14ac:dyDescent="0.25">
      <c r="A325" s="6" t="s">
        <v>332</v>
      </c>
      <c r="B325" s="6" t="str">
        <f ca="1">IFERROR(__xludf.DUMMYFUNCTION("GOOGLETRANSLATE(A325,""bn"",""en"")"),"He has lost everyone's trust by doing this bad thing")</f>
        <v>He has lost everyone's trust by doing this bad thing</v>
      </c>
      <c r="C325" s="7" t="s">
        <v>6</v>
      </c>
      <c r="D325" s="7" t="s">
        <v>7</v>
      </c>
      <c r="E325" s="7">
        <v>0</v>
      </c>
    </row>
    <row r="326" spans="1:5" ht="15.75" customHeight="1" x14ac:dyDescent="0.25">
      <c r="A326" s="6" t="s">
        <v>333</v>
      </c>
      <c r="B326" s="6" t="str">
        <f ca="1">IFERROR(__xludf.DUMMYFUNCTION("GOOGLETRANSLATE(A326,""bn"",""en"")"),"It is good to walk for a while every day")</f>
        <v>It is good to walk for a while every day</v>
      </c>
      <c r="C326" s="7" t="s">
        <v>6</v>
      </c>
      <c r="D326" s="7" t="s">
        <v>7</v>
      </c>
      <c r="E326" s="7">
        <v>0</v>
      </c>
    </row>
    <row r="327" spans="1:5" ht="15.75" customHeight="1" x14ac:dyDescent="0.25">
      <c r="A327" s="6" t="s">
        <v>334</v>
      </c>
      <c r="B327" s="6" t="str">
        <f ca="1">IFERROR(__xludf.DUMMYFUNCTION("GOOGLETRANSLATE(A327,""bn"",""en"")"),"He looked at the sky and said what a beautiful rain it was")</f>
        <v>He looked at the sky and said what a beautiful rain it was</v>
      </c>
      <c r="C327" s="8" t="s">
        <v>13</v>
      </c>
      <c r="D327" s="8" t="s">
        <v>14</v>
      </c>
      <c r="E327" s="8">
        <v>1</v>
      </c>
    </row>
    <row r="328" spans="1:5" ht="15.75" customHeight="1" x14ac:dyDescent="0.25">
      <c r="A328" s="6" t="s">
        <v>335</v>
      </c>
      <c r="B328" s="6" t="str">
        <f ca="1">IFERROR(__xludf.DUMMYFUNCTION("GOOGLETRANSLATE(A328,""bn"",""en"")"),"I love the vintage look of classic cars they have so much character")</f>
        <v>I love the vintage look of classic cars they have so much character</v>
      </c>
      <c r="C328" s="8" t="s">
        <v>13</v>
      </c>
      <c r="D328" s="8" t="s">
        <v>14</v>
      </c>
      <c r="E328" s="8">
        <v>1</v>
      </c>
    </row>
    <row r="329" spans="1:5" ht="15.75" customHeight="1" x14ac:dyDescent="0.25">
      <c r="A329" s="6" t="s">
        <v>336</v>
      </c>
      <c r="B329" s="6" t="str">
        <f ca="1">IFERROR(__xludf.DUMMYFUNCTION("GOOGLETRANSLATE(A329,""bn"",""en"")"),"The sound of crickets chirping throughout the night is a soothing backdrop to the darkness")</f>
        <v>The sound of crickets chirping throughout the night is a soothing backdrop to the darkness</v>
      </c>
      <c r="C329" s="8" t="s">
        <v>13</v>
      </c>
      <c r="D329" s="8" t="s">
        <v>14</v>
      </c>
      <c r="E329" s="8">
        <v>1</v>
      </c>
    </row>
    <row r="330" spans="1:5" ht="15.75" customHeight="1" x14ac:dyDescent="0.25">
      <c r="A330" s="6" t="s">
        <v>337</v>
      </c>
      <c r="B330" s="6" t="str">
        <f ca="1">IFERROR(__xludf.DUMMYFUNCTION("GOOGLETRANSLATE(A330,""bn"",""en"")"),"Performance metrics quantify progress toward organizational objectives")</f>
        <v>Performance metrics quantify progress toward organizational objectives</v>
      </c>
      <c r="C330" s="8" t="s">
        <v>13</v>
      </c>
      <c r="D330" s="8" t="s">
        <v>14</v>
      </c>
      <c r="E330" s="8">
        <v>1</v>
      </c>
    </row>
    <row r="331" spans="1:5" ht="15.75" customHeight="1" x14ac:dyDescent="0.25">
      <c r="A331" s="6" t="s">
        <v>338</v>
      </c>
      <c r="B331" s="6" t="str">
        <f ca="1">IFERROR(__xludf.DUMMYFUNCTION("GOOGLETRANSLATE(A331,""bn"",""en"")"),"Hypertrophic cardiomyopathy is a genetic condition in which the heart muscle thickens, affecting its ability to pump blood effectively.")</f>
        <v>Hypertrophic cardiomyopathy is a genetic condition in which the heart muscle thickens, affecting its ability to pump blood effectively.</v>
      </c>
      <c r="C331" s="8" t="s">
        <v>13</v>
      </c>
      <c r="D331" s="8" t="s">
        <v>14</v>
      </c>
      <c r="E331" s="8">
        <v>1</v>
      </c>
    </row>
    <row r="332" spans="1:5" ht="15.75" customHeight="1" x14ac:dyDescent="0.25">
      <c r="A332" s="6" t="s">
        <v>339</v>
      </c>
      <c r="B332" s="6" t="str">
        <f ca="1">IFERROR(__xludf.DUMMYFUNCTION("GOOGLETRANSLATE(A332,""bn"",""en"")"),"His mind was agitated")</f>
        <v>His mind was agitated</v>
      </c>
      <c r="C332" s="7" t="s">
        <v>6</v>
      </c>
      <c r="D332" s="7" t="s">
        <v>7</v>
      </c>
      <c r="E332" s="7">
        <v>0</v>
      </c>
    </row>
    <row r="333" spans="1:5" ht="15.75" customHeight="1" x14ac:dyDescent="0.25">
      <c r="A333" s="6" t="s">
        <v>340</v>
      </c>
      <c r="B333" s="6" t="str">
        <f ca="1">IFERROR(__xludf.DUMMYFUNCTION("GOOGLETRANSLATE(A333,""bn"",""en"")"),"Soon after evening he was sitting in his room to read")</f>
        <v>Soon after evening he was sitting in his room to read</v>
      </c>
      <c r="C333" s="7" t="s">
        <v>6</v>
      </c>
      <c r="D333" s="7" t="s">
        <v>7</v>
      </c>
      <c r="E333" s="7">
        <v>0</v>
      </c>
    </row>
    <row r="334" spans="1:5" ht="15.75" customHeight="1" x14ac:dyDescent="0.25">
      <c r="A334" s="6" t="s">
        <v>341</v>
      </c>
      <c r="B334" s="6" t="str">
        <f ca="1">IFERROR(__xludf.DUMMYFUNCTION("GOOGLETRANSLATE(A334,""bn"",""en"")"),"Sashish was our flower when he withered away, only our thorns became fiercely bare.")</f>
        <v>Sashish was our flower when he withered away, only our thorns became fiercely bare.</v>
      </c>
      <c r="C334" s="7" t="s">
        <v>6</v>
      </c>
      <c r="D334" s="7" t="s">
        <v>7</v>
      </c>
      <c r="E334" s="7">
        <v>0</v>
      </c>
    </row>
    <row r="335" spans="1:5" ht="15.75" customHeight="1" x14ac:dyDescent="0.25">
      <c r="A335" s="6" t="s">
        <v>342</v>
      </c>
      <c r="B335" s="6" t="str">
        <f ca="1">IFERROR(__xludf.DUMMYFUNCTION("GOOGLETRANSLATE(A335,""bn"",""en"")"),"Without knowing anything about the history, I was very angry with Sachish")</f>
        <v>Without knowing anything about the history, I was very angry with Sachish</v>
      </c>
      <c r="C335" s="7" t="s">
        <v>6</v>
      </c>
      <c r="D335" s="7" t="s">
        <v>7</v>
      </c>
      <c r="E335" s="7">
        <v>0</v>
      </c>
    </row>
    <row r="336" spans="1:5" ht="15.75" customHeight="1" x14ac:dyDescent="0.25">
      <c r="A336" s="6" t="s">
        <v>343</v>
      </c>
      <c r="B336" s="6" t="str">
        <f ca="1">IFERROR(__xludf.DUMMYFUNCTION("GOOGLETRANSLATE(A336,""bn"",""en"")"),"It would be better to take a picture from any direction")</f>
        <v>It would be better to take a picture from any direction</v>
      </c>
      <c r="C336" s="7" t="s">
        <v>6</v>
      </c>
      <c r="D336" s="7" t="s">
        <v>7</v>
      </c>
      <c r="E336" s="7">
        <v>0</v>
      </c>
    </row>
    <row r="337" spans="1:5" ht="15.75" customHeight="1" x14ac:dyDescent="0.25">
      <c r="A337" s="6" t="s">
        <v>344</v>
      </c>
      <c r="B337" s="6" t="str">
        <f ca="1">IFERROR(__xludf.DUMMYFUNCTION("GOOGLETRANSLATE(A337,""bn"",""en"")"),"By whose hands I have passed so far")</f>
        <v>By whose hands I have passed so far</v>
      </c>
      <c r="C337" s="8" t="s">
        <v>13</v>
      </c>
      <c r="D337" s="8" t="s">
        <v>14</v>
      </c>
      <c r="E337" s="8">
        <v>1</v>
      </c>
    </row>
    <row r="338" spans="1:5" ht="15.75" customHeight="1" x14ac:dyDescent="0.25">
      <c r="A338" s="6" t="s">
        <v>345</v>
      </c>
      <c r="B338" s="6" t="str">
        <f ca="1">IFERROR(__xludf.DUMMYFUNCTION("GOOGLETRANSLATE(A338,""bn"",""en"")"),"The memories of these wise men are still etched in my mind forever")</f>
        <v>The memories of these wise men are still etched in my mind forever</v>
      </c>
      <c r="C338" s="8" t="s">
        <v>13</v>
      </c>
      <c r="D338" s="8" t="s">
        <v>14</v>
      </c>
      <c r="E338" s="8">
        <v>1</v>
      </c>
    </row>
    <row r="339" spans="1:5" ht="15.75" customHeight="1" x14ac:dyDescent="0.25">
      <c r="A339" s="6" t="s">
        <v>346</v>
      </c>
      <c r="B339" s="6" t="str">
        <f ca="1">IFERROR(__xludf.DUMMYFUNCTION("GOOGLETRANSLATE(A339,""bn"",""en"")"),"He was the captain of United")</f>
        <v>He was the captain of United</v>
      </c>
      <c r="C339" s="8" t="s">
        <v>13</v>
      </c>
      <c r="D339" s="8" t="s">
        <v>14</v>
      </c>
      <c r="E339" s="8">
        <v>1</v>
      </c>
    </row>
    <row r="340" spans="1:5" ht="15.75" customHeight="1" x14ac:dyDescent="0.25">
      <c r="A340" s="6" t="s">
        <v>347</v>
      </c>
      <c r="B340" s="6" t="str">
        <f ca="1">IFERROR(__xludf.DUMMYFUNCTION("GOOGLETRANSLATE(A340,""bn"",""en"")"),"As a result, there was a huge improvement in art architecture technology")</f>
        <v>As a result, there was a huge improvement in art architecture technology</v>
      </c>
      <c r="C340" s="8" t="s">
        <v>13</v>
      </c>
      <c r="D340" s="8" t="s">
        <v>14</v>
      </c>
      <c r="E340" s="8">
        <v>1</v>
      </c>
    </row>
    <row r="341" spans="1:5" ht="15.75" customHeight="1" x14ac:dyDescent="0.25">
      <c r="A341" s="6" t="s">
        <v>348</v>
      </c>
      <c r="B341" s="6" t="str">
        <f ca="1">IFERROR(__xludf.DUMMYFUNCTION("GOOGLETRANSLATE(A341,""bn"",""en"")"),"Newspapers were our only means of communication with the outside world")</f>
        <v>Newspapers were our only means of communication with the outside world</v>
      </c>
      <c r="C341" s="8" t="s">
        <v>13</v>
      </c>
      <c r="D341" s="8" t="s">
        <v>14</v>
      </c>
      <c r="E341" s="8">
        <v>1</v>
      </c>
    </row>
    <row r="342" spans="1:5" ht="15.75" customHeight="1" x14ac:dyDescent="0.25">
      <c r="A342" s="6" t="s">
        <v>349</v>
      </c>
      <c r="B342" s="6" t="str">
        <f ca="1">IFERROR(__xludf.DUMMYFUNCTION("GOOGLETRANSLATE(A342,""bn"",""en"")"),"It is necessary to make a mature construction language out of the language")</f>
        <v>It is necessary to make a mature construction language out of the language</v>
      </c>
      <c r="C342" s="7" t="s">
        <v>6</v>
      </c>
      <c r="D342" s="7" t="s">
        <v>7</v>
      </c>
      <c r="E342" s="7">
        <v>0</v>
      </c>
    </row>
    <row r="343" spans="1:5" ht="15.75" customHeight="1" x14ac:dyDescent="0.25">
      <c r="A343" s="6" t="s">
        <v>350</v>
      </c>
      <c r="B343" s="6" t="str">
        <f ca="1">IFERROR(__xludf.DUMMYFUNCTION("GOOGLETRANSLATE(A343,""bn"",""en"")"),"If you look at the sky, you may still see a little gray glow, the darkness is rapidly getting darker")</f>
        <v>If you look at the sky, you may still see a little gray glow, the darkness is rapidly getting darker</v>
      </c>
      <c r="C343" s="7" t="s">
        <v>6</v>
      </c>
      <c r="D343" s="7" t="s">
        <v>7</v>
      </c>
      <c r="E343" s="7">
        <v>0</v>
      </c>
    </row>
    <row r="344" spans="1:5" ht="15.75" customHeight="1" x14ac:dyDescent="0.25">
      <c r="A344" s="6" t="s">
        <v>351</v>
      </c>
      <c r="B344" s="6" t="str">
        <f ca="1">IFERROR(__xludf.DUMMYFUNCTION("GOOGLETRANSLATE(A344,""bn"",""en"")"),"Sachish was studying in BA class then")</f>
        <v>Sachish was studying in BA class then</v>
      </c>
      <c r="C344" s="7" t="s">
        <v>6</v>
      </c>
      <c r="D344" s="7" t="s">
        <v>7</v>
      </c>
      <c r="E344" s="7">
        <v>0</v>
      </c>
    </row>
    <row r="345" spans="1:5" ht="15.75" customHeight="1" x14ac:dyDescent="0.25">
      <c r="A345" s="6" t="s">
        <v>352</v>
      </c>
      <c r="B345" s="6" t="str">
        <f ca="1">IFERROR(__xludf.DUMMYFUNCTION("GOOGLETRANSLATE(A345,""bn"",""en"")"),"He somehow consoled himself by saying that it was bad luck")</f>
        <v>He somehow consoled himself by saying that it was bad luck</v>
      </c>
      <c r="C345" s="7" t="s">
        <v>6</v>
      </c>
      <c r="D345" s="7" t="s">
        <v>7</v>
      </c>
      <c r="E345" s="7">
        <v>0</v>
      </c>
    </row>
    <row r="346" spans="1:5" ht="15.75" customHeight="1" x14ac:dyDescent="0.25">
      <c r="A346" s="6" t="s">
        <v>353</v>
      </c>
      <c r="B346" s="6" t="str">
        <f ca="1">IFERROR(__xludf.DUMMYFUNCTION("GOOGLETRANSLATE(A346,""bn"",""en"")"),"Some are lying on the back of a buffalo, some are sitting on the back of a buffalo, some are dancing.")</f>
        <v>Some are lying on the back of a buffalo, some are sitting on the back of a buffalo, some are dancing.</v>
      </c>
      <c r="C346" s="7" t="s">
        <v>6</v>
      </c>
      <c r="D346" s="7" t="s">
        <v>7</v>
      </c>
      <c r="E346" s="7">
        <v>0</v>
      </c>
    </row>
    <row r="347" spans="1:5" ht="15.75" customHeight="1" x14ac:dyDescent="0.25">
      <c r="A347" s="6" t="s">
        <v>354</v>
      </c>
      <c r="B347" s="6" t="str">
        <f ca="1">IFERROR(__xludf.DUMMYFUNCTION("GOOGLETRANSLATE(A347,""bn"",""en"")"),"Calories are very low")</f>
        <v>Calories are very low</v>
      </c>
      <c r="C347" s="8" t="s">
        <v>13</v>
      </c>
      <c r="D347" s="8" t="s">
        <v>14</v>
      </c>
      <c r="E347" s="8">
        <v>1</v>
      </c>
    </row>
    <row r="348" spans="1:5" ht="15.75" customHeight="1" x14ac:dyDescent="0.25">
      <c r="A348" s="6" t="s">
        <v>355</v>
      </c>
      <c r="B348" s="6" t="str">
        <f ca="1">IFERROR(__xludf.DUMMYFUNCTION("GOOGLETRANSLATE(A348,""bn"",""en"")"),"Adaptive leadership approaches to navigate the dynamic business landscape")</f>
        <v>Adaptive leadership approaches to navigate the dynamic business landscape</v>
      </c>
      <c r="C348" s="8" t="s">
        <v>13</v>
      </c>
      <c r="D348" s="8" t="s">
        <v>14</v>
      </c>
      <c r="E348" s="8">
        <v>1</v>
      </c>
    </row>
    <row r="349" spans="1:5" ht="15.75" customHeight="1" x14ac:dyDescent="0.25">
      <c r="A349" s="6" t="s">
        <v>356</v>
      </c>
      <c r="B349" s="6" t="str">
        <f ca="1">IFERROR(__xludf.DUMMYFUNCTION("GOOGLETRANSLATE(A349,""bn"",""en"")"),"They quickly crossed the border of the forest and went to the city")</f>
        <v>They quickly crossed the border of the forest and went to the city</v>
      </c>
      <c r="C349" s="8" t="s">
        <v>13</v>
      </c>
      <c r="D349" s="8" t="s">
        <v>14</v>
      </c>
      <c r="E349" s="8">
        <v>1</v>
      </c>
    </row>
    <row r="350" spans="1:5" ht="15.75" customHeight="1" x14ac:dyDescent="0.25">
      <c r="A350" s="6" t="s">
        <v>357</v>
      </c>
      <c r="B350" s="6" t="str">
        <f ca="1">IFERROR(__xludf.DUMMYFUNCTION("GOOGLETRANSLATE(A350,""bn"",""en"")"),"Prioritize your physical health by eating well, exercising regularly, getting adequate rest")</f>
        <v>Prioritize your physical health by eating well, exercising regularly, getting adequate rest</v>
      </c>
      <c r="C350" s="8" t="s">
        <v>13</v>
      </c>
      <c r="D350" s="8" t="s">
        <v>14</v>
      </c>
      <c r="E350" s="8">
        <v>1</v>
      </c>
    </row>
    <row r="351" spans="1:5" ht="15.75" customHeight="1" x14ac:dyDescent="0.25">
      <c r="A351" s="6" t="s">
        <v>358</v>
      </c>
      <c r="B351" s="6" t="str">
        <f ca="1">IFERROR(__xludf.DUMMYFUNCTION("GOOGLETRANSLATE(A351,""bn"",""en"")"),"I enjoyed reading the book")</f>
        <v>I enjoyed reading the book</v>
      </c>
      <c r="C351" s="8" t="s">
        <v>13</v>
      </c>
      <c r="D351" s="8" t="s">
        <v>14</v>
      </c>
      <c r="E351" s="8">
        <v>1</v>
      </c>
    </row>
    <row r="352" spans="1:5" ht="15.75" customHeight="1" x14ac:dyDescent="0.25">
      <c r="A352" s="6" t="s">
        <v>359</v>
      </c>
      <c r="B352" s="6" t="str">
        <f ca="1">IFERROR(__xludf.DUMMYFUNCTION("GOOGLETRANSLATE(A352,""bn"",""en"")"),"We two brothers left the house with the noble intention of getting a haircut")</f>
        <v>We two brothers left the house with the noble intention of getting a haircut</v>
      </c>
      <c r="C352" s="7" t="s">
        <v>6</v>
      </c>
      <c r="D352" s="7" t="s">
        <v>7</v>
      </c>
      <c r="E352" s="7">
        <v>0</v>
      </c>
    </row>
    <row r="353" spans="1:5" ht="15.75" customHeight="1" x14ac:dyDescent="0.25">
      <c r="A353" s="6" t="s">
        <v>360</v>
      </c>
      <c r="B353" s="6" t="str">
        <f ca="1">IFERROR(__xludf.DUMMYFUNCTION("GOOGLETRANSLATE(A353,""bn"",""en"")"),"Only he has the courage to stand in front of the leader and speak loudly")</f>
        <v>Only he has the courage to stand in front of the leader and speak loudly</v>
      </c>
      <c r="C353" s="7" t="s">
        <v>6</v>
      </c>
      <c r="D353" s="7" t="s">
        <v>7</v>
      </c>
      <c r="E353" s="7">
        <v>0</v>
      </c>
    </row>
    <row r="354" spans="1:5" ht="15.75" customHeight="1" x14ac:dyDescent="0.25">
      <c r="A354" s="6" t="s">
        <v>361</v>
      </c>
      <c r="B354" s="6" t="str">
        <f ca="1">IFERROR(__xludf.DUMMYFUNCTION("GOOGLETRANSLATE(A354,""bn"",""en"")"),"He used to meet everyone and have various conversations")</f>
        <v>He used to meet everyone and have various conversations</v>
      </c>
      <c r="C354" s="7" t="s">
        <v>6</v>
      </c>
      <c r="D354" s="7" t="s">
        <v>7</v>
      </c>
      <c r="E354" s="7">
        <v>0</v>
      </c>
    </row>
    <row r="355" spans="1:5" ht="15.75" customHeight="1" x14ac:dyDescent="0.25">
      <c r="A355" s="6" t="s">
        <v>362</v>
      </c>
      <c r="B355" s="6" t="str">
        <f ca="1">IFERROR(__xludf.DUMMYFUNCTION("GOOGLETRANSLATE(A355,""bn"",""en"")"),"I went and stood in front of him and the bird did not fly when he saw me")</f>
        <v>I went and stood in front of him and the bird did not fly when he saw me</v>
      </c>
      <c r="C355" s="7" t="s">
        <v>6</v>
      </c>
      <c r="D355" s="7" t="s">
        <v>7</v>
      </c>
      <c r="E355" s="7">
        <v>0</v>
      </c>
    </row>
    <row r="356" spans="1:5" ht="15.75" customHeight="1" x14ac:dyDescent="0.25">
      <c r="A356" s="6" t="s">
        <v>363</v>
      </c>
      <c r="B356" s="6" t="str">
        <f ca="1">IFERROR(__xludf.DUMMYFUNCTION("GOOGLETRANSLATE(A356,""bn"",""en"")"),"Later, in order to satisfy his greed, he allowed him to cry and eat Rambha as much as he wanted")</f>
        <v>Later, in order to satisfy his greed, he allowed him to cry and eat Rambha as much as he wanted</v>
      </c>
      <c r="C356" s="7" t="s">
        <v>6</v>
      </c>
      <c r="D356" s="7" t="s">
        <v>7</v>
      </c>
      <c r="E356" s="7">
        <v>0</v>
      </c>
    </row>
    <row r="357" spans="1:5" ht="15.75" customHeight="1" x14ac:dyDescent="0.25">
      <c r="A357" s="6" t="s">
        <v>364</v>
      </c>
      <c r="B357" s="6" t="str">
        <f ca="1">IFERROR(__xludf.DUMMYFUNCTION("GOOGLETRANSLATE(A357,""bn"",""en"")"),"Folk believe that no one can harm the user with the broken item")</f>
        <v>Folk believe that no one can harm the user with the broken item</v>
      </c>
      <c r="C357" s="8" t="s">
        <v>13</v>
      </c>
      <c r="D357" s="8" t="s">
        <v>14</v>
      </c>
      <c r="E357" s="8">
        <v>1</v>
      </c>
    </row>
    <row r="358" spans="1:5" ht="15.75" customHeight="1" x14ac:dyDescent="0.25">
      <c r="A358" s="6" t="s">
        <v>365</v>
      </c>
      <c r="B358" s="6" t="str">
        <f ca="1">IFERROR(__xludf.DUMMYFUNCTION("GOOGLETRANSLATE(A358,""bn"",""en"")"),"Rumi came to see Rana")</f>
        <v>Rumi came to see Rana</v>
      </c>
      <c r="C358" s="8" t="s">
        <v>13</v>
      </c>
      <c r="D358" s="8" t="s">
        <v>14</v>
      </c>
      <c r="E358" s="8">
        <v>1</v>
      </c>
    </row>
    <row r="359" spans="1:5" ht="15.75" customHeight="1" x14ac:dyDescent="0.25">
      <c r="A359" s="6" t="s">
        <v>366</v>
      </c>
      <c r="B359" s="6" t="str">
        <f ca="1">IFERROR(__xludf.DUMMYFUNCTION("GOOGLETRANSLATE(A359,""bn"",""en"")"),"Full success did not come")</f>
        <v>Full success did not come</v>
      </c>
      <c r="C359" s="8" t="s">
        <v>13</v>
      </c>
      <c r="D359" s="8" t="s">
        <v>14</v>
      </c>
      <c r="E359" s="8">
        <v>1</v>
      </c>
    </row>
    <row r="360" spans="1:5" ht="15.75" customHeight="1" x14ac:dyDescent="0.25">
      <c r="A360" s="6" t="s">
        <v>367</v>
      </c>
      <c r="B360" s="6" t="str">
        <f ca="1">IFERROR(__xludf.DUMMYFUNCTION("GOOGLETRANSLATE(A360,""bn"",""en"")"),"He breathed a sigh of relief after a long day of work in the evening")</f>
        <v>He breathed a sigh of relief after a long day of work in the evening</v>
      </c>
      <c r="C360" s="8" t="s">
        <v>13</v>
      </c>
      <c r="D360" s="8" t="s">
        <v>14</v>
      </c>
      <c r="E360" s="8">
        <v>1</v>
      </c>
    </row>
    <row r="361" spans="1:5" ht="15.75" customHeight="1" x14ac:dyDescent="0.25">
      <c r="A361" s="6" t="s">
        <v>368</v>
      </c>
      <c r="B361" s="6" t="str">
        <f ca="1">IFERROR(__xludf.DUMMYFUNCTION("GOOGLETRANSLATE(A361,""bn"",""en"")"),"Sumi told this to my father")</f>
        <v>Sumi told this to my father</v>
      </c>
      <c r="C361" s="8" t="s">
        <v>13</v>
      </c>
      <c r="D361" s="8" t="s">
        <v>14</v>
      </c>
      <c r="E361" s="8">
        <v>1</v>
      </c>
    </row>
    <row r="362" spans="1:5" ht="15.75" customHeight="1" x14ac:dyDescent="0.25">
      <c r="A362" s="6" t="s">
        <v>369</v>
      </c>
      <c r="B362" s="6" t="str">
        <f ca="1">IFERROR(__xludf.DUMMYFUNCTION("GOOGLETRANSLATE(A362,""bn"",""en"")"),"Everyone pretends that the bride has no right to enter here")</f>
        <v>Everyone pretends that the bride has no right to enter here</v>
      </c>
      <c r="C362" s="7" t="s">
        <v>6</v>
      </c>
      <c r="D362" s="7" t="s">
        <v>7</v>
      </c>
      <c r="E362" s="7">
        <v>0</v>
      </c>
    </row>
    <row r="363" spans="1:5" ht="15.75" customHeight="1" x14ac:dyDescent="0.25">
      <c r="A363" s="6" t="s">
        <v>370</v>
      </c>
      <c r="B363" s="6" t="str">
        <f ca="1">IFERROR(__xludf.DUMMYFUNCTION("GOOGLETRANSLATE(A363,""bn"",""en"")"),"I feel that coal has caught up")</f>
        <v>I feel that coal has caught up</v>
      </c>
      <c r="C363" s="7" t="s">
        <v>6</v>
      </c>
      <c r="D363" s="7" t="s">
        <v>7</v>
      </c>
      <c r="E363" s="7">
        <v>0</v>
      </c>
    </row>
    <row r="364" spans="1:5" ht="15.75" customHeight="1" x14ac:dyDescent="0.25">
      <c r="A364" s="6" t="s">
        <v>371</v>
      </c>
      <c r="B364" s="6" t="str">
        <f ca="1">IFERROR(__xludf.DUMMYFUNCTION("GOOGLETRANSLATE(A364,""bn"",""en"")"),"A helpless child was crying by the side of the road")</f>
        <v>A helpless child was crying by the side of the road</v>
      </c>
      <c r="C364" s="7" t="s">
        <v>6</v>
      </c>
      <c r="D364" s="7" t="s">
        <v>7</v>
      </c>
      <c r="E364" s="7">
        <v>0</v>
      </c>
    </row>
    <row r="365" spans="1:5" ht="15.75" customHeight="1" x14ac:dyDescent="0.25">
      <c r="A365" s="6" t="s">
        <v>372</v>
      </c>
      <c r="B365" s="6" t="str">
        <f ca="1">IFERROR(__xludf.DUMMYFUNCTION("GOOGLETRANSLATE(A365,""bn"",""en"")"),"I could see him from a distance")</f>
        <v>I could see him from a distance</v>
      </c>
      <c r="C365" s="7" t="s">
        <v>6</v>
      </c>
      <c r="D365" s="7" t="s">
        <v>7</v>
      </c>
      <c r="E365" s="7">
        <v>0</v>
      </c>
    </row>
    <row r="366" spans="1:5" ht="15.75" customHeight="1" x14ac:dyDescent="0.25">
      <c r="A366" s="6" t="s">
        <v>373</v>
      </c>
      <c r="B366" s="6" t="str">
        <f ca="1">IFERROR(__xludf.DUMMYFUNCTION("GOOGLETRANSLATE(A366,""bn"",""en"")"),"Even if he comes to the crematorium in the morning, he will not be able to come")</f>
        <v>Even if he comes to the crematorium in the morning, he will not be able to come</v>
      </c>
      <c r="C366" s="7" t="s">
        <v>6</v>
      </c>
      <c r="D366" s="7" t="s">
        <v>7</v>
      </c>
      <c r="E366" s="7">
        <v>0</v>
      </c>
    </row>
    <row r="367" spans="1:5" ht="15.75" customHeight="1" x14ac:dyDescent="0.25">
      <c r="A367" s="6" t="s">
        <v>374</v>
      </c>
      <c r="B367" s="6" t="str">
        <f ca="1">IFERROR(__xludf.DUMMYFUNCTION("GOOGLETRANSLATE(A367,""bn"",""en"")"),"Restorative justice focuses on repairing the harm caused by criminal acts")</f>
        <v>Restorative justice focuses on repairing the harm caused by criminal acts</v>
      </c>
      <c r="C367" s="8" t="s">
        <v>13</v>
      </c>
      <c r="D367" s="8" t="s">
        <v>14</v>
      </c>
      <c r="E367" s="8">
        <v>1</v>
      </c>
    </row>
    <row r="368" spans="1:5" ht="15.75" customHeight="1" x14ac:dyDescent="0.25">
      <c r="A368" s="6" t="s">
        <v>375</v>
      </c>
      <c r="B368" s="6" t="str">
        <f ca="1">IFERROR(__xludf.DUMMYFUNCTION("GOOGLETRANSLATE(A368,""bn"",""en"")"),"It is not possible to scratch the throat with both hands closed")</f>
        <v>It is not possible to scratch the throat with both hands closed</v>
      </c>
      <c r="C368" s="8" t="s">
        <v>13</v>
      </c>
      <c r="D368" s="8" t="s">
        <v>14</v>
      </c>
      <c r="E368" s="8">
        <v>1</v>
      </c>
    </row>
    <row r="369" spans="1:5" ht="15.75" customHeight="1" x14ac:dyDescent="0.25">
      <c r="A369" s="6" t="s">
        <v>376</v>
      </c>
      <c r="B369" s="6" t="str">
        <f ca="1">IFERROR(__xludf.DUMMYFUNCTION("GOOGLETRANSLATE(A369,""bn"",""en"")"),"The farmer picked the crops from the field")</f>
        <v>The farmer picked the crops from the field</v>
      </c>
      <c r="C369" s="8" t="s">
        <v>13</v>
      </c>
      <c r="D369" s="8" t="s">
        <v>14</v>
      </c>
      <c r="E369" s="8">
        <v>1</v>
      </c>
    </row>
    <row r="370" spans="1:5" ht="15.75" customHeight="1" x14ac:dyDescent="0.25">
      <c r="A370" s="6" t="s">
        <v>377</v>
      </c>
      <c r="B370" s="6" t="str">
        <f ca="1">IFERROR(__xludf.DUMMYFUNCTION("GOOGLETRANSLATE(A370,""bn"",""en"")"),"Like Share positivity")</f>
        <v>Like Share positivity</v>
      </c>
      <c r="C370" s="8" t="s">
        <v>13</v>
      </c>
      <c r="D370" s="8" t="s">
        <v>14</v>
      </c>
      <c r="E370" s="8">
        <v>1</v>
      </c>
    </row>
    <row r="371" spans="1:5" ht="15.75" customHeight="1" x14ac:dyDescent="0.25">
      <c r="A371" s="6" t="s">
        <v>378</v>
      </c>
      <c r="B371" s="6" t="str">
        <f ca="1">IFERROR(__xludf.DUMMYFUNCTION("GOOGLETRANSLATE(A371,""bn"",""en"")"),"Dance class promotes social connection")</f>
        <v>Dance class promotes social connection</v>
      </c>
      <c r="C371" s="8" t="s">
        <v>13</v>
      </c>
      <c r="D371" s="8" t="s">
        <v>14</v>
      </c>
      <c r="E371" s="8">
        <v>1</v>
      </c>
    </row>
    <row r="372" spans="1:5" ht="15.75" customHeight="1" x14ac:dyDescent="0.25">
      <c r="A372" s="6" t="s">
        <v>379</v>
      </c>
      <c r="B372" s="6" t="str">
        <f ca="1">IFERROR(__xludf.DUMMYFUNCTION("GOOGLETRANSLATE(A372,""bn"",""en"")"),"I didn't recognize him at first")</f>
        <v>I didn't recognize him at first</v>
      </c>
      <c r="C372" s="7" t="s">
        <v>6</v>
      </c>
      <c r="D372" s="7" t="s">
        <v>7</v>
      </c>
      <c r="E372" s="7">
        <v>0</v>
      </c>
    </row>
    <row r="373" spans="1:5" ht="15.75" customHeight="1" x14ac:dyDescent="0.25">
      <c r="A373" s="6" t="s">
        <v>380</v>
      </c>
      <c r="B373" s="6" t="str">
        <f ca="1">IFERROR(__xludf.DUMMYFUNCTION("GOOGLETRANSLATE(A373,""bn"",""en"")"),"Sashi is feared by all for these qualities that are necessary for survival in the world")</f>
        <v>Sashi is feared by all for these qualities that are necessary for survival in the world</v>
      </c>
      <c r="C373" s="7" t="s">
        <v>6</v>
      </c>
      <c r="D373" s="7" t="s">
        <v>7</v>
      </c>
      <c r="E373" s="7">
        <v>0</v>
      </c>
    </row>
    <row r="374" spans="1:5" ht="15.75" customHeight="1" x14ac:dyDescent="0.25">
      <c r="A374" s="6" t="s">
        <v>381</v>
      </c>
      <c r="B374" s="6" t="str">
        <f ca="1">IFERROR(__xludf.DUMMYFUNCTION("GOOGLETRANSLATE(A374,""bn"",""en"")"),"Slowly he tied his key ring and heaved a sigh of relief and lay down on his side")</f>
        <v>Slowly he tied his key ring and heaved a sigh of relief and lay down on his side</v>
      </c>
      <c r="C374" s="7" t="s">
        <v>6</v>
      </c>
      <c r="D374" s="7" t="s">
        <v>7</v>
      </c>
      <c r="E374" s="7">
        <v>0</v>
      </c>
    </row>
    <row r="375" spans="1:5" ht="15.75" customHeight="1" x14ac:dyDescent="0.25">
      <c r="A375" s="6" t="s">
        <v>382</v>
      </c>
      <c r="B375" s="6" t="str">
        <f ca="1">IFERROR(__xludf.DUMMYFUNCTION("GOOGLETRANSLATE(A375,""bn"",""en"")"),"Now my confusion cleared I knew only one verse of Mandakrantachchanda")</f>
        <v>Now my confusion cleared I knew only one verse of Mandakrantachchanda</v>
      </c>
      <c r="C375" s="7" t="s">
        <v>6</v>
      </c>
      <c r="D375" s="7" t="s">
        <v>7</v>
      </c>
      <c r="E375" s="7">
        <v>0</v>
      </c>
    </row>
    <row r="376" spans="1:5" ht="15.75" customHeight="1" x14ac:dyDescent="0.25">
      <c r="A376" s="6" t="s">
        <v>383</v>
      </c>
      <c r="B376" s="6" t="str">
        <f ca="1">IFERROR(__xludf.DUMMYFUNCTION("GOOGLETRANSLATE(A376,""bn"",""en"")"),"Smoke is slowly rising from two villages in the forest")</f>
        <v>Smoke is slowly rising from two villages in the forest</v>
      </c>
      <c r="C376" s="7" t="s">
        <v>6</v>
      </c>
      <c r="D376" s="7" t="s">
        <v>7</v>
      </c>
      <c r="E376" s="7">
        <v>0</v>
      </c>
    </row>
    <row r="377" spans="1:5" ht="15.75" customHeight="1" x14ac:dyDescent="0.25">
      <c r="A377" s="6" t="s">
        <v>384</v>
      </c>
      <c r="B377" s="6" t="str">
        <f ca="1">IFERROR(__xludf.DUMMYFUNCTION("GOOGLETRANSLATE(A377,""bn"",""en"")"),"Sujan listened to us")</f>
        <v>Sujan listened to us</v>
      </c>
      <c r="C377" s="8" t="s">
        <v>13</v>
      </c>
      <c r="D377" s="8" t="s">
        <v>14</v>
      </c>
      <c r="E377" s="8">
        <v>1</v>
      </c>
    </row>
    <row r="378" spans="1:5" ht="15.75" customHeight="1" x14ac:dyDescent="0.25">
      <c r="A378" s="6" t="s">
        <v>385</v>
      </c>
      <c r="B378" s="6" t="str">
        <f ca="1">IFERROR(__xludf.DUMMYFUNCTION("GOOGLETRANSLATE(A378,""bn"",""en"")"),"Roni asks Rana to go for a walk")</f>
        <v>Roni asks Rana to go for a walk</v>
      </c>
      <c r="C378" s="8" t="s">
        <v>13</v>
      </c>
      <c r="D378" s="8" t="s">
        <v>14</v>
      </c>
      <c r="E378" s="8">
        <v>1</v>
      </c>
    </row>
    <row r="379" spans="1:5" ht="15.75" customHeight="1" x14ac:dyDescent="0.25">
      <c r="A379" s="6" t="s">
        <v>386</v>
      </c>
      <c r="B379" s="6" t="str">
        <f ca="1">IFERROR(__xludf.DUMMYFUNCTION("GOOGLETRANSLATE(A379,""bn"",""en"")"),"The Bolivians counterattacked and intercepted them")</f>
        <v>The Bolivians counterattacked and intercepted them</v>
      </c>
      <c r="C379" s="8" t="s">
        <v>13</v>
      </c>
      <c r="D379" s="8" t="s">
        <v>14</v>
      </c>
      <c r="E379" s="8">
        <v>1</v>
      </c>
    </row>
    <row r="380" spans="1:5" ht="15.75" customHeight="1" x14ac:dyDescent="0.25">
      <c r="A380" s="6" t="s">
        <v>387</v>
      </c>
      <c r="B380" s="6" t="str">
        <f ca="1">IFERROR(__xludf.DUMMYFUNCTION("GOOGLETRANSLATE(A380,""bn"",""en"")"),"Various strange sounds are heard in that deep forest")</f>
        <v>Various strange sounds are heard in that deep forest</v>
      </c>
      <c r="C380" s="8" t="s">
        <v>13</v>
      </c>
      <c r="D380" s="8" t="s">
        <v>14</v>
      </c>
      <c r="E380" s="8">
        <v>1</v>
      </c>
    </row>
    <row r="381" spans="1:5" ht="15.75" customHeight="1" x14ac:dyDescent="0.25">
      <c r="A381" s="6" t="s">
        <v>388</v>
      </c>
      <c r="B381" s="6" t="str">
        <f ca="1">IFERROR(__xludf.DUMMYFUNCTION("GOOGLETRANSLATE(A381,""bn"",""en"")"),"Newspapers would reach the desired readers")</f>
        <v>Newspapers would reach the desired readers</v>
      </c>
      <c r="C381" s="8" t="s">
        <v>13</v>
      </c>
      <c r="D381" s="8" t="s">
        <v>14</v>
      </c>
      <c r="E381" s="8">
        <v>1</v>
      </c>
    </row>
    <row r="382" spans="1:5" ht="15.75" customHeight="1" x14ac:dyDescent="0.25">
      <c r="A382" s="6" t="s">
        <v>389</v>
      </c>
      <c r="B382" s="6" t="str">
        <f ca="1">IFERROR(__xludf.DUMMYFUNCTION("GOOGLETRANSLATE(A382,""bn"",""en"")"),"Shashi could recognize Haru as soon as he got closer")</f>
        <v>Shashi could recognize Haru as soon as he got closer</v>
      </c>
      <c r="C382" s="7" t="s">
        <v>6</v>
      </c>
      <c r="D382" s="7" t="s">
        <v>7</v>
      </c>
      <c r="E382" s="7">
        <v>0</v>
      </c>
    </row>
    <row r="383" spans="1:5" ht="15.75" customHeight="1" x14ac:dyDescent="0.25">
      <c r="A383" s="6" t="s">
        <v>390</v>
      </c>
      <c r="B383" s="6" t="str">
        <f ca="1">IFERROR(__xludf.DUMMYFUNCTION("GOOGLETRANSLATE(A383,""bn"",""en"")"),"Marriage is not the same among all their nations")</f>
        <v>Marriage is not the same among all their nations</v>
      </c>
      <c r="C383" s="7" t="s">
        <v>6</v>
      </c>
      <c r="D383" s="7" t="s">
        <v>7</v>
      </c>
      <c r="E383" s="7">
        <v>0</v>
      </c>
    </row>
    <row r="384" spans="1:5" ht="15.75" customHeight="1" x14ac:dyDescent="0.25">
      <c r="A384" s="6" t="s">
        <v>391</v>
      </c>
      <c r="B384" s="6" t="str">
        <f ca="1">IFERROR(__xludf.DUMMYFUNCTION("GOOGLETRANSLATE(A384,""bn"",""en"")"),"On his mother's orders, he had to return from the court, take off his clothes, wash his hands and face and add water")</f>
        <v>On his mother's orders, he had to return from the court, take off his clothes, wash his hands and face and add water</v>
      </c>
      <c r="C384" s="7" t="s">
        <v>6</v>
      </c>
      <c r="D384" s="7" t="s">
        <v>7</v>
      </c>
      <c r="E384" s="7">
        <v>0</v>
      </c>
    </row>
    <row r="385" spans="1:5" ht="15.75" customHeight="1" x14ac:dyDescent="0.25">
      <c r="A385" s="6" t="s">
        <v>392</v>
      </c>
      <c r="B385" s="6" t="str">
        <f ca="1">IFERROR(__xludf.DUMMYFUNCTION("GOOGLETRANSLATE(A385,""bn"",""en"")"),"No level is uniform, each rises somewhere and descends somewhere")</f>
        <v>No level is uniform, each rises somewhere and descends somewhere</v>
      </c>
      <c r="C385" s="7" t="s">
        <v>6</v>
      </c>
      <c r="D385" s="7" t="s">
        <v>7</v>
      </c>
      <c r="E385" s="7">
        <v>0</v>
      </c>
    </row>
    <row r="386" spans="1:5" ht="15.75" customHeight="1" x14ac:dyDescent="0.25">
      <c r="A386" s="6" t="s">
        <v>393</v>
      </c>
      <c r="B386" s="6" t="str">
        <f ca="1">IFERROR(__xludf.DUMMYFUNCTION("GOOGLETRANSLATE(A386,""bn"",""en"")"),"When the old man was put to bed, the girl looked around")</f>
        <v>When the old man was put to bed, the girl looked around</v>
      </c>
      <c r="C386" s="7" t="s">
        <v>6</v>
      </c>
      <c r="D386" s="7" t="s">
        <v>7</v>
      </c>
      <c r="E386" s="7">
        <v>0</v>
      </c>
    </row>
    <row r="387" spans="1:5" ht="15.75" customHeight="1" x14ac:dyDescent="0.25">
      <c r="A387" s="6" t="s">
        <v>394</v>
      </c>
      <c r="B387" s="6" t="str">
        <f ca="1">IFERROR(__xludf.DUMMYFUNCTION("GOOGLETRANSLATE(A387,""bn"",""en"")"),"A tin doll of clothes could have been given to the rickshaw puller if he had taken it with him.")</f>
        <v>A tin doll of clothes could have been given to the rickshaw puller if he had taken it with him.</v>
      </c>
      <c r="C387" s="8" t="s">
        <v>13</v>
      </c>
      <c r="D387" s="8" t="s">
        <v>14</v>
      </c>
      <c r="E387" s="8">
        <v>1</v>
      </c>
    </row>
    <row r="388" spans="1:5" ht="15.75" customHeight="1" x14ac:dyDescent="0.25">
      <c r="A388" s="6" t="s">
        <v>395</v>
      </c>
      <c r="B388" s="6" t="str">
        <f ca="1">IFERROR(__xludf.DUMMYFUNCTION("GOOGLETRANSLATE(A388,""bn"",""en"")"),"Because his youngest son's life was saved")</f>
        <v>Because his youngest son's life was saved</v>
      </c>
      <c r="C388" s="8" t="s">
        <v>13</v>
      </c>
      <c r="D388" s="8" t="s">
        <v>14</v>
      </c>
      <c r="E388" s="8">
        <v>1</v>
      </c>
    </row>
    <row r="389" spans="1:5" ht="15.75" customHeight="1" x14ac:dyDescent="0.25">
      <c r="A389" s="6" t="s">
        <v>396</v>
      </c>
      <c r="B389" s="6" t="str">
        <f ca="1">IFERROR(__xludf.DUMMYFUNCTION("GOOGLETRANSLATE(A389,""bn"",""en"")"),"Newspapers provide in-depth coverage of local national international news")</f>
        <v>Newspapers provide in-depth coverage of local national international news</v>
      </c>
      <c r="C389" s="8" t="s">
        <v>13</v>
      </c>
      <c r="D389" s="8" t="s">
        <v>14</v>
      </c>
      <c r="E389" s="8">
        <v>1</v>
      </c>
    </row>
    <row r="390" spans="1:5" ht="15.75" customHeight="1" x14ac:dyDescent="0.25">
      <c r="A390" s="6" t="s">
        <v>397</v>
      </c>
      <c r="B390" s="6" t="str">
        <f ca="1">IFERROR(__xludf.DUMMYFUNCTION("GOOGLETRANSLATE(A390,""bn"",""en"")"),"Bird watching is a peaceful hobby")</f>
        <v>Bird watching is a peaceful hobby</v>
      </c>
      <c r="C390" s="8" t="s">
        <v>13</v>
      </c>
      <c r="D390" s="8" t="s">
        <v>14</v>
      </c>
      <c r="E390" s="8">
        <v>1</v>
      </c>
    </row>
    <row r="391" spans="1:5" ht="15.75" customHeight="1" x14ac:dyDescent="0.25">
      <c r="A391" s="6" t="s">
        <v>398</v>
      </c>
      <c r="B391" s="6" t="str">
        <f ca="1">IFERROR(__xludf.DUMMYFUNCTION("GOOGLETRANSLATE(A391,""bn"",""en"")"),"It took a long time to go to the market to buy water")</f>
        <v>It took a long time to go to the market to buy water</v>
      </c>
      <c r="C391" s="8" t="s">
        <v>13</v>
      </c>
      <c r="D391" s="8" t="s">
        <v>14</v>
      </c>
      <c r="E391" s="8">
        <v>1</v>
      </c>
    </row>
    <row r="392" spans="1:5" ht="15.75" customHeight="1" x14ac:dyDescent="0.25">
      <c r="A392" s="6" t="s">
        <v>399</v>
      </c>
      <c r="B392" s="6" t="str">
        <f ca="1">IFERROR(__xludf.DUMMYFUNCTION("GOOGLETRANSLATE(A392,""bn"",""en"")"),"Winter is approaching, fire is burning in two or three places.")</f>
        <v>Winter is approaching, fire is burning in two or three places.</v>
      </c>
      <c r="C392" s="7" t="s">
        <v>6</v>
      </c>
      <c r="D392" s="7" t="s">
        <v>7</v>
      </c>
      <c r="E392" s="7">
        <v>0</v>
      </c>
    </row>
    <row r="393" spans="1:5" ht="15.75" customHeight="1" x14ac:dyDescent="0.25">
      <c r="A393" s="6" t="s">
        <v>400</v>
      </c>
      <c r="B393" s="6" t="str">
        <f ca="1">IFERROR(__xludf.DUMMYFUNCTION("GOOGLETRANSLATE(A393,""bn"",""en"")"),"There is no limit to the outburst of shouting")</f>
        <v>There is no limit to the outburst of shouting</v>
      </c>
      <c r="C393" s="7" t="s">
        <v>6</v>
      </c>
      <c r="D393" s="7" t="s">
        <v>7</v>
      </c>
      <c r="E393" s="7">
        <v>0</v>
      </c>
    </row>
    <row r="394" spans="1:5" ht="15.75" customHeight="1" x14ac:dyDescent="0.25">
      <c r="A394" s="6" t="s">
        <v>401</v>
      </c>
      <c r="B394" s="6" t="str">
        <f ca="1">IFERROR(__xludf.DUMMYFUNCTION("GOOGLETRANSLATE(A394,""bn"",""en"")"),"He cried for me")</f>
        <v>He cried for me</v>
      </c>
      <c r="C394" s="7" t="s">
        <v>6</v>
      </c>
      <c r="D394" s="7" t="s">
        <v>7</v>
      </c>
      <c r="E394" s="7">
        <v>0</v>
      </c>
    </row>
    <row r="395" spans="1:5" ht="15.75" customHeight="1" x14ac:dyDescent="0.25">
      <c r="A395" s="6" t="s">
        <v>402</v>
      </c>
      <c r="B395" s="6" t="str">
        <f ca="1">IFERROR(__xludf.DUMMYFUNCTION("GOOGLETRANSLATE(A395,""bn"",""en"")"),"Shakib asked me to eat with him")</f>
        <v>Shakib asked me to eat with him</v>
      </c>
      <c r="C395" s="7" t="s">
        <v>6</v>
      </c>
      <c r="D395" s="7" t="s">
        <v>7</v>
      </c>
      <c r="E395" s="7">
        <v>0</v>
      </c>
    </row>
    <row r="396" spans="1:5" ht="15.75" customHeight="1" x14ac:dyDescent="0.25">
      <c r="A396" s="6" t="s">
        <v>403</v>
      </c>
      <c r="B396" s="6" t="str">
        <f ca="1">IFERROR(__xludf.DUMMYFUNCTION("GOOGLETRANSLATE(A396,""bn"",""en"")"),"The flesh is rotting all over the body, bones are sticking out")</f>
        <v>The flesh is rotting all over the body, bones are sticking out</v>
      </c>
      <c r="C396" s="7" t="s">
        <v>6</v>
      </c>
      <c r="D396" s="7" t="s">
        <v>7</v>
      </c>
      <c r="E396" s="7">
        <v>0</v>
      </c>
    </row>
    <row r="397" spans="1:5" ht="15.75" customHeight="1" x14ac:dyDescent="0.25">
      <c r="A397" s="6" t="s">
        <v>404</v>
      </c>
      <c r="B397" s="6" t="str">
        <f ca="1">IFERROR(__xludf.DUMMYFUNCTION("GOOGLETRANSLATE(A397,""bn"",""en"")"),"Breathe deeply during the workout")</f>
        <v>Breathe deeply during the workout</v>
      </c>
      <c r="C397" s="8" t="s">
        <v>13</v>
      </c>
      <c r="D397" s="8" t="s">
        <v>14</v>
      </c>
      <c r="E397" s="8">
        <v>1</v>
      </c>
    </row>
    <row r="398" spans="1:5" ht="15.75" customHeight="1" x14ac:dyDescent="0.25">
      <c r="A398" s="6" t="s">
        <v>405</v>
      </c>
      <c r="B398" s="6" t="str">
        <f ca="1">IFERROR(__xludf.DUMMYFUNCTION("GOOGLETRANSLATE(A398,""bn"",""en"")"),"Worship brings peace and tranquility")</f>
        <v>Worship brings peace and tranquility</v>
      </c>
      <c r="C398" s="8" t="s">
        <v>13</v>
      </c>
      <c r="D398" s="8" t="s">
        <v>14</v>
      </c>
      <c r="E398" s="8">
        <v>1</v>
      </c>
    </row>
    <row r="399" spans="1:5" ht="15.75" customHeight="1" x14ac:dyDescent="0.25">
      <c r="A399" s="6" t="s">
        <v>406</v>
      </c>
      <c r="B399" s="6" t="str">
        <f ca="1">IFERROR(__xludf.DUMMYFUNCTION("GOOGLETRANSLATE(A399,""bn"",""en"")"),"Many people go missing")</f>
        <v>Many people go missing</v>
      </c>
      <c r="C399" s="8" t="s">
        <v>13</v>
      </c>
      <c r="D399" s="8" t="s">
        <v>14</v>
      </c>
      <c r="E399" s="8">
        <v>1</v>
      </c>
    </row>
    <row r="400" spans="1:5" ht="15.75" customHeight="1" x14ac:dyDescent="0.25">
      <c r="A400" s="6" t="s">
        <v>407</v>
      </c>
      <c r="B400" s="6" t="str">
        <f ca="1">IFERROR(__xludf.DUMMYFUNCTION("GOOGLETRANSLATE(A400,""bn"",""en"")"),"Later, under pressure from the French, the Thais were forced to withdraw")</f>
        <v>Later, under pressure from the French, the Thais were forced to withdraw</v>
      </c>
      <c r="C400" s="8" t="s">
        <v>13</v>
      </c>
      <c r="D400" s="8" t="s">
        <v>14</v>
      </c>
      <c r="E400" s="8">
        <v>1</v>
      </c>
    </row>
    <row r="401" spans="1:5" ht="15.75" customHeight="1" x14ac:dyDescent="0.25">
      <c r="A401" s="6" t="s">
        <v>408</v>
      </c>
      <c r="B401" s="6" t="str">
        <f ca="1">IFERROR(__xludf.DUMMYFUNCTION("GOOGLETRANSLATE(A401,""bn"",""en"")"),"Swimming tones the entire body")</f>
        <v>Swimming tones the entire body</v>
      </c>
      <c r="C401" s="8" t="s">
        <v>13</v>
      </c>
      <c r="D401" s="8" t="s">
        <v>14</v>
      </c>
      <c r="E401" s="8">
        <v>1</v>
      </c>
    </row>
    <row r="402" spans="1:5" ht="15.75" customHeight="1" x14ac:dyDescent="0.25">
      <c r="A402" s="6" t="s">
        <v>409</v>
      </c>
      <c r="B402" s="6" t="str">
        <f ca="1">IFERROR(__xludf.DUMMYFUNCTION("GOOGLETRANSLATE(A402,""bn"",""en"")"),"He was so tired that day that he fell unconscious in a deep sleep")</f>
        <v>He was so tired that day that he fell unconscious in a deep sleep</v>
      </c>
      <c r="C402" s="7" t="s">
        <v>6</v>
      </c>
      <c r="D402" s="7" t="s">
        <v>7</v>
      </c>
      <c r="E402" s="7">
        <v>0</v>
      </c>
    </row>
    <row r="403" spans="1:5" ht="15.75" customHeight="1" x14ac:dyDescent="0.25">
      <c r="A403" s="6" t="s">
        <v>410</v>
      </c>
      <c r="B403" s="6" t="str">
        <f ca="1">IFERROR(__xludf.DUMMYFUNCTION("GOOGLETRANSLATE(A403,""bn"",""en"")"),"I will take a bath and pray")</f>
        <v>I will take a bath and pray</v>
      </c>
      <c r="C403" s="7" t="s">
        <v>6</v>
      </c>
      <c r="D403" s="7" t="s">
        <v>7</v>
      </c>
      <c r="E403" s="7">
        <v>0</v>
      </c>
    </row>
    <row r="404" spans="1:5" ht="15.75" customHeight="1" x14ac:dyDescent="0.25">
      <c r="A404" s="6" t="s">
        <v>411</v>
      </c>
      <c r="B404" s="6" t="str">
        <f ca="1">IFERROR(__xludf.DUMMYFUNCTION("GOOGLETRANSLATE(A404,""bn"",""en"")"),"Jamini wants to die")</f>
        <v>Jamini wants to die</v>
      </c>
      <c r="C404" s="7" t="s">
        <v>6</v>
      </c>
      <c r="D404" s="7" t="s">
        <v>7</v>
      </c>
      <c r="E404" s="7">
        <v>0</v>
      </c>
    </row>
    <row r="405" spans="1:5" ht="15.75" customHeight="1" x14ac:dyDescent="0.25">
      <c r="A405" s="6" t="s">
        <v>412</v>
      </c>
      <c r="B405" s="6" t="str">
        <f ca="1">IFERROR(__xludf.DUMMYFUNCTION("GOOGLETRANSLATE(A405,""bn"",""en"")"),"Even though Gopal Maharaja Krishna Chandra was a burden to the Raj Sabha, the kingdom was saved again and again because of his intelligence.")</f>
        <v>Even though Gopal Maharaja Krishna Chandra was a burden to the Raj Sabha, the kingdom was saved again and again because of his intelligence.</v>
      </c>
      <c r="C405" s="7" t="s">
        <v>6</v>
      </c>
      <c r="D405" s="7" t="s">
        <v>7</v>
      </c>
      <c r="E405" s="7">
        <v>0</v>
      </c>
    </row>
    <row r="406" spans="1:5" ht="15.75" customHeight="1" x14ac:dyDescent="0.25">
      <c r="A406" s="6" t="s">
        <v>413</v>
      </c>
      <c r="B406" s="6" t="str">
        <f ca="1">IFERROR(__xludf.DUMMYFUNCTION("GOOGLETRANSLATE(A406,""bn"",""en"")"),"It's so unusual for Minnie to keep quiet that she can't stand me for long")</f>
        <v>It's so unusual for Minnie to keep quiet that she can't stand me for long</v>
      </c>
      <c r="C406" s="7" t="s">
        <v>6</v>
      </c>
      <c r="D406" s="7" t="s">
        <v>7</v>
      </c>
      <c r="E406" s="7">
        <v>0</v>
      </c>
    </row>
    <row r="407" spans="1:5" ht="15.75" customHeight="1" x14ac:dyDescent="0.25">
      <c r="A407" s="6" t="s">
        <v>414</v>
      </c>
      <c r="B407" s="6" t="str">
        <f ca="1">IFERROR(__xludf.DUMMYFUNCTION("GOOGLETRANSLATE(A407,""bn"",""en"")"),"Rumi made me read")</f>
        <v>Rumi made me read</v>
      </c>
      <c r="C407" s="8" t="s">
        <v>13</v>
      </c>
      <c r="D407" s="8" t="s">
        <v>14</v>
      </c>
      <c r="E407" s="8">
        <v>1</v>
      </c>
    </row>
    <row r="408" spans="1:5" ht="15.75" customHeight="1" x14ac:dyDescent="0.25">
      <c r="A408" s="6" t="s">
        <v>415</v>
      </c>
      <c r="B408" s="6" t="str">
        <f ca="1">IFERROR(__xludf.DUMMYFUNCTION("GOOGLETRANSLATE(A408,""bn"",""en"")"),"Passive income streams can provide financial security and independence")</f>
        <v>Passive income streams can provide financial security and independence</v>
      </c>
      <c r="C408" s="8" t="s">
        <v>13</v>
      </c>
      <c r="D408" s="8" t="s">
        <v>14</v>
      </c>
      <c r="E408" s="8">
        <v>1</v>
      </c>
    </row>
    <row r="409" spans="1:5" ht="15.75" customHeight="1" x14ac:dyDescent="0.25">
      <c r="A409" s="6" t="s">
        <v>416</v>
      </c>
      <c r="B409" s="6" t="str">
        <f ca="1">IFERROR(__xludf.DUMMYFUNCTION("GOOGLETRANSLATE(A409,""bn"",""en"")"),"Won the Nobel Prize in Literature")</f>
        <v>Won the Nobel Prize in Literature</v>
      </c>
      <c r="C409" s="8" t="s">
        <v>13</v>
      </c>
      <c r="D409" s="8" t="s">
        <v>14</v>
      </c>
      <c r="E409" s="8">
        <v>1</v>
      </c>
    </row>
    <row r="410" spans="1:5" ht="15.75" customHeight="1" x14ac:dyDescent="0.25">
      <c r="A410" s="6" t="s">
        <v>417</v>
      </c>
      <c r="B410" s="6" t="str">
        <f ca="1">IFERROR(__xludf.DUMMYFUNCTION("GOOGLETRANSLATE(A410,""bn"",""en"")"),"It achieved little commercial success")</f>
        <v>It achieved little commercial success</v>
      </c>
      <c r="C410" s="8" t="s">
        <v>13</v>
      </c>
      <c r="D410" s="8" t="s">
        <v>14</v>
      </c>
      <c r="E410" s="8">
        <v>1</v>
      </c>
    </row>
    <row r="411" spans="1:5" ht="15.75" customHeight="1" x14ac:dyDescent="0.25">
      <c r="A411" s="6" t="s">
        <v>418</v>
      </c>
      <c r="B411" s="6" t="str">
        <f ca="1">IFERROR(__xludf.DUMMYFUNCTION("GOOGLETRANSLATE(A411,""bn"",""en"")"),"High blood pressure can damage your heart blood vessels")</f>
        <v>High blood pressure can damage your heart blood vessels</v>
      </c>
      <c r="C411" s="8" t="s">
        <v>13</v>
      </c>
      <c r="D411" s="8" t="s">
        <v>14</v>
      </c>
      <c r="E411" s="8">
        <v>1</v>
      </c>
    </row>
    <row r="412" spans="1:5" ht="15.75" customHeight="1" x14ac:dyDescent="0.25">
      <c r="A412" s="6" t="s">
        <v>419</v>
      </c>
      <c r="B412" s="6" t="str">
        <f ca="1">IFERROR(__xludf.DUMMYFUNCTION("GOOGLETRANSLATE(A412,""bn"",""en"")"),"Meanwhile, the settlement is less")</f>
        <v>Meanwhile, the settlement is less</v>
      </c>
      <c r="C412" s="7" t="s">
        <v>6</v>
      </c>
      <c r="D412" s="7" t="s">
        <v>7</v>
      </c>
      <c r="E412" s="7">
        <v>0</v>
      </c>
    </row>
    <row r="413" spans="1:5" ht="15.75" customHeight="1" x14ac:dyDescent="0.25">
      <c r="A413" s="6" t="s">
        <v>420</v>
      </c>
      <c r="B413" s="6" t="str">
        <f ca="1">IFERROR(__xludf.DUMMYFUNCTION("GOOGLETRANSLATE(A413,""bn"",""en"")"),"So Ramsundar finally started trying to sell the homestead")</f>
        <v>So Ramsundar finally started trying to sell the homestead</v>
      </c>
      <c r="C413" s="7" t="s">
        <v>6</v>
      </c>
      <c r="D413" s="7" t="s">
        <v>7</v>
      </c>
      <c r="E413" s="7">
        <v>0</v>
      </c>
    </row>
    <row r="414" spans="1:5" ht="15.75" customHeight="1" x14ac:dyDescent="0.25">
      <c r="A414" s="6" t="s">
        <v>421</v>
      </c>
      <c r="B414" s="6" t="str">
        <f ca="1">IFERROR(__xludf.DUMMYFUNCTION("GOOGLETRANSLATE(A414,""bn"",""en"")"),"Those who want to drag me by the legs are none of me")</f>
        <v>Those who want to drag me by the legs are none of me</v>
      </c>
      <c r="C414" s="7" t="s">
        <v>6</v>
      </c>
      <c r="D414" s="7" t="s">
        <v>7</v>
      </c>
      <c r="E414" s="7">
        <v>0</v>
      </c>
    </row>
    <row r="415" spans="1:5" ht="15.75" customHeight="1" x14ac:dyDescent="0.25">
      <c r="A415" s="6" t="s">
        <v>422</v>
      </c>
      <c r="B415" s="6" t="str">
        <f ca="1">IFERROR(__xludf.DUMMYFUNCTION("GOOGLETRANSLATE(A415,""bn"",""en"")"),"If you work hard, you will faint")</f>
        <v>If you work hard, you will faint</v>
      </c>
      <c r="C415" s="7" t="s">
        <v>6</v>
      </c>
      <c r="D415" s="7" t="s">
        <v>7</v>
      </c>
      <c r="E415" s="7">
        <v>0</v>
      </c>
    </row>
    <row r="416" spans="1:5" ht="15.75" customHeight="1" x14ac:dyDescent="0.25">
      <c r="A416" s="6" t="s">
        <v>423</v>
      </c>
      <c r="B416" s="6" t="str">
        <f ca="1">IFERROR(__xludf.DUMMYFUNCTION("GOOGLETRANSLATE(A416,""bn"",""en"")"),"At the intersection of the road, the root of the bokul tree is tied")</f>
        <v>At the intersection of the road, the root of the bokul tree is tied</v>
      </c>
      <c r="C416" s="7" t="s">
        <v>6</v>
      </c>
      <c r="D416" s="7" t="s">
        <v>7</v>
      </c>
      <c r="E416" s="7">
        <v>0</v>
      </c>
    </row>
    <row r="417" spans="1:5" ht="15.75" customHeight="1" x14ac:dyDescent="0.25">
      <c r="A417" s="6" t="s">
        <v>424</v>
      </c>
      <c r="B417" s="6" t="str">
        <f ca="1">IFERROR(__xludf.DUMMYFUNCTION("GOOGLETRANSLATE(A417,""bn"",""en"")"),"Agamemnon agreed")</f>
        <v>Agamemnon agreed</v>
      </c>
      <c r="C417" s="8" t="s">
        <v>13</v>
      </c>
      <c r="D417" s="8" t="s">
        <v>14</v>
      </c>
      <c r="E417" s="8">
        <v>1</v>
      </c>
    </row>
    <row r="418" spans="1:5" ht="15.75" customHeight="1" x14ac:dyDescent="0.25">
      <c r="A418" s="6" t="s">
        <v>425</v>
      </c>
      <c r="B418" s="6" t="str">
        <f ca="1">IFERROR(__xludf.DUMMYFUNCTION("GOOGLETRANSLATE(A418,""bn"",""en"")"),"This movie was a complete waste of time")</f>
        <v>This movie was a complete waste of time</v>
      </c>
      <c r="C418" s="8" t="s">
        <v>13</v>
      </c>
      <c r="D418" s="8" t="s">
        <v>14</v>
      </c>
      <c r="E418" s="8">
        <v>1</v>
      </c>
    </row>
    <row r="419" spans="1:5" ht="15.75" customHeight="1" x14ac:dyDescent="0.25">
      <c r="A419" s="6" t="s">
        <v>426</v>
      </c>
      <c r="B419" s="6" t="str">
        <f ca="1">IFERROR(__xludf.DUMMYFUNCTION("GOOGLETRANSLATE(A419,""bn"",""en"")"),"will you go with me")</f>
        <v>will you go with me</v>
      </c>
      <c r="C419" s="8" t="s">
        <v>13</v>
      </c>
      <c r="D419" s="8" t="s">
        <v>14</v>
      </c>
      <c r="E419" s="8">
        <v>1</v>
      </c>
    </row>
    <row r="420" spans="1:5" ht="15.75" customHeight="1" x14ac:dyDescent="0.25">
      <c r="A420" s="6" t="s">
        <v>427</v>
      </c>
      <c r="B420" s="6" t="str">
        <f ca="1">IFERROR(__xludf.DUMMYFUNCTION("GOOGLETRANSLATE(A420,""bn"",""en"")"),"Its identity as love story poetry")</f>
        <v>Its identity as love story poetry</v>
      </c>
      <c r="C420" s="8" t="s">
        <v>13</v>
      </c>
      <c r="D420" s="8" t="s">
        <v>14</v>
      </c>
      <c r="E420" s="8">
        <v>1</v>
      </c>
    </row>
    <row r="421" spans="1:5" ht="15.75" customHeight="1" x14ac:dyDescent="0.25">
      <c r="A421" s="6" t="s">
        <v>428</v>
      </c>
      <c r="B421" s="6" t="str">
        <f ca="1">IFERROR(__xludf.DUMMYFUNCTION("GOOGLETRANSLATE(A421,""bn"",""en"")"),"The man works hard all day")</f>
        <v>The man works hard all day</v>
      </c>
      <c r="C421" s="8" t="s">
        <v>13</v>
      </c>
      <c r="D421" s="8" t="s">
        <v>14</v>
      </c>
      <c r="E421" s="8">
        <v>1</v>
      </c>
    </row>
    <row r="422" spans="1:5" ht="15.75" customHeight="1" x14ac:dyDescent="0.25">
      <c r="A422" s="6" t="s">
        <v>429</v>
      </c>
      <c r="B422" s="6" t="str">
        <f ca="1">IFERROR(__xludf.DUMMYFUNCTION("GOOGLETRANSLATE(A422,""bn"",""en"")"),"At that time, one of my nemkharam French dogs wandered into the tent at will")</f>
        <v>At that time, one of my nemkharam French dogs wandered into the tent at will</v>
      </c>
      <c r="C422" s="7" t="s">
        <v>6</v>
      </c>
      <c r="D422" s="7" t="s">
        <v>7</v>
      </c>
      <c r="E422" s="7">
        <v>0</v>
      </c>
    </row>
    <row r="423" spans="1:5" ht="15.75" customHeight="1" x14ac:dyDescent="0.25">
      <c r="A423" s="6" t="s">
        <v>430</v>
      </c>
      <c r="B423" s="6" t="str">
        <f ca="1">IFERROR(__xludf.DUMMYFUNCTION("GOOGLETRANSLATE(A423,""bn"",""en"")"),"His mother often scolds him and shuts his mouth. I can't do it")</f>
        <v>His mother often scolds him and shuts his mouth. I can't do it</v>
      </c>
      <c r="C423" s="7" t="s">
        <v>6</v>
      </c>
      <c r="D423" s="7" t="s">
        <v>7</v>
      </c>
      <c r="E423" s="7">
        <v>0</v>
      </c>
    </row>
    <row r="424" spans="1:5" ht="15.75" customHeight="1" x14ac:dyDescent="0.25">
      <c r="A424" s="6" t="s">
        <v>431</v>
      </c>
      <c r="B424" s="6" t="str">
        <f ca="1">IFERROR(__xludf.DUMMYFUNCTION("GOOGLETRANSLATE(A424,""bn"",""en"")"),"A few days ago he had read a magazine review about the Puranas")</f>
        <v>A few days ago he had read a magazine review about the Puranas</v>
      </c>
      <c r="C424" s="7" t="s">
        <v>6</v>
      </c>
      <c r="D424" s="7" t="s">
        <v>7</v>
      </c>
      <c r="E424" s="7">
        <v>0</v>
      </c>
    </row>
    <row r="425" spans="1:5" ht="15.75" customHeight="1" x14ac:dyDescent="0.25">
      <c r="A425" s="6" t="s">
        <v>432</v>
      </c>
      <c r="B425" s="6" t="str">
        <f ca="1">IFERROR(__xludf.DUMMYFUNCTION("GOOGLETRANSLATE(A425,""bn"",""en"")"),"Can't tell if I like it yet")</f>
        <v>Can't tell if I like it yet</v>
      </c>
      <c r="C425" s="7" t="s">
        <v>6</v>
      </c>
      <c r="D425" s="7" t="s">
        <v>7</v>
      </c>
      <c r="E425" s="7">
        <v>0</v>
      </c>
    </row>
    <row r="426" spans="1:5" ht="15.75" customHeight="1" x14ac:dyDescent="0.25">
      <c r="A426" s="6" t="s">
        <v>433</v>
      </c>
      <c r="B426" s="6" t="str">
        <f ca="1">IFERROR(__xludf.DUMMYFUNCTION("GOOGLETRANSLATE(A426,""bn"",""en"")"),"The rain stopped and it was dark")</f>
        <v>The rain stopped and it was dark</v>
      </c>
      <c r="C426" s="7" t="s">
        <v>6</v>
      </c>
      <c r="D426" s="7" t="s">
        <v>7</v>
      </c>
      <c r="E426" s="7">
        <v>0</v>
      </c>
    </row>
    <row r="427" spans="1:5" ht="15.75" customHeight="1" x14ac:dyDescent="0.25">
      <c r="A427" s="6" t="s">
        <v>434</v>
      </c>
      <c r="B427" s="6" t="str">
        <f ca="1">IFERROR(__xludf.DUMMYFUNCTION("GOOGLETRANSLATE(A427,""bn"",""en"")"),"The successful translation of this book has an outstanding contribution")</f>
        <v>The successful translation of this book has an outstanding contribution</v>
      </c>
      <c r="C427" s="8" t="s">
        <v>13</v>
      </c>
      <c r="D427" s="8" t="s">
        <v>14</v>
      </c>
      <c r="E427" s="8">
        <v>1</v>
      </c>
    </row>
    <row r="428" spans="1:5" ht="15.75" customHeight="1" x14ac:dyDescent="0.25">
      <c r="A428" s="6" t="s">
        <v>77</v>
      </c>
      <c r="B428" s="6" t="str">
        <f ca="1">IFERROR(__xludf.DUMMYFUNCTION("GOOGLETRANSLATE(A428,""bn"",""en"")"),"After the birth of Irtazuddin, Shahed was the next of five siblings")</f>
        <v>After the birth of Irtazuddin, Shahed was the next of five siblings</v>
      </c>
      <c r="C428" s="8" t="s">
        <v>13</v>
      </c>
      <c r="D428" s="8" t="s">
        <v>14</v>
      </c>
      <c r="E428" s="8">
        <v>1</v>
      </c>
    </row>
    <row r="429" spans="1:5" ht="15.75" customHeight="1" x14ac:dyDescent="0.25">
      <c r="A429" s="6" t="s">
        <v>435</v>
      </c>
      <c r="B429" s="6" t="str">
        <f ca="1">IFERROR(__xludf.DUMMYFUNCTION("GOOGLETRANSLATE(A429,""bn"",""en"")"),"It is a rare honor for Hindus")</f>
        <v>It is a rare honor for Hindus</v>
      </c>
      <c r="C429" s="8" t="s">
        <v>13</v>
      </c>
      <c r="D429" s="8" t="s">
        <v>14</v>
      </c>
      <c r="E429" s="8">
        <v>1</v>
      </c>
    </row>
    <row r="430" spans="1:5" ht="15.75" customHeight="1" x14ac:dyDescent="0.25">
      <c r="A430" s="6" t="s">
        <v>436</v>
      </c>
      <c r="B430" s="6" t="str">
        <f ca="1">IFERROR(__xludf.DUMMYFUNCTION("GOOGLETRANSLATE(A430,""bn"",""en"")"),"Nurul Amin rejected this proposal")</f>
        <v>Nurul Amin rejected this proposal</v>
      </c>
      <c r="C430" s="8" t="s">
        <v>13</v>
      </c>
      <c r="D430" s="8" t="s">
        <v>14</v>
      </c>
      <c r="E430" s="8">
        <v>1</v>
      </c>
    </row>
    <row r="431" spans="1:5" ht="15.75" customHeight="1" x14ac:dyDescent="0.25">
      <c r="A431" s="6" t="s">
        <v>437</v>
      </c>
      <c r="B431" s="6" t="str">
        <f ca="1">IFERROR(__xludf.DUMMYFUNCTION("GOOGLETRANSLATE(A431,""bn"",""en"")"),"Finding solace in solitude brings inner peace")</f>
        <v>Finding solace in solitude brings inner peace</v>
      </c>
      <c r="C431" s="8" t="s">
        <v>13</v>
      </c>
      <c r="D431" s="8" t="s">
        <v>14</v>
      </c>
      <c r="E431" s="8">
        <v>1</v>
      </c>
    </row>
    <row r="432" spans="1:5" ht="15.75" customHeight="1" x14ac:dyDescent="0.25">
      <c r="A432" s="6" t="s">
        <v>438</v>
      </c>
      <c r="B432" s="6" t="str">
        <f ca="1">IFERROR(__xludf.DUMMYFUNCTION("GOOGLETRANSLATE(A432,""bn"",""en"")"),"Some philosophers say that because of extinction")</f>
        <v>Some philosophers say that because of extinction</v>
      </c>
      <c r="C432" s="7" t="s">
        <v>6</v>
      </c>
      <c r="D432" s="7" t="s">
        <v>7</v>
      </c>
      <c r="E432" s="7">
        <v>0</v>
      </c>
    </row>
    <row r="433" spans="1:5" ht="15.75" customHeight="1" x14ac:dyDescent="0.25">
      <c r="A433" s="6" t="s">
        <v>439</v>
      </c>
      <c r="B433" s="6" t="str">
        <f ca="1">IFERROR(__xludf.DUMMYFUNCTION("GOOGLETRANSLATE(A433,""bn"",""en"")"),"Yuva's relatives were also hiding here and there nearby")</f>
        <v>Yuva's relatives were also hiding here and there nearby</v>
      </c>
      <c r="C433" s="7" t="s">
        <v>6</v>
      </c>
      <c r="D433" s="7" t="s">
        <v>7</v>
      </c>
      <c r="E433" s="7">
        <v>0</v>
      </c>
    </row>
    <row r="434" spans="1:5" ht="15.75" customHeight="1" x14ac:dyDescent="0.25">
      <c r="A434" s="6" t="s">
        <v>440</v>
      </c>
      <c r="B434" s="6" t="str">
        <f ca="1">IFERROR(__xludf.DUMMYFUNCTION("GOOGLETRANSLATE(A434,""bn"",""en"")"),"Last night's riotous torture was untimely weighing down his eyelids.")</f>
        <v>Last night's riotous torture was untimely weighing down his eyelids.</v>
      </c>
      <c r="C434" s="7" t="s">
        <v>6</v>
      </c>
      <c r="D434" s="7" t="s">
        <v>7</v>
      </c>
      <c r="E434" s="7">
        <v>0</v>
      </c>
    </row>
    <row r="435" spans="1:5" ht="15.75" customHeight="1" x14ac:dyDescent="0.25">
      <c r="A435" s="6" t="s">
        <v>441</v>
      </c>
      <c r="B435" s="6" t="str">
        <f ca="1">IFERROR(__xludf.DUMMYFUNCTION("GOOGLETRANSLATE(A435,""bn"",""en"")"),"Whether palandu onion is a commodity or not can be investigated in the western province")</f>
        <v>Whether palandu onion is a commodity or not can be investigated in the western province</v>
      </c>
      <c r="C435" s="7" t="s">
        <v>6</v>
      </c>
      <c r="D435" s="7" t="s">
        <v>7</v>
      </c>
      <c r="E435" s="7">
        <v>0</v>
      </c>
    </row>
    <row r="436" spans="1:5" ht="15.75" customHeight="1" x14ac:dyDescent="0.25">
      <c r="A436" s="6" t="s">
        <v>442</v>
      </c>
      <c r="B436" s="6" t="str">
        <f ca="1">IFERROR(__xludf.DUMMYFUNCTION("GOOGLETRANSLATE(A436,""bn"",""en"")"),"I heard shal tal tamal hintal but did not see anything like that")</f>
        <v>I heard shal tal tamal hintal but did not see anything like that</v>
      </c>
      <c r="C436" s="7" t="s">
        <v>6</v>
      </c>
      <c r="D436" s="7" t="s">
        <v>7</v>
      </c>
      <c r="E436" s="7">
        <v>0</v>
      </c>
    </row>
    <row r="437" spans="1:5" ht="15.75" customHeight="1" x14ac:dyDescent="0.25">
      <c r="A437" s="6" t="s">
        <v>443</v>
      </c>
      <c r="B437" s="6" t="str">
        <f ca="1">IFERROR(__xludf.DUMMYFUNCTION("GOOGLETRANSLATE(A437,""bn"",""en"")"),"Agricultural land use planning takes into account factors such as soil quality, geography, climate or market demand")</f>
        <v>Agricultural land use planning takes into account factors such as soil quality, geography, climate or market demand</v>
      </c>
      <c r="C437" s="8" t="s">
        <v>13</v>
      </c>
      <c r="D437" s="8" t="s">
        <v>14</v>
      </c>
      <c r="E437" s="8">
        <v>1</v>
      </c>
    </row>
    <row r="438" spans="1:5" ht="15.75" customHeight="1" x14ac:dyDescent="0.25">
      <c r="A438" s="6" t="s">
        <v>444</v>
      </c>
      <c r="B438" s="6" t="str">
        <f ca="1">IFERROR(__xludf.DUMMYFUNCTION("GOOGLETRANSLATE(A438,""bn"",""en"")"),"Hypothyroidism occurs when the thyroid gland does not produce enough thyroid hormone, leading to fatigue and weight gain.")</f>
        <v>Hypothyroidism occurs when the thyroid gland does not produce enough thyroid hormone, leading to fatigue and weight gain.</v>
      </c>
      <c r="C438" s="8" t="s">
        <v>13</v>
      </c>
      <c r="D438" s="8" t="s">
        <v>14</v>
      </c>
      <c r="E438" s="8">
        <v>1</v>
      </c>
    </row>
    <row r="439" spans="1:5" ht="15.75" customHeight="1" x14ac:dyDescent="0.25">
      <c r="A439" s="6" t="s">
        <v>445</v>
      </c>
      <c r="B439" s="6" t="str">
        <f ca="1">IFERROR(__xludf.DUMMYFUNCTION("GOOGLETRANSLATE(A439,""bn"",""en"")"),"I hope my goals will turn into success in the future")</f>
        <v>I hope my goals will turn into success in the future</v>
      </c>
      <c r="C439" s="8" t="s">
        <v>13</v>
      </c>
      <c r="D439" s="8" t="s">
        <v>14</v>
      </c>
      <c r="E439" s="8">
        <v>1</v>
      </c>
    </row>
    <row r="440" spans="1:5" ht="15.75" customHeight="1" x14ac:dyDescent="0.25">
      <c r="A440" s="6" t="s">
        <v>446</v>
      </c>
      <c r="B440" s="6" t="str">
        <f ca="1">IFERROR(__xludf.DUMMYFUNCTION("GOOGLETRANSLATE(A440,""bn"",""en"")"),"He is very popular in his hometown")</f>
        <v>He is very popular in his hometown</v>
      </c>
      <c r="C440" s="8" t="s">
        <v>13</v>
      </c>
      <c r="D440" s="8" t="s">
        <v>14</v>
      </c>
      <c r="E440" s="8">
        <v>1</v>
      </c>
    </row>
    <row r="441" spans="1:5" ht="15.75" customHeight="1" x14ac:dyDescent="0.25">
      <c r="A441" s="6" t="s">
        <v>447</v>
      </c>
      <c r="B441" s="6" t="str">
        <f ca="1">IFERROR(__xludf.DUMMYFUNCTION("GOOGLETRANSLATE(A441,""bn"",""en"")"),"World War II was going on at that time")</f>
        <v>World War II was going on at that time</v>
      </c>
      <c r="C441" s="8" t="s">
        <v>13</v>
      </c>
      <c r="D441" s="8" t="s">
        <v>14</v>
      </c>
      <c r="E441" s="8">
        <v>1</v>
      </c>
    </row>
    <row r="442" spans="1:5" ht="15.75" customHeight="1" x14ac:dyDescent="0.25">
      <c r="A442" s="6" t="s">
        <v>448</v>
      </c>
      <c r="B442" s="6" t="str">
        <f ca="1">IFERROR(__xludf.DUMMYFUNCTION("GOOGLETRANSLATE(A442,""bn"",""en"")"),"We now entered the school")</f>
        <v>We now entered the school</v>
      </c>
      <c r="C442" s="7" t="s">
        <v>6</v>
      </c>
      <c r="D442" s="7" t="s">
        <v>7</v>
      </c>
      <c r="E442" s="7">
        <v>0</v>
      </c>
    </row>
    <row r="443" spans="1:5" ht="15.75" customHeight="1" x14ac:dyDescent="0.25">
      <c r="A443" s="6" t="s">
        <v>449</v>
      </c>
      <c r="B443" s="6" t="str">
        <f ca="1">IFERROR(__xludf.DUMMYFUNCTION("GOOGLETRANSLATE(A443,""bn"",""en"")"),"When the possible time passed, such was the decision fixed in their hearts")</f>
        <v>When the possible time passed, such was the decision fixed in their hearts</v>
      </c>
      <c r="C443" s="7" t="s">
        <v>6</v>
      </c>
      <c r="D443" s="7" t="s">
        <v>7</v>
      </c>
      <c r="E443" s="7">
        <v>0</v>
      </c>
    </row>
    <row r="444" spans="1:5" ht="15.75" customHeight="1" x14ac:dyDescent="0.25">
      <c r="A444" s="6" t="s">
        <v>450</v>
      </c>
      <c r="B444" s="6" t="str">
        <f ca="1">IFERROR(__xludf.DUMMYFUNCTION("GOOGLETRANSLATE(A444,""bn"",""en"")"),"Males like females only sit and protect the offspring")</f>
        <v>Males like females only sit and protect the offspring</v>
      </c>
      <c r="C444" s="7" t="s">
        <v>6</v>
      </c>
      <c r="D444" s="7" t="s">
        <v>7</v>
      </c>
      <c r="E444" s="7">
        <v>0</v>
      </c>
    </row>
    <row r="445" spans="1:5" ht="15.75" customHeight="1" x14ac:dyDescent="0.25">
      <c r="A445" s="6" t="s">
        <v>451</v>
      </c>
      <c r="B445" s="6" t="str">
        <f ca="1">IFERROR(__xludf.DUMMYFUNCTION("GOOGLETRANSLATE(A445,""bn"",""en"")"),"Green came to me asking for the ball")</f>
        <v>Green came to me asking for the ball</v>
      </c>
      <c r="C445" s="7" t="s">
        <v>6</v>
      </c>
      <c r="D445" s="7" t="s">
        <v>7</v>
      </c>
      <c r="E445" s="7">
        <v>0</v>
      </c>
    </row>
    <row r="446" spans="1:5" ht="15.75" customHeight="1" x14ac:dyDescent="0.25">
      <c r="A446" s="6" t="s">
        <v>452</v>
      </c>
      <c r="B446" s="6" t="str">
        <f ca="1">IFERROR(__xludf.DUMMYFUNCTION("GOOGLETRANSLATE(A446,""bn"",""en"")"),"It was raining continuously outside")</f>
        <v>It was raining continuously outside</v>
      </c>
      <c r="C446" s="7" t="s">
        <v>6</v>
      </c>
      <c r="D446" s="7" t="s">
        <v>7</v>
      </c>
      <c r="E446" s="7">
        <v>0</v>
      </c>
    </row>
    <row r="447" spans="1:5" ht="15.75" customHeight="1" x14ac:dyDescent="0.25">
      <c r="A447" s="6" t="s">
        <v>453</v>
      </c>
      <c r="B447" s="6" t="str">
        <f ca="1">IFERROR(__xludf.DUMMYFUNCTION("GOOGLETRANSLATE(A447,""bn"",""en"")"),"Include rest days in the routine")</f>
        <v>Include rest days in the routine</v>
      </c>
      <c r="C447" s="8" t="s">
        <v>13</v>
      </c>
      <c r="D447" s="8" t="s">
        <v>14</v>
      </c>
      <c r="E447" s="8">
        <v>1</v>
      </c>
    </row>
    <row r="448" spans="1:5" ht="15.75" customHeight="1" x14ac:dyDescent="0.25">
      <c r="A448" s="6" t="s">
        <v>454</v>
      </c>
      <c r="B448" s="6" t="str">
        <f ca="1">IFERROR(__xludf.DUMMYFUNCTION("GOOGLETRANSLATE(A448,""bn"",""en"")"),"By the time I finished my work, the sun was in the middle of the sky")</f>
        <v>By the time I finished my work, the sun was in the middle of the sky</v>
      </c>
      <c r="C448" s="8" t="s">
        <v>13</v>
      </c>
      <c r="D448" s="8" t="s">
        <v>14</v>
      </c>
      <c r="E448" s="8">
        <v>1</v>
      </c>
    </row>
    <row r="449" spans="1:5" ht="15.75" customHeight="1" x14ac:dyDescent="0.25">
      <c r="A449" s="6" t="s">
        <v>455</v>
      </c>
      <c r="B449" s="6" t="str">
        <f ca="1">IFERROR(__xludf.DUMMYFUNCTION("GOOGLETRANSLATE(A449,""bn"",""en"")"),"Just golly why the people of this city look the same")</f>
        <v>Just golly why the people of this city look the same</v>
      </c>
      <c r="C449" s="8" t="s">
        <v>13</v>
      </c>
      <c r="D449" s="8" t="s">
        <v>14</v>
      </c>
      <c r="E449" s="8">
        <v>1</v>
      </c>
    </row>
    <row r="450" spans="1:5" ht="15.75" customHeight="1" x14ac:dyDescent="0.25">
      <c r="A450" s="6" t="s">
        <v>456</v>
      </c>
      <c r="B450" s="6" t="str">
        <f ca="1">IFERROR(__xludf.DUMMYFUNCTION("GOOGLETRANSLATE(A450,""bn"",""en"")"),"Rana will leave for Bogra early today")</f>
        <v>Rana will leave for Bogra early today</v>
      </c>
      <c r="C450" s="8" t="s">
        <v>13</v>
      </c>
      <c r="D450" s="8" t="s">
        <v>14</v>
      </c>
      <c r="E450" s="8">
        <v>1</v>
      </c>
    </row>
    <row r="451" spans="1:5" ht="15.75" customHeight="1" x14ac:dyDescent="0.25">
      <c r="A451" s="6" t="s">
        <v>457</v>
      </c>
      <c r="B451" s="6" t="str">
        <f ca="1">IFERROR(__xludf.DUMMYFUNCTION("GOOGLETRANSLATE(A451,""bn"",""en"")"),"Adventures can create lasting memories and unforgettable experiences")</f>
        <v>Adventures can create lasting memories and unforgettable experiences</v>
      </c>
      <c r="C451" s="8" t="s">
        <v>13</v>
      </c>
      <c r="D451" s="8" t="s">
        <v>14</v>
      </c>
      <c r="E451" s="8">
        <v>1</v>
      </c>
    </row>
    <row r="452" spans="1:5" ht="15.75" customHeight="1" x14ac:dyDescent="0.25">
      <c r="A452" s="6" t="s">
        <v>458</v>
      </c>
      <c r="B452" s="6" t="str">
        <f ca="1">IFERROR(__xludf.DUMMYFUNCTION("GOOGLETRANSLATE(A452,""bn"",""en"")"),"Haru Ghosh stood leaning against the trunk of a huge banyan tree by the canal.")</f>
        <v>Haru Ghosh stood leaning against the trunk of a huge banyan tree by the canal.</v>
      </c>
      <c r="C452" s="7" t="s">
        <v>6</v>
      </c>
      <c r="D452" s="7" t="s">
        <v>7</v>
      </c>
      <c r="E452" s="7">
        <v>0</v>
      </c>
    </row>
    <row r="453" spans="1:5" ht="15.75" customHeight="1" x14ac:dyDescent="0.25">
      <c r="A453" s="6" t="s">
        <v>459</v>
      </c>
      <c r="B453" s="6" t="str">
        <f ca="1">IFERROR(__xludf.DUMMYFUNCTION("GOOGLETRANSLATE(A453,""bn"",""en"")"),"Green asked to call you")</f>
        <v>Green asked to call you</v>
      </c>
      <c r="C453" s="7" t="s">
        <v>6</v>
      </c>
      <c r="D453" s="7" t="s">
        <v>7</v>
      </c>
      <c r="E453" s="7">
        <v>0</v>
      </c>
    </row>
    <row r="454" spans="1:5" ht="15.75" customHeight="1" x14ac:dyDescent="0.25">
      <c r="A454" s="6" t="s">
        <v>460</v>
      </c>
      <c r="B454" s="6" t="str">
        <f ca="1">IFERROR(__xludf.DUMMYFUNCTION("GOOGLETRANSLATE(A454,""bn"",""en"")"),"The work is funny though")</f>
        <v>The work is funny though</v>
      </c>
      <c r="C454" s="7" t="s">
        <v>6</v>
      </c>
      <c r="D454" s="7" t="s">
        <v>7</v>
      </c>
      <c r="E454" s="7">
        <v>0</v>
      </c>
    </row>
    <row r="455" spans="1:5" ht="15.75" customHeight="1" x14ac:dyDescent="0.25">
      <c r="A455" s="6" t="s">
        <v>461</v>
      </c>
      <c r="B455" s="6" t="str">
        <f ca="1">IFERROR(__xludf.DUMMYFUNCTION("GOOGLETRANSLATE(A455,""bn"",""en"")"),"I really enjoyed reading the ghost story")</f>
        <v>I really enjoyed reading the ghost story</v>
      </c>
      <c r="C455" s="7" t="s">
        <v>6</v>
      </c>
      <c r="D455" s="7" t="s">
        <v>7</v>
      </c>
      <c r="E455" s="7">
        <v>0</v>
      </c>
    </row>
    <row r="456" spans="1:5" ht="15.75" customHeight="1" x14ac:dyDescent="0.25">
      <c r="A456" s="6" t="s">
        <v>462</v>
      </c>
      <c r="B456" s="6" t="str">
        <f ca="1">IFERROR(__xludf.DUMMYFUNCTION("GOOGLETRANSLATE(A456,""bn"",""en"")"),"The young men stand in front and the old men stand behind the young men.")</f>
        <v>The young men stand in front and the old men stand behind the young men.</v>
      </c>
      <c r="C456" s="7" t="s">
        <v>6</v>
      </c>
      <c r="D456" s="7" t="s">
        <v>7</v>
      </c>
      <c r="E456" s="7">
        <v>0</v>
      </c>
    </row>
    <row r="457" spans="1:5" ht="15.75" customHeight="1" x14ac:dyDescent="0.25">
      <c r="A457" s="6" t="s">
        <v>463</v>
      </c>
      <c r="B457" s="6" t="str">
        <f ca="1">IFERROR(__xludf.DUMMYFUNCTION("GOOGLETRANSLATE(A457,""bn"",""en"")"),"Adventurers felt an adrenaline rush scaling the towering mountains")</f>
        <v>Adventurers felt an adrenaline rush scaling the towering mountains</v>
      </c>
      <c r="C457" s="8" t="s">
        <v>13</v>
      </c>
      <c r="D457" s="8" t="s">
        <v>14</v>
      </c>
      <c r="E457" s="8">
        <v>1</v>
      </c>
    </row>
    <row r="458" spans="1:5" ht="15.75" customHeight="1" x14ac:dyDescent="0.25">
      <c r="A458" s="6" t="s">
        <v>464</v>
      </c>
      <c r="B458" s="6" t="str">
        <f ca="1">IFERROR(__xludf.DUMMYFUNCTION("GOOGLETRANSLATE(A458,""bn"",""en"")"),"News coverage can influence public perception of policy decisions")</f>
        <v>News coverage can influence public perception of policy decisions</v>
      </c>
      <c r="C458" s="8" t="s">
        <v>13</v>
      </c>
      <c r="D458" s="8" t="s">
        <v>14</v>
      </c>
      <c r="E458" s="8">
        <v>1</v>
      </c>
    </row>
    <row r="459" spans="1:5" ht="15.75" customHeight="1" x14ac:dyDescent="0.25">
      <c r="A459" s="6" t="s">
        <v>465</v>
      </c>
      <c r="B459" s="6" t="str">
        <f ca="1">IFERROR(__xludf.DUMMYFUNCTION("GOOGLETRANSLATE(A459,""bn"",""en"")"),"If it was a rural area, shelter would be obtained by going to any house and talking about the danger")</f>
        <v>If it was a rural area, shelter would be obtained by going to any house and talking about the danger</v>
      </c>
      <c r="C459" s="8" t="s">
        <v>13</v>
      </c>
      <c r="D459" s="8" t="s">
        <v>14</v>
      </c>
      <c r="E459" s="8">
        <v>1</v>
      </c>
    </row>
    <row r="460" spans="1:5" ht="15.75" customHeight="1" x14ac:dyDescent="0.25">
      <c r="A460" s="6" t="s">
        <v>466</v>
      </c>
      <c r="B460" s="6" t="str">
        <f ca="1">IFERROR(__xludf.DUMMYFUNCTION("GOOGLETRANSLATE(A460,""bn"",""en"")"),"Kardi is an equally popular game like Panch Guti")</f>
        <v>Kardi is an equally popular game like Panch Guti</v>
      </c>
      <c r="C460" s="8" t="s">
        <v>13</v>
      </c>
      <c r="D460" s="8" t="s">
        <v>14</v>
      </c>
      <c r="E460" s="8">
        <v>1</v>
      </c>
    </row>
    <row r="461" spans="1:5" ht="15.75" customHeight="1" x14ac:dyDescent="0.25">
      <c r="A461" s="6" t="s">
        <v>467</v>
      </c>
      <c r="B461" s="6" t="str">
        <f ca="1">IFERROR(__xludf.DUMMYFUNCTION("GOOGLETRANSLATE(A461,""bn"",""en"")"),"In the depths of dark caves they discovered bioluminescent wonders that illuminated the darkness")</f>
        <v>In the depths of dark caves they discovered bioluminescent wonders that illuminated the darkness</v>
      </c>
      <c r="C461" s="8" t="s">
        <v>13</v>
      </c>
      <c r="D461" s="8" t="s">
        <v>14</v>
      </c>
      <c r="E461" s="8">
        <v>1</v>
      </c>
    </row>
    <row r="462" spans="1:5" ht="15.75" customHeight="1" x14ac:dyDescent="0.25">
      <c r="A462" s="6" t="s">
        <v>468</v>
      </c>
      <c r="B462" s="6" t="str">
        <f ca="1">IFERROR(__xludf.DUMMYFUNCTION("GOOGLETRANSLATE(A462,""bn"",""en"")"),"The woman is standing to one side with a can of kerosene in her hand")</f>
        <v>The woman is standing to one side with a can of kerosene in her hand</v>
      </c>
      <c r="C462" s="7" t="s">
        <v>6</v>
      </c>
      <c r="D462" s="7" t="s">
        <v>7</v>
      </c>
      <c r="E462" s="7">
        <v>0</v>
      </c>
    </row>
    <row r="463" spans="1:5" ht="15.75" customHeight="1" x14ac:dyDescent="0.25">
      <c r="A463" s="6" t="s">
        <v>469</v>
      </c>
      <c r="B463" s="6" t="str">
        <f ca="1">IFERROR(__xludf.DUMMYFUNCTION("GOOGLETRANSLATE(A463,""bn"",""en"")"),"Haru's house is at the end of the road")</f>
        <v>Haru's house is at the end of the road</v>
      </c>
      <c r="C463" s="7" t="s">
        <v>6</v>
      </c>
      <c r="D463" s="7" t="s">
        <v>7</v>
      </c>
      <c r="E463" s="7">
        <v>0</v>
      </c>
    </row>
    <row r="464" spans="1:5" ht="15.75" customHeight="1" x14ac:dyDescent="0.25">
      <c r="A464" s="6" t="s">
        <v>470</v>
      </c>
      <c r="B464" s="6" t="str">
        <f ca="1">IFERROR(__xludf.DUMMYFUNCTION("GOOGLETRANSLATE(A464,""bn"",""en"")"),"It was suggested that we should start rolling the wood with butter")</f>
        <v>It was suggested that we should start rolling the wood with butter</v>
      </c>
      <c r="C464" s="7" t="s">
        <v>6</v>
      </c>
      <c r="D464" s="7" t="s">
        <v>7</v>
      </c>
      <c r="E464" s="7">
        <v>0</v>
      </c>
    </row>
    <row r="465" spans="1:5" ht="15.75" customHeight="1" x14ac:dyDescent="0.25">
      <c r="A465" s="6" t="s">
        <v>471</v>
      </c>
      <c r="B465" s="6" t="str">
        <f ca="1">IFERROR(__xludf.DUMMYFUNCTION("GOOGLETRANSLATE(A465,""bn"",""en"")"),"He went to jail smiling")</f>
        <v>He went to jail smiling</v>
      </c>
      <c r="C465" s="7" t="s">
        <v>6</v>
      </c>
      <c r="D465" s="7" t="s">
        <v>7</v>
      </c>
      <c r="E465" s="7">
        <v>0</v>
      </c>
    </row>
    <row r="466" spans="1:5" ht="15.75" customHeight="1" x14ac:dyDescent="0.25">
      <c r="A466" s="6" t="s">
        <v>472</v>
      </c>
      <c r="B466" s="6" t="str">
        <f ca="1">IFERROR(__xludf.DUMMYFUNCTION("GOOGLETRANSLATE(A466,""bn"",""en"")"),"When the father is a criminal, can the repentance of that crime be kept a secret from the daughter?")</f>
        <v>When the father is a criminal, can the repentance of that crime be kept a secret from the daughter?</v>
      </c>
      <c r="C466" s="7" t="s">
        <v>6</v>
      </c>
      <c r="D466" s="7" t="s">
        <v>7</v>
      </c>
      <c r="E466" s="7">
        <v>0</v>
      </c>
    </row>
    <row r="467" spans="1:5" ht="15.75" customHeight="1" x14ac:dyDescent="0.25">
      <c r="A467" s="6" t="s">
        <v>473</v>
      </c>
      <c r="B467" s="6" t="str">
        <f ca="1">IFERROR(__xludf.DUMMYFUNCTION("GOOGLETRANSLATE(A467,""bn"",""en"")"),"They have not returned from the field yet")</f>
        <v>They have not returned from the field yet</v>
      </c>
      <c r="C467" s="8" t="s">
        <v>13</v>
      </c>
      <c r="D467" s="8" t="s">
        <v>14</v>
      </c>
      <c r="E467" s="8">
        <v>1</v>
      </c>
    </row>
    <row r="468" spans="1:5" ht="15.75" customHeight="1" x14ac:dyDescent="0.25">
      <c r="A468" s="6" t="s">
        <v>474</v>
      </c>
      <c r="B468" s="6" t="str">
        <f ca="1">IFERROR(__xludf.DUMMYFUNCTION("GOOGLETRANSLATE(A468,""bn"",""en"")"),"Cross functional collaboration maximizes resource efficiency")</f>
        <v>Cross functional collaboration maximizes resource efficiency</v>
      </c>
      <c r="C468" s="8" t="s">
        <v>13</v>
      </c>
      <c r="D468" s="8" t="s">
        <v>14</v>
      </c>
      <c r="E468" s="8">
        <v>1</v>
      </c>
    </row>
    <row r="469" spans="1:5" ht="15.75" customHeight="1" x14ac:dyDescent="0.25">
      <c r="A469" s="6" t="s">
        <v>475</v>
      </c>
      <c r="B469" s="6" t="str">
        <f ca="1">IFERROR(__xludf.DUMMYFUNCTION("GOOGLETRANSLATE(A469,""bn"",""en"")"),"Have you ever taken a road trip in an RV?")</f>
        <v>Have you ever taken a road trip in an RV?</v>
      </c>
      <c r="C469" s="8" t="s">
        <v>13</v>
      </c>
      <c r="D469" s="8" t="s">
        <v>14</v>
      </c>
      <c r="E469" s="8">
        <v>1</v>
      </c>
    </row>
    <row r="470" spans="1:5" ht="15.75" customHeight="1" x14ac:dyDescent="0.25">
      <c r="A470" s="6" t="s">
        <v>476</v>
      </c>
      <c r="B470" s="6" t="str">
        <f ca="1">IFERROR(__xludf.DUMMYFUNCTION("GOOGLETRANSLATE(A470,""bn"",""en"")"),"Be active to reduce stress")</f>
        <v>Be active to reduce stress</v>
      </c>
      <c r="C470" s="8" t="s">
        <v>13</v>
      </c>
      <c r="D470" s="8" t="s">
        <v>14</v>
      </c>
      <c r="E470" s="8">
        <v>1</v>
      </c>
    </row>
    <row r="471" spans="1:5" ht="15.75" customHeight="1" x14ac:dyDescent="0.25">
      <c r="A471" s="6" t="s">
        <v>477</v>
      </c>
      <c r="B471" s="6" t="str">
        <f ca="1">IFERROR(__xludf.DUMMYFUNCTION("GOOGLETRANSLATE(A471,""bn"",""en"")"),"I went to him and heard the story")</f>
        <v>I went to him and heard the story</v>
      </c>
      <c r="C471" s="8" t="s">
        <v>13</v>
      </c>
      <c r="D471" s="8" t="s">
        <v>14</v>
      </c>
      <c r="E471" s="8">
        <v>1</v>
      </c>
    </row>
    <row r="472" spans="1:5" ht="15.75" customHeight="1" x14ac:dyDescent="0.25">
      <c r="A472" s="6" t="s">
        <v>478</v>
      </c>
      <c r="B472" s="6" t="str">
        <f ca="1">IFERROR(__xludf.DUMMYFUNCTION("GOOGLETRANSLATE(A472,""bn"",""en"")"),"There is no particle of soil in it, everything is clean and tidy")</f>
        <v>There is no particle of soil in it, everything is clean and tidy</v>
      </c>
      <c r="C472" s="7" t="s">
        <v>6</v>
      </c>
      <c r="D472" s="7" t="s">
        <v>7</v>
      </c>
      <c r="E472" s="7">
        <v>0</v>
      </c>
    </row>
    <row r="473" spans="1:5" ht="15.75" customHeight="1" x14ac:dyDescent="0.25">
      <c r="A473" s="6" t="s">
        <v>479</v>
      </c>
      <c r="B473" s="6" t="str">
        <f ca="1">IFERROR(__xludf.DUMMYFUNCTION("GOOGLETRANSLATE(A473,""bn"",""en"")"),"He could not do whatever he wanted")</f>
        <v>He could not do whatever he wanted</v>
      </c>
      <c r="C473" s="7" t="s">
        <v>6</v>
      </c>
      <c r="D473" s="7" t="s">
        <v>7</v>
      </c>
      <c r="E473" s="7">
        <v>0</v>
      </c>
    </row>
    <row r="474" spans="1:5" ht="15.75" customHeight="1" x14ac:dyDescent="0.25">
      <c r="A474" s="6" t="s">
        <v>480</v>
      </c>
      <c r="B474" s="6" t="str">
        <f ca="1">IFERROR(__xludf.DUMMYFUNCTION("GOOGLETRANSLATE(A474,""bn"",""en"")"),"Mokshada says a little why mother is a crazy madman")</f>
        <v>Mokshada says a little why mother is a crazy madman</v>
      </c>
      <c r="C474" s="7" t="s">
        <v>6</v>
      </c>
      <c r="D474" s="7" t="s">
        <v>7</v>
      </c>
      <c r="E474" s="7">
        <v>0</v>
      </c>
    </row>
    <row r="475" spans="1:5" ht="15.75" customHeight="1" x14ac:dyDescent="0.25">
      <c r="A475" s="6" t="s">
        <v>481</v>
      </c>
      <c r="B475" s="6" t="str">
        <f ca="1">IFERROR(__xludf.DUMMYFUNCTION("GOOGLETRANSLATE(A475,""bn"",""en"")"),"He does not know why he clapped his hands")</f>
        <v>He does not know why he clapped his hands</v>
      </c>
      <c r="C475" s="7" t="s">
        <v>6</v>
      </c>
      <c r="D475" s="7" t="s">
        <v>7</v>
      </c>
      <c r="E475" s="7">
        <v>0</v>
      </c>
    </row>
    <row r="476" spans="1:5" ht="15.75" customHeight="1" x14ac:dyDescent="0.25">
      <c r="A476" s="6" t="s">
        <v>482</v>
      </c>
      <c r="B476" s="6" t="str">
        <f ca="1">IFERROR(__xludf.DUMMYFUNCTION("GOOGLETRANSLATE(A476,""bn"",""en"")"),"Once in the night Elokeshi had sent his daughter to call Sarojini and came back after not getting any response.")</f>
        <v>Once in the night Elokeshi had sent his daughter to call Sarojini and came back after not getting any response.</v>
      </c>
      <c r="C476" s="7" t="s">
        <v>6</v>
      </c>
      <c r="D476" s="7" t="s">
        <v>7</v>
      </c>
      <c r="E476" s="7">
        <v>0</v>
      </c>
    </row>
    <row r="477" spans="1:5" ht="15.75" customHeight="1" x14ac:dyDescent="0.25">
      <c r="A477" s="6" t="s">
        <v>483</v>
      </c>
      <c r="B477" s="6" t="str">
        <f ca="1">IFERROR(__xludf.DUMMYFUNCTION("GOOGLETRANSLATE(A477,""bn"",""en"")"),"A family of foxes played in the clearing and it was a joy to watch their playful antics")</f>
        <v>A family of foxes played in the clearing and it was a joy to watch their playful antics</v>
      </c>
      <c r="C477" s="8" t="s">
        <v>13</v>
      </c>
      <c r="D477" s="8" t="s">
        <v>14</v>
      </c>
      <c r="E477" s="8">
        <v>1</v>
      </c>
    </row>
    <row r="478" spans="1:5" ht="15.75" customHeight="1" x14ac:dyDescent="0.25">
      <c r="A478" s="6" t="s">
        <v>484</v>
      </c>
      <c r="B478" s="6" t="str">
        <f ca="1">IFERROR(__xludf.DUMMYFUNCTION("GOOGLETRANSLATE(A478,""bn"",""en"")"),"The packaging was damaged upon arrival which was disappointing")</f>
        <v>The packaging was damaged upon arrival which was disappointing</v>
      </c>
      <c r="C478" s="8" t="s">
        <v>13</v>
      </c>
      <c r="D478" s="8" t="s">
        <v>14</v>
      </c>
      <c r="E478" s="8">
        <v>1</v>
      </c>
    </row>
    <row r="479" spans="1:5" ht="15.75" customHeight="1" x14ac:dyDescent="0.25">
      <c r="A479" s="6" t="s">
        <v>485</v>
      </c>
      <c r="B479" s="6" t="str">
        <f ca="1">IFERROR(__xludf.DUMMYFUNCTION("GOOGLETRANSLATE(A479,""bn"",""en"")"),"Their name was Black Death at the beginning of the death metal years")</f>
        <v>Their name was Black Death at the beginning of the death metal years</v>
      </c>
      <c r="C479" s="8" t="s">
        <v>13</v>
      </c>
      <c r="D479" s="8" t="s">
        <v>14</v>
      </c>
      <c r="E479" s="8">
        <v>1</v>
      </c>
    </row>
    <row r="480" spans="1:5" ht="15.75" customHeight="1" x14ac:dyDescent="0.25">
      <c r="A480" s="6" t="s">
        <v>486</v>
      </c>
      <c r="B480" s="6" t="str">
        <f ca="1">IFERROR(__xludf.DUMMYFUNCTION("GOOGLETRANSLATE(A480,""bn"",""en"")"),"Criminal courts handle cases involving violations of criminal law")</f>
        <v>Criminal courts handle cases involving violations of criminal law</v>
      </c>
      <c r="C480" s="8" t="s">
        <v>13</v>
      </c>
      <c r="D480" s="8" t="s">
        <v>14</v>
      </c>
      <c r="E480" s="8">
        <v>1</v>
      </c>
    </row>
    <row r="481" spans="1:5" ht="15.75" customHeight="1" x14ac:dyDescent="0.25">
      <c r="A481" s="6" t="s">
        <v>487</v>
      </c>
      <c r="B481" s="6" t="str">
        <f ca="1">IFERROR(__xludf.DUMMYFUNCTION("GOOGLETRANSLATE(A481,""bn"",""en"")"),"Don't compare your journey to others focus on your own path")</f>
        <v>Don't compare your journey to others focus on your own path</v>
      </c>
      <c r="C481" s="8" t="s">
        <v>13</v>
      </c>
      <c r="D481" s="8" t="s">
        <v>14</v>
      </c>
      <c r="E481" s="8">
        <v>1</v>
      </c>
    </row>
    <row r="482" spans="1:5" ht="15.75" customHeight="1" x14ac:dyDescent="0.25">
      <c r="A482" s="6" t="s">
        <v>488</v>
      </c>
      <c r="B482" s="6" t="str">
        <f ca="1">IFERROR(__xludf.DUMMYFUNCTION("GOOGLETRANSLATE(A482,""bn"",""en"")"),"Khatak said the order and left")</f>
        <v>Khatak said the order and left</v>
      </c>
      <c r="C482" s="7" t="s">
        <v>6</v>
      </c>
      <c r="D482" s="7" t="s">
        <v>7</v>
      </c>
      <c r="E482" s="7">
        <v>0</v>
      </c>
    </row>
    <row r="483" spans="1:5" ht="15.75" customHeight="1" x14ac:dyDescent="0.25">
      <c r="A483" s="6" t="s">
        <v>489</v>
      </c>
      <c r="B483" s="6" t="str">
        <f ca="1">IFERROR(__xludf.DUMMYFUNCTION("GOOGLETRANSLATE(A483,""bn"",""en"")"),"If the domestic animals lose their way in the forest, they have to follow the sound and search for them")</f>
        <v>If the domestic animals lose their way in the forest, they have to follow the sound and search for them</v>
      </c>
      <c r="C483" s="7" t="s">
        <v>6</v>
      </c>
      <c r="D483" s="7" t="s">
        <v>7</v>
      </c>
      <c r="E483" s="7">
        <v>0</v>
      </c>
    </row>
    <row r="484" spans="1:5" ht="15.75" customHeight="1" x14ac:dyDescent="0.25">
      <c r="A484" s="6" t="s">
        <v>490</v>
      </c>
      <c r="B484" s="6" t="str">
        <f ca="1">IFERROR(__xludf.DUMMYFUNCTION("GOOGLETRANSLATE(A484,""bn"",""en"")"),"Even if there were hundreds of things in the tent, I would throw it away")</f>
        <v>Even if there were hundreds of things in the tent, I would throw it away</v>
      </c>
      <c r="C484" s="7" t="s">
        <v>6</v>
      </c>
      <c r="D484" s="7" t="s">
        <v>7</v>
      </c>
      <c r="E484" s="7">
        <v>0</v>
      </c>
    </row>
    <row r="485" spans="1:5" ht="15.75" customHeight="1" x14ac:dyDescent="0.25">
      <c r="A485" s="6" t="s">
        <v>491</v>
      </c>
      <c r="B485" s="6" t="str">
        <f ca="1">IFERROR(__xludf.DUMMYFUNCTION("GOOGLETRANSLATE(A485,""bn"",""en"")"),"I will tell you that they burned my father without showing me even once")</f>
        <v>I will tell you that they burned my father without showing me even once</v>
      </c>
      <c r="C485" s="7" t="s">
        <v>6</v>
      </c>
      <c r="D485" s="7" t="s">
        <v>7</v>
      </c>
      <c r="E485" s="7">
        <v>0</v>
      </c>
    </row>
    <row r="486" spans="1:5" ht="15.75" customHeight="1" x14ac:dyDescent="0.25">
      <c r="A486" s="6" t="s">
        <v>492</v>
      </c>
      <c r="B486" s="6" t="str">
        <f ca="1">IFERROR(__xludf.DUMMYFUNCTION("GOOGLETRANSLATE(A486,""bn"",""en"")"),"Rahim will come to the field to play")</f>
        <v>Rahim will come to the field to play</v>
      </c>
      <c r="C486" s="7" t="s">
        <v>6</v>
      </c>
      <c r="D486" s="7" t="s">
        <v>7</v>
      </c>
      <c r="E486" s="7">
        <v>0</v>
      </c>
    </row>
    <row r="487" spans="1:5" ht="15.75" customHeight="1" x14ac:dyDescent="0.25">
      <c r="A487" s="6" t="s">
        <v>493</v>
      </c>
      <c r="B487" s="6" t="str">
        <f ca="1">IFERROR(__xludf.DUMMYFUNCTION("GOOGLETRANSLATE(A487,""bn"",""en"")"),"International Women's Masters National British Women's Chess Champion")</f>
        <v>International Women's Masters National British Women's Chess Champion</v>
      </c>
      <c r="C487" s="8" t="s">
        <v>13</v>
      </c>
      <c r="D487" s="8" t="s">
        <v>14</v>
      </c>
      <c r="E487" s="8">
        <v>1</v>
      </c>
    </row>
    <row r="488" spans="1:5" ht="15.75" customHeight="1" x14ac:dyDescent="0.25">
      <c r="A488" s="6" t="s">
        <v>494</v>
      </c>
      <c r="B488" s="6" t="str">
        <f ca="1">IFERROR(__xludf.DUMMYFUNCTION("GOOGLETRANSLATE(A488,""bn"",""en"")"),"Dillon's mother was a gentle and friendly person")</f>
        <v>Dillon's mother was a gentle and friendly person</v>
      </c>
      <c r="C488" s="8" t="s">
        <v>13</v>
      </c>
      <c r="D488" s="8" t="s">
        <v>14</v>
      </c>
      <c r="E488" s="8">
        <v>1</v>
      </c>
    </row>
    <row r="489" spans="1:5" ht="15.75" customHeight="1" x14ac:dyDescent="0.25">
      <c r="A489" s="6" t="s">
        <v>495</v>
      </c>
      <c r="B489" s="6" t="str">
        <f ca="1">IFERROR(__xludf.DUMMYFUNCTION("GOOGLETRANSLATE(A489,""bn"",""en"")"),"Be open to new experiences as they enrich your life")</f>
        <v>Be open to new experiences as they enrich your life</v>
      </c>
      <c r="C489" s="8" t="s">
        <v>13</v>
      </c>
      <c r="D489" s="8" t="s">
        <v>14</v>
      </c>
      <c r="E489" s="8">
        <v>1</v>
      </c>
    </row>
    <row r="490" spans="1:5" ht="15.75" customHeight="1" x14ac:dyDescent="0.25">
      <c r="A490" s="6" t="s">
        <v>496</v>
      </c>
      <c r="B490" s="6" t="str">
        <f ca="1">IFERROR(__xludf.DUMMYFUNCTION("GOOGLETRANSLATE(A490,""bn"",""en"")"),"Malaysia's economy is basically a free market economy")</f>
        <v>Malaysia's economy is basically a free market economy</v>
      </c>
      <c r="C490" s="8" t="s">
        <v>13</v>
      </c>
      <c r="D490" s="8" t="s">
        <v>14</v>
      </c>
      <c r="E490" s="8">
        <v>1</v>
      </c>
    </row>
    <row r="491" spans="1:5" ht="15.75" customHeight="1" x14ac:dyDescent="0.25">
      <c r="A491" s="6" t="s">
        <v>497</v>
      </c>
      <c r="B491" s="6" t="str">
        <f ca="1">IFERROR(__xludf.DUMMYFUNCTION("GOOGLETRANSLATE(A491,""bn"",""en"")"),"Prioritize recovery over muscle repair")</f>
        <v>Prioritize recovery over muscle repair</v>
      </c>
      <c r="C491" s="8" t="s">
        <v>13</v>
      </c>
      <c r="D491" s="8" t="s">
        <v>14</v>
      </c>
      <c r="E491" s="8">
        <v>1</v>
      </c>
    </row>
    <row r="492" spans="1:5" ht="15.75" customHeight="1" x14ac:dyDescent="0.25">
      <c r="A492" s="6" t="s">
        <v>498</v>
      </c>
      <c r="B492" s="6" t="str">
        <f ca="1">IFERROR(__xludf.DUMMYFUNCTION("GOOGLETRANSLATE(A492,""bn"",""en"")"),"Bengalis are only happy to see a small pile of soil in the habit of seeing the fields")</f>
        <v>Bengalis are only happy to see a small pile of soil in the habit of seeing the fields</v>
      </c>
      <c r="C492" s="7" t="s">
        <v>6</v>
      </c>
      <c r="D492" s="7" t="s">
        <v>7</v>
      </c>
      <c r="E492" s="7">
        <v>0</v>
      </c>
    </row>
    <row r="493" spans="1:5" ht="15.75" customHeight="1" x14ac:dyDescent="0.25">
      <c r="A493" s="6" t="s">
        <v>499</v>
      </c>
      <c r="B493" s="6" t="str">
        <f ca="1">IFERROR(__xludf.DUMMYFUNCTION("GOOGLETRANSLATE(A493,""bn"",""en"")"),"Sharif asked me to read the book")</f>
        <v>Sharif asked me to read the book</v>
      </c>
      <c r="C493" s="7" t="s">
        <v>6</v>
      </c>
      <c r="D493" s="7" t="s">
        <v>7</v>
      </c>
      <c r="E493" s="7">
        <v>0</v>
      </c>
    </row>
    <row r="494" spans="1:5" ht="15.75" customHeight="1" x14ac:dyDescent="0.25">
      <c r="A494" s="6" t="s">
        <v>500</v>
      </c>
      <c r="B494" s="6" t="str">
        <f ca="1">IFERROR(__xludf.DUMMYFUNCTION("GOOGLETRANSLATE(A494,""bn"",""en"")"),"When the face of a particular young woman is released, both of the youth's ears are filled with happiness")</f>
        <v>When the face of a particular young woman is released, both of the youth's ears are filled with happiness</v>
      </c>
      <c r="C494" s="7" t="s">
        <v>6</v>
      </c>
      <c r="D494" s="7" t="s">
        <v>7</v>
      </c>
      <c r="E494" s="7">
        <v>0</v>
      </c>
    </row>
    <row r="495" spans="1:5" ht="15.75" customHeight="1" x14ac:dyDescent="0.25">
      <c r="A495" s="6" t="s">
        <v>501</v>
      </c>
      <c r="B495" s="6" t="str">
        <f ca="1">IFERROR(__xludf.DUMMYFUNCTION("GOOGLETRANSLATE(A495,""bn"",""en"")"),"His hand hurt to write the letter")</f>
        <v>His hand hurt to write the letter</v>
      </c>
      <c r="C495" s="7" t="s">
        <v>6</v>
      </c>
      <c r="D495" s="7" t="s">
        <v>7</v>
      </c>
      <c r="E495" s="7">
        <v>0</v>
      </c>
    </row>
    <row r="496" spans="1:5" ht="15.75" customHeight="1" x14ac:dyDescent="0.25">
      <c r="A496" s="6" t="s">
        <v>502</v>
      </c>
      <c r="B496" s="6" t="str">
        <f ca="1">IFERROR(__xludf.DUMMYFUNCTION("GOOGLETRANSLATE(A496,""bn"",""en"")"),"If he was a little older, he wouldn't mind")</f>
        <v>If he was a little older, he wouldn't mind</v>
      </c>
      <c r="C496" s="7" t="s">
        <v>6</v>
      </c>
      <c r="D496" s="7" t="s">
        <v>7</v>
      </c>
      <c r="E496" s="7">
        <v>0</v>
      </c>
    </row>
    <row r="497" spans="1:5" ht="15.75" customHeight="1" x14ac:dyDescent="0.25">
      <c r="A497" s="6" t="s">
        <v>503</v>
      </c>
      <c r="B497" s="6" t="str">
        <f ca="1">IFERROR(__xludf.DUMMYFUNCTION("GOOGLETRANSLATE(A497,""bn"",""en"")"),"I was disappointed by the lack of options available on the menu")</f>
        <v>I was disappointed by the lack of options available on the menu</v>
      </c>
      <c r="C497" s="8" t="s">
        <v>13</v>
      </c>
      <c r="D497" s="8" t="s">
        <v>14</v>
      </c>
      <c r="E497" s="8">
        <v>1</v>
      </c>
    </row>
    <row r="498" spans="1:5" ht="15.75" customHeight="1" x14ac:dyDescent="0.25">
      <c r="A498" s="6" t="s">
        <v>504</v>
      </c>
      <c r="B498" s="6" t="str">
        <f ca="1">IFERROR(__xludf.DUMMYFUNCTION("GOOGLETRANSLATE(A498,""bn"",""en"")"),"Truth is rare and the way to gain it is also a friend's")</f>
        <v>Truth is rare and the way to gain it is also a friend's</v>
      </c>
      <c r="C498" s="8" t="s">
        <v>13</v>
      </c>
      <c r="D498" s="8" t="s">
        <v>14</v>
      </c>
      <c r="E498" s="8">
        <v>1</v>
      </c>
    </row>
    <row r="499" spans="1:5" ht="15.75" customHeight="1" x14ac:dyDescent="0.25">
      <c r="A499" s="6" t="s">
        <v>505</v>
      </c>
      <c r="B499" s="6" t="str">
        <f ca="1">IFERROR(__xludf.DUMMYFUNCTION("GOOGLETRANSLATE(A499,""bn"",""en"")"),"They won that game against Newcastle United by a goal")</f>
        <v>They won that game against Newcastle United by a goal</v>
      </c>
      <c r="C499" s="8" t="s">
        <v>13</v>
      </c>
      <c r="D499" s="8" t="s">
        <v>14</v>
      </c>
      <c r="E499" s="8">
        <v>1</v>
      </c>
    </row>
    <row r="500" spans="1:5" ht="15.75" customHeight="1" x14ac:dyDescent="0.25">
      <c r="A500" s="6" t="s">
        <v>506</v>
      </c>
      <c r="B500" s="6" t="str">
        <f ca="1">IFERROR(__xludf.DUMMYFUNCTION("GOOGLETRANSLATE(A500,""bn"",""en"")"),"Miranda rights protect individuals during police interrogation in the United States")</f>
        <v>Miranda rights protect individuals during police interrogation in the United States</v>
      </c>
      <c r="C500" s="8" t="s">
        <v>13</v>
      </c>
      <c r="D500" s="8" t="s">
        <v>14</v>
      </c>
      <c r="E500" s="8">
        <v>1</v>
      </c>
    </row>
    <row r="501" spans="1:5" ht="15.75" customHeight="1" x14ac:dyDescent="0.25">
      <c r="A501" s="6" t="s">
        <v>507</v>
      </c>
      <c r="B501" s="6" t="str">
        <f ca="1">IFERROR(__xludf.DUMMYFUNCTION("GOOGLETRANSLATE(A501,""bn"",""en"")"),"City people love to cheat others")</f>
        <v>City people love to cheat others</v>
      </c>
      <c r="C501" s="8" t="s">
        <v>13</v>
      </c>
      <c r="D501" s="8" t="s">
        <v>14</v>
      </c>
      <c r="E501" s="8">
        <v>1</v>
      </c>
    </row>
    <row r="502" spans="1:5" ht="15.75" customHeight="1" x14ac:dyDescent="0.25">
      <c r="A502" s="6" t="s">
        <v>508</v>
      </c>
      <c r="B502" s="6" t="str">
        <f ca="1">IFERROR(__xludf.DUMMYFUNCTION("GOOGLETRANSLATE(A502,""bn"",""en"")"),"We went to visit Rajshahi")</f>
        <v>We went to visit Rajshahi</v>
      </c>
      <c r="C502" s="7" t="s">
        <v>6</v>
      </c>
      <c r="D502" s="7" t="s">
        <v>7</v>
      </c>
      <c r="E502" s="7">
        <v>0</v>
      </c>
    </row>
    <row r="503" spans="1:5" ht="15.75" customHeight="1" x14ac:dyDescent="0.25">
      <c r="A503" s="6" t="s">
        <v>509</v>
      </c>
      <c r="B503" s="6" t="str">
        <f ca="1">IFERROR(__xludf.DUMMYFUNCTION("GOOGLETRANSLATE(A503,""bn"",""en"")"),"He did not perform well in the exam")</f>
        <v>He did not perform well in the exam</v>
      </c>
      <c r="C503" s="7" t="s">
        <v>6</v>
      </c>
      <c r="D503" s="7" t="s">
        <v>7</v>
      </c>
      <c r="E503" s="7">
        <v>0</v>
      </c>
    </row>
    <row r="504" spans="1:5" ht="15.75" customHeight="1" x14ac:dyDescent="0.25">
      <c r="A504" s="6" t="s">
        <v>510</v>
      </c>
      <c r="B504" s="6" t="str">
        <f ca="1">IFERROR(__xludf.DUMMYFUNCTION("GOOGLETRANSLATE(A504,""bn"",""en"")"),"He saw the girl's pitiful face")</f>
        <v>He saw the girl's pitiful face</v>
      </c>
      <c r="C504" s="7" t="s">
        <v>6</v>
      </c>
      <c r="D504" s="7" t="s">
        <v>7</v>
      </c>
      <c r="E504" s="7">
        <v>0</v>
      </c>
    </row>
    <row r="505" spans="1:5" ht="15.75" customHeight="1" x14ac:dyDescent="0.25">
      <c r="A505" s="6" t="s">
        <v>511</v>
      </c>
      <c r="B505" s="6" t="str">
        <f ca="1">IFERROR(__xludf.DUMMYFUNCTION("GOOGLETRANSLATE(A505,""bn"",""en"")"),"10 years ago, which you came to join")</f>
        <v>10 years ago, which you came to join</v>
      </c>
      <c r="C505" s="7" t="s">
        <v>6</v>
      </c>
      <c r="D505" s="7" t="s">
        <v>7</v>
      </c>
      <c r="E505" s="7">
        <v>0</v>
      </c>
    </row>
    <row r="506" spans="1:5" ht="15.75" customHeight="1" x14ac:dyDescent="0.25">
      <c r="A506" s="6" t="s">
        <v>512</v>
      </c>
      <c r="B506" s="6" t="str">
        <f ca="1">IFERROR(__xludf.DUMMYFUNCTION("GOOGLETRANSLATE(A506,""bn"",""en"")"),"Even though he is in the same sex with hundreds of people, my eyes seem to fall on his face first")</f>
        <v>Even though he is in the same sex with hundreds of people, my eyes seem to fall on his face first</v>
      </c>
      <c r="C506" s="7" t="s">
        <v>6</v>
      </c>
      <c r="D506" s="7" t="s">
        <v>7</v>
      </c>
      <c r="E506" s="7">
        <v>0</v>
      </c>
    </row>
    <row r="507" spans="1:5" ht="15.75" customHeight="1" x14ac:dyDescent="0.25">
      <c r="A507" s="6" t="s">
        <v>513</v>
      </c>
      <c r="B507" s="6" t="str">
        <f ca="1">IFERROR(__xludf.DUMMYFUNCTION("GOOGLETRANSLATE(A507,""bn"",""en"")"),"Ritu Meena started working together")</f>
        <v>Ritu Meena started working together</v>
      </c>
      <c r="C507" s="8" t="s">
        <v>13</v>
      </c>
      <c r="D507" s="8" t="s">
        <v>14</v>
      </c>
      <c r="E507" s="8">
        <v>1</v>
      </c>
    </row>
    <row r="508" spans="1:5" ht="15.75" customHeight="1" x14ac:dyDescent="0.25">
      <c r="A508" s="6" t="s">
        <v>514</v>
      </c>
      <c r="B508" s="6" t="str">
        <f ca="1">IFERROR(__xludf.DUMMYFUNCTION("GOOGLETRANSLATE(A508,""bn"",""en"")"),"Listen to your body's signals")</f>
        <v>Listen to your body's signals</v>
      </c>
      <c r="C508" s="8" t="s">
        <v>13</v>
      </c>
      <c r="D508" s="8" t="s">
        <v>14</v>
      </c>
      <c r="E508" s="8">
        <v>1</v>
      </c>
    </row>
    <row r="509" spans="1:5" ht="15.75" customHeight="1" x14ac:dyDescent="0.25">
      <c r="A509" s="6" t="s">
        <v>515</v>
      </c>
      <c r="B509" s="6" t="str">
        <f ca="1">IFERROR(__xludf.DUMMYFUNCTION("GOOGLETRANSLATE(A509,""bn"",""en"")"),"Zucchini noodles replace carb heavy pasta")</f>
        <v>Zucchini noodles replace carb heavy pasta</v>
      </c>
      <c r="C509" s="8" t="s">
        <v>13</v>
      </c>
      <c r="D509" s="8" t="s">
        <v>14</v>
      </c>
      <c r="E509" s="8">
        <v>1</v>
      </c>
    </row>
    <row r="510" spans="1:5" ht="15.75" customHeight="1" x14ac:dyDescent="0.25">
      <c r="A510" s="6" t="s">
        <v>516</v>
      </c>
      <c r="B510" s="6" t="str">
        <f ca="1">IFERROR(__xludf.DUMMYFUNCTION("GOOGLETRANSLATE(A510,""bn"",""en"")"),"He joined the Manchester United club")</f>
        <v>He joined the Manchester United club</v>
      </c>
      <c r="C510" s="8" t="s">
        <v>13</v>
      </c>
      <c r="D510" s="8" t="s">
        <v>14</v>
      </c>
      <c r="E510" s="8">
        <v>1</v>
      </c>
    </row>
    <row r="511" spans="1:5" ht="15.75" customHeight="1" x14ac:dyDescent="0.25">
      <c r="A511" s="6" t="s">
        <v>517</v>
      </c>
      <c r="B511" s="6" t="str">
        <f ca="1">IFERROR(__xludf.DUMMYFUNCTION("GOOGLETRANSLATE(A511,""bn"",""en"")"),"I forbade him to come")</f>
        <v>I forbade him to come</v>
      </c>
      <c r="C511" s="8" t="s">
        <v>13</v>
      </c>
      <c r="D511" s="8" t="s">
        <v>14</v>
      </c>
      <c r="E511" s="8">
        <v>1</v>
      </c>
    </row>
    <row r="512" spans="1:5" ht="15.75" customHeight="1" x14ac:dyDescent="0.25">
      <c r="A512" s="6" t="s">
        <v>518</v>
      </c>
      <c r="B512" s="6" t="str">
        <f ca="1">IFERROR(__xludf.DUMMYFUNCTION("GOOGLETRANSLATE(A512,""bn"",""en"")"),"Crores of these mountains are very desolate, there is no small forest anywhere, grass is everywhere")</f>
        <v>Crores of these mountains are very desolate, there is no small forest anywhere, grass is everywhere</v>
      </c>
      <c r="C512" s="7" t="s">
        <v>6</v>
      </c>
      <c r="D512" s="7" t="s">
        <v>7</v>
      </c>
      <c r="E512" s="7">
        <v>0</v>
      </c>
    </row>
    <row r="513" spans="1:5" ht="15.75" customHeight="1" x14ac:dyDescent="0.25">
      <c r="A513" s="6" t="s">
        <v>519</v>
      </c>
      <c r="B513" s="6" t="str">
        <f ca="1">IFERROR(__xludf.DUMMYFUNCTION("GOOGLETRANSLATE(A513,""bn"",""en"")"),"He didn't even dare to look up")</f>
        <v>He didn't even dare to look up</v>
      </c>
      <c r="C513" s="7" t="s">
        <v>6</v>
      </c>
      <c r="D513" s="7" t="s">
        <v>7</v>
      </c>
      <c r="E513" s="7">
        <v>0</v>
      </c>
    </row>
    <row r="514" spans="1:5" ht="15.75" customHeight="1" x14ac:dyDescent="0.25">
      <c r="A514" s="6" t="s">
        <v>520</v>
      </c>
      <c r="B514" s="6" t="str">
        <f ca="1">IFERROR(__xludf.DUMMYFUNCTION("GOOGLETRANSLATE(A514,""bn"",""en"")"),"His faith was struck by lightning when he saw Savitri with his own eyes")</f>
        <v>His faith was struck by lightning when he saw Savitri with his own eyes</v>
      </c>
      <c r="C514" s="7" t="s">
        <v>6</v>
      </c>
      <c r="D514" s="7" t="s">
        <v>7</v>
      </c>
      <c r="E514" s="7">
        <v>0</v>
      </c>
    </row>
    <row r="515" spans="1:5" ht="15.75" customHeight="1" x14ac:dyDescent="0.25">
      <c r="A515" s="6" t="s">
        <v>521</v>
      </c>
      <c r="B515" s="6" t="str">
        <f ca="1">IFERROR(__xludf.DUMMYFUNCTION("GOOGLETRANSLATE(A515,""bn"",""en"")"),"I see enough in your garden")</f>
        <v>I see enough in your garden</v>
      </c>
      <c r="C515" s="7" t="s">
        <v>6</v>
      </c>
      <c r="D515" s="7" t="s">
        <v>7</v>
      </c>
      <c r="E515" s="7">
        <v>0</v>
      </c>
    </row>
    <row r="516" spans="1:5" ht="15.75" customHeight="1" x14ac:dyDescent="0.25">
      <c r="A516" s="6" t="s">
        <v>522</v>
      </c>
      <c r="B516" s="6" t="str">
        <f ca="1">IFERROR(__xludf.DUMMYFUNCTION("GOOGLETRANSLATE(A516,""bn"",""en"")"),"After all the days in the evening a car came and stopped in front of Vishwambharbabu's house")</f>
        <v>After all the days in the evening a car came and stopped in front of Vishwambharbabu's house</v>
      </c>
      <c r="C516" s="7" t="s">
        <v>6</v>
      </c>
      <c r="D516" s="7" t="s">
        <v>7</v>
      </c>
      <c r="E516" s="7">
        <v>0</v>
      </c>
    </row>
    <row r="517" spans="1:5" ht="15.75" customHeight="1" x14ac:dyDescent="0.25">
      <c r="A517" s="6" t="s">
        <v>523</v>
      </c>
      <c r="B517" s="6" t="str">
        <f ca="1">IFERROR(__xludf.DUMMYFUNCTION("GOOGLETRANSLATE(A517,""bn"",""en"")"),"Subhash Chandra was a brilliant student")</f>
        <v>Subhash Chandra was a brilliant student</v>
      </c>
      <c r="C517" s="8" t="s">
        <v>13</v>
      </c>
      <c r="D517" s="8" t="s">
        <v>14</v>
      </c>
      <c r="E517" s="8">
        <v>1</v>
      </c>
    </row>
    <row r="518" spans="1:5" ht="15.75" customHeight="1" x14ac:dyDescent="0.25">
      <c r="A518" s="6" t="s">
        <v>524</v>
      </c>
      <c r="B518" s="6" t="str">
        <f ca="1">IFERROR(__xludf.DUMMYFUNCTION("GOOGLETRANSLATE(A518,""bn"",""en"")"),"The stock market can be unpredictable so it's important to be prepared for fluctuations")</f>
        <v>The stock market can be unpredictable so it's important to be prepared for fluctuations</v>
      </c>
      <c r="C518" s="8" t="s">
        <v>13</v>
      </c>
      <c r="D518" s="8" t="s">
        <v>14</v>
      </c>
      <c r="E518" s="8">
        <v>1</v>
      </c>
    </row>
    <row r="519" spans="1:5" ht="15.75" customHeight="1" x14ac:dyDescent="0.25">
      <c r="A519" s="6" t="s">
        <v>525</v>
      </c>
      <c r="B519" s="6" t="str">
        <f ca="1">IFERROR(__xludf.DUMMYFUNCTION("GOOGLETRANSLATE(A519,""bn"",""en"")"),"I am waiting for transaction confirmation")</f>
        <v>I am waiting for transaction confirmation</v>
      </c>
      <c r="C519" s="8" t="s">
        <v>13</v>
      </c>
      <c r="D519" s="8" t="s">
        <v>14</v>
      </c>
      <c r="E519" s="8">
        <v>1</v>
      </c>
    </row>
    <row r="520" spans="1:5" ht="15.75" customHeight="1" x14ac:dyDescent="0.25">
      <c r="A520" s="6" t="s">
        <v>526</v>
      </c>
      <c r="B520" s="6" t="str">
        <f ca="1">IFERROR(__xludf.DUMMYFUNCTION("GOOGLETRANSLATE(A520,""bn"",""en"")"),"He didn't work hard in his student life so he failed")</f>
        <v>He didn't work hard in his student life so he failed</v>
      </c>
      <c r="C520" s="8" t="s">
        <v>13</v>
      </c>
      <c r="D520" s="8" t="s">
        <v>14</v>
      </c>
      <c r="E520" s="8">
        <v>1</v>
      </c>
    </row>
    <row r="521" spans="1:5" ht="15.75" customHeight="1" x14ac:dyDescent="0.25">
      <c r="A521" s="6" t="s">
        <v>527</v>
      </c>
      <c r="B521" s="6" t="str">
        <f ca="1">IFERROR(__xludf.DUMMYFUNCTION("GOOGLETRANSLATE(A521,""bn"",""en"")"),"Sujan went to visit Dhaka")</f>
        <v>Sujan went to visit Dhaka</v>
      </c>
      <c r="C521" s="8" t="s">
        <v>13</v>
      </c>
      <c r="D521" s="8" t="s">
        <v>14</v>
      </c>
      <c r="E521" s="8">
        <v>1</v>
      </c>
    </row>
    <row r="522" spans="1:5" ht="15.75" customHeight="1" x14ac:dyDescent="0.25">
      <c r="A522" s="6" t="s">
        <v>528</v>
      </c>
      <c r="B522" s="6" t="str">
        <f ca="1">IFERROR(__xludf.DUMMYFUNCTION("GOOGLETRANSLATE(A522,""bn"",""en"")"),"Later it was clearly remembered")</f>
        <v>Later it was clearly remembered</v>
      </c>
      <c r="C522" s="7" t="s">
        <v>6</v>
      </c>
      <c r="D522" s="7" t="s">
        <v>7</v>
      </c>
      <c r="E522" s="7">
        <v>0</v>
      </c>
    </row>
    <row r="523" spans="1:5" ht="15.75" customHeight="1" x14ac:dyDescent="0.25">
      <c r="A523" s="6" t="s">
        <v>529</v>
      </c>
      <c r="B523" s="6" t="str">
        <f ca="1">IFERROR(__xludf.DUMMYFUNCTION("GOOGLETRANSLATE(A523,""bn"",""en"")"),"Fatik came without saying anything")</f>
        <v>Fatik came without saying anything</v>
      </c>
      <c r="C523" s="7" t="s">
        <v>6</v>
      </c>
      <c r="D523" s="7" t="s">
        <v>7</v>
      </c>
      <c r="E523" s="7">
        <v>0</v>
      </c>
    </row>
    <row r="524" spans="1:5" ht="15.75" customHeight="1" x14ac:dyDescent="0.25">
      <c r="A524" s="6" t="s">
        <v>530</v>
      </c>
      <c r="B524" s="6" t="str">
        <f ca="1">IFERROR(__xludf.DUMMYFUNCTION("GOOGLETRANSLATE(A524,""bn"",""en"")"),"In that vacation, Mahendra is the company")</f>
        <v>In that vacation, Mahendra is the company</v>
      </c>
      <c r="C524" s="7" t="s">
        <v>6</v>
      </c>
      <c r="D524" s="7" t="s">
        <v>7</v>
      </c>
      <c r="E524" s="7">
        <v>0</v>
      </c>
    </row>
    <row r="525" spans="1:5" ht="15.75" customHeight="1" x14ac:dyDescent="0.25">
      <c r="A525" s="6" t="s">
        <v>531</v>
      </c>
      <c r="B525" s="6" t="str">
        <f ca="1">IFERROR(__xludf.DUMMYFUNCTION("GOOGLETRANSLATE(A525,""bn"",""en"")"),"At that time, a foreign boat came to the pier")</f>
        <v>At that time, a foreign boat came to the pier</v>
      </c>
      <c r="C525" s="7" t="s">
        <v>6</v>
      </c>
      <c r="D525" s="7" t="s">
        <v>7</v>
      </c>
      <c r="E525" s="7">
        <v>0</v>
      </c>
    </row>
    <row r="526" spans="1:5" ht="15.75" customHeight="1" x14ac:dyDescent="0.25">
      <c r="A526" s="6" t="s">
        <v>532</v>
      </c>
      <c r="B526" s="6" t="str">
        <f ca="1">IFERROR(__xludf.DUMMYFUNCTION("GOOGLETRANSLATE(A526,""bn"",""en"")"),"My father worked in the fields")</f>
        <v>My father worked in the fields</v>
      </c>
      <c r="C526" s="7" t="s">
        <v>6</v>
      </c>
      <c r="D526" s="7" t="s">
        <v>7</v>
      </c>
      <c r="E526" s="7">
        <v>0</v>
      </c>
    </row>
    <row r="527" spans="1:5" ht="15.75" customHeight="1" x14ac:dyDescent="0.25">
      <c r="A527" s="6" t="s">
        <v>533</v>
      </c>
      <c r="B527" s="6" t="str">
        <f ca="1">IFERROR(__xludf.DUMMYFUNCTION("GOOGLETRANSLATE(A527,""bn"",""en"")"),"Crossing through the thick underbrush they made their own way hacking their way with knives")</f>
        <v>Crossing through the thick underbrush they made their own way hacking their way with knives</v>
      </c>
      <c r="C527" s="8" t="s">
        <v>13</v>
      </c>
      <c r="D527" s="8" t="s">
        <v>14</v>
      </c>
      <c r="E527" s="8">
        <v>1</v>
      </c>
    </row>
    <row r="528" spans="1:5" ht="15.75" customHeight="1" x14ac:dyDescent="0.25">
      <c r="A528" s="6" t="s">
        <v>534</v>
      </c>
      <c r="B528" s="6" t="str">
        <f ca="1">IFERROR(__xludf.DUMMYFUNCTION("GOOGLETRANSLATE(A528,""bn"",""en"")"),"Every morning I used to think when I will buy a car and when I will travel with my parents in that car")</f>
        <v>Every morning I used to think when I will buy a car and when I will travel with my parents in that car</v>
      </c>
      <c r="C528" s="8" t="s">
        <v>13</v>
      </c>
      <c r="D528" s="8" t="s">
        <v>14</v>
      </c>
      <c r="E528" s="8">
        <v>1</v>
      </c>
    </row>
    <row r="529" spans="1:5" ht="15.75" customHeight="1" x14ac:dyDescent="0.25">
      <c r="A529" s="6" t="s">
        <v>535</v>
      </c>
      <c r="B529" s="6" t="str">
        <f ca="1">IFERROR(__xludf.DUMMYFUNCTION("GOOGLETRANSLATE(A529,""bn"",""en"")"),"Is this your new ball?")</f>
        <v>Is this your new ball?</v>
      </c>
      <c r="C529" s="8" t="s">
        <v>13</v>
      </c>
      <c r="D529" s="8" t="s">
        <v>14</v>
      </c>
      <c r="E529" s="8">
        <v>1</v>
      </c>
    </row>
    <row r="530" spans="1:5" ht="15.75" customHeight="1" x14ac:dyDescent="0.25">
      <c r="A530" s="6" t="s">
        <v>536</v>
      </c>
      <c r="B530" s="6" t="str">
        <f ca="1">IFERROR(__xludf.DUMMYFUNCTION("GOOGLETRANSLATE(A530,""bn"",""en"")"),"Practice Patience Good things take time to manifest")</f>
        <v>Practice Patience Good things take time to manifest</v>
      </c>
      <c r="C530" s="8" t="s">
        <v>13</v>
      </c>
      <c r="D530" s="8" t="s">
        <v>14</v>
      </c>
      <c r="E530" s="8">
        <v>1</v>
      </c>
    </row>
    <row r="531" spans="1:5" ht="15.75" customHeight="1" x14ac:dyDescent="0.25">
      <c r="A531" s="6" t="s">
        <v>537</v>
      </c>
      <c r="B531" s="6" t="str">
        <f ca="1">IFERROR(__xludf.DUMMYFUNCTION("GOOGLETRANSLATE(A531,""bn"",""en"")"),"He screamed and sat down in the middle of the road")</f>
        <v>He screamed and sat down in the middle of the road</v>
      </c>
      <c r="C531" s="8" t="s">
        <v>13</v>
      </c>
      <c r="D531" s="8" t="s">
        <v>14</v>
      </c>
      <c r="E531" s="8">
        <v>1</v>
      </c>
    </row>
    <row r="532" spans="1:5" ht="15.75" customHeight="1" x14ac:dyDescent="0.25">
      <c r="A532" s="6" t="s">
        <v>538</v>
      </c>
      <c r="B532" s="6" t="str">
        <f ca="1">IFERROR(__xludf.DUMMYFUNCTION("GOOGLETRANSLATE(A532,""bn"",""en"")"),"The sailors tried desperately to get out of it")</f>
        <v>The sailors tried desperately to get out of it</v>
      </c>
      <c r="C532" s="7" t="s">
        <v>6</v>
      </c>
      <c r="D532" s="7" t="s">
        <v>7</v>
      </c>
      <c r="E532" s="7">
        <v>0</v>
      </c>
    </row>
    <row r="533" spans="1:5" ht="15.75" customHeight="1" x14ac:dyDescent="0.25">
      <c r="A533" s="6" t="s">
        <v>539</v>
      </c>
      <c r="B533" s="6" t="str">
        <f ca="1">IFERROR(__xludf.DUMMYFUNCTION("GOOGLETRANSLATE(A533,""bn"",""en"")"),"No one comes empty-handed")</f>
        <v>No one comes empty-handed</v>
      </c>
      <c r="C533" s="7" t="s">
        <v>6</v>
      </c>
      <c r="D533" s="7" t="s">
        <v>7</v>
      </c>
      <c r="E533" s="7">
        <v>0</v>
      </c>
    </row>
    <row r="534" spans="1:5" ht="15.75" customHeight="1" x14ac:dyDescent="0.25">
      <c r="A534" s="6" t="s">
        <v>540</v>
      </c>
      <c r="B534" s="6" t="str">
        <f ca="1">IFERROR(__xludf.DUMMYFUNCTION("GOOGLETRANSLATE(A534,""bn"",""en"")"),"He had absolutely no desire to return home today")</f>
        <v>He had absolutely no desire to return home today</v>
      </c>
      <c r="C534" s="7" t="s">
        <v>6</v>
      </c>
      <c r="D534" s="7" t="s">
        <v>7</v>
      </c>
      <c r="E534" s="7">
        <v>0</v>
      </c>
    </row>
    <row r="535" spans="1:5" ht="15.75" customHeight="1" x14ac:dyDescent="0.25">
      <c r="A535" s="6" t="s">
        <v>541</v>
      </c>
      <c r="B535" s="6" t="str">
        <f ca="1">IFERROR(__xludf.DUMMYFUNCTION("GOOGLETRANSLATE(A535,""bn"",""en"")"),"You have to come if you don't want to understand anything")</f>
        <v>You have to come if you don't want to understand anything</v>
      </c>
      <c r="C535" s="7" t="s">
        <v>6</v>
      </c>
      <c r="D535" s="7" t="s">
        <v>7</v>
      </c>
      <c r="E535" s="7">
        <v>0</v>
      </c>
    </row>
    <row r="536" spans="1:5" ht="15.75" customHeight="1" x14ac:dyDescent="0.25">
      <c r="A536" s="6" t="s">
        <v>542</v>
      </c>
      <c r="B536" s="6" t="str">
        <f ca="1">IFERROR(__xludf.DUMMYFUNCTION("GOOGLETRANSLATE(A536,""bn"",""en"")"),"Shashi passed college in Calcutta and became a doctor")</f>
        <v>Shashi passed college in Calcutta and became a doctor</v>
      </c>
      <c r="C536" s="7" t="s">
        <v>6</v>
      </c>
      <c r="D536" s="7" t="s">
        <v>7</v>
      </c>
      <c r="E536" s="7">
        <v>0</v>
      </c>
    </row>
    <row r="537" spans="1:5" ht="15.75" customHeight="1" x14ac:dyDescent="0.25">
      <c r="A537" s="6" t="s">
        <v>543</v>
      </c>
      <c r="B537" s="6" t="str">
        <f ca="1">IFERROR(__xludf.DUMMYFUNCTION("GOOGLETRANSLATE(A537,""bn"",""en"")"),"Special education meets the needs of students with disabilities")</f>
        <v>Special education meets the needs of students with disabilities</v>
      </c>
      <c r="C537" s="8" t="s">
        <v>13</v>
      </c>
      <c r="D537" s="8" t="s">
        <v>14</v>
      </c>
      <c r="E537" s="8">
        <v>1</v>
      </c>
    </row>
    <row r="538" spans="1:5" ht="15.75" customHeight="1" x14ac:dyDescent="0.25">
      <c r="A538" s="6" t="s">
        <v>544</v>
      </c>
      <c r="B538" s="6" t="str">
        <f ca="1">IFERROR(__xludf.DUMMYFUNCTION("GOOGLETRANSLATE(A538,""bn"",""en"")"),"I was amazed at the level of craftsmanship in this piece of art")</f>
        <v>I was amazed at the level of craftsmanship in this piece of art</v>
      </c>
      <c r="C538" s="8" t="s">
        <v>13</v>
      </c>
      <c r="D538" s="8" t="s">
        <v>14</v>
      </c>
      <c r="E538" s="8">
        <v>1</v>
      </c>
    </row>
    <row r="539" spans="1:5" ht="15.75" customHeight="1" x14ac:dyDescent="0.25">
      <c r="A539" s="6" t="s">
        <v>545</v>
      </c>
      <c r="B539" s="6" t="str">
        <f ca="1">IFERROR(__xludf.DUMMYFUNCTION("GOOGLETRANSLATE(A539,""bn"",""en"")"),"I asked him his name")</f>
        <v>I asked him his name</v>
      </c>
      <c r="C539" s="8" t="s">
        <v>13</v>
      </c>
      <c r="D539" s="8" t="s">
        <v>14</v>
      </c>
      <c r="E539" s="8">
        <v>1</v>
      </c>
    </row>
    <row r="540" spans="1:5" ht="15.75" customHeight="1" x14ac:dyDescent="0.25">
      <c r="A540" s="6" t="s">
        <v>546</v>
      </c>
      <c r="B540" s="6" t="str">
        <f ca="1">IFERROR(__xludf.DUMMYFUNCTION("GOOGLETRANSLATE(A540,""bn"",""en"")"),"I wanted to go to his house but could not go because of rain")</f>
        <v>I wanted to go to his house but could not go because of rain</v>
      </c>
      <c r="C540" s="8" t="s">
        <v>13</v>
      </c>
      <c r="D540" s="8" t="s">
        <v>14</v>
      </c>
      <c r="E540" s="8">
        <v>1</v>
      </c>
    </row>
    <row r="541" spans="1:5" ht="15.75" customHeight="1" x14ac:dyDescent="0.25">
      <c r="A541" s="6" t="s">
        <v>547</v>
      </c>
      <c r="B541" s="6" t="str">
        <f ca="1">IFERROR(__xludf.DUMMYFUNCTION("GOOGLETRANSLATE(A541,""bn"",""en"")"),"His wife's face is visible in the doorway")</f>
        <v>His wife's face is visible in the doorway</v>
      </c>
      <c r="C541" s="8" t="s">
        <v>13</v>
      </c>
      <c r="D541" s="8" t="s">
        <v>14</v>
      </c>
      <c r="E541" s="8">
        <v>1</v>
      </c>
    </row>
    <row r="542" spans="1:5" ht="15.75" customHeight="1" x14ac:dyDescent="0.25">
      <c r="A542" s="6" t="s">
        <v>548</v>
      </c>
      <c r="B542" s="6" t="str">
        <f ca="1">IFERROR(__xludf.DUMMYFUNCTION("GOOGLETRANSLATE(A542,""bn"",""en"")"),"So I loved him in a moment")</f>
        <v>So I loved him in a moment</v>
      </c>
      <c r="C542" s="7" t="s">
        <v>6</v>
      </c>
      <c r="D542" s="7" t="s">
        <v>7</v>
      </c>
      <c r="E542" s="7">
        <v>0</v>
      </c>
    </row>
    <row r="543" spans="1:5" ht="15.75" customHeight="1" x14ac:dyDescent="0.25">
      <c r="A543" s="6" t="s">
        <v>549</v>
      </c>
      <c r="B543" s="6" t="str">
        <f ca="1">IFERROR(__xludf.DUMMYFUNCTION("GOOGLETRANSLATE(A543,""bn"",""en"")"),"Nothing like the scary experience people have when they come out of the country for the first time")</f>
        <v>Nothing like the scary experience people have when they come out of the country for the first time</v>
      </c>
      <c r="C543" s="7" t="s">
        <v>6</v>
      </c>
      <c r="D543" s="7" t="s">
        <v>7</v>
      </c>
      <c r="E543" s="7">
        <v>0</v>
      </c>
    </row>
    <row r="544" spans="1:5" ht="15.75" customHeight="1" x14ac:dyDescent="0.25">
      <c r="A544" s="6" t="s">
        <v>550</v>
      </c>
      <c r="B544" s="6" t="str">
        <f ca="1">IFERROR(__xludf.DUMMYFUNCTION("GOOGLETRANSLATE(A544,""bn"",""en"")"),"The groom took my palanquin without inviting me")</f>
        <v>The groom took my palanquin without inviting me</v>
      </c>
      <c r="C544" s="7" t="s">
        <v>6</v>
      </c>
      <c r="D544" s="7" t="s">
        <v>7</v>
      </c>
      <c r="E544" s="7">
        <v>0</v>
      </c>
    </row>
    <row r="545" spans="1:5" ht="15.75" customHeight="1" x14ac:dyDescent="0.25">
      <c r="A545" s="6" t="s">
        <v>551</v>
      </c>
      <c r="B545" s="6" t="str">
        <f ca="1">IFERROR(__xludf.DUMMYFUNCTION("GOOGLETRANSLATE(A545,""bn"",""en"")"),"Focus on work instead of nagging")</f>
        <v>Focus on work instead of nagging</v>
      </c>
      <c r="C545" s="7" t="s">
        <v>6</v>
      </c>
      <c r="D545" s="7" t="s">
        <v>7</v>
      </c>
      <c r="E545" s="7">
        <v>0</v>
      </c>
    </row>
    <row r="546" spans="1:5" ht="15.75" customHeight="1" x14ac:dyDescent="0.25">
      <c r="A546" s="6" t="s">
        <v>552</v>
      </c>
      <c r="B546" s="6" t="str">
        <f ca="1">IFERROR(__xludf.DUMMYFUNCTION("GOOGLETRANSLATE(A546,""bn"",""en"")"),"His hand was severely injured after falling from the rickshaw")</f>
        <v>His hand was severely injured after falling from the rickshaw</v>
      </c>
      <c r="C546" s="7" t="s">
        <v>6</v>
      </c>
      <c r="D546" s="7" t="s">
        <v>7</v>
      </c>
      <c r="E546" s="7">
        <v>0</v>
      </c>
    </row>
    <row r="547" spans="1:5" ht="15.75" customHeight="1" x14ac:dyDescent="0.25">
      <c r="A547" s="6" t="s">
        <v>553</v>
      </c>
      <c r="B547" s="6" t="str">
        <f ca="1">IFERROR(__xludf.DUMMYFUNCTION("GOOGLETRANSLATE(A547,""bn"",""en"")"),"Rumi was reading early this morning")</f>
        <v>Rumi was reading early this morning</v>
      </c>
      <c r="C547" s="8" t="s">
        <v>13</v>
      </c>
      <c r="D547" s="8" t="s">
        <v>14</v>
      </c>
      <c r="E547" s="8">
        <v>1</v>
      </c>
    </row>
    <row r="548" spans="1:5" ht="15.75" customHeight="1" x14ac:dyDescent="0.25">
      <c r="A548" s="6" t="s">
        <v>554</v>
      </c>
      <c r="B548" s="6" t="str">
        <f ca="1">IFERROR(__xludf.DUMMYFUNCTION("GOOGLETRANSLATE(A548,""bn"",""en"")"),"I saw Sujan leaving the house")</f>
        <v>I saw Sujan leaving the house</v>
      </c>
      <c r="C548" s="8" t="s">
        <v>13</v>
      </c>
      <c r="D548" s="8" t="s">
        <v>14</v>
      </c>
      <c r="E548" s="8">
        <v>1</v>
      </c>
    </row>
    <row r="549" spans="1:5" ht="15.75" customHeight="1" x14ac:dyDescent="0.25">
      <c r="A549" s="6" t="s">
        <v>555</v>
      </c>
      <c r="B549" s="6" t="str">
        <f ca="1">IFERROR(__xludf.DUMMYFUNCTION("GOOGLETRANSLATE(A549,""bn"",""en"")"),"The sound of water splashing over rocks filled the air as the river carved its way through the valley")</f>
        <v>The sound of water splashing over rocks filled the air as the river carved its way through the valley</v>
      </c>
      <c r="C549" s="8" t="s">
        <v>13</v>
      </c>
      <c r="D549" s="8" t="s">
        <v>14</v>
      </c>
      <c r="E549" s="8">
        <v>1</v>
      </c>
    </row>
    <row r="550" spans="1:5" ht="15.75" customHeight="1" x14ac:dyDescent="0.25">
      <c r="A550" s="6" t="s">
        <v>556</v>
      </c>
      <c r="B550" s="6" t="str">
        <f ca="1">IFERROR(__xludf.DUMMYFUNCTION("GOOGLETRANSLATE(A550,""bn"",""en"")"),"Tour bus drivers ply city streets while entertaining tourists with historical anecdotes")</f>
        <v>Tour bus drivers ply city streets while entertaining tourists with historical anecdotes</v>
      </c>
      <c r="C550" s="8" t="s">
        <v>13</v>
      </c>
      <c r="D550" s="8" t="s">
        <v>14</v>
      </c>
      <c r="E550" s="8">
        <v>1</v>
      </c>
    </row>
    <row r="551" spans="1:5" ht="15.75" customHeight="1" x14ac:dyDescent="0.25">
      <c r="A551" s="6" t="s">
        <v>557</v>
      </c>
      <c r="B551" s="6" t="str">
        <f ca="1">IFERROR(__xludf.DUMMYFUNCTION("GOOGLETRANSLATE(A551,""bn"",""en"")"),"Shakib was calling me to play cricket")</f>
        <v>Shakib was calling me to play cricket</v>
      </c>
      <c r="C551" s="8" t="s">
        <v>13</v>
      </c>
      <c r="D551" s="8" t="s">
        <v>14</v>
      </c>
      <c r="E551" s="8">
        <v>1</v>
      </c>
    </row>
    <row r="552" spans="1:5" ht="15.75" customHeight="1" x14ac:dyDescent="0.25">
      <c r="A552" s="6" t="s">
        <v>558</v>
      </c>
      <c r="B552" s="6" t="str">
        <f ca="1">IFERROR(__xludf.DUMMYFUNCTION("GOOGLETRANSLATE(A552,""bn"",""en"")"),"Some write Samknama on this occasion")</f>
        <v>Some write Samknama on this occasion</v>
      </c>
      <c r="C552" s="7" t="s">
        <v>6</v>
      </c>
      <c r="D552" s="7" t="s">
        <v>7</v>
      </c>
      <c r="E552" s="7">
        <v>0</v>
      </c>
    </row>
    <row r="553" spans="1:5" ht="15.75" customHeight="1" x14ac:dyDescent="0.25">
      <c r="A553" s="6" t="s">
        <v>559</v>
      </c>
      <c r="B553" s="6" t="str">
        <f ca="1">IFERROR(__xludf.DUMMYFUNCTION("GOOGLETRANSLATE(A553,""bn"",""en"")"),"He used to go there and start the story")</f>
        <v>He used to go there and start the story</v>
      </c>
      <c r="C553" s="7" t="s">
        <v>6</v>
      </c>
      <c r="D553" s="7" t="s">
        <v>7</v>
      </c>
      <c r="E553" s="7">
        <v>0</v>
      </c>
    </row>
    <row r="554" spans="1:5" ht="15.75" customHeight="1" x14ac:dyDescent="0.25">
      <c r="A554" s="6" t="s">
        <v>560</v>
      </c>
      <c r="B554" s="6" t="str">
        <f ca="1">IFERROR(__xludf.DUMMYFUNCTION("GOOGLETRANSLATE(A554,""bn"",""en"")"),"The people of Gaudiya whose married daughters stand in a row in tears")</f>
        <v>The people of Gaudiya whose married daughters stand in a row in tears</v>
      </c>
      <c r="C554" s="7" t="s">
        <v>6</v>
      </c>
      <c r="D554" s="7" t="s">
        <v>7</v>
      </c>
      <c r="E554" s="7">
        <v>0</v>
      </c>
    </row>
    <row r="555" spans="1:5" ht="15.75" customHeight="1" x14ac:dyDescent="0.25">
      <c r="A555" s="6" t="s">
        <v>561</v>
      </c>
      <c r="B555" s="6" t="str">
        <f ca="1">IFERROR(__xludf.DUMMYFUNCTION("GOOGLETRANSLATE(A555,""bn"",""en"")"),"Fried in the letter and said in the envelope")</f>
        <v>Fried in the letter and said in the envelope</v>
      </c>
      <c r="C555" s="7" t="s">
        <v>6</v>
      </c>
      <c r="D555" s="7" t="s">
        <v>7</v>
      </c>
      <c r="E555" s="7">
        <v>0</v>
      </c>
    </row>
    <row r="556" spans="1:5" ht="15.75" customHeight="1" x14ac:dyDescent="0.25">
      <c r="A556" s="6" t="s">
        <v>562</v>
      </c>
      <c r="B556" s="6" t="str">
        <f ca="1">IFERROR(__xludf.DUMMYFUNCTION("GOOGLETRANSLATE(A556,""bn"",""en"")"),"Whether or not Bilati is intoxicated")</f>
        <v>Whether or not Bilati is intoxicated</v>
      </c>
      <c r="C556" s="7" t="s">
        <v>6</v>
      </c>
      <c r="D556" s="7" t="s">
        <v>7</v>
      </c>
      <c r="E556" s="7">
        <v>0</v>
      </c>
    </row>
    <row r="557" spans="1:5" ht="15.75" customHeight="1" x14ac:dyDescent="0.25">
      <c r="A557" s="6" t="s">
        <v>563</v>
      </c>
      <c r="B557" s="6" t="str">
        <f ca="1">IFERROR(__xludf.DUMMYFUNCTION("GOOGLETRANSLATE(A557,""bn"",""en"")"),"Exploring the ancient ruins, they deciphered mysterious inscriptions that hinted at untold riches.")</f>
        <v>Exploring the ancient ruins, they deciphered mysterious inscriptions that hinted at untold riches.</v>
      </c>
      <c r="C557" s="8" t="s">
        <v>13</v>
      </c>
      <c r="D557" s="8" t="s">
        <v>14</v>
      </c>
      <c r="E557" s="8">
        <v>1</v>
      </c>
    </row>
    <row r="558" spans="1:5" ht="15.75" customHeight="1" x14ac:dyDescent="0.25">
      <c r="A558" s="6" t="s">
        <v>564</v>
      </c>
      <c r="B558" s="6" t="str">
        <f ca="1">IFERROR(__xludf.DUMMYFUNCTION("GOOGLETRANSLATE(A558,""bn"",""en"")"),"Japan invaded Malaysia during World War II")</f>
        <v>Japan invaded Malaysia during World War II</v>
      </c>
      <c r="C558" s="8" t="s">
        <v>13</v>
      </c>
      <c r="D558" s="8" t="s">
        <v>14</v>
      </c>
      <c r="E558" s="8">
        <v>1</v>
      </c>
    </row>
    <row r="559" spans="1:5" ht="15.75" customHeight="1" x14ac:dyDescent="0.25">
      <c r="A559" s="6" t="s">
        <v>565</v>
      </c>
      <c r="B559" s="6" t="str">
        <f ca="1">IFERROR(__xludf.DUMMYFUNCTION("GOOGLETRANSLATE(A559,""bn"",""en"")"),"Seeing acts of kindness restores my faith in humanity")</f>
        <v>Seeing acts of kindness restores my faith in humanity</v>
      </c>
      <c r="C559" s="8" t="s">
        <v>13</v>
      </c>
      <c r="D559" s="8" t="s">
        <v>14</v>
      </c>
      <c r="E559" s="8">
        <v>1</v>
      </c>
    </row>
    <row r="560" spans="1:5" ht="15.75" customHeight="1" x14ac:dyDescent="0.25">
      <c r="A560" s="6" t="s">
        <v>566</v>
      </c>
      <c r="B560" s="6" t="str">
        <f ca="1">IFERROR(__xludf.DUMMYFUNCTION("GOOGLETRANSLATE(A560,""bn"",""en"")"),"I got a flat tire on the way to work thankfully I had a spare")</f>
        <v>I got a flat tire on the way to work thankfully I had a spare</v>
      </c>
      <c r="C560" s="8" t="s">
        <v>13</v>
      </c>
      <c r="D560" s="8" t="s">
        <v>14</v>
      </c>
      <c r="E560" s="8">
        <v>1</v>
      </c>
    </row>
    <row r="561" spans="1:5" ht="15.75" customHeight="1" x14ac:dyDescent="0.25">
      <c r="A561" s="6" t="s">
        <v>567</v>
      </c>
      <c r="B561" s="6" t="str">
        <f ca="1">IFERROR(__xludf.DUMMYFUNCTION("GOOGLETRANSLATE(A561,""bn"",""en"")"),"He looked at me intensely and said it was unbelievable")</f>
        <v>He looked at me intensely and said it was unbelievable</v>
      </c>
      <c r="C561" s="8" t="s">
        <v>13</v>
      </c>
      <c r="D561" s="8" t="s">
        <v>14</v>
      </c>
      <c r="E561" s="8">
        <v>1</v>
      </c>
    </row>
    <row r="562" spans="1:5" ht="15.75" customHeight="1" x14ac:dyDescent="0.25">
      <c r="A562" s="6" t="s">
        <v>568</v>
      </c>
      <c r="B562" s="6" t="str">
        <f ca="1">IFERROR(__xludf.DUMMYFUNCTION("GOOGLETRANSLATE(A562,""bn"",""en"")"),"He sat at home and saw the shadows falling in the courtyard and the shadows falling in the sky")</f>
        <v>He sat at home and saw the shadows falling in the courtyard and the shadows falling in the sky</v>
      </c>
      <c r="C562" s="7" t="s">
        <v>6</v>
      </c>
      <c r="D562" s="7" t="s">
        <v>7</v>
      </c>
      <c r="E562" s="7">
        <v>0</v>
      </c>
    </row>
    <row r="563" spans="1:5" ht="15.75" customHeight="1" x14ac:dyDescent="0.25">
      <c r="A563" s="6" t="s">
        <v>569</v>
      </c>
      <c r="B563" s="6" t="str">
        <f ca="1">IFERROR(__xludf.DUMMYFUNCTION("GOOGLETRANSLATE(A563,""bn"",""en"")"),"The doctor said that he should not be woken up")</f>
        <v>The doctor said that he should not be woken up</v>
      </c>
      <c r="C563" s="7" t="s">
        <v>6</v>
      </c>
      <c r="D563" s="7" t="s">
        <v>7</v>
      </c>
      <c r="E563" s="7">
        <v>0</v>
      </c>
    </row>
    <row r="564" spans="1:5" ht="15.75" customHeight="1" x14ac:dyDescent="0.25">
      <c r="A564" s="6" t="s">
        <v>570</v>
      </c>
      <c r="B564" s="6" t="str">
        <f ca="1">IFERROR(__xludf.DUMMYFUNCTION("GOOGLETRANSLATE(A564,""bn"",""en"")"),"It seems that all these disrespectful insults of the daughter will have reached the ears of the father")</f>
        <v>It seems that all these disrespectful insults of the daughter will have reached the ears of the father</v>
      </c>
      <c r="C564" s="7" t="s">
        <v>6</v>
      </c>
      <c r="D564" s="7" t="s">
        <v>7</v>
      </c>
      <c r="E564" s="7">
        <v>0</v>
      </c>
    </row>
    <row r="565" spans="1:5" ht="15.75" customHeight="1" x14ac:dyDescent="0.25">
      <c r="A565" s="6" t="s">
        <v>571</v>
      </c>
      <c r="B565" s="6" t="str">
        <f ca="1">IFERROR(__xludf.DUMMYFUNCTION("GOOGLETRANSLATE(A565,""bn"",""en"")"),"Maybe the younger sister brings fresh flowers from the forest and wears them on her head")</f>
        <v>Maybe the younger sister brings fresh flowers from the forest and wears them on her head</v>
      </c>
      <c r="C565" s="7" t="s">
        <v>6</v>
      </c>
      <c r="D565" s="7" t="s">
        <v>7</v>
      </c>
      <c r="E565" s="7">
        <v>0</v>
      </c>
    </row>
    <row r="566" spans="1:5" ht="15.75" customHeight="1" x14ac:dyDescent="0.25">
      <c r="A566" s="6" t="s">
        <v>572</v>
      </c>
      <c r="B566" s="6" t="str">
        <f ca="1">IFERROR(__xludf.DUMMYFUNCTION("GOOGLETRANSLATE(A566,""bn"",""en"")"),"Jyotish's living room was filled with friends on Sunday mornings")</f>
        <v>Jyotish's living room was filled with friends on Sunday mornings</v>
      </c>
      <c r="C566" s="7" t="s">
        <v>6</v>
      </c>
      <c r="D566" s="7" t="s">
        <v>7</v>
      </c>
      <c r="E566" s="7">
        <v>0</v>
      </c>
    </row>
    <row r="567" spans="1:5" ht="15.75" customHeight="1" x14ac:dyDescent="0.25">
      <c r="A567" s="6" t="s">
        <v>573</v>
      </c>
      <c r="B567" s="6" t="str">
        <f ca="1">IFERROR(__xludf.DUMMYFUNCTION("GOOGLETRANSLATE(A567,""bn"",""en"")"),"Sharif went to play with me")</f>
        <v>Sharif went to play with me</v>
      </c>
      <c r="C567" s="8" t="s">
        <v>13</v>
      </c>
      <c r="D567" s="8" t="s">
        <v>14</v>
      </c>
      <c r="E567" s="8">
        <v>1</v>
      </c>
    </row>
    <row r="568" spans="1:5" ht="15.75" customHeight="1" x14ac:dyDescent="0.25">
      <c r="A568" s="6" t="s">
        <v>574</v>
      </c>
      <c r="B568" s="6" t="str">
        <f ca="1">IFERROR(__xludf.DUMMYFUNCTION("GOOGLETRANSLATE(A568,""bn"",""en"")"),"Believing in yourself and your abilities is the key")</f>
        <v>Believing in yourself and your abilities is the key</v>
      </c>
      <c r="C568" s="8" t="s">
        <v>13</v>
      </c>
      <c r="D568" s="8" t="s">
        <v>14</v>
      </c>
      <c r="E568" s="8">
        <v>1</v>
      </c>
    </row>
    <row r="569" spans="1:5" ht="15.75" customHeight="1" x14ac:dyDescent="0.25">
      <c r="A569" s="6" t="s">
        <v>575</v>
      </c>
      <c r="B569" s="6" t="str">
        <f ca="1">IFERROR(__xludf.DUMMYFUNCTION("GOOGLETRANSLATE(A569,""bn"",""en"")"),"Involves value addition of agricultural products through agro processing techniques")</f>
        <v>Involves value addition of agricultural products through agro processing techniques</v>
      </c>
      <c r="C569" s="8" t="s">
        <v>13</v>
      </c>
      <c r="D569" s="8" t="s">
        <v>14</v>
      </c>
      <c r="E569" s="8">
        <v>1</v>
      </c>
    </row>
    <row r="570" spans="1:5" ht="15.75" customHeight="1" x14ac:dyDescent="0.25">
      <c r="A570" s="6" t="s">
        <v>576</v>
      </c>
      <c r="B570" s="6" t="str">
        <f ca="1">IFERROR(__xludf.DUMMYFUNCTION("GOOGLETRANSLATE(A570,""bn"",""en"")"),"Morrison died in Paris at the age of 76")</f>
        <v>Morrison died in Paris at the age of 76</v>
      </c>
      <c r="C570" s="8" t="s">
        <v>13</v>
      </c>
      <c r="D570" s="8" t="s">
        <v>14</v>
      </c>
      <c r="E570" s="8">
        <v>1</v>
      </c>
    </row>
    <row r="571" spans="1:5" ht="15.75" customHeight="1" x14ac:dyDescent="0.25">
      <c r="A571" s="6" t="s">
        <v>577</v>
      </c>
      <c r="B571" s="6" t="str">
        <f ca="1">IFERROR(__xludf.DUMMYFUNCTION("GOOGLETRANSLATE(A571,""bn"",""en"")"),"He united the peasants and formed a powerful Lathial Bahini")</f>
        <v>He united the peasants and formed a powerful Lathial Bahini</v>
      </c>
      <c r="C571" s="8" t="s">
        <v>13</v>
      </c>
      <c r="D571" s="8" t="s">
        <v>14</v>
      </c>
      <c r="E571" s="8">
        <v>1</v>
      </c>
    </row>
    <row r="572" spans="1:5" ht="15.75" customHeight="1" x14ac:dyDescent="0.25">
      <c r="A572" s="6" t="s">
        <v>578</v>
      </c>
      <c r="B572" s="6" t="str">
        <f ca="1">IFERROR(__xludf.DUMMYFUNCTION("GOOGLETRANSLATE(A572,""bn"",""en"")"),"It will be a sin for me to accept pranami")</f>
        <v>It will be a sin for me to accept pranami</v>
      </c>
      <c r="C572" s="7" t="s">
        <v>6</v>
      </c>
      <c r="D572" s="7" t="s">
        <v>7</v>
      </c>
      <c r="E572" s="7">
        <v>0</v>
      </c>
    </row>
    <row r="573" spans="1:5" ht="15.75" customHeight="1" x14ac:dyDescent="0.25">
      <c r="A573" s="6" t="s">
        <v>579</v>
      </c>
      <c r="B573" s="6" t="str">
        <f ca="1">IFERROR(__xludf.DUMMYFUNCTION("GOOGLETRANSLATE(A573,""bn"",""en"")"),"I used to get restless when the chari played")</f>
        <v>I used to get restless when the chari played</v>
      </c>
      <c r="C573" s="7" t="s">
        <v>6</v>
      </c>
      <c r="D573" s="7" t="s">
        <v>7</v>
      </c>
      <c r="E573" s="7">
        <v>0</v>
      </c>
    </row>
    <row r="574" spans="1:5" ht="15.75" customHeight="1" x14ac:dyDescent="0.25">
      <c r="A574" s="6" t="s">
        <v>580</v>
      </c>
      <c r="B574" s="6" t="str">
        <f ca="1">IFERROR(__xludf.DUMMYFUNCTION("GOOGLETRANSLATE(A574,""bn"",""en"")"),"He stood stiffly waiting for her")</f>
        <v>He stood stiffly waiting for her</v>
      </c>
      <c r="C574" s="7" t="s">
        <v>6</v>
      </c>
      <c r="D574" s="7" t="s">
        <v>7</v>
      </c>
      <c r="E574" s="7">
        <v>0</v>
      </c>
    </row>
    <row r="575" spans="1:5" ht="15.75" customHeight="1" x14ac:dyDescent="0.25">
      <c r="A575" s="6" t="s">
        <v>581</v>
      </c>
      <c r="B575" s="6" t="str">
        <f ca="1">IFERROR(__xludf.DUMMYFUNCTION("GOOGLETRANSLATE(A575,""bn"",""en"")"),"There was still light in the sky")</f>
        <v>There was still light in the sky</v>
      </c>
      <c r="C575" s="7" t="s">
        <v>6</v>
      </c>
      <c r="D575" s="7" t="s">
        <v>7</v>
      </c>
      <c r="E575" s="7">
        <v>0</v>
      </c>
    </row>
    <row r="576" spans="1:5" ht="15.75" customHeight="1" x14ac:dyDescent="0.25">
      <c r="A576" s="6" t="s">
        <v>582</v>
      </c>
      <c r="B576" s="6" t="str">
        <f ca="1">IFERROR(__xludf.DUMMYFUNCTION("GOOGLETRANSLATE(A576,""bn"",""en"")"),"I was trying to get through it for a week")</f>
        <v>I was trying to get through it for a week</v>
      </c>
      <c r="C576" s="7" t="s">
        <v>6</v>
      </c>
      <c r="D576" s="7" t="s">
        <v>7</v>
      </c>
      <c r="E576" s="7">
        <v>0</v>
      </c>
    </row>
    <row r="577" spans="1:5" ht="15.75" customHeight="1" x14ac:dyDescent="0.25">
      <c r="A577" s="6" t="s">
        <v>583</v>
      </c>
      <c r="B577" s="6" t="str">
        <f ca="1">IFERROR(__xludf.DUMMYFUNCTION("GOOGLETRANSLATE(A577,""bn"",""en"")"),"The girl's name is Ratneswari Se Vikarun Nisa Noon School class ten A Ratneswari is very surprised.")</f>
        <v>The girl's name is Ratneswari Se Vikarun Nisa Noon School class ten A Ratneswari is very surprised.</v>
      </c>
      <c r="C577" s="8" t="s">
        <v>13</v>
      </c>
      <c r="D577" s="8" t="s">
        <v>14</v>
      </c>
      <c r="E577" s="8">
        <v>1</v>
      </c>
    </row>
    <row r="578" spans="1:5" ht="15.75" customHeight="1" x14ac:dyDescent="0.25">
      <c r="A578" s="6" t="s">
        <v>584</v>
      </c>
      <c r="B578" s="6" t="str">
        <f ca="1">IFERROR(__xludf.DUMMYFUNCTION("GOOGLETRANSLATE(A578,""bn"",""en"")"),"You will see the vast ocean")</f>
        <v>You will see the vast ocean</v>
      </c>
      <c r="C578" s="8" t="s">
        <v>13</v>
      </c>
      <c r="D578" s="8" t="s">
        <v>14</v>
      </c>
      <c r="E578" s="8">
        <v>1</v>
      </c>
    </row>
    <row r="579" spans="1:5" ht="15.75" customHeight="1" x14ac:dyDescent="0.25">
      <c r="A579" s="6" t="s">
        <v>585</v>
      </c>
      <c r="B579" s="6" t="str">
        <f ca="1">IFERROR(__xludf.DUMMYFUNCTION("GOOGLETRANSLATE(A579,""bn"",""en"")"),"The leader may then try to fight or hide")</f>
        <v>The leader may then try to fight or hide</v>
      </c>
      <c r="C579" s="8" t="s">
        <v>13</v>
      </c>
      <c r="D579" s="8" t="s">
        <v>14</v>
      </c>
      <c r="E579" s="8">
        <v>1</v>
      </c>
    </row>
    <row r="580" spans="1:5" ht="15.75" customHeight="1" x14ac:dyDescent="0.25">
      <c r="A580" s="6" t="s">
        <v>586</v>
      </c>
      <c r="B580" s="6" t="str">
        <f ca="1">IFERROR(__xludf.DUMMYFUNCTION("GOOGLETRANSLATE(A580,""bn"",""en"")"),"Ertazuddin felt very sad when such strange thoughts came to his mind")</f>
        <v>Ertazuddin felt very sad when such strange thoughts came to his mind</v>
      </c>
      <c r="C580" s="8" t="s">
        <v>13</v>
      </c>
      <c r="D580" s="8" t="s">
        <v>14</v>
      </c>
      <c r="E580" s="8">
        <v>1</v>
      </c>
    </row>
    <row r="581" spans="1:5" ht="15.75" customHeight="1" x14ac:dyDescent="0.25">
      <c r="A581" s="6" t="s">
        <v>587</v>
      </c>
      <c r="B581" s="6" t="str">
        <f ca="1">IFERROR(__xludf.DUMMYFUNCTION("GOOGLETRANSLATE(A581,""bn"",""en"")"),"Sharing a moment of silence with a friend brings comfort")</f>
        <v>Sharing a moment of silence with a friend brings comfort</v>
      </c>
      <c r="C581" s="8" t="s">
        <v>13</v>
      </c>
      <c r="D581" s="8" t="s">
        <v>14</v>
      </c>
      <c r="E581" s="8">
        <v>1</v>
      </c>
    </row>
    <row r="582" spans="1:5" ht="15.75" customHeight="1" x14ac:dyDescent="0.25">
      <c r="A582" s="6" t="s">
        <v>588</v>
      </c>
      <c r="B582" s="6" t="str">
        <f ca="1">IFERROR(__xludf.DUMMYFUNCTION("GOOGLETRANSLATE(A582,""bn"",""en"")"),"When Navakumar's sleep was broken, Rajni was deep")</f>
        <v>When Navakumar's sleep was broken, Rajni was deep</v>
      </c>
      <c r="C582" s="7" t="s">
        <v>6</v>
      </c>
      <c r="D582" s="7" t="s">
        <v>7</v>
      </c>
      <c r="E582" s="7">
        <v>0</v>
      </c>
    </row>
    <row r="583" spans="1:5" ht="15.75" customHeight="1" x14ac:dyDescent="0.25">
      <c r="A583" s="6" t="s">
        <v>589</v>
      </c>
      <c r="B583" s="6" t="str">
        <f ca="1">IFERROR(__xludf.DUMMYFUNCTION("GOOGLETRANSLATE(A583,""bn"",""en"")"),"Whoever wrote this became a slave")</f>
        <v>Whoever wrote this became a slave</v>
      </c>
      <c r="C583" s="7" t="s">
        <v>6</v>
      </c>
      <c r="D583" s="7" t="s">
        <v>7</v>
      </c>
      <c r="E583" s="7">
        <v>0</v>
      </c>
    </row>
    <row r="584" spans="1:5" ht="15.75" customHeight="1" x14ac:dyDescent="0.25">
      <c r="A584" s="6" t="s">
        <v>590</v>
      </c>
      <c r="B584" s="6" t="str">
        <f ca="1">IFERROR(__xludf.DUMMYFUNCTION("GOOGLETRANSLATE(A584,""bn"",""en"")"),"You will surely not begrudge Abbajan's decision to meet you")</f>
        <v>You will surely not begrudge Abbajan's decision to meet you</v>
      </c>
      <c r="C584" s="7" t="s">
        <v>6</v>
      </c>
      <c r="D584" s="7" t="s">
        <v>7</v>
      </c>
      <c r="E584" s="7">
        <v>0</v>
      </c>
    </row>
    <row r="585" spans="1:5" ht="15.75" customHeight="1" x14ac:dyDescent="0.25">
      <c r="A585" s="6" t="s">
        <v>591</v>
      </c>
      <c r="B585" s="6" t="str">
        <f ca="1">IFERROR(__xludf.DUMMYFUNCTION("GOOGLETRANSLATE(A585,""bn"",""en"")"),"The fish swallowed the bait and the hook tied it, so the more the tension on one side, the tighter the tie on the other side.")</f>
        <v>The fish swallowed the bait and the hook tied it, so the more the tension on one side, the tighter the tie on the other side.</v>
      </c>
      <c r="C585" s="7" t="s">
        <v>6</v>
      </c>
      <c r="D585" s="7" t="s">
        <v>7</v>
      </c>
      <c r="E585" s="7">
        <v>0</v>
      </c>
    </row>
    <row r="586" spans="1:5" ht="15.75" customHeight="1" x14ac:dyDescent="0.25">
      <c r="A586" s="6" t="s">
        <v>592</v>
      </c>
      <c r="B586" s="6" t="str">
        <f ca="1">IFERROR(__xludf.DUMMYFUNCTION("GOOGLETRANSLATE(A586,""bn"",""en"")"),"Irtajuddin glared at him")</f>
        <v>Irtajuddin glared at him</v>
      </c>
      <c r="C586" s="7" t="s">
        <v>6</v>
      </c>
      <c r="D586" s="7" t="s">
        <v>7</v>
      </c>
      <c r="E586" s="7">
        <v>0</v>
      </c>
    </row>
    <row r="587" spans="1:5" ht="15.75" customHeight="1" x14ac:dyDescent="0.25">
      <c r="A587" s="6" t="s">
        <v>593</v>
      </c>
      <c r="B587" s="6" t="str">
        <f ca="1">IFERROR(__xludf.DUMMYFUNCTION("GOOGLETRANSLATE(A587,""bn"",""en"")"),"The artist paints a breathtaking landscape on canvas")</f>
        <v>The artist paints a breathtaking landscape on canvas</v>
      </c>
      <c r="C587" s="8" t="s">
        <v>13</v>
      </c>
      <c r="D587" s="8" t="s">
        <v>14</v>
      </c>
      <c r="E587" s="8">
        <v>1</v>
      </c>
    </row>
    <row r="588" spans="1:5" ht="15.75" customHeight="1" x14ac:dyDescent="0.25">
      <c r="A588" s="6" t="s">
        <v>594</v>
      </c>
      <c r="B588" s="6" t="str">
        <f ca="1">IFERROR(__xludf.DUMMYFUNCTION("GOOGLETRANSLATE(A588,""bn"",""en"")"),"did you talk to them")</f>
        <v>did you talk to them</v>
      </c>
      <c r="C588" s="8" t="s">
        <v>13</v>
      </c>
      <c r="D588" s="8" t="s">
        <v>14</v>
      </c>
      <c r="E588" s="8">
        <v>1</v>
      </c>
    </row>
    <row r="589" spans="1:5" ht="15.75" customHeight="1" x14ac:dyDescent="0.25">
      <c r="A589" s="6" t="s">
        <v>595</v>
      </c>
      <c r="B589" s="6" t="str">
        <f ca="1">IFERROR(__xludf.DUMMYFUNCTION("GOOGLETRANSLATE(A589,""bn"",""en"")"),"Toasted sesame seeds enhance Asian dishes")</f>
        <v>Toasted sesame seeds enhance Asian dishes</v>
      </c>
      <c r="C589" s="8" t="s">
        <v>13</v>
      </c>
      <c r="D589" s="8" t="s">
        <v>14</v>
      </c>
      <c r="E589" s="8">
        <v>1</v>
      </c>
    </row>
    <row r="590" spans="1:5" ht="15.75" customHeight="1" x14ac:dyDescent="0.25">
      <c r="A590" s="6" t="s">
        <v>596</v>
      </c>
      <c r="B590" s="6" t="str">
        <f ca="1">IFERROR(__xludf.DUMMYFUNCTION("GOOGLETRANSLATE(A590,""bn"",""en"")"),"Mother asked me to eat rice")</f>
        <v>Mother asked me to eat rice</v>
      </c>
      <c r="C590" s="8" t="s">
        <v>13</v>
      </c>
      <c r="D590" s="8" t="s">
        <v>14</v>
      </c>
      <c r="E590" s="8">
        <v>1</v>
      </c>
    </row>
    <row r="591" spans="1:5" ht="15.75" customHeight="1" x14ac:dyDescent="0.25">
      <c r="A591" s="6" t="s">
        <v>597</v>
      </c>
      <c r="B591" s="6" t="str">
        <f ca="1">IFERROR(__xludf.DUMMYFUNCTION("GOOGLETRANSLATE(A591,""bn"",""en"")"),"Tag a friend who loves fashion")</f>
        <v>Tag a friend who loves fashion</v>
      </c>
      <c r="C591" s="8" t="s">
        <v>13</v>
      </c>
      <c r="D591" s="8" t="s">
        <v>14</v>
      </c>
      <c r="E591" s="8">
        <v>1</v>
      </c>
    </row>
    <row r="592" spans="1:5" ht="15.75" customHeight="1" x14ac:dyDescent="0.25">
      <c r="A592" s="6" t="s">
        <v>598</v>
      </c>
      <c r="B592" s="6" t="str">
        <f ca="1">IFERROR(__xludf.DUMMYFUNCTION("GOOGLETRANSLATE(A592,""bn"",""en"")"),"People talk a lot without listening")</f>
        <v>People talk a lot without listening</v>
      </c>
      <c r="C592" s="7" t="s">
        <v>6</v>
      </c>
      <c r="D592" s="7" t="s">
        <v>7</v>
      </c>
      <c r="E592" s="7">
        <v>0</v>
      </c>
    </row>
    <row r="593" spans="1:5" ht="15.75" customHeight="1" x14ac:dyDescent="0.25">
      <c r="A593" s="6" t="s">
        <v>599</v>
      </c>
      <c r="B593" s="6" t="str">
        <f ca="1">IFERROR(__xludf.DUMMYFUNCTION("GOOGLETRANSLATE(A593,""bn"",""en"")"),"Kusum laughed out loud")</f>
        <v>Kusum laughed out loud</v>
      </c>
      <c r="C593" s="7" t="s">
        <v>6</v>
      </c>
      <c r="D593" s="7" t="s">
        <v>7</v>
      </c>
      <c r="E593" s="7">
        <v>0</v>
      </c>
    </row>
    <row r="594" spans="1:5" ht="15.75" customHeight="1" x14ac:dyDescent="0.25">
      <c r="A594" s="6" t="s">
        <v>600</v>
      </c>
      <c r="B594" s="6" t="str">
        <f ca="1">IFERROR(__xludf.DUMMYFUNCTION("GOOGLETRANSLATE(A594,""bn"",""en"")"),"Out in the dark as far as you can see")</f>
        <v>Out in the dark as far as you can see</v>
      </c>
      <c r="C594" s="7" t="s">
        <v>6</v>
      </c>
      <c r="D594" s="7" t="s">
        <v>7</v>
      </c>
      <c r="E594" s="7">
        <v>0</v>
      </c>
    </row>
    <row r="595" spans="1:5" ht="15.75" customHeight="1" x14ac:dyDescent="0.25">
      <c r="A595" s="6" t="s">
        <v>601</v>
      </c>
      <c r="B595" s="6" t="str">
        <f ca="1">IFERROR(__xludf.DUMMYFUNCTION("GOOGLETRANSLATE(A595,""bn"",""en"")"),"It is difficult to search for them because they live in very hidden places in the mountains")</f>
        <v>It is difficult to search for them because they live in very hidden places in the mountains</v>
      </c>
      <c r="C595" s="7" t="s">
        <v>6</v>
      </c>
      <c r="D595" s="7" t="s">
        <v>7</v>
      </c>
      <c r="E595" s="7">
        <v>0</v>
      </c>
    </row>
    <row r="596" spans="1:5" ht="15.75" customHeight="1" x14ac:dyDescent="0.25">
      <c r="A596" s="6" t="s">
        <v>602</v>
      </c>
      <c r="B596" s="6" t="str">
        <f ca="1">IFERROR(__xludf.DUMMYFUNCTION("GOOGLETRANSLATE(A596,""bn"",""en"")"),"Many escaped")</f>
        <v>Many escaped</v>
      </c>
      <c r="C596" s="7" t="s">
        <v>6</v>
      </c>
      <c r="D596" s="7" t="s">
        <v>7</v>
      </c>
      <c r="E596" s="7">
        <v>0</v>
      </c>
    </row>
    <row r="597" spans="1:5" ht="15.75" customHeight="1" x14ac:dyDescent="0.25">
      <c r="A597" s="6" t="s">
        <v>603</v>
      </c>
      <c r="B597" s="6" t="str">
        <f ca="1">IFERROR(__xludf.DUMMYFUNCTION("GOOGLETRANSLATE(A597,""bn"",""en"")"),"He looked at the sky for a while")</f>
        <v>He looked at the sky for a while</v>
      </c>
      <c r="C597" s="8" t="s">
        <v>13</v>
      </c>
      <c r="D597" s="8" t="s">
        <v>14</v>
      </c>
      <c r="E597" s="8">
        <v>1</v>
      </c>
    </row>
    <row r="598" spans="1:5" ht="15.75" customHeight="1" x14ac:dyDescent="0.25">
      <c r="A598" s="6" t="s">
        <v>604</v>
      </c>
      <c r="B598" s="6" t="str">
        <f ca="1">IFERROR(__xludf.DUMMYFUNCTION("GOOGLETRANSLATE(A598,""bn"",""en"")"),"This religious Vallabh sect worships Krishna")</f>
        <v>This religious Vallabh sect worships Krishna</v>
      </c>
      <c r="C598" s="8" t="s">
        <v>13</v>
      </c>
      <c r="D598" s="8" t="s">
        <v>14</v>
      </c>
      <c r="E598" s="8">
        <v>1</v>
      </c>
    </row>
    <row r="599" spans="1:5" ht="15.75" customHeight="1" x14ac:dyDescent="0.25">
      <c r="A599" s="6" t="s">
        <v>605</v>
      </c>
      <c r="B599" s="6" t="str">
        <f ca="1">IFERROR(__xludf.DUMMYFUNCTION("GOOGLETRANSLATE(A599,""bn"",""en"")"),"Ertazuddin's stomach twisted")</f>
        <v>Ertazuddin's stomach twisted</v>
      </c>
      <c r="C599" s="8" t="s">
        <v>13</v>
      </c>
      <c r="D599" s="8" t="s">
        <v>14</v>
      </c>
      <c r="E599" s="8">
        <v>1</v>
      </c>
    </row>
    <row r="600" spans="1:5" ht="15.75" customHeight="1" x14ac:dyDescent="0.25">
      <c r="A600" s="6" t="s">
        <v>606</v>
      </c>
      <c r="B600" s="6" t="str">
        <f ca="1">IFERROR(__xludf.DUMMYFUNCTION("GOOGLETRANSLATE(A600,""bn"",""en"")"),"It looks like a dome")</f>
        <v>It looks like a dome</v>
      </c>
      <c r="C600" s="8" t="s">
        <v>13</v>
      </c>
      <c r="D600" s="8" t="s">
        <v>14</v>
      </c>
      <c r="E600" s="8">
        <v>1</v>
      </c>
    </row>
    <row r="601" spans="1:5" ht="15.75" customHeight="1" x14ac:dyDescent="0.25">
      <c r="A601" s="6" t="s">
        <v>607</v>
      </c>
      <c r="B601" s="6" t="str">
        <f ca="1">IFERROR(__xludf.DUMMYFUNCTION("GOOGLETRANSLATE(A601,""bn"",""en"")"),"Communist Party is basically a political party of communism ideology")</f>
        <v>Communist Party is basically a political party of communism ideology</v>
      </c>
      <c r="C601" s="8" t="s">
        <v>13</v>
      </c>
      <c r="D601" s="8" t="s">
        <v>14</v>
      </c>
      <c r="E601" s="8">
        <v>1</v>
      </c>
    </row>
    <row r="602" spans="1:5" ht="15.75" customHeight="1" x14ac:dyDescent="0.25">
      <c r="A602" s="6" t="s">
        <v>608</v>
      </c>
      <c r="B602" s="6" t="str">
        <f ca="1">IFERROR(__xludf.DUMMYFUNCTION("GOOGLETRANSLATE(A602,""bn"",""en"")"),"I understand that today even the housewives of our country can talk about it even if they speak in favor of it")</f>
        <v>I understand that today even the housewives of our country can talk about it even if they speak in favor of it</v>
      </c>
      <c r="C602" s="7" t="s">
        <v>6</v>
      </c>
      <c r="D602" s="7" t="s">
        <v>7</v>
      </c>
      <c r="E602" s="7">
        <v>0</v>
      </c>
    </row>
    <row r="603" spans="1:5" ht="15.75" customHeight="1" x14ac:dyDescent="0.25">
      <c r="A603" s="6" t="s">
        <v>609</v>
      </c>
      <c r="B603" s="6" t="str">
        <f ca="1">IFERROR(__xludf.DUMMYFUNCTION("GOOGLETRANSLATE(A603,""bn"",""en"")"),"Suman gave me a notebook")</f>
        <v>Suman gave me a notebook</v>
      </c>
      <c r="C603" s="7" t="s">
        <v>6</v>
      </c>
      <c r="D603" s="7" t="s">
        <v>7</v>
      </c>
      <c r="E603" s="7">
        <v>0</v>
      </c>
    </row>
    <row r="604" spans="1:5" ht="15.75" customHeight="1" x14ac:dyDescent="0.25">
      <c r="A604" s="6" t="s">
        <v>610</v>
      </c>
      <c r="B604" s="6" t="str">
        <f ca="1">IFERROR(__xludf.DUMMYFUNCTION("GOOGLETRANSLATE(A604,""bn"",""en"")"),"One afternoon, standing at the foot of this hill, I shouted angrily and called out to him.")</f>
        <v>One afternoon, standing at the foot of this hill, I shouted angrily and called out to him.</v>
      </c>
      <c r="C604" s="7" t="s">
        <v>6</v>
      </c>
      <c r="D604" s="7" t="s">
        <v>7</v>
      </c>
      <c r="E604" s="7">
        <v>0</v>
      </c>
    </row>
    <row r="605" spans="1:5" ht="15.75" customHeight="1" x14ac:dyDescent="0.25">
      <c r="A605" s="6" t="s">
        <v>611</v>
      </c>
      <c r="B605" s="6" t="str">
        <f ca="1">IFERROR(__xludf.DUMMYFUNCTION("GOOGLETRANSLATE(A605,""bn"",""en"")"),"He was not focused on his studies")</f>
        <v>He was not focused on his studies</v>
      </c>
      <c r="C605" s="7" t="s">
        <v>6</v>
      </c>
      <c r="D605" s="7" t="s">
        <v>7</v>
      </c>
      <c r="E605" s="7">
        <v>0</v>
      </c>
    </row>
    <row r="606" spans="1:5" ht="15.75" customHeight="1" x14ac:dyDescent="0.25">
      <c r="A606" s="6" t="s">
        <v>612</v>
      </c>
      <c r="B606" s="6" t="str">
        <f ca="1">IFERROR(__xludf.DUMMYFUNCTION("GOOGLETRANSLATE(A606,""bn"",""en"")"),"He looked at me for a while with a bloodless pale face.")</f>
        <v>He looked at me for a while with a bloodless pale face.</v>
      </c>
      <c r="C606" s="7" t="s">
        <v>6</v>
      </c>
      <c r="D606" s="7" t="s">
        <v>7</v>
      </c>
      <c r="E606" s="7">
        <v>0</v>
      </c>
    </row>
    <row r="607" spans="1:5" ht="15.75" customHeight="1" x14ac:dyDescent="0.25">
      <c r="A607" s="6" t="s">
        <v>613</v>
      </c>
      <c r="B607" s="6" t="str">
        <f ca="1">IFERROR(__xludf.DUMMYFUNCTION("GOOGLETRANSLATE(A607,""bn"",""en"")"),"will you have dinner with me")</f>
        <v>will you have dinner with me</v>
      </c>
      <c r="C607" s="8" t="s">
        <v>13</v>
      </c>
      <c r="D607" s="8" t="s">
        <v>14</v>
      </c>
      <c r="E607" s="8">
        <v>1</v>
      </c>
    </row>
    <row r="608" spans="1:5" ht="15.75" customHeight="1" x14ac:dyDescent="0.25">
      <c r="A608" s="6" t="s">
        <v>614</v>
      </c>
      <c r="B608" s="6" t="str">
        <f ca="1">IFERROR(__xludf.DUMMYFUNCTION("GOOGLETRANSLATE(A608,""bn"",""en"")"),"The veterinary technician assisted the veterinarian during the surgical procedure")</f>
        <v>The veterinary technician assisted the veterinarian during the surgical procedure</v>
      </c>
      <c r="C608" s="8" t="s">
        <v>13</v>
      </c>
      <c r="D608" s="8" t="s">
        <v>14</v>
      </c>
      <c r="E608" s="8">
        <v>1</v>
      </c>
    </row>
    <row r="609" spans="1:5" ht="15.75" customHeight="1" x14ac:dyDescent="0.25">
      <c r="A609" s="6" t="s">
        <v>615</v>
      </c>
      <c r="B609" s="6" t="str">
        <f ca="1">IFERROR(__xludf.DUMMYFUNCTION("GOOGLETRANSLATE(A609,""bn"",""en"")"),"He died in February")</f>
        <v>He died in February</v>
      </c>
      <c r="C609" s="8" t="s">
        <v>13</v>
      </c>
      <c r="D609" s="8" t="s">
        <v>14</v>
      </c>
      <c r="E609" s="8">
        <v>1</v>
      </c>
    </row>
    <row r="610" spans="1:5" ht="15.75" customHeight="1" x14ac:dyDescent="0.25">
      <c r="A610" s="6" t="s">
        <v>616</v>
      </c>
      <c r="B610" s="6" t="str">
        <f ca="1">IFERROR(__xludf.DUMMYFUNCTION("GOOGLETRANSLATE(A610,""bn"",""en"")"),"It would be better if people had three hands")</f>
        <v>It would be better if people had three hands</v>
      </c>
      <c r="C610" s="8" t="s">
        <v>13</v>
      </c>
      <c r="D610" s="8" t="s">
        <v>14</v>
      </c>
      <c r="E610" s="8">
        <v>1</v>
      </c>
    </row>
    <row r="611" spans="1:5" ht="15.75" customHeight="1" x14ac:dyDescent="0.25">
      <c r="A611" s="6" t="s">
        <v>617</v>
      </c>
      <c r="B611" s="6" t="str">
        <f ca="1">IFERROR(__xludf.DUMMYFUNCTION("GOOGLETRANSLATE(A611,""bn"",""en"")"),"Agricultural biotechnology involves the genetic modification of crops for improved traits")</f>
        <v>Agricultural biotechnology involves the genetic modification of crops for improved traits</v>
      </c>
      <c r="C611" s="8" t="s">
        <v>13</v>
      </c>
      <c r="D611" s="8" t="s">
        <v>14</v>
      </c>
      <c r="E611" s="8">
        <v>1</v>
      </c>
    </row>
    <row r="612" spans="1:5" ht="15.75" customHeight="1" x14ac:dyDescent="0.25">
      <c r="A612" s="6" t="s">
        <v>618</v>
      </c>
      <c r="B612" s="6" t="str">
        <f ca="1">IFERROR(__xludf.DUMMYFUNCTION("GOOGLETRANSLATE(A612,""bn"",""en"")"),"I didn't get what I wanted")</f>
        <v>I didn't get what I wanted</v>
      </c>
      <c r="C612" s="7" t="s">
        <v>6</v>
      </c>
      <c r="D612" s="7" t="s">
        <v>7</v>
      </c>
      <c r="E612" s="7">
        <v>0</v>
      </c>
    </row>
    <row r="613" spans="1:5" ht="15.75" customHeight="1" x14ac:dyDescent="0.25">
      <c r="A613" s="6" t="s">
        <v>619</v>
      </c>
      <c r="B613" s="6" t="str">
        <f ca="1">IFERROR(__xludf.DUMMYFUNCTION("GOOGLETRANSLATE(A613,""bn"",""en"")"),"Be that as it may, I was surprised to hear Sanskrit rhymes in the mouth of the bird")</f>
        <v>Be that as it may, I was surprised to hear Sanskrit rhymes in the mouth of the bird</v>
      </c>
      <c r="C613" s="7" t="s">
        <v>6</v>
      </c>
      <c r="D613" s="7" t="s">
        <v>7</v>
      </c>
      <c r="E613" s="7">
        <v>0</v>
      </c>
    </row>
    <row r="614" spans="1:5" ht="15.75" customHeight="1" x14ac:dyDescent="0.25">
      <c r="A614" s="6" t="s">
        <v>620</v>
      </c>
      <c r="B614" s="6" t="str">
        <f ca="1">IFERROR(__xludf.DUMMYFUNCTION("GOOGLETRANSLATE(A614,""bn"",""en"")"),"He tried to memorize the letter and read it")</f>
        <v>He tried to memorize the letter and read it</v>
      </c>
      <c r="C614" s="7" t="s">
        <v>6</v>
      </c>
      <c r="D614" s="7" t="s">
        <v>7</v>
      </c>
      <c r="E614" s="7">
        <v>0</v>
      </c>
    </row>
    <row r="615" spans="1:5" ht="15.75" customHeight="1" x14ac:dyDescent="0.25">
      <c r="A615" s="6" t="s">
        <v>621</v>
      </c>
      <c r="B615" s="6" t="str">
        <f ca="1">IFERROR(__xludf.DUMMYFUNCTION("GOOGLETRANSLATE(A615,""bn"",""en"")"),"His heart ached with pity for hope")</f>
        <v>His heart ached with pity for hope</v>
      </c>
      <c r="C615" s="7" t="s">
        <v>6</v>
      </c>
      <c r="D615" s="7" t="s">
        <v>7</v>
      </c>
      <c r="E615" s="7">
        <v>0</v>
      </c>
    </row>
    <row r="616" spans="1:5" ht="15.75" customHeight="1" x14ac:dyDescent="0.25">
      <c r="A616" s="6" t="s">
        <v>622</v>
      </c>
      <c r="B616" s="6" t="str">
        <f ca="1">IFERROR(__xludf.DUMMYFUNCTION("GOOGLETRANSLATE(A616,""bn"",""en"")"),"The sly smile on his face widened")</f>
        <v>The sly smile on his face widened</v>
      </c>
      <c r="C616" s="7" t="s">
        <v>6</v>
      </c>
      <c r="D616" s="7" t="s">
        <v>7</v>
      </c>
      <c r="E616" s="7">
        <v>0</v>
      </c>
    </row>
    <row r="617" spans="1:5" ht="15.75" customHeight="1" x14ac:dyDescent="0.25">
      <c r="A617" s="6" t="s">
        <v>623</v>
      </c>
      <c r="B617" s="6" t="str">
        <f ca="1">IFERROR(__xludf.DUMMYFUNCTION("GOOGLETRANSLATE(A617,""bn"",""en"")"),"Shakib came to me to take the book")</f>
        <v>Shakib came to me to take the book</v>
      </c>
      <c r="C617" s="8" t="s">
        <v>13</v>
      </c>
      <c r="D617" s="8" t="s">
        <v>14</v>
      </c>
      <c r="E617" s="8">
        <v>1</v>
      </c>
    </row>
    <row r="618" spans="1:5" ht="15.75" customHeight="1" x14ac:dyDescent="0.25">
      <c r="A618" s="6" t="s">
        <v>624</v>
      </c>
      <c r="B618" s="6" t="str">
        <f ca="1">IFERROR(__xludf.DUMMYFUNCTION("GOOGLETRANSLATE(A618,""bn"",""en"")"),"He got a mango from the tree.")</f>
        <v>He got a mango from the tree.</v>
      </c>
      <c r="C618" s="8" t="s">
        <v>13</v>
      </c>
      <c r="D618" s="8" t="s">
        <v>14</v>
      </c>
      <c r="E618" s="8">
        <v>1</v>
      </c>
    </row>
    <row r="619" spans="1:5" ht="15.75" customHeight="1" x14ac:dyDescent="0.25">
      <c r="A619" s="6" t="s">
        <v>625</v>
      </c>
      <c r="B619" s="6" t="str">
        <f ca="1">IFERROR(__xludf.DUMMYFUNCTION("GOOGLETRANSLATE(A619,""bn"",""en"")"),"Our school played")</f>
        <v>Our school played</v>
      </c>
      <c r="C619" s="8" t="s">
        <v>13</v>
      </c>
      <c r="D619" s="8" t="s">
        <v>14</v>
      </c>
      <c r="E619" s="8">
        <v>1</v>
      </c>
    </row>
    <row r="620" spans="1:5" ht="15.75" customHeight="1" x14ac:dyDescent="0.25">
      <c r="A620" s="6" t="s">
        <v>626</v>
      </c>
      <c r="B620" s="6" t="str">
        <f ca="1">IFERROR(__xludf.DUMMYFUNCTION("GOOGLETRANSLATE(A620,""bn"",""en"")"),"Digital transformation initiatives modernize business processes")</f>
        <v>Digital transformation initiatives modernize business processes</v>
      </c>
      <c r="C620" s="8" t="s">
        <v>13</v>
      </c>
      <c r="D620" s="8" t="s">
        <v>14</v>
      </c>
      <c r="E620" s="8">
        <v>1</v>
      </c>
    </row>
    <row r="621" spans="1:5" ht="15.75" customHeight="1" x14ac:dyDescent="0.25">
      <c r="A621" s="6" t="s">
        <v>627</v>
      </c>
      <c r="B621" s="6" t="str">
        <f ca="1">IFERROR(__xludf.DUMMYFUNCTION("GOOGLETRANSLATE(A621,""bn"",""en"")"),"did you go out at night")</f>
        <v>did you go out at night</v>
      </c>
      <c r="C621" s="8" t="s">
        <v>13</v>
      </c>
      <c r="D621" s="8" t="s">
        <v>14</v>
      </c>
      <c r="E621" s="8">
        <v>1</v>
      </c>
    </row>
    <row r="622" spans="1:5" ht="15.75" customHeight="1" x14ac:dyDescent="0.25">
      <c r="A622" s="6" t="s">
        <v>628</v>
      </c>
      <c r="B622" s="6" t="str">
        <f ca="1">IFERROR(__xludf.DUMMYFUNCTION("GOOGLETRANSLATE(A622,""bn"",""en"")"),"Shashi's eyes are wrong")</f>
        <v>Shashi's eyes are wrong</v>
      </c>
      <c r="C622" s="7" t="s">
        <v>6</v>
      </c>
      <c r="D622" s="7" t="s">
        <v>7</v>
      </c>
      <c r="E622" s="7">
        <v>0</v>
      </c>
    </row>
    <row r="623" spans="1:5" ht="15.75" customHeight="1" x14ac:dyDescent="0.25">
      <c r="A623" s="6" t="s">
        <v>629</v>
      </c>
      <c r="B623" s="6" t="str">
        <f ca="1">IFERROR(__xludf.DUMMYFUNCTION("GOOGLETRANSLATE(A623,""bn"",""en"")"),"The elder wife of the house died and the funeral was done with much fanfare")</f>
        <v>The elder wife of the house died and the funeral was done with much fanfare</v>
      </c>
      <c r="C623" s="7" t="s">
        <v>6</v>
      </c>
      <c r="D623" s="7" t="s">
        <v>7</v>
      </c>
      <c r="E623" s="7">
        <v>0</v>
      </c>
    </row>
    <row r="624" spans="1:5" ht="15.75" customHeight="1" x14ac:dyDescent="0.25">
      <c r="A624" s="6" t="s">
        <v>630</v>
      </c>
      <c r="B624" s="6" t="str">
        <f ca="1">IFERROR(__xludf.DUMMYFUNCTION("GOOGLETRANSLATE(A624,""bn"",""en"")"),"Thirty two households live there")</f>
        <v>Thirty two households live there</v>
      </c>
      <c r="C624" s="7" t="s">
        <v>6</v>
      </c>
      <c r="D624" s="7" t="s">
        <v>7</v>
      </c>
      <c r="E624" s="7">
        <v>0</v>
      </c>
    </row>
    <row r="625" spans="1:5" ht="15.75" customHeight="1" x14ac:dyDescent="0.25">
      <c r="A625" s="6" t="s">
        <v>631</v>
      </c>
      <c r="B625" s="6" t="str">
        <f ca="1">IFERROR(__xludf.DUMMYFUNCTION("GOOGLETRANSLATE(A625,""bn"",""en"")"),"That day, their chests were filled with pride, courage and self-confidence")</f>
        <v>That day, their chests were filled with pride, courage and self-confidence</v>
      </c>
      <c r="C625" s="7" t="s">
        <v>6</v>
      </c>
      <c r="D625" s="7" t="s">
        <v>7</v>
      </c>
      <c r="E625" s="7">
        <v>0</v>
      </c>
    </row>
    <row r="626" spans="1:5" ht="15.75" customHeight="1" x14ac:dyDescent="0.25">
      <c r="A626" s="6" t="s">
        <v>632</v>
      </c>
      <c r="B626" s="6" t="str">
        <f ca="1">IFERROR(__xludf.DUMMYFUNCTION("GOOGLETRANSLATE(A626,""bn"",""en"")"),"After my retreat I was repeatedly requested by two friends to write an account of the region.")</f>
        <v>After my retreat I was repeatedly requested by two friends to write an account of the region.</v>
      </c>
      <c r="C626" s="7" t="s">
        <v>6</v>
      </c>
      <c r="D626" s="7" t="s">
        <v>7</v>
      </c>
      <c r="E626" s="7">
        <v>0</v>
      </c>
    </row>
    <row r="627" spans="1:5" ht="15.75" customHeight="1" x14ac:dyDescent="0.25">
      <c r="A627" s="6" t="s">
        <v>633</v>
      </c>
      <c r="B627" s="6" t="str">
        <f ca="1">IFERROR(__xludf.DUMMYFUNCTION("GOOGLETRANSLATE(A627,""bn"",""en"")"),"Keep in mind that setbacks are temporary")</f>
        <v>Keep in mind that setbacks are temporary</v>
      </c>
      <c r="C627" s="8" t="s">
        <v>13</v>
      </c>
      <c r="D627" s="8" t="s">
        <v>14</v>
      </c>
      <c r="E627" s="8">
        <v>1</v>
      </c>
    </row>
    <row r="628" spans="1:5" ht="15.75" customHeight="1" x14ac:dyDescent="0.25">
      <c r="A628" s="6" t="s">
        <v>634</v>
      </c>
      <c r="B628" s="6" t="str">
        <f ca="1">IFERROR(__xludf.DUMMYFUNCTION("GOOGLETRANSLATE(A628,""bn"",""en"")"),"Asmani has been asking for three half inch nails for days")</f>
        <v>Asmani has been asking for three half inch nails for days</v>
      </c>
      <c r="C628" s="8" t="s">
        <v>13</v>
      </c>
      <c r="D628" s="8" t="s">
        <v>14</v>
      </c>
      <c r="E628" s="8">
        <v>1</v>
      </c>
    </row>
    <row r="629" spans="1:5" ht="15.75" customHeight="1" x14ac:dyDescent="0.25">
      <c r="A629" s="6" t="s">
        <v>635</v>
      </c>
      <c r="B629" s="6" t="str">
        <f ca="1">IFERROR(__xludf.DUMMYFUNCTION("GOOGLETRANSLATE(A629,""bn"",""en"")"),"Apu has not returned from the field yet")</f>
        <v>Apu has not returned from the field yet</v>
      </c>
      <c r="C629" s="8" t="s">
        <v>13</v>
      </c>
      <c r="D629" s="8" t="s">
        <v>14</v>
      </c>
      <c r="E629" s="8">
        <v>1</v>
      </c>
    </row>
    <row r="630" spans="1:5" ht="15.75" customHeight="1" x14ac:dyDescent="0.25">
      <c r="A630" s="6" t="s">
        <v>636</v>
      </c>
      <c r="B630" s="6" t="str">
        <f ca="1">IFERROR(__xludf.DUMMYFUNCTION("GOOGLETRANSLATE(A630,""bn"",""en"")"),"Follow us for travel inspiration")</f>
        <v>Follow us for travel inspiration</v>
      </c>
      <c r="C630" s="8" t="s">
        <v>13</v>
      </c>
      <c r="D630" s="8" t="s">
        <v>14</v>
      </c>
      <c r="E630" s="8">
        <v>1</v>
      </c>
    </row>
    <row r="631" spans="1:5" ht="15.75" customHeight="1" x14ac:dyDescent="0.25">
      <c r="A631" s="6" t="s">
        <v>637</v>
      </c>
      <c r="B631" s="6" t="str">
        <f ca="1">IFERROR(__xludf.DUMMYFUNCTION("GOOGLETRANSLATE(A631,""bn"",""en"")"),"Embracing vulnerability allows for authentic connection")</f>
        <v>Embracing vulnerability allows for authentic connection</v>
      </c>
      <c r="C631" s="8" t="s">
        <v>13</v>
      </c>
      <c r="D631" s="8" t="s">
        <v>14</v>
      </c>
      <c r="E631" s="8">
        <v>1</v>
      </c>
    </row>
    <row r="632" spans="1:5" ht="15.75" customHeight="1" x14ac:dyDescent="0.25">
      <c r="A632" s="6" t="s">
        <v>638</v>
      </c>
      <c r="B632" s="6" t="str">
        <f ca="1">IFERROR(__xludf.DUMMYFUNCTION("GOOGLETRANSLATE(A632,""bn"",""en"")"),"Sashi's voice was heard in the yard as she had just finished giving the branch three times with puffy cheeks.")</f>
        <v>Sashi's voice was heard in the yard as she had just finished giving the branch three times with puffy cheeks.</v>
      </c>
      <c r="C632" s="7" t="s">
        <v>6</v>
      </c>
      <c r="D632" s="7" t="s">
        <v>7</v>
      </c>
      <c r="E632" s="7">
        <v>0</v>
      </c>
    </row>
    <row r="633" spans="1:5" ht="15.75" customHeight="1" x14ac:dyDescent="0.25">
      <c r="A633" s="6" t="s">
        <v>639</v>
      </c>
      <c r="B633" s="6" t="str">
        <f ca="1">IFERROR(__xludf.DUMMYFUNCTION("GOOGLETRANSLATE(A633,""bn"",""en"")"),"Do you think I don't know how to go?")</f>
        <v>Do you think I don't know how to go?</v>
      </c>
      <c r="C633" s="7" t="s">
        <v>6</v>
      </c>
      <c r="D633" s="7" t="s">
        <v>7</v>
      </c>
      <c r="E633" s="7">
        <v>0</v>
      </c>
    </row>
    <row r="634" spans="1:5" ht="15.75" customHeight="1" x14ac:dyDescent="0.25">
      <c r="A634" s="6" t="s">
        <v>640</v>
      </c>
      <c r="B634" s="6" t="str">
        <f ca="1">IFERROR(__xludf.DUMMYFUNCTION("GOOGLETRANSLATE(A634,""bn"",""en"")"),"At the moment no one requests me but I am sitting in writing that report")</f>
        <v>At the moment no one requests me but I am sitting in writing that report</v>
      </c>
      <c r="C634" s="7" t="s">
        <v>6</v>
      </c>
      <c r="D634" s="7" t="s">
        <v>7</v>
      </c>
      <c r="E634" s="7">
        <v>0</v>
      </c>
    </row>
    <row r="635" spans="1:5" ht="15.75" customHeight="1" x14ac:dyDescent="0.25">
      <c r="A635" s="6" t="s">
        <v>281</v>
      </c>
      <c r="B635" s="6" t="str">
        <f ca="1">IFERROR(__xludf.DUMMYFUNCTION("GOOGLETRANSLATE(A635,""bn"",""en"")"),"Caution is not the other way around")</f>
        <v>Caution is not the other way around</v>
      </c>
      <c r="C635" s="7" t="s">
        <v>6</v>
      </c>
      <c r="D635" s="7" t="s">
        <v>7</v>
      </c>
      <c r="E635" s="7">
        <v>0</v>
      </c>
    </row>
    <row r="636" spans="1:5" ht="15.75" customHeight="1" x14ac:dyDescent="0.25">
      <c r="A636" s="6" t="s">
        <v>641</v>
      </c>
      <c r="B636" s="6" t="str">
        <f ca="1">IFERROR(__xludf.DUMMYFUNCTION("GOOGLETRANSLATE(A636,""bn"",""en"")"),"So believe in yourself more than others")</f>
        <v>So believe in yourself more than others</v>
      </c>
      <c r="C636" s="7" t="s">
        <v>6</v>
      </c>
      <c r="D636" s="7" t="s">
        <v>7</v>
      </c>
      <c r="E636" s="7">
        <v>0</v>
      </c>
    </row>
    <row r="637" spans="1:5" ht="15.75" customHeight="1" x14ac:dyDescent="0.25">
      <c r="A637" s="6" t="s">
        <v>642</v>
      </c>
      <c r="B637" s="6" t="str">
        <f ca="1">IFERROR(__xludf.DUMMYFUNCTION("GOOGLETRANSLATE(A637,""bn"",""en"")"),"There is no food in my house")</f>
        <v>There is no food in my house</v>
      </c>
      <c r="C637" s="8" t="s">
        <v>13</v>
      </c>
      <c r="D637" s="8" t="s">
        <v>14</v>
      </c>
      <c r="E637" s="8">
        <v>1</v>
      </c>
    </row>
    <row r="638" spans="1:5" ht="15.75" customHeight="1" x14ac:dyDescent="0.25">
      <c r="A638" s="6" t="s">
        <v>643</v>
      </c>
      <c r="B638" s="6" t="str">
        <f ca="1">IFERROR(__xludf.DUMMYFUNCTION("GOOGLETRANSLATE(A638,""bn"",""en"")"),"Being betrayed by someone I care deeply about fills me with betrayal")</f>
        <v>Being betrayed by someone I care deeply about fills me with betrayal</v>
      </c>
      <c r="C638" s="8" t="s">
        <v>13</v>
      </c>
      <c r="D638" s="8" t="s">
        <v>14</v>
      </c>
      <c r="E638" s="8">
        <v>1</v>
      </c>
    </row>
    <row r="639" spans="1:5" ht="15.75" customHeight="1" x14ac:dyDescent="0.25">
      <c r="A639" s="6" t="s">
        <v>644</v>
      </c>
      <c r="B639" s="6" t="str">
        <f ca="1">IFERROR(__xludf.DUMMYFUNCTION("GOOGLETRANSLATE(A639,""bn"",""en"")"),"Divers bring underwater probes")</f>
        <v>Divers bring underwater probes</v>
      </c>
      <c r="C639" s="8" t="s">
        <v>13</v>
      </c>
      <c r="D639" s="8" t="s">
        <v>14</v>
      </c>
      <c r="E639" s="8">
        <v>1</v>
      </c>
    </row>
    <row r="640" spans="1:5" ht="15.75" customHeight="1" x14ac:dyDescent="0.25">
      <c r="A640" s="6" t="s">
        <v>645</v>
      </c>
      <c r="B640" s="6" t="str">
        <f ca="1">IFERROR(__xludf.DUMMYFUNCTION("GOOGLETRANSLATE(A640,""bn"",""en"")"),"Venom The venom of the conch shell is deadly")</f>
        <v>Venom The venom of the conch shell is deadly</v>
      </c>
      <c r="C640" s="8" t="s">
        <v>13</v>
      </c>
      <c r="D640" s="8" t="s">
        <v>14</v>
      </c>
      <c r="E640" s="8">
        <v>1</v>
      </c>
    </row>
    <row r="641" spans="1:5" ht="15.75" customHeight="1" x14ac:dyDescent="0.25">
      <c r="A641" s="6" t="s">
        <v>646</v>
      </c>
      <c r="B641" s="6" t="str">
        <f ca="1">IFERROR(__xludf.DUMMYFUNCTION("GOOGLETRANSLATE(A641,""bn"",""en"")"),"Agricultural trade agreements affect world markets by regulating tariff quotas or subsidies")</f>
        <v>Agricultural trade agreements affect world markets by regulating tariff quotas or subsidies</v>
      </c>
      <c r="C641" s="8" t="s">
        <v>13</v>
      </c>
      <c r="D641" s="8" t="s">
        <v>14</v>
      </c>
      <c r="E641" s="8">
        <v>1</v>
      </c>
    </row>
    <row r="642" spans="1:5" ht="15.75" customHeight="1" x14ac:dyDescent="0.25">
      <c r="A642" s="6" t="s">
        <v>647</v>
      </c>
      <c r="B642" s="6" t="str">
        <f ca="1">IFERROR(__xludf.DUMMYFUNCTION("GOOGLETRANSLATE(A642,""bn"",""en"")"),"All around Jonaki started flickering")</f>
        <v>All around Jonaki started flickering</v>
      </c>
      <c r="C642" s="7" t="s">
        <v>6</v>
      </c>
      <c r="D642" s="7" t="s">
        <v>7</v>
      </c>
      <c r="E642" s="7">
        <v>0</v>
      </c>
    </row>
    <row r="643" spans="1:5" ht="15.75" customHeight="1" x14ac:dyDescent="0.25">
      <c r="A643" s="6" t="s">
        <v>648</v>
      </c>
      <c r="B643" s="6" t="str">
        <f ca="1">IFERROR(__xludf.DUMMYFUNCTION("GOOGLETRANSLATE(A643,""bn"",""en"")"),"What is the consensus of the Bengalis of all areas is not a saint")</f>
        <v>What is the consensus of the Bengalis of all areas is not a saint</v>
      </c>
      <c r="C643" s="7" t="s">
        <v>6</v>
      </c>
      <c r="D643" s="7" t="s">
        <v>7</v>
      </c>
      <c r="E643" s="7">
        <v>0</v>
      </c>
    </row>
    <row r="644" spans="1:5" ht="15.75" customHeight="1" x14ac:dyDescent="0.25">
      <c r="A644" s="6" t="s">
        <v>649</v>
      </c>
      <c r="B644" s="6" t="str">
        <f ca="1">IFERROR(__xludf.DUMMYFUNCTION("GOOGLETRANSLATE(A644,""bn"",""en"")"),"He had done his job honestly")</f>
        <v>He had done his job honestly</v>
      </c>
      <c r="C644" s="7" t="s">
        <v>6</v>
      </c>
      <c r="D644" s="7" t="s">
        <v>7</v>
      </c>
      <c r="E644" s="7">
        <v>0</v>
      </c>
    </row>
    <row r="645" spans="1:5" ht="15.75" customHeight="1" x14ac:dyDescent="0.25">
      <c r="A645" s="6" t="s">
        <v>650</v>
      </c>
      <c r="B645" s="6" t="str">
        <f ca="1">IFERROR(__xludf.DUMMYFUNCTION("GOOGLETRANSLATE(A645,""bn"",""en"")"),"Some sing songs, some dance, some do mysteries")</f>
        <v>Some sing songs, some dance, some do mysteries</v>
      </c>
      <c r="C645" s="7" t="s">
        <v>6</v>
      </c>
      <c r="D645" s="7" t="s">
        <v>7</v>
      </c>
      <c r="E645" s="7">
        <v>0</v>
      </c>
    </row>
    <row r="646" spans="1:5" ht="15.75" customHeight="1" x14ac:dyDescent="0.25">
      <c r="A646" s="6" t="s">
        <v>651</v>
      </c>
      <c r="B646" s="6" t="str">
        <f ca="1">IFERROR(__xludf.DUMMYFUNCTION("GOOGLETRANSLATE(A646,""bn"",""en"")"),"Then Ramsundar started to borrow money little by little from various places with huge interest")</f>
        <v>Then Ramsundar started to borrow money little by little from various places with huge interest</v>
      </c>
      <c r="C646" s="7" t="s">
        <v>6</v>
      </c>
      <c r="D646" s="7" t="s">
        <v>7</v>
      </c>
      <c r="E646" s="7">
        <v>0</v>
      </c>
    </row>
    <row r="647" spans="1:5" ht="15.75" customHeight="1" x14ac:dyDescent="0.25">
      <c r="A647" s="6" t="s">
        <v>652</v>
      </c>
      <c r="B647" s="6" t="str">
        <f ca="1">IFERROR(__xludf.DUMMYFUNCTION("GOOGLETRANSLATE(A647,""bn"",""en"")"),"The god of grain approves the reincarnation of Bile")</f>
        <v>The god of grain approves the reincarnation of Bile</v>
      </c>
      <c r="C647" s="8" t="s">
        <v>13</v>
      </c>
      <c r="D647" s="8" t="s">
        <v>14</v>
      </c>
      <c r="E647" s="8">
        <v>1</v>
      </c>
    </row>
    <row r="648" spans="1:5" ht="15.75" customHeight="1" x14ac:dyDescent="0.25">
      <c r="A648" s="6" t="s">
        <v>653</v>
      </c>
      <c r="B648" s="6" t="str">
        <f ca="1">IFERROR(__xludf.DUMMYFUNCTION("GOOGLETRANSLATE(A648,""bn"",""en"")"),"Jogging improves the heart")</f>
        <v>Jogging improves the heart</v>
      </c>
      <c r="C648" s="8" t="s">
        <v>13</v>
      </c>
      <c r="D648" s="8" t="s">
        <v>14</v>
      </c>
      <c r="E648" s="8">
        <v>1</v>
      </c>
    </row>
    <row r="649" spans="1:5" ht="15.75" customHeight="1" x14ac:dyDescent="0.25">
      <c r="A649" s="6" t="s">
        <v>654</v>
      </c>
      <c r="B649" s="6" t="str">
        <f ca="1">IFERROR(__xludf.DUMMYFUNCTION("GOOGLETRANSLATE(A649,""bn"",""en"")"),"I worked in this company")</f>
        <v>I worked in this company</v>
      </c>
      <c r="C649" s="8" t="s">
        <v>13</v>
      </c>
      <c r="D649" s="8" t="s">
        <v>14</v>
      </c>
      <c r="E649" s="8">
        <v>1</v>
      </c>
    </row>
    <row r="650" spans="1:5" ht="15.75" customHeight="1" x14ac:dyDescent="0.25">
      <c r="A650" s="6" t="s">
        <v>655</v>
      </c>
      <c r="B650" s="6" t="str">
        <f ca="1">IFERROR(__xludf.DUMMYFUNCTION("GOOGLETRANSLATE(A650,""bn"",""en"")"),"His happiness did not last long")</f>
        <v>His happiness did not last long</v>
      </c>
      <c r="C650" s="8" t="s">
        <v>13</v>
      </c>
      <c r="D650" s="8" t="s">
        <v>14</v>
      </c>
      <c r="E650" s="8">
        <v>1</v>
      </c>
    </row>
    <row r="651" spans="1:5" ht="15.75" customHeight="1" x14ac:dyDescent="0.25">
      <c r="A651" s="6" t="s">
        <v>656</v>
      </c>
      <c r="B651" s="6" t="str">
        <f ca="1">IFERROR(__xludf.DUMMYFUNCTION("GOOGLETRANSLATE(A651,""bn"",""en"")"),"They asked me there")</f>
        <v>They asked me there</v>
      </c>
      <c r="C651" s="8" t="s">
        <v>13</v>
      </c>
      <c r="D651" s="8" t="s">
        <v>14</v>
      </c>
      <c r="E651" s="8">
        <v>1</v>
      </c>
    </row>
    <row r="652" spans="1:5" ht="15.75" customHeight="1" x14ac:dyDescent="0.25">
      <c r="A652" s="6" t="s">
        <v>657</v>
      </c>
      <c r="B652" s="6" t="str">
        <f ca="1">IFERROR(__xludf.DUMMYFUNCTION("GOOGLETRANSLATE(A652,""bn"",""en"")"),"The boat swayed gently with the current")</f>
        <v>The boat swayed gently with the current</v>
      </c>
      <c r="C652" s="7" t="s">
        <v>6</v>
      </c>
      <c r="D652" s="7" t="s">
        <v>7</v>
      </c>
      <c r="E652" s="7">
        <v>0</v>
      </c>
    </row>
    <row r="653" spans="1:5" ht="15.75" customHeight="1" x14ac:dyDescent="0.25">
      <c r="A653" s="6" t="s">
        <v>658</v>
      </c>
      <c r="B653" s="6" t="str">
        <f ca="1">IFERROR(__xludf.DUMMYFUNCTION("GOOGLETRANSLATE(A653,""bn"",""en"")"),"You can't feel it when you see the arms")</f>
        <v>You can't feel it when you see the arms</v>
      </c>
      <c r="C653" s="7" t="s">
        <v>6</v>
      </c>
      <c r="D653" s="7" t="s">
        <v>7</v>
      </c>
      <c r="E653" s="7">
        <v>0</v>
      </c>
    </row>
    <row r="654" spans="1:5" ht="15.75" customHeight="1" x14ac:dyDescent="0.25">
      <c r="A654" s="6" t="s">
        <v>659</v>
      </c>
      <c r="B654" s="6" t="str">
        <f ca="1">IFERROR(__xludf.DUMMYFUNCTION("GOOGLETRANSLATE(A654,""bn"",""en"")"),"One of them, a tall man—a very old man—holding a pitcher full of water in both hands, told me with a smile that he would come to watch the dance at night.")</f>
        <v>One of them, a tall man—a very old man—holding a pitcher full of water in both hands, told me with a smile that he would come to watch the dance at night.</v>
      </c>
      <c r="C654" s="7" t="s">
        <v>6</v>
      </c>
      <c r="D654" s="7" t="s">
        <v>7</v>
      </c>
      <c r="E654" s="7">
        <v>0</v>
      </c>
    </row>
    <row r="655" spans="1:5" ht="15.75" customHeight="1" x14ac:dyDescent="0.25">
      <c r="A655" s="6" t="s">
        <v>660</v>
      </c>
      <c r="B655" s="6" t="str">
        <f ca="1">IFERROR(__xludf.DUMMYFUNCTION("GOOGLETRANSLATE(A655,""bn"",""en"")"),"There was nothing to listen to")</f>
        <v>There was nothing to listen to</v>
      </c>
      <c r="C655" s="7" t="s">
        <v>6</v>
      </c>
      <c r="D655" s="7" t="s">
        <v>7</v>
      </c>
      <c r="E655" s="7">
        <v>0</v>
      </c>
    </row>
    <row r="656" spans="1:5" ht="15.75" customHeight="1" x14ac:dyDescent="0.25">
      <c r="A656" s="6" t="s">
        <v>661</v>
      </c>
      <c r="B656" s="6" t="str">
        <f ca="1">IFERROR(__xludf.DUMMYFUNCTION("GOOGLETRANSLATE(A656,""bn"",""en"")"),"There is no female relative, so Khaiya had to break the news himself")</f>
        <v>There is no female relative, so Khaiya had to break the news himself</v>
      </c>
      <c r="C656" s="7" t="s">
        <v>6</v>
      </c>
      <c r="D656" s="7" t="s">
        <v>7</v>
      </c>
      <c r="E656" s="7">
        <v>0</v>
      </c>
    </row>
    <row r="657" spans="1:5" ht="15.75" customHeight="1" x14ac:dyDescent="0.25">
      <c r="A657" s="6" t="s">
        <v>662</v>
      </c>
      <c r="B657" s="6" t="str">
        <f ca="1">IFERROR(__xludf.DUMMYFUNCTION("GOOGLETRANSLATE(A657,""bn"",""en"")"),"He grew up in a poor family")</f>
        <v>He grew up in a poor family</v>
      </c>
      <c r="C657" s="8" t="s">
        <v>13</v>
      </c>
      <c r="D657" s="8" t="s">
        <v>14</v>
      </c>
      <c r="E657" s="8">
        <v>1</v>
      </c>
    </row>
    <row r="658" spans="1:5" ht="15.75" customHeight="1" x14ac:dyDescent="0.25">
      <c r="A658" s="6" t="s">
        <v>663</v>
      </c>
      <c r="B658" s="6" t="str">
        <f ca="1">IFERROR(__xludf.DUMMYFUNCTION("GOOGLETRANSLATE(A658,""bn"",""en"")"),"Soil health assessment helps farmers understand the condition of their soil for better management decisions")</f>
        <v>Soil health assessment helps farmers understand the condition of their soil for better management decisions</v>
      </c>
      <c r="C658" s="8" t="s">
        <v>13</v>
      </c>
      <c r="D658" s="8" t="s">
        <v>14</v>
      </c>
      <c r="E658" s="8">
        <v>1</v>
      </c>
    </row>
    <row r="659" spans="1:5" ht="15.75" customHeight="1" x14ac:dyDescent="0.25">
      <c r="A659" s="6" t="s">
        <v>664</v>
      </c>
      <c r="B659" s="6" t="str">
        <f ca="1">IFERROR(__xludf.DUMMYFUNCTION("GOOGLETRANSLATE(A659,""bn"",""en"")"),"There was an uneasy feeling in his mind that day")</f>
        <v>There was an uneasy feeling in his mind that day</v>
      </c>
      <c r="C659" s="8" t="s">
        <v>13</v>
      </c>
      <c r="D659" s="8" t="s">
        <v>14</v>
      </c>
      <c r="E659" s="8">
        <v>1</v>
      </c>
    </row>
    <row r="660" spans="1:5" ht="15.75" customHeight="1" x14ac:dyDescent="0.25">
      <c r="A660" s="6" t="s">
        <v>665</v>
      </c>
      <c r="B660" s="6" t="str">
        <f ca="1">IFERROR(__xludf.DUMMYFUNCTION("GOOGLETRANSLATE(A660,""bn"",""en"")"),"Service was mediocre at best I probably won't be back")</f>
        <v>Service was mediocre at best I probably won't be back</v>
      </c>
      <c r="C660" s="8" t="s">
        <v>13</v>
      </c>
      <c r="D660" s="8" t="s">
        <v>14</v>
      </c>
      <c r="E660" s="8">
        <v>1</v>
      </c>
    </row>
    <row r="661" spans="1:5" ht="15.75" customHeight="1" x14ac:dyDescent="0.25">
      <c r="A661" s="6" t="s">
        <v>666</v>
      </c>
      <c r="B661" s="6" t="str">
        <f ca="1">IFERROR(__xludf.DUMMYFUNCTION("GOOGLETRANSLATE(A661,""bn"",""en"")"),"Explorers uncover an ancient temple deep in the dense jungle")</f>
        <v>Explorers uncover an ancient temple deep in the dense jungle</v>
      </c>
      <c r="C661" s="8" t="s">
        <v>13</v>
      </c>
      <c r="D661" s="8" t="s">
        <v>14</v>
      </c>
      <c r="E661" s="8">
        <v>1</v>
      </c>
    </row>
    <row r="662" spans="1:5" ht="15.75" customHeight="1" x14ac:dyDescent="0.25">
      <c r="A662" s="6" t="s">
        <v>667</v>
      </c>
      <c r="B662" s="6" t="str">
        <f ca="1">IFERROR(__xludf.DUMMYFUNCTION("GOOGLETRANSLATE(A662,""bn"",""en"")"),"Bairagi's cow is bigger than the piles that peasant girls gather dry wheat")</f>
        <v>Bairagi's cow is bigger than the piles that peasant girls gather dry wheat</v>
      </c>
      <c r="C662" s="7" t="s">
        <v>6</v>
      </c>
      <c r="D662" s="7" t="s">
        <v>7</v>
      </c>
      <c r="E662" s="7">
        <v>0</v>
      </c>
    </row>
    <row r="663" spans="1:5" ht="15.75" customHeight="1" x14ac:dyDescent="0.25">
      <c r="A663" s="6" t="s">
        <v>668</v>
      </c>
      <c r="B663" s="6" t="str">
        <f ca="1">IFERROR(__xludf.DUMMYFUNCTION("GOOGLETRANSLATE(A663,""bn"",""en"")"),"Remembering some special action of the Creator that day he uttered so much thanks")</f>
        <v>Remembering some special action of the Creator that day he uttered so much thanks</v>
      </c>
      <c r="C663" s="7" t="s">
        <v>6</v>
      </c>
      <c r="D663" s="7" t="s">
        <v>7</v>
      </c>
      <c r="E663" s="7">
        <v>0</v>
      </c>
    </row>
    <row r="664" spans="1:5" ht="15.75" customHeight="1" x14ac:dyDescent="0.25">
      <c r="A664" s="6" t="s">
        <v>669</v>
      </c>
      <c r="B664" s="6" t="str">
        <f ca="1">IFERROR(__xludf.DUMMYFUNCTION("GOOGLETRANSLATE(A664,""bn"",""en"")"),"The forest was not well known")</f>
        <v>The forest was not well known</v>
      </c>
      <c r="C664" s="7" t="s">
        <v>6</v>
      </c>
      <c r="D664" s="7" t="s">
        <v>7</v>
      </c>
      <c r="E664" s="7">
        <v>0</v>
      </c>
    </row>
    <row r="665" spans="1:5" ht="15.75" customHeight="1" x14ac:dyDescent="0.25">
      <c r="A665" s="6" t="s">
        <v>670</v>
      </c>
      <c r="B665" s="6" t="str">
        <f ca="1">IFERROR(__xludf.DUMMYFUNCTION("GOOGLETRANSLATE(A665,""bn"",""en"")"),"It is as if everyone around him has been taken care of")</f>
        <v>It is as if everyone around him has been taken care of</v>
      </c>
      <c r="C665" s="7" t="s">
        <v>6</v>
      </c>
      <c r="D665" s="7" t="s">
        <v>7</v>
      </c>
      <c r="E665" s="7">
        <v>0</v>
      </c>
    </row>
    <row r="666" spans="1:5" ht="15.75" customHeight="1" x14ac:dyDescent="0.25">
      <c r="A666" s="6" t="s">
        <v>671</v>
      </c>
      <c r="B666" s="6" t="str">
        <f ca="1">IFERROR(__xludf.DUMMYFUNCTION("GOOGLETRANSLATE(A666,""bn"",""en"")"),"The old man did not say anything about it")</f>
        <v>The old man did not say anything about it</v>
      </c>
      <c r="C666" s="7" t="s">
        <v>6</v>
      </c>
      <c r="D666" s="7" t="s">
        <v>7</v>
      </c>
      <c r="E666" s="7">
        <v>0</v>
      </c>
    </row>
    <row r="667" spans="1:5" ht="15.75" customHeight="1" x14ac:dyDescent="0.25">
      <c r="A667" s="6" t="s">
        <v>672</v>
      </c>
      <c r="B667" s="6" t="str">
        <f ca="1">IFERROR(__xludf.DUMMYFUNCTION("GOOGLETRANSLATE(A667,""bn"",""en"")"),"My aunt and uncle are like second parents to me")</f>
        <v>My aunt and uncle are like second parents to me</v>
      </c>
      <c r="C667" s="8" t="s">
        <v>13</v>
      </c>
      <c r="D667" s="8" t="s">
        <v>14</v>
      </c>
      <c r="E667" s="8">
        <v>1</v>
      </c>
    </row>
    <row r="668" spans="1:5" ht="15.75" customHeight="1" x14ac:dyDescent="0.25">
      <c r="A668" s="6" t="s">
        <v>673</v>
      </c>
      <c r="B668" s="6" t="str">
        <f ca="1">IFERROR(__xludf.DUMMYFUNCTION("GOOGLETRANSLATE(A668,""bn"",""en"")"),"Swim for a full body workout")</f>
        <v>Swim for a full body workout</v>
      </c>
      <c r="C668" s="8" t="s">
        <v>13</v>
      </c>
      <c r="D668" s="8" t="s">
        <v>14</v>
      </c>
      <c r="E668" s="8">
        <v>1</v>
      </c>
    </row>
    <row r="669" spans="1:5" ht="15.75" customHeight="1" x14ac:dyDescent="0.25">
      <c r="A669" s="6" t="s">
        <v>674</v>
      </c>
      <c r="B669" s="6" t="str">
        <f ca="1">IFERROR(__xludf.DUMMYFUNCTION("GOOGLETRANSLATE(A669,""bn"",""en"")"),"The heart of the city was a Shiva temple")</f>
        <v>The heart of the city was a Shiva temple</v>
      </c>
      <c r="C669" s="8" t="s">
        <v>13</v>
      </c>
      <c r="D669" s="8" t="s">
        <v>14</v>
      </c>
      <c r="E669" s="8">
        <v>1</v>
      </c>
    </row>
    <row r="670" spans="1:5" ht="15.75" customHeight="1" x14ac:dyDescent="0.25">
      <c r="A670" s="6" t="s">
        <v>675</v>
      </c>
      <c r="B670" s="6" t="str">
        <f ca="1">IFERROR(__xludf.DUMMYFUNCTION("GOOGLETRANSLATE(A670,""bn"",""en"")"),"It was not right to break the pair and bring one")</f>
        <v>It was not right to break the pair and bring one</v>
      </c>
      <c r="C670" s="8" t="s">
        <v>13</v>
      </c>
      <c r="D670" s="8" t="s">
        <v>14</v>
      </c>
      <c r="E670" s="8">
        <v>1</v>
      </c>
    </row>
    <row r="671" spans="1:5" ht="15.75" customHeight="1" x14ac:dyDescent="0.25">
      <c r="A671" s="6" t="s">
        <v>676</v>
      </c>
      <c r="B671" s="6" t="str">
        <f ca="1">IFERROR(__xludf.DUMMYFUNCTION("GOOGLETRANSLATE(A671,""bn"",""en"")"),"He agreed with me")</f>
        <v>He agreed with me</v>
      </c>
      <c r="C671" s="8" t="s">
        <v>13</v>
      </c>
      <c r="D671" s="8" t="s">
        <v>14</v>
      </c>
      <c r="E671" s="8">
        <v>1</v>
      </c>
    </row>
    <row r="672" spans="1:5" ht="15.75" customHeight="1" x14ac:dyDescent="0.25">
      <c r="A672" s="6" t="s">
        <v>677</v>
      </c>
      <c r="B672" s="6" t="str">
        <f ca="1">IFERROR(__xludf.DUMMYFUNCTION("GOOGLETRANSLATE(A672,""bn"",""en"")"),"When did it not bear fruit or flower?")</f>
        <v>When did it not bear fruit or flower?</v>
      </c>
      <c r="C672" s="7" t="s">
        <v>6</v>
      </c>
      <c r="D672" s="7" t="s">
        <v>7</v>
      </c>
      <c r="E672" s="7">
        <v>0</v>
      </c>
    </row>
    <row r="673" spans="1:5" ht="15.75" customHeight="1" x14ac:dyDescent="0.25">
      <c r="A673" s="6" t="s">
        <v>678</v>
      </c>
      <c r="B673" s="6" t="str">
        <f ca="1">IFERROR(__xludf.DUMMYFUNCTION("GOOGLETRANSLATE(A673,""bn"",""en"")"),"While passing through such a forest, suddenly the sad sound of a wooden bell was heard at one place.")</f>
        <v>While passing through such a forest, suddenly the sad sound of a wooden bell was heard at one place.</v>
      </c>
      <c r="C673" s="7" t="s">
        <v>6</v>
      </c>
      <c r="D673" s="7" t="s">
        <v>7</v>
      </c>
      <c r="E673" s="7">
        <v>0</v>
      </c>
    </row>
    <row r="674" spans="1:5" ht="15.75" customHeight="1" x14ac:dyDescent="0.25">
      <c r="A674" s="6" t="s">
        <v>679</v>
      </c>
      <c r="B674" s="6" t="str">
        <f ca="1">IFERROR(__xludf.DUMMYFUNCTION("GOOGLETRANSLATE(A674,""bn"",""en"")"),"So his appearance becomes like a stray dog ​​without a master")</f>
        <v>So his appearance becomes like a stray dog ​​without a master</v>
      </c>
      <c r="C674" s="7" t="s">
        <v>6</v>
      </c>
      <c r="D674" s="7" t="s">
        <v>7</v>
      </c>
      <c r="E674" s="7">
        <v>0</v>
      </c>
    </row>
    <row r="675" spans="1:5" ht="15.75" customHeight="1" x14ac:dyDescent="0.25">
      <c r="A675" s="6" t="s">
        <v>680</v>
      </c>
      <c r="B675" s="6" t="str">
        <f ca="1">IFERROR(__xludf.DUMMYFUNCTION("GOOGLETRANSLATE(A675,""bn"",""en"")"),"He gave me a good advice")</f>
        <v>He gave me a good advice</v>
      </c>
      <c r="C675" s="7" t="s">
        <v>6</v>
      </c>
      <c r="D675" s="7" t="s">
        <v>7</v>
      </c>
      <c r="E675" s="7">
        <v>0</v>
      </c>
    </row>
    <row r="676" spans="1:5" ht="15.75" customHeight="1" x14ac:dyDescent="0.25">
      <c r="A676" s="6" t="s">
        <v>681</v>
      </c>
      <c r="B676" s="6" t="str">
        <f ca="1">IFERROR(__xludf.DUMMYFUNCTION("GOOGLETRANSLATE(A676,""bn"",""en"")"),"The boys were somewhat dismayed to see such generous indifference")</f>
        <v>The boys were somewhat dismayed to see such generous indifference</v>
      </c>
      <c r="C676" s="7" t="s">
        <v>6</v>
      </c>
      <c r="D676" s="7" t="s">
        <v>7</v>
      </c>
      <c r="E676" s="7">
        <v>0</v>
      </c>
    </row>
    <row r="677" spans="1:5" ht="15.75" customHeight="1" x14ac:dyDescent="0.25">
      <c r="A677" s="6" t="s">
        <v>682</v>
      </c>
      <c r="B677" s="6" t="str">
        <f ca="1">IFERROR(__xludf.DUMMYFUNCTION("GOOGLETRANSLATE(A677,""bn"",""en"")"),"Receiving unexpected gifts fills me with gratitude")</f>
        <v>Receiving unexpected gifts fills me with gratitude</v>
      </c>
      <c r="C677" s="8" t="s">
        <v>13</v>
      </c>
      <c r="D677" s="8" t="s">
        <v>14</v>
      </c>
      <c r="E677" s="8">
        <v>1</v>
      </c>
    </row>
    <row r="678" spans="1:5" ht="15.75" customHeight="1" x14ac:dyDescent="0.25">
      <c r="A678" s="6" t="s">
        <v>683</v>
      </c>
      <c r="B678" s="6" t="str">
        <f ca="1">IFERROR(__xludf.DUMMYFUNCTION("GOOGLETRANSLATE(A678,""bn"",""en"")"),"High cholesterol levels can increase your risk of heart disease")</f>
        <v>High cholesterol levels can increase your risk of heart disease</v>
      </c>
      <c r="C678" s="8" t="s">
        <v>13</v>
      </c>
      <c r="D678" s="8" t="s">
        <v>14</v>
      </c>
      <c r="E678" s="8">
        <v>1</v>
      </c>
    </row>
    <row r="679" spans="1:5" ht="15.75" customHeight="1" x14ac:dyDescent="0.25">
      <c r="A679" s="6" t="s">
        <v>684</v>
      </c>
      <c r="B679" s="6" t="str">
        <f ca="1">IFERROR(__xludf.DUMMYFUNCTION("GOOGLETRANSLATE(A679,""bn"",""en"")"),"He said he would return home when the rain subsided")</f>
        <v>He said he would return home when the rain subsided</v>
      </c>
      <c r="C679" s="8" t="s">
        <v>13</v>
      </c>
      <c r="D679" s="8" t="s">
        <v>14</v>
      </c>
      <c r="E679" s="8">
        <v>1</v>
      </c>
    </row>
    <row r="680" spans="1:5" ht="15.75" customHeight="1" x14ac:dyDescent="0.25">
      <c r="A680" s="6" t="s">
        <v>685</v>
      </c>
      <c r="B680" s="6" t="str">
        <f ca="1">IFERROR(__xludf.DUMMYFUNCTION("GOOGLETRANSLATE(A680,""bn"",""en"")"),"The landscaper planted flowering shrubs in the garden")</f>
        <v>The landscaper planted flowering shrubs in the garden</v>
      </c>
      <c r="C680" s="8" t="s">
        <v>13</v>
      </c>
      <c r="D680" s="8" t="s">
        <v>14</v>
      </c>
      <c r="E680" s="8">
        <v>1</v>
      </c>
    </row>
    <row r="681" spans="1:5" ht="15.75" customHeight="1" x14ac:dyDescent="0.25">
      <c r="A681" s="6" t="s">
        <v>686</v>
      </c>
      <c r="B681" s="6" t="str">
        <f ca="1">IFERROR(__xludf.DUMMYFUNCTION("GOOGLETRANSLATE(A681,""bn"",""en"")"),"Sometimes people would come to them to settle some particular problem")</f>
        <v>Sometimes people would come to them to settle some particular problem</v>
      </c>
      <c r="C681" s="8" t="s">
        <v>13</v>
      </c>
      <c r="D681" s="8" t="s">
        <v>14</v>
      </c>
      <c r="E681" s="8">
        <v>1</v>
      </c>
    </row>
    <row r="682" spans="1:5" ht="15.75" customHeight="1" x14ac:dyDescent="0.25">
      <c r="A682" s="6" t="s">
        <v>687</v>
      </c>
      <c r="B682" s="6" t="str">
        <f ca="1">IFERROR(__xludf.DUMMYFUNCTION("GOOGLETRANSLATE(A682,""bn"",""en"")"),"The improved condition of the house is noticeable")</f>
        <v>The improved condition of the house is noticeable</v>
      </c>
      <c r="C682" s="7" t="s">
        <v>6</v>
      </c>
      <c r="D682" s="7" t="s">
        <v>7</v>
      </c>
      <c r="E682" s="7">
        <v>0</v>
      </c>
    </row>
    <row r="683" spans="1:5" ht="15.75" customHeight="1" x14ac:dyDescent="0.25">
      <c r="A683" s="6" t="s">
        <v>688</v>
      </c>
      <c r="B683" s="6" t="str">
        <f ca="1">IFERROR(__xludf.DUMMYFUNCTION("GOOGLETRANSLATE(A683,""bn"",""en"")"),"I wanted to do this")</f>
        <v>I wanted to do this</v>
      </c>
      <c r="C683" s="7" t="s">
        <v>6</v>
      </c>
      <c r="D683" s="7" t="s">
        <v>7</v>
      </c>
      <c r="E683" s="7">
        <v>0</v>
      </c>
    </row>
    <row r="684" spans="1:5" ht="15.75" customHeight="1" x14ac:dyDescent="0.25">
      <c r="A684" s="6" t="s">
        <v>689</v>
      </c>
      <c r="B684" s="6" t="str">
        <f ca="1">IFERROR(__xludf.DUMMYFUNCTION("GOOGLETRANSLATE(A684,""bn"",""en"")"),"There is a great harmony with this verse")</f>
        <v>There is a great harmony with this verse</v>
      </c>
      <c r="C684" s="7" t="s">
        <v>6</v>
      </c>
      <c r="D684" s="7" t="s">
        <v>7</v>
      </c>
      <c r="E684" s="7">
        <v>0</v>
      </c>
    </row>
    <row r="685" spans="1:5" ht="15.75" customHeight="1" x14ac:dyDescent="0.25">
      <c r="A685" s="6" t="s">
        <v>690</v>
      </c>
      <c r="B685" s="6" t="str">
        <f ca="1">IFERROR(__xludf.DUMMYFUNCTION("GOOGLETRANSLATE(A685,""bn"",""en"")"),"It will be possible to see success if you work hard in your student life")</f>
        <v>It will be possible to see success if you work hard in your student life</v>
      </c>
      <c r="C685" s="7" t="s">
        <v>6</v>
      </c>
      <c r="D685" s="7" t="s">
        <v>7</v>
      </c>
      <c r="E685" s="7">
        <v>0</v>
      </c>
    </row>
    <row r="686" spans="1:5" ht="15.75" customHeight="1" x14ac:dyDescent="0.25">
      <c r="A686" s="6" t="s">
        <v>691</v>
      </c>
      <c r="B686" s="6" t="str">
        <f ca="1">IFERROR(__xludf.DUMMYFUNCTION("GOOGLETRANSLATE(A686,""bn"",""en"")"),"After pressing the cook, he sat down again")</f>
        <v>After pressing the cook, he sat down again</v>
      </c>
      <c r="C686" s="7" t="s">
        <v>6</v>
      </c>
      <c r="D686" s="7" t="s">
        <v>7</v>
      </c>
      <c r="E686" s="7">
        <v>0</v>
      </c>
    </row>
    <row r="687" spans="1:5" ht="15.75" customHeight="1" x14ac:dyDescent="0.25">
      <c r="A687" s="6" t="s">
        <v>692</v>
      </c>
      <c r="B687" s="6" t="str">
        <f ca="1">IFERROR(__xludf.DUMMYFUNCTION("GOOGLETRANSLATE(A687,""bn"",""en"")"),"His most successful literary work is Petersburg, a symbolic novel")</f>
        <v>His most successful literary work is Petersburg, a symbolic novel</v>
      </c>
      <c r="C687" s="8" t="s">
        <v>13</v>
      </c>
      <c r="D687" s="8" t="s">
        <v>14</v>
      </c>
      <c r="E687" s="8">
        <v>1</v>
      </c>
    </row>
    <row r="688" spans="1:5" ht="15.75" customHeight="1" x14ac:dyDescent="0.25">
      <c r="A688" s="6" t="s">
        <v>693</v>
      </c>
      <c r="B688" s="6" t="str">
        <f ca="1">IFERROR(__xludf.DUMMYFUNCTION("GOOGLETRANSLATE(A688,""bn"",""en"")"),"Real estate investing can be a profitable way to build wealth")</f>
        <v>Real estate investing can be a profitable way to build wealth</v>
      </c>
      <c r="C688" s="8" t="s">
        <v>13</v>
      </c>
      <c r="D688" s="8" t="s">
        <v>14</v>
      </c>
      <c r="E688" s="8">
        <v>1</v>
      </c>
    </row>
    <row r="689" spans="1:5" ht="15.75" customHeight="1" x14ac:dyDescent="0.25">
      <c r="A689" s="6" t="s">
        <v>694</v>
      </c>
      <c r="B689" s="6" t="str">
        <f ca="1">IFERROR(__xludf.DUMMYFUNCTION("GOOGLETRANSLATE(A689,""bn"",""en"")"),"Brand management strategies maintain brand integrity continuity")</f>
        <v>Brand management strategies maintain brand integrity continuity</v>
      </c>
      <c r="C689" s="8" t="s">
        <v>13</v>
      </c>
      <c r="D689" s="8" t="s">
        <v>14</v>
      </c>
      <c r="E689" s="8">
        <v>1</v>
      </c>
    </row>
    <row r="690" spans="1:5" ht="15.75" customHeight="1" x14ac:dyDescent="0.25">
      <c r="A690" s="6" t="s">
        <v>695</v>
      </c>
      <c r="B690" s="6" t="str">
        <f ca="1">IFERROR(__xludf.DUMMYFUNCTION("GOOGLETRANSLATE(A690,""bn"",""en"")"),"It is awarded to the person who demonstrates the best achievement in flight training")</f>
        <v>It is awarded to the person who demonstrates the best achievement in flight training</v>
      </c>
      <c r="C690" s="8" t="s">
        <v>13</v>
      </c>
      <c r="D690" s="8" t="s">
        <v>14</v>
      </c>
      <c r="E690" s="8">
        <v>1</v>
      </c>
    </row>
    <row r="691" spans="1:5" ht="15.75" customHeight="1" x14ac:dyDescent="0.25">
      <c r="A691" s="6" t="s">
        <v>696</v>
      </c>
      <c r="B691" s="6" t="str">
        <f ca="1">IFERROR(__xludf.DUMMYFUNCTION("GOOGLETRANSLATE(A691,""bn"",""en"")"),"His notable films include a two-time Oscar winner")</f>
        <v>His notable films include a two-time Oscar winner</v>
      </c>
      <c r="C691" s="8" t="s">
        <v>13</v>
      </c>
      <c r="D691" s="8" t="s">
        <v>14</v>
      </c>
      <c r="E691" s="8">
        <v>1</v>
      </c>
    </row>
    <row r="692" spans="1:5" ht="15.75" customHeight="1" x14ac:dyDescent="0.25">
      <c r="A692" s="6" t="s">
        <v>697</v>
      </c>
      <c r="B692" s="6" t="str">
        <f ca="1">IFERROR(__xludf.DUMMYFUNCTION("GOOGLETRANSLATE(A692,""bn"",""en"")"),"Smaller plants cover some land areas in mandalas")</f>
        <v>Smaller plants cover some land areas in mandalas</v>
      </c>
      <c r="C692" s="7" t="s">
        <v>6</v>
      </c>
      <c r="D692" s="7" t="s">
        <v>7</v>
      </c>
      <c r="E692" s="7">
        <v>0</v>
      </c>
    </row>
    <row r="693" spans="1:5" ht="15.75" customHeight="1" x14ac:dyDescent="0.25">
      <c r="A693" s="6" t="s">
        <v>698</v>
      </c>
      <c r="B693" s="6" t="str">
        <f ca="1">IFERROR(__xludf.DUMMYFUNCTION("GOOGLETRANSLATE(A693,""bn"",""en"")"),"After this evening they were sitting together in the balcony")</f>
        <v>After this evening they were sitting together in the balcony</v>
      </c>
      <c r="C693" s="7" t="s">
        <v>6</v>
      </c>
      <c r="D693" s="7" t="s">
        <v>7</v>
      </c>
      <c r="E693" s="7">
        <v>0</v>
      </c>
    </row>
    <row r="694" spans="1:5" ht="15.75" customHeight="1" x14ac:dyDescent="0.25">
      <c r="A694" s="6" t="s">
        <v>699</v>
      </c>
      <c r="B694" s="6" t="str">
        <f ca="1">IFERROR(__xludf.DUMMYFUNCTION("GOOGLETRANSLATE(A694,""bn"",""en"")"),"Harimohan completely melted his eldest son Purandar with love")</f>
        <v>Harimohan completely melted his eldest son Purandar with love</v>
      </c>
      <c r="C694" s="7" t="s">
        <v>6</v>
      </c>
      <c r="D694" s="7" t="s">
        <v>7</v>
      </c>
      <c r="E694" s="7">
        <v>0</v>
      </c>
    </row>
    <row r="695" spans="1:5" ht="15.75" customHeight="1" x14ac:dyDescent="0.25">
      <c r="A695" s="6" t="s">
        <v>700</v>
      </c>
      <c r="B695" s="6" t="str">
        <f ca="1">IFERROR(__xludf.DUMMYFUNCTION("GOOGLETRANSLATE(A695,""bn"",""en"")"),"Ritu asked me to eat at her house")</f>
        <v>Ritu asked me to eat at her house</v>
      </c>
      <c r="C695" s="7" t="s">
        <v>6</v>
      </c>
      <c r="D695" s="7" t="s">
        <v>7</v>
      </c>
      <c r="E695" s="7">
        <v>0</v>
      </c>
    </row>
    <row r="696" spans="1:5" ht="15.75" customHeight="1" x14ac:dyDescent="0.25">
      <c r="A696" s="6" t="s">
        <v>701</v>
      </c>
      <c r="B696" s="6" t="str">
        <f ca="1">IFERROR(__xludf.DUMMYFUNCTION("GOOGLETRANSLATE(A696,""bn"",""en"")"),"So people had to visit a lot in vain to find him")</f>
        <v>So people had to visit a lot in vain to find him</v>
      </c>
      <c r="C696" s="7" t="s">
        <v>6</v>
      </c>
      <c r="D696" s="7" t="s">
        <v>7</v>
      </c>
      <c r="E696" s="7">
        <v>0</v>
      </c>
    </row>
    <row r="697" spans="1:5" ht="15.75" customHeight="1" x14ac:dyDescent="0.25">
      <c r="A697" s="6" t="s">
        <v>702</v>
      </c>
      <c r="B697" s="6" t="str">
        <f ca="1">IFERROR(__xludf.DUMMYFUNCTION("GOOGLETRANSLATE(A697,""bn"",""en"")"),"Macbeth kills Duncan on the night of the reception")</f>
        <v>Macbeth kills Duncan on the night of the reception</v>
      </c>
      <c r="C697" s="8" t="s">
        <v>13</v>
      </c>
      <c r="D697" s="8" t="s">
        <v>14</v>
      </c>
      <c r="E697" s="8">
        <v>1</v>
      </c>
    </row>
    <row r="698" spans="1:5" ht="15.75" customHeight="1" x14ac:dyDescent="0.25">
      <c r="A698" s="6" t="s">
        <v>703</v>
      </c>
      <c r="B698" s="6" t="str">
        <f ca="1">IFERROR(__xludf.DUMMYFUNCTION("GOOGLETRANSLATE(A698,""bn"",""en"")"),"Kashera is a special type of underwear")</f>
        <v>Kashera is a special type of underwear</v>
      </c>
      <c r="C698" s="8" t="s">
        <v>13</v>
      </c>
      <c r="D698" s="8" t="s">
        <v>14</v>
      </c>
      <c r="E698" s="8">
        <v>1</v>
      </c>
    </row>
    <row r="699" spans="1:5" ht="15.75" customHeight="1" x14ac:dyDescent="0.25">
      <c r="A699" s="6" t="s">
        <v>704</v>
      </c>
      <c r="B699" s="6" t="str">
        <f ca="1">IFERROR(__xludf.DUMMYFUNCTION("GOOGLETRANSLATE(A699,""bn"",""en"")"),"I used to come back home by dawn")</f>
        <v>I used to come back home by dawn</v>
      </c>
      <c r="C699" s="8" t="s">
        <v>13</v>
      </c>
      <c r="D699" s="8" t="s">
        <v>14</v>
      </c>
      <c r="E699" s="8">
        <v>1</v>
      </c>
    </row>
    <row r="700" spans="1:5" ht="15.75" customHeight="1" x14ac:dyDescent="0.25">
      <c r="A700" s="6" t="s">
        <v>705</v>
      </c>
      <c r="B700" s="6" t="str">
        <f ca="1">IFERROR(__xludf.DUMMYFUNCTION("GOOGLETRANSLATE(A700,""bn"",""en"")"),"I asked him how far he had finished studying for the exam")</f>
        <v>I asked him how far he had finished studying for the exam</v>
      </c>
      <c r="C700" s="8" t="s">
        <v>13</v>
      </c>
      <c r="D700" s="8" t="s">
        <v>14</v>
      </c>
      <c r="E700" s="8">
        <v>1</v>
      </c>
    </row>
    <row r="701" spans="1:5" ht="15.75" customHeight="1" x14ac:dyDescent="0.25">
      <c r="A701" s="6" t="s">
        <v>706</v>
      </c>
      <c r="B701" s="6" t="str">
        <f ca="1">IFERROR(__xludf.DUMMYFUNCTION("GOOGLETRANSLATE(A701,""bn"",""en"")"),"I asked Suman to come home")</f>
        <v>I asked Suman to come home</v>
      </c>
      <c r="C701" s="8" t="s">
        <v>13</v>
      </c>
      <c r="D701" s="8" t="s">
        <v>14</v>
      </c>
      <c r="E701" s="8">
        <v>1</v>
      </c>
    </row>
    <row r="702" spans="1:5" ht="15.75" customHeight="1" x14ac:dyDescent="0.25">
      <c r="A702" s="6" t="s">
        <v>707</v>
      </c>
      <c r="B702" s="6" t="str">
        <f ca="1">IFERROR(__xludf.DUMMYFUNCTION("GOOGLETRANSLATE(A702,""bn"",""en"")"),"I do not particularly boast of my courage")</f>
        <v>I do not particularly boast of my courage</v>
      </c>
      <c r="C702" s="7" t="s">
        <v>6</v>
      </c>
      <c r="D702" s="7" t="s">
        <v>7</v>
      </c>
      <c r="E702" s="7">
        <v>0</v>
      </c>
    </row>
    <row r="703" spans="1:5" ht="15.75" customHeight="1" x14ac:dyDescent="0.25">
      <c r="A703" s="6" t="s">
        <v>708</v>
      </c>
      <c r="B703" s="6" t="str">
        <f ca="1">IFERROR(__xludf.DUMMYFUNCTION("GOOGLETRANSLATE(A703,""bn"",""en"")"),"One of the faults of alcohol is that both hands and feet do not function well due to its intoxication")</f>
        <v>One of the faults of alcohol is that both hands and feet do not function well due to its intoxication</v>
      </c>
      <c r="C703" s="7" t="s">
        <v>6</v>
      </c>
      <c r="D703" s="7" t="s">
        <v>7</v>
      </c>
      <c r="E703" s="7">
        <v>0</v>
      </c>
    </row>
    <row r="704" spans="1:5" ht="15.75" customHeight="1" x14ac:dyDescent="0.25">
      <c r="A704" s="6" t="s">
        <v>709</v>
      </c>
      <c r="B704" s="6" t="str">
        <f ca="1">IFERROR(__xludf.DUMMYFUNCTION("GOOGLETRANSLATE(A704,""bn"",""en"")"),"In the end, Rahim wanted to put Karim in danger")</f>
        <v>In the end, Rahim wanted to put Karim in danger</v>
      </c>
      <c r="C704" s="7" t="s">
        <v>6</v>
      </c>
      <c r="D704" s="7" t="s">
        <v>7</v>
      </c>
      <c r="E704" s="7">
        <v>0</v>
      </c>
    </row>
    <row r="705" spans="1:5" ht="15.75" customHeight="1" x14ac:dyDescent="0.25">
      <c r="A705" s="6" t="s">
        <v>710</v>
      </c>
      <c r="B705" s="6" t="str">
        <f ca="1">IFERROR(__xludf.DUMMYFUNCTION("GOOGLETRANSLATE(A705,""bn"",""en"")"),"If you lift eight or ten pitchers, there is nothing left")</f>
        <v>If you lift eight or ten pitchers, there is nothing left</v>
      </c>
      <c r="C705" s="7" t="s">
        <v>6</v>
      </c>
      <c r="D705" s="7" t="s">
        <v>7</v>
      </c>
      <c r="E705" s="7">
        <v>0</v>
      </c>
    </row>
    <row r="706" spans="1:5" ht="15.75" customHeight="1" x14ac:dyDescent="0.25">
      <c r="A706" s="6" t="s">
        <v>711</v>
      </c>
      <c r="B706" s="6" t="str">
        <f ca="1">IFERROR(__xludf.DUMMYFUNCTION("GOOGLETRANSLATE(A706,""bn"",""en"")"),"During the monsoons, sometimes there is knee-deep mud and sometimes there are dangerous slips on the clay soil")</f>
        <v>During the monsoons, sometimes there is knee-deep mud and sometimes there are dangerous slips on the clay soil</v>
      </c>
      <c r="C706" s="7" t="s">
        <v>6</v>
      </c>
      <c r="D706" s="7" t="s">
        <v>7</v>
      </c>
      <c r="E706" s="7">
        <v>0</v>
      </c>
    </row>
    <row r="707" spans="1:5" ht="15.75" customHeight="1" x14ac:dyDescent="0.25">
      <c r="A707" s="6" t="s">
        <v>712</v>
      </c>
      <c r="B707" s="6" t="str">
        <f ca="1">IFERROR(__xludf.DUMMYFUNCTION("GOOGLETRANSLATE(A707,""bn"",""en"")"),"I won't knock if I touch my lips")</f>
        <v>I won't knock if I touch my lips</v>
      </c>
      <c r="C707" s="8" t="s">
        <v>13</v>
      </c>
      <c r="D707" s="8" t="s">
        <v>14</v>
      </c>
      <c r="E707" s="8">
        <v>1</v>
      </c>
    </row>
    <row r="708" spans="1:5" ht="15.75" customHeight="1" x14ac:dyDescent="0.25">
      <c r="A708" s="6" t="s">
        <v>713</v>
      </c>
      <c r="B708" s="6" t="str">
        <f ca="1">IFERROR(__xludf.DUMMYFUNCTION("GOOGLETRANSLATE(A708,""bn"",""en"")"),"He also contributed to other war projects")</f>
        <v>He also contributed to other war projects</v>
      </c>
      <c r="C708" s="8" t="s">
        <v>13</v>
      </c>
      <c r="D708" s="8" t="s">
        <v>14</v>
      </c>
      <c r="E708" s="8">
        <v>1</v>
      </c>
    </row>
    <row r="709" spans="1:5" ht="15.75" customHeight="1" x14ac:dyDescent="0.25">
      <c r="A709" s="6" t="s">
        <v>714</v>
      </c>
      <c r="B709" s="6" t="str">
        <f ca="1">IFERROR(__xludf.DUMMYFUNCTION("GOOGLETRANSLATE(A709,""bn"",""en"")"),"He succumbed to depression")</f>
        <v>He succumbed to depression</v>
      </c>
      <c r="C709" s="8" t="s">
        <v>13</v>
      </c>
      <c r="D709" s="8" t="s">
        <v>14</v>
      </c>
      <c r="E709" s="8">
        <v>1</v>
      </c>
    </row>
    <row r="710" spans="1:5" ht="15.75" customHeight="1" x14ac:dyDescent="0.25">
      <c r="A710" s="6" t="s">
        <v>715</v>
      </c>
      <c r="B710" s="6" t="str">
        <f ca="1">IFERROR(__xludf.DUMMYFUNCTION("GOOGLETRANSLATE(A710,""bn"",""en"")"),"Roni saw Rumi and went there")</f>
        <v>Roni saw Rumi and went there</v>
      </c>
      <c r="C710" s="8" t="s">
        <v>13</v>
      </c>
      <c r="D710" s="8" t="s">
        <v>14</v>
      </c>
      <c r="E710" s="8">
        <v>1</v>
      </c>
    </row>
    <row r="711" spans="1:5" ht="15.75" customHeight="1" x14ac:dyDescent="0.25">
      <c r="A711" s="6" t="s">
        <v>716</v>
      </c>
      <c r="B711" s="6" t="str">
        <f ca="1">IFERROR(__xludf.DUMMYFUNCTION("GOOGLETRANSLATE(A711,""bn"",""en"")"),"Feeling restless without a sense of purpose leads to dissatisfaction")</f>
        <v>Feeling restless without a sense of purpose leads to dissatisfaction</v>
      </c>
      <c r="C711" s="8" t="s">
        <v>13</v>
      </c>
      <c r="D711" s="8" t="s">
        <v>14</v>
      </c>
      <c r="E711" s="8">
        <v>1</v>
      </c>
    </row>
    <row r="712" spans="1:5" ht="15.75" customHeight="1" x14ac:dyDescent="0.25">
      <c r="A712" s="6" t="s">
        <v>717</v>
      </c>
      <c r="B712" s="6" t="str">
        <f ca="1">IFERROR(__xludf.DUMMYFUNCTION("GOOGLETRANSLATE(A712,""bn"",""en"")"),"He should be dropped off at home once")</f>
        <v>He should be dropped off at home once</v>
      </c>
      <c r="C712" s="7" t="s">
        <v>6</v>
      </c>
      <c r="D712" s="7" t="s">
        <v>7</v>
      </c>
      <c r="E712" s="7">
        <v>0</v>
      </c>
    </row>
    <row r="713" spans="1:5" ht="15.75" customHeight="1" x14ac:dyDescent="0.25">
      <c r="A713" s="6" t="s">
        <v>718</v>
      </c>
      <c r="B713" s="6" t="str">
        <f ca="1">IFERROR(__xludf.DUMMYFUNCTION("GOOGLETRANSLATE(A713,""bn"",""en"")"),"He forgot about me")</f>
        <v>He forgot about me</v>
      </c>
      <c r="C713" s="7" t="s">
        <v>6</v>
      </c>
      <c r="D713" s="7" t="s">
        <v>7</v>
      </c>
      <c r="E713" s="7">
        <v>0</v>
      </c>
    </row>
    <row r="714" spans="1:5" ht="15.75" customHeight="1" x14ac:dyDescent="0.25">
      <c r="A714" s="6" t="s">
        <v>719</v>
      </c>
      <c r="B714" s="6" t="str">
        <f ca="1">IFERROR(__xludf.DUMMYFUNCTION("GOOGLETRANSLATE(A714,""bn"",""en"")"),"If you don't come, I will hold another girl's hand and walk under the tree and chew peanuts")</f>
        <v>If you don't come, I will hold another girl's hand and walk under the tree and chew peanuts</v>
      </c>
      <c r="C714" s="7" t="s">
        <v>6</v>
      </c>
      <c r="D714" s="7" t="s">
        <v>7</v>
      </c>
      <c r="E714" s="7">
        <v>0</v>
      </c>
    </row>
    <row r="715" spans="1:5" ht="15.75" customHeight="1" x14ac:dyDescent="0.25">
      <c r="A715" s="6" t="s">
        <v>720</v>
      </c>
      <c r="B715" s="6" t="str">
        <f ca="1">IFERROR(__xludf.DUMMYFUNCTION("GOOGLETRANSLATE(A715,""bn"",""en"")"),"In it, he has expressed the feeling that life is spent in great happiness by seeing the clouds of the sky vibrating all the days of Tarupallab.")</f>
        <v>In it, he has expressed the feeling that life is spent in great happiness by seeing the clouds of the sky vibrating all the days of Tarupallab.</v>
      </c>
      <c r="C715" s="7" t="s">
        <v>6</v>
      </c>
      <c r="D715" s="7" t="s">
        <v>7</v>
      </c>
      <c r="E715" s="7">
        <v>0</v>
      </c>
    </row>
    <row r="716" spans="1:5" ht="15.75" customHeight="1" x14ac:dyDescent="0.25">
      <c r="A716" s="6" t="s">
        <v>721</v>
      </c>
      <c r="B716" s="6" t="str">
        <f ca="1">IFERROR(__xludf.DUMMYFUNCTION("GOOGLETRANSLATE(A716,""bn"",""en"")"),"Saw only Palki Behara")</f>
        <v>Saw only Palki Behara</v>
      </c>
      <c r="C716" s="7" t="s">
        <v>6</v>
      </c>
      <c r="D716" s="7" t="s">
        <v>7</v>
      </c>
      <c r="E716" s="7">
        <v>0</v>
      </c>
    </row>
    <row r="717" spans="1:5" ht="15.75" customHeight="1" x14ac:dyDescent="0.25">
      <c r="A717" s="6" t="s">
        <v>722</v>
      </c>
      <c r="B717" s="6" t="str">
        <f ca="1">IFERROR(__xludf.DUMMYFUNCTION("GOOGLETRANSLATE(A717,""bn"",""en"")"),"I will confess the crime in front of everyone may Allah save my son's life")</f>
        <v>I will confess the crime in front of everyone may Allah save my son's life</v>
      </c>
      <c r="C717" s="8" t="s">
        <v>13</v>
      </c>
      <c r="D717" s="8" t="s">
        <v>14</v>
      </c>
      <c r="E717" s="8">
        <v>1</v>
      </c>
    </row>
    <row r="718" spans="1:5" ht="15.75" customHeight="1" x14ac:dyDescent="0.25">
      <c r="A718" s="6" t="s">
        <v>723</v>
      </c>
      <c r="B718" s="6" t="str">
        <f ca="1">IFERROR(__xludf.DUMMYFUNCTION("GOOGLETRANSLATE(A718,""bn"",""en"")"),"Construction workers built scaffolding for the skyscraper")</f>
        <v>Construction workers built scaffolding for the skyscraper</v>
      </c>
      <c r="C718" s="8" t="s">
        <v>13</v>
      </c>
      <c r="D718" s="8" t="s">
        <v>14</v>
      </c>
      <c r="E718" s="8">
        <v>1</v>
      </c>
    </row>
    <row r="719" spans="1:5" ht="15.75" customHeight="1" x14ac:dyDescent="0.25">
      <c r="A719" s="6" t="s">
        <v>724</v>
      </c>
      <c r="B719" s="6" t="str">
        <f ca="1">IFERROR(__xludf.DUMMYFUNCTION("GOOGLETRANSLATE(A719,""bn"",""en"")"),"He realized his mistake instantly")</f>
        <v>He realized his mistake instantly</v>
      </c>
      <c r="C719" s="8" t="s">
        <v>13</v>
      </c>
      <c r="D719" s="8" t="s">
        <v>14</v>
      </c>
      <c r="E719" s="8">
        <v>1</v>
      </c>
    </row>
    <row r="720" spans="1:5" ht="15.75" customHeight="1" x14ac:dyDescent="0.25">
      <c r="A720" s="6" t="s">
        <v>725</v>
      </c>
      <c r="B720" s="6" t="str">
        <f ca="1">IFERROR(__xludf.DUMMYFUNCTION("GOOGLETRANSLATE(A720,""bn"",""en"")"),"Without him, the book would have been incomplete")</f>
        <v>Without him, the book would have been incomplete</v>
      </c>
      <c r="C720" s="8" t="s">
        <v>13</v>
      </c>
      <c r="D720" s="8" t="s">
        <v>14</v>
      </c>
      <c r="E720" s="8">
        <v>1</v>
      </c>
    </row>
    <row r="721" spans="1:6" ht="15.75" customHeight="1" x14ac:dyDescent="0.25">
      <c r="A721" s="6" t="s">
        <v>726</v>
      </c>
      <c r="B721" s="6" t="str">
        <f ca="1">IFERROR(__xludf.DUMMYFUNCTION("GOOGLETRANSLATE(A721,""bn"",""en"")"),"He saw a beautiful beauty standing in front of him from inside the forest")</f>
        <v>He saw a beautiful beauty standing in front of him from inside the forest</v>
      </c>
      <c r="C721" s="8" t="s">
        <v>13</v>
      </c>
      <c r="D721" s="8" t="s">
        <v>14</v>
      </c>
      <c r="E721" s="8">
        <v>1</v>
      </c>
    </row>
    <row r="722" spans="1:6" ht="15.75" customHeight="1" x14ac:dyDescent="0.25">
      <c r="A722" s="6" t="s">
        <v>727</v>
      </c>
      <c r="B722" s="6" t="str">
        <f ca="1">IFERROR(__xludf.DUMMYFUNCTION("GOOGLETRANSLATE(A722,""bn"",""en"")"),"After dancing, laughing and joking, the partners start to grumble about each other's choice.")</f>
        <v>After dancing, laughing and joking, the partners start to grumble about each other's choice.</v>
      </c>
      <c r="C722" s="7" t="s">
        <v>6</v>
      </c>
      <c r="D722" s="7" t="s">
        <v>7</v>
      </c>
      <c r="E722" s="7">
        <v>0</v>
      </c>
    </row>
    <row r="723" spans="1:6" ht="15.75" customHeight="1" x14ac:dyDescent="0.25">
      <c r="A723" s="6" t="s">
        <v>728</v>
      </c>
      <c r="B723" s="6" t="str">
        <f ca="1">IFERROR(__xludf.DUMMYFUNCTION("GOOGLETRANSLATE(A723,""bn"",""en"")"),"Sajib's father asked me to sit at home")</f>
        <v>Sajib's father asked me to sit at home</v>
      </c>
      <c r="C723" s="7" t="s">
        <v>6</v>
      </c>
      <c r="D723" s="7" t="s">
        <v>7</v>
      </c>
      <c r="E723" s="7">
        <v>0</v>
      </c>
    </row>
    <row r="724" spans="1:6" ht="15.75" customHeight="1" x14ac:dyDescent="0.25">
      <c r="A724" s="6" t="s">
        <v>729</v>
      </c>
      <c r="B724" s="6" t="str">
        <f ca="1">IFERROR(__xludf.DUMMYFUNCTION("GOOGLETRANSLATE(A724,""bn"",""en"")"),"There seems to be nothing to write now, but something is being written")</f>
        <v>There seems to be nothing to write now, but something is being written</v>
      </c>
      <c r="C724" s="7" t="s">
        <v>6</v>
      </c>
      <c r="D724" s="7" t="s">
        <v>7</v>
      </c>
      <c r="E724" s="7">
        <v>0</v>
      </c>
    </row>
    <row r="725" spans="1:6" ht="15.75" customHeight="1" x14ac:dyDescent="0.25">
      <c r="A725" s="6" t="s">
        <v>730</v>
      </c>
      <c r="B725" s="6" t="str">
        <f ca="1">IFERROR(__xludf.DUMMYFUNCTION("GOOGLETRANSLATE(A725,""bn"",""en"")"),"Mr. Suman is now out of the house")</f>
        <v>Mr. Suman is now out of the house</v>
      </c>
      <c r="C725" s="7" t="s">
        <v>6</v>
      </c>
      <c r="D725" s="7" t="s">
        <v>7</v>
      </c>
      <c r="E725" s="7">
        <v>0</v>
      </c>
    </row>
    <row r="726" spans="1:6" ht="15.75" customHeight="1" x14ac:dyDescent="0.25">
      <c r="A726" s="6" t="s">
        <v>731</v>
      </c>
      <c r="B726" s="6" t="str">
        <f ca="1">IFERROR(__xludf.DUMMYFUNCTION("GOOGLETRANSLATE(A726,""bn"",""en"")"),"Let the householder understand the matter")</f>
        <v>Let the householder understand the matter</v>
      </c>
      <c r="C726" s="7" t="s">
        <v>6</v>
      </c>
      <c r="D726" s="7" t="s">
        <v>7</v>
      </c>
      <c r="E726" s="7">
        <v>0</v>
      </c>
    </row>
    <row r="727" spans="1:6" ht="15.75" customHeight="1" x14ac:dyDescent="0.25">
      <c r="A727" s="6" t="s">
        <v>732</v>
      </c>
      <c r="B727" s="6" t="str">
        <f ca="1">IFERROR(__xludf.DUMMYFUNCTION("GOOGLETRANSLATE(A727,""bn"",""en"")"),"The swan turned its head and looked at him")</f>
        <v>The swan turned its head and looked at him</v>
      </c>
      <c r="C727" s="8" t="s">
        <v>13</v>
      </c>
      <c r="D727" s="8" t="s">
        <v>14</v>
      </c>
      <c r="E727" s="8">
        <v>1</v>
      </c>
    </row>
    <row r="728" spans="1:6" ht="15.75" customHeight="1" x14ac:dyDescent="0.25">
      <c r="A728" s="6" t="s">
        <v>733</v>
      </c>
      <c r="B728" s="6" t="str">
        <f ca="1">IFERROR(__xludf.DUMMYFUNCTION("GOOGLETRANSLATE(A728,""bn"",""en"")"),"Sizzling fajitas make for delicious drama")</f>
        <v>Sizzling fajitas make for delicious drama</v>
      </c>
      <c r="C728" s="8" t="s">
        <v>13</v>
      </c>
      <c r="D728" s="8" t="s">
        <v>14</v>
      </c>
      <c r="E728" s="8">
        <v>1</v>
      </c>
    </row>
    <row r="729" spans="1:6" ht="15.75" customHeight="1" x14ac:dyDescent="0.25">
      <c r="A729" s="6" t="s">
        <v>734</v>
      </c>
      <c r="B729" s="6" t="str">
        <f ca="1">IFERROR(__xludf.DUMMYFUNCTION("GOOGLETRANSLATE(A729,""bn"",""en"")"),"Paying off high interest debt should be a priority for anyone looking to improve their financial situation")</f>
        <v>Paying off high interest debt should be a priority for anyone looking to improve their financial situation</v>
      </c>
      <c r="C729" s="8" t="s">
        <v>13</v>
      </c>
      <c r="D729" s="8" t="s">
        <v>14</v>
      </c>
      <c r="E729" s="8">
        <v>1</v>
      </c>
    </row>
    <row r="730" spans="1:6" ht="15.75" customHeight="1" x14ac:dyDescent="0.25">
      <c r="A730" s="6" t="s">
        <v>735</v>
      </c>
      <c r="B730" s="6" t="str">
        <f ca="1">IFERROR(__xludf.DUMMYFUNCTION("GOOGLETRANSLATE(A730,""bn"",""en"")"),"What he said has stuck in my mind")</f>
        <v>What he said has stuck in my mind</v>
      </c>
      <c r="C730" s="8" t="s">
        <v>13</v>
      </c>
      <c r="D730" s="8" t="s">
        <v>14</v>
      </c>
      <c r="E730" s="8">
        <v>1</v>
      </c>
    </row>
    <row r="731" spans="1:6" ht="15.75" customHeight="1" x14ac:dyDescent="0.25">
      <c r="A731" s="6" t="s">
        <v>736</v>
      </c>
      <c r="B731" s="6" t="str">
        <f ca="1">IFERROR(__xludf.DUMMYFUNCTION("GOOGLETRANSLATE(A731,""bn"",""en"")"),"Brazil has won the World Cup six times and is the most successful team in the World Cup")</f>
        <v>Brazil has won the World Cup six times and is the most successful team in the World Cup</v>
      </c>
      <c r="C731" s="9" t="s">
        <v>13</v>
      </c>
      <c r="D731" s="9" t="s">
        <v>14</v>
      </c>
      <c r="E731" s="9">
        <v>1</v>
      </c>
      <c r="F731" s="10"/>
    </row>
    <row r="732" spans="1:6" ht="15.75" customHeight="1" x14ac:dyDescent="0.25">
      <c r="A732" s="6" t="s">
        <v>737</v>
      </c>
      <c r="B732" s="6" t="str">
        <f ca="1">IFERROR(__xludf.DUMMYFUNCTION("GOOGLETRANSLATE(A732,""bn"",""en"")"),"None of them rose from the east and descended to the west")</f>
        <v>None of them rose from the east and descended to the west</v>
      </c>
      <c r="C732" s="7" t="s">
        <v>6</v>
      </c>
      <c r="D732" s="7" t="s">
        <v>7</v>
      </c>
      <c r="E732" s="7">
        <v>0</v>
      </c>
    </row>
    <row r="733" spans="1:6" ht="15.75" customHeight="1" x14ac:dyDescent="0.25">
      <c r="A733" s="6" t="s">
        <v>738</v>
      </c>
      <c r="B733" s="6" t="str">
        <f ca="1">IFERROR(__xludf.DUMMYFUNCTION("GOOGLETRANSLATE(A733,""bn"",""en"")"),"It did not occur to him or to anyone else that the danger which might be attendant upon it, like that of other worldly glories,")</f>
        <v>It did not occur to him or to anyone else that the danger which might be attendant upon it, like that of other worldly glories,</v>
      </c>
      <c r="C733" s="7" t="s">
        <v>6</v>
      </c>
      <c r="D733" s="7" t="s">
        <v>7</v>
      </c>
      <c r="E733" s="7">
        <v>0</v>
      </c>
    </row>
    <row r="734" spans="1:6" ht="15.75" customHeight="1" x14ac:dyDescent="0.25">
      <c r="A734" s="6" t="s">
        <v>739</v>
      </c>
      <c r="B734" s="6" t="str">
        <f ca="1">IFERROR(__xludf.DUMMYFUNCTION("GOOGLETRANSLATE(A734,""bn"",""en"")"),"God help him who has taken the burden of keeping such a man well fed and well as a gentleman's son.")</f>
        <v>God help him who has taken the burden of keeping such a man well fed and well as a gentleman's son.</v>
      </c>
      <c r="C734" s="7" t="s">
        <v>6</v>
      </c>
      <c r="D734" s="7" t="s">
        <v>7</v>
      </c>
      <c r="E734" s="7">
        <v>0</v>
      </c>
    </row>
    <row r="735" spans="1:6" ht="15.75" customHeight="1" x14ac:dyDescent="0.25">
      <c r="A735" s="6" t="s">
        <v>740</v>
      </c>
      <c r="B735" s="6" t="str">
        <f ca="1">IFERROR(__xludf.DUMMYFUNCTION("GOOGLETRANSLATE(A735,""bn"",""en"")"),"I have never seen a murderer in person and my heart sank when I saw him")</f>
        <v>I have never seen a murderer in person and my heart sank when I saw him</v>
      </c>
      <c r="C735" s="7" t="s">
        <v>6</v>
      </c>
      <c r="D735" s="7" t="s">
        <v>7</v>
      </c>
      <c r="E735" s="7">
        <v>0</v>
      </c>
    </row>
    <row r="736" spans="1:6" ht="15.75" customHeight="1" x14ac:dyDescent="0.25">
      <c r="A736" s="6" t="s">
        <v>741</v>
      </c>
      <c r="B736" s="6" t="str">
        <f ca="1">IFERROR(__xludf.DUMMYFUNCTION("GOOGLETRANSLATE(A736,""bn"",""en"")"),"Green asked me to go to the field")</f>
        <v>Green asked me to go to the field</v>
      </c>
      <c r="C736" s="7" t="s">
        <v>6</v>
      </c>
      <c r="D736" s="7" t="s">
        <v>7</v>
      </c>
      <c r="E736" s="7">
        <v>0</v>
      </c>
    </row>
    <row r="737" spans="1:5" ht="15.75" customHeight="1" x14ac:dyDescent="0.25">
      <c r="A737" s="6" t="s">
        <v>742</v>
      </c>
      <c r="B737" s="6" t="str">
        <f ca="1">IFERROR(__xludf.DUMMYFUNCTION("GOOGLETRANSLATE(A737,""bn"",""en"")"),"It played a particularly significant role during the Bengali language movement")</f>
        <v>It played a particularly significant role during the Bengali language movement</v>
      </c>
      <c r="C737" s="8" t="s">
        <v>13</v>
      </c>
      <c r="D737" s="8" t="s">
        <v>14</v>
      </c>
      <c r="E737" s="8">
        <v>1</v>
      </c>
    </row>
    <row r="738" spans="1:5" ht="15.75" customHeight="1" x14ac:dyDescent="0.25">
      <c r="A738" s="6" t="s">
        <v>743</v>
      </c>
      <c r="B738" s="6" t="str">
        <f ca="1">IFERROR(__xludf.DUMMYFUNCTION("GOOGLETRANSLATE(A738,""bn"",""en"")"),"I have very few friends in my personal life")</f>
        <v>I have very few friends in my personal life</v>
      </c>
      <c r="C738" s="8" t="s">
        <v>13</v>
      </c>
      <c r="D738" s="8" t="s">
        <v>14</v>
      </c>
      <c r="E738" s="8">
        <v>1</v>
      </c>
    </row>
    <row r="739" spans="1:5" ht="15.75" customHeight="1" x14ac:dyDescent="0.25">
      <c r="A739" s="6" t="s">
        <v>744</v>
      </c>
      <c r="B739" s="6" t="str">
        <f ca="1">IFERROR(__xludf.DUMMYFUNCTION("GOOGLETRANSLATE(A739,""bn"",""en"")"),"Today at the age of twenty one I understood the reality")</f>
        <v>Today at the age of twenty one I understood the reality</v>
      </c>
      <c r="C739" s="8" t="s">
        <v>13</v>
      </c>
      <c r="D739" s="8" t="s">
        <v>14</v>
      </c>
      <c r="E739" s="8">
        <v>1</v>
      </c>
    </row>
    <row r="740" spans="1:5" ht="15.75" customHeight="1" x14ac:dyDescent="0.25">
      <c r="A740" s="6" t="s">
        <v>745</v>
      </c>
      <c r="B740" s="6" t="str">
        <f ca="1">IFERROR(__xludf.DUMMYFUNCTION("GOOGLETRANSLATE(A740,""bn"",""en"")"),"A gentle rain begins to fall, its soothing patter providing a welcome respite from the heat of the day")</f>
        <v>A gentle rain begins to fall, its soothing patter providing a welcome respite from the heat of the day</v>
      </c>
      <c r="C740" s="8" t="s">
        <v>13</v>
      </c>
      <c r="D740" s="8" t="s">
        <v>14</v>
      </c>
      <c r="E740" s="8">
        <v>1</v>
      </c>
    </row>
    <row r="741" spans="1:5" ht="15.75" customHeight="1" x14ac:dyDescent="0.25">
      <c r="A741" s="6" t="s">
        <v>746</v>
      </c>
      <c r="B741" s="6" t="str">
        <f ca="1">IFERROR(__xludf.DUMMYFUNCTION("GOOGLETRANSLATE(A741,""bn"",""en"")"),"I also gave them clear proofs of religion")</f>
        <v>I also gave them clear proofs of religion</v>
      </c>
      <c r="C741" s="8" t="s">
        <v>13</v>
      </c>
      <c r="D741" s="8" t="s">
        <v>14</v>
      </c>
      <c r="E741" s="8">
        <v>1</v>
      </c>
    </row>
    <row r="742" spans="1:5" ht="15.75" customHeight="1" x14ac:dyDescent="0.25">
      <c r="A742" s="6" t="s">
        <v>747</v>
      </c>
      <c r="B742" s="6" t="str">
        <f ca="1">IFERROR(__xludf.DUMMYFUNCTION("GOOGLETRANSLATE(A742,""bn"",""en"")"),"Day after day passed, Barababu didn't come, he didn't get a complete answer")</f>
        <v>Day after day passed, Barababu didn't come, he didn't get a complete answer</v>
      </c>
      <c r="C742" s="7" t="s">
        <v>6</v>
      </c>
      <c r="D742" s="7" t="s">
        <v>7</v>
      </c>
      <c r="E742" s="7">
        <v>0</v>
      </c>
    </row>
    <row r="743" spans="1:5" ht="15.75" customHeight="1" x14ac:dyDescent="0.25">
      <c r="A743" s="6" t="s">
        <v>748</v>
      </c>
      <c r="B743" s="6" t="str">
        <f ca="1">IFERROR(__xludf.DUMMYFUNCTION("GOOGLETRANSLATE(A743,""bn"",""en"")"),"He could see a crimson glow of sunset all over his face")</f>
        <v>He could see a crimson glow of sunset all over his face</v>
      </c>
      <c r="C743" s="7" t="s">
        <v>6</v>
      </c>
      <c r="D743" s="7" t="s">
        <v>7</v>
      </c>
      <c r="E743" s="7">
        <v>0</v>
      </c>
    </row>
    <row r="744" spans="1:5" ht="15.75" customHeight="1" x14ac:dyDescent="0.25">
      <c r="A744" s="6" t="s">
        <v>749</v>
      </c>
      <c r="B744" s="6" t="str">
        <f ca="1">IFERROR(__xludf.DUMMYFUNCTION("GOOGLETRANSLATE(A744,""bn"",""en"")"),"It seems that it will have disappeared in a long time, it is in a very small condition")</f>
        <v>It seems that it will have disappeared in a long time, it is in a very small condition</v>
      </c>
      <c r="C744" s="7" t="s">
        <v>6</v>
      </c>
      <c r="D744" s="7" t="s">
        <v>7</v>
      </c>
      <c r="E744" s="7">
        <v>0</v>
      </c>
    </row>
    <row r="745" spans="1:5" ht="15.75" customHeight="1" x14ac:dyDescent="0.25">
      <c r="A745" s="6" t="s">
        <v>750</v>
      </c>
      <c r="B745" s="6" t="str">
        <f ca="1">IFERROR(__xludf.DUMMYFUNCTION("GOOGLETRANSLATE(A745,""bn"",""en"")"),"He was waiting for me with tea")</f>
        <v>He was waiting for me with tea</v>
      </c>
      <c r="C745" s="7" t="s">
        <v>6</v>
      </c>
      <c r="D745" s="7" t="s">
        <v>7</v>
      </c>
      <c r="E745" s="7">
        <v>0</v>
      </c>
    </row>
    <row r="746" spans="1:5" ht="15.75" customHeight="1" x14ac:dyDescent="0.25">
      <c r="A746" s="6" t="s">
        <v>751</v>
      </c>
      <c r="B746" s="6" t="str">
        <f ca="1">IFERROR(__xludf.DUMMYFUNCTION("GOOGLETRANSLATE(A746,""bn"",""en"")"),"I don't remember if it was good or not")</f>
        <v>I don't remember if it was good or not</v>
      </c>
      <c r="C746" s="7" t="s">
        <v>6</v>
      </c>
      <c r="D746" s="7" t="s">
        <v>7</v>
      </c>
      <c r="E746" s="7">
        <v>0</v>
      </c>
    </row>
    <row r="747" spans="1:5" ht="15.75" customHeight="1" x14ac:dyDescent="0.25">
      <c r="A747" s="6" t="s">
        <v>752</v>
      </c>
      <c r="B747" s="6" t="str">
        <f ca="1">IFERROR(__xludf.DUMMYFUNCTION("GOOGLETRANSLATE(A747,""bn"",""en"")"),"Incorporate mindfulness into workouts")</f>
        <v>Incorporate mindfulness into workouts</v>
      </c>
      <c r="C747" s="8" t="s">
        <v>13</v>
      </c>
      <c r="D747" s="8" t="s">
        <v>14</v>
      </c>
      <c r="E747" s="8">
        <v>1</v>
      </c>
    </row>
    <row r="748" spans="1:5" ht="15.75" customHeight="1" x14ac:dyDescent="0.25">
      <c r="A748" s="6" t="s">
        <v>753</v>
      </c>
      <c r="B748" s="6" t="str">
        <f ca="1">IFERROR(__xludf.DUMMYFUNCTION("GOOGLETRANSLATE(A748,""bn"",""en"")"),"Construction workers operate heavy machinery at construction sites")</f>
        <v>Construction workers operate heavy machinery at construction sites</v>
      </c>
      <c r="C748" s="8" t="s">
        <v>13</v>
      </c>
      <c r="D748" s="8" t="s">
        <v>14</v>
      </c>
      <c r="E748" s="8">
        <v>1</v>
      </c>
    </row>
    <row r="749" spans="1:5" ht="15.75" customHeight="1" x14ac:dyDescent="0.25">
      <c r="A749" s="6" t="s">
        <v>754</v>
      </c>
      <c r="B749" s="6" t="str">
        <f ca="1">IFERROR(__xludf.DUMMYFUNCTION("GOOGLETRANSLATE(A749,""bn"",""en"")"),"Plea bargaining is an agreement between prosecutors and defendants to effectively resolve cases")</f>
        <v>Plea bargaining is an agreement between prosecutors and defendants to effectively resolve cases</v>
      </c>
      <c r="C749" s="8" t="s">
        <v>13</v>
      </c>
      <c r="D749" s="8" t="s">
        <v>14</v>
      </c>
      <c r="E749" s="8">
        <v>1</v>
      </c>
    </row>
    <row r="750" spans="1:5" ht="15.75" customHeight="1" x14ac:dyDescent="0.25">
      <c r="A750" s="6" t="s">
        <v>755</v>
      </c>
      <c r="B750" s="6" t="str">
        <f ca="1">IFERROR(__xludf.DUMMYFUNCTION("GOOGLETRANSLATE(A750,""bn"",""en"")"),"Then the bundle was collected from the station and delivered to the readers")</f>
        <v>Then the bundle was collected from the station and delivered to the readers</v>
      </c>
      <c r="C750" s="8" t="s">
        <v>13</v>
      </c>
      <c r="D750" s="8" t="s">
        <v>14</v>
      </c>
      <c r="E750" s="8">
        <v>1</v>
      </c>
    </row>
    <row r="751" spans="1:5" ht="15.75" customHeight="1" x14ac:dyDescent="0.25">
      <c r="A751" s="6" t="s">
        <v>756</v>
      </c>
      <c r="B751" s="6" t="str">
        <f ca="1">IFERROR(__xludf.DUMMYFUNCTION("GOOGLETRANSLATE(A751,""bn"",""en"")"),"I have written several books before this")</f>
        <v>I have written several books before this</v>
      </c>
      <c r="C751" s="8" t="s">
        <v>13</v>
      </c>
      <c r="D751" s="8" t="s">
        <v>14</v>
      </c>
      <c r="E751" s="8">
        <v>1</v>
      </c>
    </row>
    <row r="752" spans="1:5" ht="15.75" customHeight="1" x14ac:dyDescent="0.25">
      <c r="A752" s="6" t="s">
        <v>757</v>
      </c>
      <c r="B752" s="6" t="str">
        <f ca="1">IFERROR(__xludf.DUMMYFUNCTION("GOOGLETRANSLATE(A752,""bn"",""en"")"),"All those prose will make people think")</f>
        <v>All those prose will make people think</v>
      </c>
      <c r="C752" s="7" t="s">
        <v>6</v>
      </c>
      <c r="D752" s="7" t="s">
        <v>7</v>
      </c>
      <c r="E752" s="7">
        <v>0</v>
      </c>
    </row>
    <row r="753" spans="1:5" ht="15.75" customHeight="1" x14ac:dyDescent="0.25">
      <c r="A753" s="6" t="s">
        <v>758</v>
      </c>
      <c r="B753" s="6" t="str">
        <f ca="1">IFERROR(__xludf.DUMMYFUNCTION("GOOGLETRANSLATE(A753,""bn"",""en"")"),"He wiped the sweat from his forehead in the region of his flight and sat down on the floor")</f>
        <v>He wiped the sweat from his forehead in the region of his flight and sat down on the floor</v>
      </c>
      <c r="C753" s="7" t="s">
        <v>6</v>
      </c>
      <c r="D753" s="7" t="s">
        <v>7</v>
      </c>
      <c r="E753" s="7">
        <v>0</v>
      </c>
    </row>
    <row r="754" spans="1:5" ht="15.75" customHeight="1" x14ac:dyDescent="0.25">
      <c r="A754" s="6" t="s">
        <v>759</v>
      </c>
      <c r="B754" s="6" t="str">
        <f ca="1">IFERROR(__xludf.DUMMYFUNCTION("GOOGLETRANSLATE(A754,""bn"",""en"")"),"I need it, mother, don't give it to me, I will tell you later")</f>
        <v>I need it, mother, don't give it to me, I will tell you later</v>
      </c>
      <c r="C754" s="7" t="s">
        <v>6</v>
      </c>
      <c r="D754" s="7" t="s">
        <v>7</v>
      </c>
      <c r="E754" s="7">
        <v>0</v>
      </c>
    </row>
    <row r="755" spans="1:5" ht="15.75" customHeight="1" x14ac:dyDescent="0.25">
      <c r="A755" s="6" t="s">
        <v>760</v>
      </c>
      <c r="B755" s="6" t="str">
        <f ca="1">IFERROR(__xludf.DUMMYFUNCTION("GOOGLETRANSLATE(A755,""bn"",""en"")"),"Beautiful flowers bloom on the banks of the river")</f>
        <v>Beautiful flowers bloom on the banks of the river</v>
      </c>
      <c r="C755" s="7" t="s">
        <v>6</v>
      </c>
      <c r="D755" s="7" t="s">
        <v>7</v>
      </c>
      <c r="E755" s="7">
        <v>0</v>
      </c>
    </row>
    <row r="756" spans="1:5" ht="15.75" customHeight="1" x14ac:dyDescent="0.25">
      <c r="A756" s="6" t="s">
        <v>761</v>
      </c>
      <c r="B756" s="6" t="str">
        <f ca="1">IFERROR(__xludf.DUMMYFUNCTION("GOOGLETRANSLATE(A756,""bn"",""en"")"),"They were awakened by the relentless roar of the wind outside")</f>
        <v>They were awakened by the relentless roar of the wind outside</v>
      </c>
      <c r="C756" s="7" t="s">
        <v>6</v>
      </c>
      <c r="D756" s="7" t="s">
        <v>7</v>
      </c>
      <c r="E756" s="7">
        <v>0</v>
      </c>
    </row>
    <row r="757" spans="1:5" ht="15.75" customHeight="1" x14ac:dyDescent="0.25">
      <c r="A757" s="6" t="s">
        <v>762</v>
      </c>
      <c r="B757" s="6" t="str">
        <f ca="1">IFERROR(__xludf.DUMMYFUNCTION("GOOGLETRANSLATE(A757,""bn"",""en"")"),"These three great men used to meet every Friday")</f>
        <v>These three great men used to meet every Friday</v>
      </c>
      <c r="C757" s="8" t="s">
        <v>13</v>
      </c>
      <c r="D757" s="8" t="s">
        <v>14</v>
      </c>
      <c r="E757" s="8">
        <v>1</v>
      </c>
    </row>
    <row r="758" spans="1:5" ht="15.75" customHeight="1" x14ac:dyDescent="0.25">
      <c r="A758" s="6" t="s">
        <v>763</v>
      </c>
      <c r="B758" s="6" t="str">
        <f ca="1">IFERROR(__xludf.DUMMYFUNCTION("GOOGLETRANSLATE(A758,""bn"",""en"")"),"Gourmet ice cream indulges the sweet tooth")</f>
        <v>Gourmet ice cream indulges the sweet tooth</v>
      </c>
      <c r="C758" s="8" t="s">
        <v>13</v>
      </c>
      <c r="D758" s="8" t="s">
        <v>14</v>
      </c>
      <c r="E758" s="8">
        <v>1</v>
      </c>
    </row>
    <row r="759" spans="1:5" ht="15.75" customHeight="1" x14ac:dyDescent="0.25">
      <c r="A759" s="6" t="s">
        <v>764</v>
      </c>
      <c r="B759" s="6" t="str">
        <f ca="1">IFERROR(__xludf.DUMMYFUNCTION("GOOGLETRANSLATE(A759,""bn"",""en"")"),"Mohammedan Mao became the Money Cup champion in 2008")</f>
        <v>Mohammedan Mao became the Money Cup champion in 2008</v>
      </c>
      <c r="C759" s="8" t="s">
        <v>13</v>
      </c>
      <c r="D759" s="8" t="s">
        <v>14</v>
      </c>
      <c r="E759" s="8">
        <v>1</v>
      </c>
    </row>
    <row r="760" spans="1:5" ht="15.75" customHeight="1" x14ac:dyDescent="0.25">
      <c r="A760" s="6" t="s">
        <v>765</v>
      </c>
      <c r="B760" s="6" t="str">
        <f ca="1">IFERROR(__xludf.DUMMYFUNCTION("GOOGLETRANSLATE(A760,""bn"",""en"")"),"Making clay paper is a relaxing activity")</f>
        <v>Making clay paper is a relaxing activity</v>
      </c>
      <c r="C760" s="8" t="s">
        <v>13</v>
      </c>
      <c r="D760" s="8" t="s">
        <v>14</v>
      </c>
      <c r="E760" s="8">
        <v>1</v>
      </c>
    </row>
    <row r="761" spans="1:5" ht="15.75" customHeight="1" x14ac:dyDescent="0.25">
      <c r="A761" s="6" t="s">
        <v>766</v>
      </c>
      <c r="B761" s="6" t="str">
        <f ca="1">IFERROR(__xludf.DUMMYFUNCTION("GOOGLETRANSLATE(A761,""bn"",""en"")"),"We all went to school together")</f>
        <v>We all went to school together</v>
      </c>
      <c r="C761" s="8" t="s">
        <v>13</v>
      </c>
      <c r="D761" s="8" t="s">
        <v>14</v>
      </c>
      <c r="E761" s="8">
        <v>1</v>
      </c>
    </row>
    <row r="762" spans="1:5" ht="15.75" customHeight="1" x14ac:dyDescent="0.25">
      <c r="A762" s="6" t="s">
        <v>767</v>
      </c>
      <c r="B762" s="6" t="str">
        <f ca="1">IFERROR(__xludf.DUMMYFUNCTION("GOOGLETRANSLATE(A762,""bn"",""en"")"),"There some Kolbals were grazing buffalo together")</f>
        <v>There some Kolbals were grazing buffalo together</v>
      </c>
      <c r="C762" s="7" t="s">
        <v>6</v>
      </c>
      <c r="D762" s="7" t="s">
        <v>7</v>
      </c>
      <c r="E762" s="7">
        <v>0</v>
      </c>
    </row>
    <row r="763" spans="1:5" ht="15.75" customHeight="1" x14ac:dyDescent="0.25">
      <c r="A763" s="6" t="s">
        <v>768</v>
      </c>
      <c r="B763" s="6" t="str">
        <f ca="1">IFERROR(__xludf.DUMMYFUNCTION("GOOGLETRANSLATE(A763,""bn"",""en"")"),"For a long time he has been fond of riding a wheelbarrow and eating air, but nothing can satisfy it.")</f>
        <v>For a long time he has been fond of riding a wheelbarrow and eating air, but nothing can satisfy it.</v>
      </c>
      <c r="C763" s="7" t="s">
        <v>6</v>
      </c>
      <c r="D763" s="7" t="s">
        <v>7</v>
      </c>
      <c r="E763" s="7">
        <v>0</v>
      </c>
    </row>
    <row r="764" spans="1:5" ht="15.75" customHeight="1" x14ac:dyDescent="0.25">
      <c r="A764" s="6" t="s">
        <v>769</v>
      </c>
      <c r="B764" s="6" t="str">
        <f ca="1">IFERROR(__xludf.DUMMYFUNCTION("GOOGLETRANSLATE(A764,""bn"",""en"")"),"You can't run away from school and become Madhusudan")</f>
        <v>You can't run away from school and become Madhusudan</v>
      </c>
      <c r="C764" s="7" t="s">
        <v>6</v>
      </c>
      <c r="D764" s="7" t="s">
        <v>7</v>
      </c>
      <c r="E764" s="7">
        <v>0</v>
      </c>
    </row>
    <row r="765" spans="1:5" ht="15.75" customHeight="1" x14ac:dyDescent="0.25">
      <c r="A765" s="6" t="s">
        <v>770</v>
      </c>
      <c r="B765" s="6" t="str">
        <f ca="1">IFERROR(__xludf.DUMMYFUNCTION("GOOGLETRANSLATE(A765,""bn"",""en"")"),"Shashi quickly went ahead")</f>
        <v>Shashi quickly went ahead</v>
      </c>
      <c r="C765" s="7" t="s">
        <v>6</v>
      </c>
      <c r="D765" s="7" t="s">
        <v>7</v>
      </c>
      <c r="E765" s="7">
        <v>0</v>
      </c>
    </row>
    <row r="766" spans="1:5" ht="15.75" customHeight="1" x14ac:dyDescent="0.25">
      <c r="A766" s="6" t="s">
        <v>771</v>
      </c>
      <c r="B766" s="6" t="str">
        <f ca="1">IFERROR(__xludf.DUMMYFUNCTION("GOOGLETRANSLATE(A766,""bn"",""en"")"),"Who will not capitalize on my story")</f>
        <v>Who will not capitalize on my story</v>
      </c>
      <c r="C766" s="7" t="s">
        <v>6</v>
      </c>
      <c r="D766" s="7" t="s">
        <v>7</v>
      </c>
      <c r="E766" s="7">
        <v>0</v>
      </c>
    </row>
    <row r="767" spans="1:5" ht="15.75" customHeight="1" x14ac:dyDescent="0.25">
      <c r="A767" s="6" t="s">
        <v>772</v>
      </c>
      <c r="B767" s="6" t="str">
        <f ca="1">IFERROR(__xludf.DUMMYFUNCTION("GOOGLETRANSLATE(A767,""bn"",""en"")"),"The sun sank below the horizon casting long shadows across the landscape as darkness descended")</f>
        <v>The sun sank below the horizon casting long shadows across the landscape as darkness descended</v>
      </c>
      <c r="C767" s="8" t="s">
        <v>13</v>
      </c>
      <c r="D767" s="8" t="s">
        <v>14</v>
      </c>
      <c r="E767" s="8">
        <v>1</v>
      </c>
    </row>
    <row r="768" spans="1:5" ht="15.75" customHeight="1" x14ac:dyDescent="0.25">
      <c r="A768" s="6" t="s">
        <v>773</v>
      </c>
      <c r="B768" s="6" t="str">
        <f ca="1">IFERROR(__xludf.DUMMYFUNCTION("GOOGLETRANSLATE(A768,""bn"",""en"")"),"Moray is believed to have died in the winter of battle wounds")</f>
        <v>Moray is believed to have died in the winter of battle wounds</v>
      </c>
      <c r="C768" s="8" t="s">
        <v>13</v>
      </c>
      <c r="D768" s="8" t="s">
        <v>14</v>
      </c>
      <c r="E768" s="8">
        <v>1</v>
      </c>
    </row>
    <row r="769" spans="1:5" ht="15.75" customHeight="1" x14ac:dyDescent="0.25">
      <c r="A769" s="6" t="s">
        <v>774</v>
      </c>
      <c r="B769" s="6" t="str">
        <f ca="1">IFERROR(__xludf.DUMMYFUNCTION("GOOGLETRANSLATE(A769,""bn"",""en"")"),"The sun has sunk below the horizon painting the sky with bright hues of orange pink")</f>
        <v>The sun has sunk below the horizon painting the sky with bright hues of orange pink</v>
      </c>
      <c r="C769" s="8" t="s">
        <v>13</v>
      </c>
      <c r="D769" s="8" t="s">
        <v>14</v>
      </c>
      <c r="E769" s="8">
        <v>1</v>
      </c>
    </row>
    <row r="770" spans="1:5" ht="15.75" customHeight="1" x14ac:dyDescent="0.25">
      <c r="A770" s="6" t="s">
        <v>775</v>
      </c>
      <c r="B770" s="6" t="str">
        <f ca="1">IFERROR(__xludf.DUMMYFUNCTION("GOOGLETRANSLATE(A770,""bn"",""en"")"),"The event planner coordinates the logistics for a corporate conference")</f>
        <v>The event planner coordinates the logistics for a corporate conference</v>
      </c>
      <c r="C770" s="8" t="s">
        <v>13</v>
      </c>
      <c r="D770" s="8" t="s">
        <v>14</v>
      </c>
      <c r="E770" s="8">
        <v>1</v>
      </c>
    </row>
    <row r="771" spans="1:5" ht="15.75" customHeight="1" x14ac:dyDescent="0.25">
      <c r="A771" s="6" t="s">
        <v>776</v>
      </c>
      <c r="B771" s="6" t="str">
        <f ca="1">IFERROR(__xludf.DUMMYFUNCTION("GOOGLETRANSLATE(A771,""bn"",""en"")"),"The classifieds section of newspapers is a useful resource for job seekers")</f>
        <v>The classifieds section of newspapers is a useful resource for job seekers</v>
      </c>
      <c r="C771" s="8" t="s">
        <v>13</v>
      </c>
      <c r="D771" s="8" t="s">
        <v>14</v>
      </c>
      <c r="E771" s="8">
        <v>1</v>
      </c>
    </row>
    <row r="772" spans="1:5" ht="15.75" customHeight="1" x14ac:dyDescent="0.25">
      <c r="A772" s="6" t="s">
        <v>777</v>
      </c>
      <c r="B772" s="6" t="str">
        <f ca="1">IFERROR(__xludf.DUMMYFUNCTION("GOOGLETRANSLATE(A772,""bn"",""en"")"),"He started to feel small after exchanging some very angry words")</f>
        <v>He started to feel small after exchanging some very angry words</v>
      </c>
      <c r="C772" s="7" t="s">
        <v>6</v>
      </c>
      <c r="D772" s="7" t="s">
        <v>7</v>
      </c>
      <c r="E772" s="7">
        <v>0</v>
      </c>
    </row>
    <row r="773" spans="1:5" ht="15.75" customHeight="1" x14ac:dyDescent="0.25">
      <c r="A773" s="6" t="s">
        <v>778</v>
      </c>
      <c r="B773" s="6" t="str">
        <f ca="1">IFERROR(__xludf.DUMMYFUNCTION("GOOGLETRANSLATE(A773,""bn"",""en"")"),"Soon the rice has become big")</f>
        <v>Soon the rice has become big</v>
      </c>
      <c r="C773" s="7" t="s">
        <v>6</v>
      </c>
      <c r="D773" s="7" t="s">
        <v>7</v>
      </c>
      <c r="E773" s="7">
        <v>0</v>
      </c>
    </row>
    <row r="774" spans="1:5" ht="15.75" customHeight="1" x14ac:dyDescent="0.25">
      <c r="A774" s="6" t="s">
        <v>779</v>
      </c>
      <c r="B774" s="6" t="str">
        <f ca="1">IFERROR(__xludf.DUMMYFUNCTION("GOOGLETRANSLATE(A774,""bn"",""en"")"),"The words suddenly took the shape of a scolding and pierced Kiranmayi's ears with a very harsh tone.")</f>
        <v>The words suddenly took the shape of a scolding and pierced Kiranmayi's ears with a very harsh tone.</v>
      </c>
      <c r="C774" s="7" t="s">
        <v>6</v>
      </c>
      <c r="D774" s="7" t="s">
        <v>7</v>
      </c>
      <c r="E774" s="7">
        <v>0</v>
      </c>
    </row>
    <row r="775" spans="1:5" ht="15.75" customHeight="1" x14ac:dyDescent="0.25">
      <c r="A775" s="6" t="s">
        <v>780</v>
      </c>
      <c r="B775" s="6" t="str">
        <f ca="1">IFERROR(__xludf.DUMMYFUNCTION("GOOGLETRANSLATE(A775,""bn"",""en"")"),"They also came out and blocked the way")</f>
        <v>They also came out and blocked the way</v>
      </c>
      <c r="C775" s="7" t="s">
        <v>6</v>
      </c>
      <c r="D775" s="7" t="s">
        <v>7</v>
      </c>
      <c r="E775" s="7">
        <v>0</v>
      </c>
    </row>
    <row r="776" spans="1:5" ht="15.75" customHeight="1" x14ac:dyDescent="0.25">
      <c r="A776" s="6" t="s">
        <v>781</v>
      </c>
      <c r="B776" s="6" t="str">
        <f ca="1">IFERROR(__xludf.DUMMYFUNCTION("GOOGLETRANSLATE(A776,""bn"",""en"")"),"Red Indians Natick Indians New Zealanders Tasmanians etc. How many races have disappeared?")</f>
        <v>Red Indians Natick Indians New Zealanders Tasmanians etc. How many races have disappeared?</v>
      </c>
      <c r="C776" s="7" t="s">
        <v>6</v>
      </c>
      <c r="D776" s="7" t="s">
        <v>7</v>
      </c>
      <c r="E776" s="7">
        <v>0</v>
      </c>
    </row>
    <row r="777" spans="1:5" ht="15.75" customHeight="1" x14ac:dyDescent="0.25">
      <c r="A777" s="6" t="s">
        <v>782</v>
      </c>
      <c r="B777" s="6" t="str">
        <f ca="1">IFERROR(__xludf.DUMMYFUNCTION("GOOGLETRANSLATE(A777,""bn"",""en"")"),"Agroforestry integrates trees and shrubs into agricultural systems for multiple benefits")</f>
        <v>Agroforestry integrates trees and shrubs into agricultural systems for multiple benefits</v>
      </c>
      <c r="C777" s="8" t="s">
        <v>13</v>
      </c>
      <c r="D777" s="8" t="s">
        <v>14</v>
      </c>
      <c r="E777" s="8">
        <v>1</v>
      </c>
    </row>
    <row r="778" spans="1:5" ht="15.75" customHeight="1" x14ac:dyDescent="0.25">
      <c r="A778" s="6" t="s">
        <v>783</v>
      </c>
      <c r="B778" s="6" t="str">
        <f ca="1">IFERROR(__xludf.DUMMYFUNCTION("GOOGLETRANSLATE(A778,""bn"",""en"")"),"Self-conflict, civil war, assassination, torture, etc. escalated")</f>
        <v>Self-conflict, civil war, assassination, torture, etc. escalated</v>
      </c>
      <c r="C778" s="8" t="s">
        <v>13</v>
      </c>
      <c r="D778" s="8" t="s">
        <v>14</v>
      </c>
      <c r="E778" s="8">
        <v>1</v>
      </c>
    </row>
    <row r="779" spans="1:5" ht="15.75" customHeight="1" x14ac:dyDescent="0.25">
      <c r="A779" s="6" t="s">
        <v>784</v>
      </c>
      <c r="B779" s="6" t="str">
        <f ca="1">IFERROR(__xludf.DUMMYFUNCTION("GOOGLETRANSLATE(A779,""bn"",""en"")"),"His novel Noor Jahan has created a great stir in both Bengals")</f>
        <v>His novel Noor Jahan has created a great stir in both Bengals</v>
      </c>
      <c r="C779" s="8" t="s">
        <v>13</v>
      </c>
      <c r="D779" s="8" t="s">
        <v>14</v>
      </c>
      <c r="E779" s="8">
        <v>1</v>
      </c>
    </row>
    <row r="780" spans="1:5" ht="15.75" customHeight="1" x14ac:dyDescent="0.25">
      <c r="A780" s="6" t="s">
        <v>785</v>
      </c>
      <c r="B780" s="6" t="str">
        <f ca="1">IFERROR(__xludf.DUMMYFUNCTION("GOOGLETRANSLATE(A780,""bn"",""en"")"),"Cirrhosis is scarring of liver tissue usually caused by long-term liver damage from conditions such as hepatitis or alcohol abuse.")</f>
        <v>Cirrhosis is scarring of liver tissue usually caused by long-term liver damage from conditions such as hepatitis or alcohol abuse.</v>
      </c>
      <c r="C780" s="8" t="s">
        <v>13</v>
      </c>
      <c r="D780" s="8" t="s">
        <v>14</v>
      </c>
      <c r="E780" s="8">
        <v>1</v>
      </c>
    </row>
    <row r="781" spans="1:5" ht="15.75" customHeight="1" x14ac:dyDescent="0.25">
      <c r="A781" s="6" t="s">
        <v>786</v>
      </c>
      <c r="B781" s="6" t="str">
        <f ca="1">IFERROR(__xludf.DUMMYFUNCTION("GOOGLETRANSLATE(A781,""bn"",""en"")"),"As always I stood under the old Arjuna tree in my garden")</f>
        <v>As always I stood under the old Arjuna tree in my garden</v>
      </c>
      <c r="C781" s="8" t="s">
        <v>13</v>
      </c>
      <c r="D781" s="8" t="s">
        <v>14</v>
      </c>
      <c r="E781" s="8">
        <v>1</v>
      </c>
    </row>
    <row r="782" spans="1:5" ht="15.75" customHeight="1" x14ac:dyDescent="0.25">
      <c r="A782" s="6" t="s">
        <v>787</v>
      </c>
      <c r="B782" s="6" t="str">
        <f ca="1">IFERROR(__xludf.DUMMYFUNCTION("GOOGLETRANSLATE(A782,""bn"",""en"")"),"At last the forest was clearly visible")</f>
        <v>At last the forest was clearly visible</v>
      </c>
      <c r="C782" s="7" t="s">
        <v>6</v>
      </c>
      <c r="D782" s="7" t="s">
        <v>7</v>
      </c>
      <c r="E782" s="7">
        <v>0</v>
      </c>
    </row>
    <row r="783" spans="1:5" ht="15.75" customHeight="1" x14ac:dyDescent="0.25">
      <c r="A783" s="6" t="s">
        <v>788</v>
      </c>
      <c r="B783" s="6" t="str">
        <f ca="1">IFERROR(__xludf.DUMMYFUNCTION("GOOGLETRANSLATE(A783,""bn"",""en"")"),"On that naked chest, the satnari of the bride hangs a tiny Arsi, a tiny forest flower in the ear and a big forest flower on the head.")</f>
        <v>On that naked chest, the satnari of the bride hangs a tiny Arsi, a tiny forest flower in the ear and a big forest flower on the head.</v>
      </c>
      <c r="C783" s="7" t="s">
        <v>6</v>
      </c>
      <c r="D783" s="7" t="s">
        <v>7</v>
      </c>
      <c r="E783" s="7">
        <v>0</v>
      </c>
    </row>
    <row r="784" spans="1:5" ht="15.75" customHeight="1" x14ac:dyDescent="0.25">
      <c r="A784" s="6" t="s">
        <v>789</v>
      </c>
      <c r="B784" s="6" t="str">
        <f ca="1">IFERROR(__xludf.DUMMYFUNCTION("GOOGLETRANSLATE(A784,""bn"",""en"")"),"Suddenly, like a cloud in the west, he left me as if a little")</f>
        <v>Suddenly, like a cloud in the west, he left me as if a little</v>
      </c>
      <c r="C784" s="7" t="s">
        <v>6</v>
      </c>
      <c r="D784" s="7" t="s">
        <v>7</v>
      </c>
      <c r="E784" s="7">
        <v>0</v>
      </c>
    </row>
    <row r="785" spans="1:5" ht="15.75" customHeight="1" x14ac:dyDescent="0.25">
      <c r="A785" s="6" t="s">
        <v>790</v>
      </c>
      <c r="B785" s="6" t="str">
        <f ca="1">IFERROR(__xludf.DUMMYFUNCTION("GOOGLETRANSLATE(A785,""bn"",""en"")"),"The ghat is nothing, a few steps have been cut with a spade, but there is a tin shed on top of the ghat")</f>
        <v>The ghat is nothing, a few steps have been cut with a spade, but there is a tin shed on top of the ghat</v>
      </c>
      <c r="C785" s="7" t="s">
        <v>6</v>
      </c>
      <c r="D785" s="7" t="s">
        <v>7</v>
      </c>
      <c r="E785" s="7">
        <v>0</v>
      </c>
    </row>
    <row r="786" spans="1:5" ht="15.75" customHeight="1" x14ac:dyDescent="0.25">
      <c r="A786" s="6" t="s">
        <v>791</v>
      </c>
      <c r="B786" s="6" t="str">
        <f ca="1">IFERROR(__xludf.DUMMYFUNCTION("GOOGLETRANSLATE(A786,""bn"",""en"")"),"Usually only the shape is drawn on the canvas")</f>
        <v>Usually only the shape is drawn on the canvas</v>
      </c>
      <c r="C786" s="7" t="s">
        <v>6</v>
      </c>
      <c r="D786" s="7" t="s">
        <v>7</v>
      </c>
      <c r="E786" s="7">
        <v>0</v>
      </c>
    </row>
    <row r="787" spans="1:5" ht="15.75" customHeight="1" x14ac:dyDescent="0.25">
      <c r="A787" s="6" t="s">
        <v>792</v>
      </c>
      <c r="B787" s="6" t="str">
        <f ca="1">IFERROR(__xludf.DUMMYFUNCTION("GOOGLETRANSLATE(A787,""bn"",""en"")"),"The award winners are chosen by public vote")</f>
        <v>The award winners are chosen by public vote</v>
      </c>
      <c r="C787" s="8" t="s">
        <v>13</v>
      </c>
      <c r="D787" s="8" t="s">
        <v>14</v>
      </c>
      <c r="E787" s="8">
        <v>1</v>
      </c>
    </row>
    <row r="788" spans="1:5" ht="15.75" customHeight="1" x14ac:dyDescent="0.25">
      <c r="A788" s="6" t="s">
        <v>793</v>
      </c>
      <c r="B788" s="6" t="str">
        <f ca="1">IFERROR(__xludf.DUMMYFUNCTION("GOOGLETRANSLATE(A788,""bn"",""en"")"),"They all sat outside for a while on Ambasya night")</f>
        <v>They all sat outside for a while on Ambasya night</v>
      </c>
      <c r="C788" s="8" t="s">
        <v>13</v>
      </c>
      <c r="D788" s="8" t="s">
        <v>14</v>
      </c>
      <c r="E788" s="8">
        <v>1</v>
      </c>
    </row>
    <row r="789" spans="1:5" ht="15.75" customHeight="1" x14ac:dyDescent="0.25">
      <c r="A789" s="6" t="s">
        <v>794</v>
      </c>
      <c r="B789" s="6" t="str">
        <f ca="1">IFERROR(__xludf.DUMMYFUNCTION("GOOGLETRANSLATE(A789,""bn"",""en"")"),"Follow us for live updates")</f>
        <v>Follow us for live updates</v>
      </c>
      <c r="C789" s="8" t="s">
        <v>13</v>
      </c>
      <c r="D789" s="8" t="s">
        <v>14</v>
      </c>
      <c r="E789" s="8">
        <v>1</v>
      </c>
    </row>
    <row r="790" spans="1:5" ht="15.75" customHeight="1" x14ac:dyDescent="0.25">
      <c r="A790" s="6" t="s">
        <v>795</v>
      </c>
      <c r="B790" s="6" t="str">
        <f ca="1">IFERROR(__xludf.DUMMYFUNCTION("GOOGLETRANSLATE(A790,""bn"",""en"")"),"His praise cannot be overstated")</f>
        <v>His praise cannot be overstated</v>
      </c>
      <c r="C790" s="8" t="s">
        <v>13</v>
      </c>
      <c r="D790" s="8" t="s">
        <v>14</v>
      </c>
      <c r="E790" s="8">
        <v>1</v>
      </c>
    </row>
    <row r="791" spans="1:5" ht="15.75" customHeight="1" x14ac:dyDescent="0.25">
      <c r="A791" s="6" t="s">
        <v>796</v>
      </c>
      <c r="B791" s="6" t="str">
        <f ca="1">IFERROR(__xludf.DUMMYFUNCTION("GOOGLETRANSLATE(A791,""bn"",""en"")"),"The benefit went to Sujan")</f>
        <v>The benefit went to Sujan</v>
      </c>
      <c r="C791" s="8" t="s">
        <v>13</v>
      </c>
      <c r="D791" s="8" t="s">
        <v>14</v>
      </c>
      <c r="E791" s="8">
        <v>1</v>
      </c>
    </row>
    <row r="792" spans="1:5" ht="15.75" customHeight="1" x14ac:dyDescent="0.25">
      <c r="A792" s="6" t="s">
        <v>797</v>
      </c>
      <c r="B792" s="6" t="str">
        <f ca="1">IFERROR(__xludf.DUMMYFUNCTION("GOOGLETRANSLATE(A792,""bn"",""en"")"),"He was not entirely dubious about Rahmat Kabuliwala")</f>
        <v>He was not entirely dubious about Rahmat Kabuliwala</v>
      </c>
      <c r="C792" s="7" t="s">
        <v>6</v>
      </c>
      <c r="D792" s="7" t="s">
        <v>7</v>
      </c>
      <c r="E792" s="7">
        <v>0</v>
      </c>
    </row>
    <row r="793" spans="1:5" ht="15.75" customHeight="1" x14ac:dyDescent="0.25">
      <c r="A793" s="6" t="s">
        <v>798</v>
      </c>
      <c r="B793" s="6" t="str">
        <f ca="1">IFERROR(__xludf.DUMMYFUNCTION("GOOGLETRANSLATE(A793,""bn"",""en"")"),"I thought I would come, but maybe you won't be able to come")</f>
        <v>I thought I would come, but maybe you won't be able to come</v>
      </c>
      <c r="C793" s="7" t="s">
        <v>6</v>
      </c>
      <c r="D793" s="7" t="s">
        <v>7</v>
      </c>
      <c r="E793" s="7">
        <v>0</v>
      </c>
    </row>
    <row r="794" spans="1:5" ht="15.75" customHeight="1" x14ac:dyDescent="0.25">
      <c r="A794" s="6" t="s">
        <v>799</v>
      </c>
      <c r="B794" s="6" t="str">
        <f ca="1">IFERROR(__xludf.DUMMYFUNCTION("GOOGLETRANSLATE(A794,""bn"",""en"")"),"Then the clarity of the verse was not felt as before")</f>
        <v>Then the clarity of the verse was not felt as before</v>
      </c>
      <c r="C794" s="7" t="s">
        <v>6</v>
      </c>
      <c r="D794" s="7" t="s">
        <v>7</v>
      </c>
      <c r="E794" s="7">
        <v>0</v>
      </c>
    </row>
    <row r="795" spans="1:5" ht="15.75" customHeight="1" x14ac:dyDescent="0.25">
      <c r="A795" s="6" t="s">
        <v>800</v>
      </c>
      <c r="B795" s="6" t="str">
        <f ca="1">IFERROR(__xludf.DUMMYFUNCTION("GOOGLETRANSLATE(A795,""bn"",""en"")"),"Exhausted, they fell asleep in the silent city")</f>
        <v>Exhausted, they fell asleep in the silent city</v>
      </c>
      <c r="C795" s="7" t="s">
        <v>6</v>
      </c>
      <c r="D795" s="7" t="s">
        <v>7</v>
      </c>
      <c r="E795" s="7">
        <v>0</v>
      </c>
    </row>
    <row r="796" spans="1:5" ht="15.75" customHeight="1" x14ac:dyDescent="0.25">
      <c r="A796" s="6" t="s">
        <v>801</v>
      </c>
      <c r="B796" s="6" t="str">
        <f ca="1">IFERROR(__xludf.DUMMYFUNCTION("GOOGLETRANSLATE(A796,""bn"",""en"")"),"In a dark alley, not far from his apis, there was a pond on its shores, and a forest on its shores.")</f>
        <v>In a dark alley, not far from his apis, there was a pond on its shores, and a forest on its shores.</v>
      </c>
      <c r="C796" s="7" t="s">
        <v>6</v>
      </c>
      <c r="D796" s="7" t="s">
        <v>7</v>
      </c>
      <c r="E796" s="7">
        <v>0</v>
      </c>
    </row>
    <row r="797" spans="1:5" ht="15.75" customHeight="1" x14ac:dyDescent="0.25">
      <c r="A797" s="6" t="s">
        <v>802</v>
      </c>
      <c r="B797" s="6" t="str">
        <f ca="1">IFERROR(__xludf.DUMMYFUNCTION("GOOGLETRANSLATE(A797,""bn"",""en"")"),"My opinion of the company changed drastically after this experience")</f>
        <v>My opinion of the company changed drastically after this experience</v>
      </c>
      <c r="C797" s="8" t="s">
        <v>13</v>
      </c>
      <c r="D797" s="8" t="s">
        <v>14</v>
      </c>
      <c r="E797" s="8">
        <v>1</v>
      </c>
    </row>
    <row r="798" spans="1:5" ht="15.75" customHeight="1" x14ac:dyDescent="0.25">
      <c r="A798" s="6" t="s">
        <v>803</v>
      </c>
      <c r="B798" s="6" t="str">
        <f ca="1">IFERROR(__xludf.DUMMYFUNCTION("GOOGLETRANSLATE(A798,""bn"",""en"")"),"I went on a horse drawn carriage on my holiday it was charming")</f>
        <v>I went on a horse drawn carriage on my holiday it was charming</v>
      </c>
      <c r="C798" s="8" t="s">
        <v>13</v>
      </c>
      <c r="D798" s="8" t="s">
        <v>14</v>
      </c>
      <c r="E798" s="8">
        <v>1</v>
      </c>
    </row>
    <row r="799" spans="1:5" ht="15.75" customHeight="1" x14ac:dyDescent="0.25">
      <c r="A799" s="6" t="s">
        <v>804</v>
      </c>
      <c r="B799" s="6" t="str">
        <f ca="1">IFERROR(__xludf.DUMMYFUNCTION("GOOGLETRANSLATE(A799,""bn"",""en"")"),"Fake news has become a concern in today's media environment")</f>
        <v>Fake news has become a concern in today's media environment</v>
      </c>
      <c r="C799" s="8" t="s">
        <v>13</v>
      </c>
      <c r="D799" s="8" t="s">
        <v>14</v>
      </c>
      <c r="E799" s="8">
        <v>1</v>
      </c>
    </row>
    <row r="800" spans="1:5" ht="15.75" customHeight="1" x14ac:dyDescent="0.25">
      <c r="A800" s="6" t="s">
        <v>805</v>
      </c>
      <c r="B800" s="6" t="str">
        <f ca="1">IFERROR(__xludf.DUMMYFUNCTION("GOOGLETRANSLATE(A800,""bn"",""en"")"),"The book was praised by scholars including Rabindranath Tagore")</f>
        <v>The book was praised by scholars including Rabindranath Tagore</v>
      </c>
      <c r="C800" s="8" t="s">
        <v>13</v>
      </c>
      <c r="D800" s="8" t="s">
        <v>14</v>
      </c>
      <c r="E800" s="8">
        <v>1</v>
      </c>
    </row>
    <row r="801" spans="1:5" ht="15.75" customHeight="1" x14ac:dyDescent="0.25">
      <c r="A801" s="6" t="s">
        <v>806</v>
      </c>
      <c r="B801" s="6" t="str">
        <f ca="1">IFERROR(__xludf.DUMMYFUNCTION("GOOGLETRANSLATE(A801,""bn"",""en"")"),"Rumi came to call me to play")</f>
        <v>Rumi came to call me to play</v>
      </c>
      <c r="C801" s="8" t="s">
        <v>13</v>
      </c>
      <c r="D801" s="8" t="s">
        <v>14</v>
      </c>
      <c r="E801" s="8">
        <v>1</v>
      </c>
    </row>
    <row r="802" spans="1:5" ht="15.75" customHeight="1" x14ac:dyDescent="0.25">
      <c r="A802" s="6" t="s">
        <v>807</v>
      </c>
      <c r="B802" s="6" t="str">
        <f ca="1">IFERROR(__xludf.DUMMYFUNCTION("GOOGLETRANSLATE(A802,""bn"",""en"")"),"They said the job was easy")</f>
        <v>They said the job was easy</v>
      </c>
      <c r="C802" s="7" t="s">
        <v>6</v>
      </c>
      <c r="D802" s="7" t="s">
        <v>7</v>
      </c>
      <c r="E802" s="7">
        <v>0</v>
      </c>
    </row>
    <row r="803" spans="1:5" ht="15.75" customHeight="1" x14ac:dyDescent="0.25">
      <c r="A803" s="6" t="s">
        <v>808</v>
      </c>
      <c r="B803" s="6" t="str">
        <f ca="1">IFERROR(__xludf.DUMMYFUNCTION("GOOGLETRANSLATE(A803,""bn"",""en"")"),"Many people do not understand the necessity of having teachers with the boys day and night")</f>
        <v>Many people do not understand the necessity of having teachers with the boys day and night</v>
      </c>
      <c r="C803" s="7" t="s">
        <v>6</v>
      </c>
      <c r="D803" s="7" t="s">
        <v>7</v>
      </c>
      <c r="E803" s="7">
        <v>0</v>
      </c>
    </row>
    <row r="804" spans="1:5" ht="15.75" customHeight="1" x14ac:dyDescent="0.25">
      <c r="A804" s="6" t="s">
        <v>809</v>
      </c>
      <c r="B804" s="6" t="str">
        <f ca="1">IFERROR(__xludf.DUMMYFUNCTION("GOOGLETRANSLATE(A804,""bn"",""en"")"),"At that time Fatik's mother entered the house like a storm and began to mourn loudly")</f>
        <v>At that time Fatik's mother entered the house like a storm and began to mourn loudly</v>
      </c>
      <c r="C804" s="7" t="s">
        <v>6</v>
      </c>
      <c r="D804" s="7" t="s">
        <v>7</v>
      </c>
      <c r="E804" s="7">
        <v>0</v>
      </c>
    </row>
    <row r="805" spans="1:5" ht="15.75" customHeight="1" x14ac:dyDescent="0.25">
      <c r="A805" s="6" t="s">
        <v>810</v>
      </c>
      <c r="B805" s="6" t="str">
        <f ca="1">IFERROR(__xludf.DUMMYFUNCTION("GOOGLETRANSLATE(A805,""bn"",""en"")"),"On the fifth day of the sixth day, Ramasundar again tied a few notes on the edge of the sheet and set out on his journey.")</f>
        <v>On the fifth day of the sixth day, Ramasundar again tied a few notes on the edge of the sheet and set out on his journey.</v>
      </c>
      <c r="C805" s="7" t="s">
        <v>6</v>
      </c>
      <c r="D805" s="7" t="s">
        <v>7</v>
      </c>
      <c r="E805" s="7">
        <v>0</v>
      </c>
    </row>
    <row r="806" spans="1:5" ht="15.75" customHeight="1" x14ac:dyDescent="0.25">
      <c r="A806" s="6" t="s">
        <v>811</v>
      </c>
      <c r="B806" s="6" t="str">
        <f ca="1">IFERROR(__xludf.DUMMYFUNCTION("GOOGLETRANSLATE(A806,""bn"",""en"")"),"He asked in a very heavy and thick voice, I understand that your family is with you")</f>
        <v>He asked in a very heavy and thick voice, I understand that your family is with you</v>
      </c>
      <c r="C806" s="7" t="s">
        <v>6</v>
      </c>
      <c r="D806" s="7" t="s">
        <v>7</v>
      </c>
      <c r="E806" s="7">
        <v>0</v>
      </c>
    </row>
    <row r="807" spans="1:5" ht="15.75" customHeight="1" x14ac:dyDescent="0.25">
      <c r="A807" s="6" t="s">
        <v>812</v>
      </c>
      <c r="B807" s="6" t="str">
        <f ca="1">IFERROR(__xludf.DUMMYFUNCTION("GOOGLETRANSLATE(A807,""bn"",""en"")"),"The garden is full of beautiful flowers")</f>
        <v>The garden is full of beautiful flowers</v>
      </c>
      <c r="C807" s="8" t="s">
        <v>13</v>
      </c>
      <c r="D807" s="8" t="s">
        <v>14</v>
      </c>
      <c r="E807" s="8">
        <v>1</v>
      </c>
    </row>
    <row r="808" spans="1:5" ht="15.75" customHeight="1" x14ac:dyDescent="0.25">
      <c r="A808" s="6" t="s">
        <v>813</v>
      </c>
      <c r="B808" s="6" t="str">
        <f ca="1">IFERROR(__xludf.DUMMYFUNCTION("GOOGLETRANSLATE(A808,""bn"",""en"")"),"Her male companion jumped into the pond")</f>
        <v>Her male companion jumped into the pond</v>
      </c>
      <c r="C808" s="8" t="s">
        <v>13</v>
      </c>
      <c r="D808" s="8" t="s">
        <v>14</v>
      </c>
      <c r="E808" s="8">
        <v>1</v>
      </c>
    </row>
    <row r="809" spans="1:5" ht="15.75" customHeight="1" x14ac:dyDescent="0.25">
      <c r="A809" s="6" t="s">
        <v>814</v>
      </c>
      <c r="B809" s="6" t="str">
        <f ca="1">IFERROR(__xludf.DUMMYFUNCTION("GOOGLETRANSLATE(A809,""bn"",""en"")"),"This unusual heat is probably due to the presence of clouds in the sky")</f>
        <v>This unusual heat is probably due to the presence of clouds in the sky</v>
      </c>
      <c r="C809" s="8" t="s">
        <v>13</v>
      </c>
      <c r="D809" s="8" t="s">
        <v>14</v>
      </c>
      <c r="E809" s="8">
        <v>1</v>
      </c>
    </row>
    <row r="810" spans="1:5" ht="15.75" customHeight="1" x14ac:dyDescent="0.25">
      <c r="A810" s="6" t="s">
        <v>815</v>
      </c>
      <c r="B810" s="6" t="str">
        <f ca="1">IFERROR(__xludf.DUMMYFUNCTION("GOOGLETRANSLATE(A810,""bn"",""en"")"),"Even now such sanctions or embargoes are issued in the wake of an emergency")</f>
        <v>Even now such sanctions or embargoes are issued in the wake of an emergency</v>
      </c>
      <c r="C810" s="8" t="s">
        <v>13</v>
      </c>
      <c r="D810" s="8" t="s">
        <v>14</v>
      </c>
      <c r="E810" s="8">
        <v>1</v>
      </c>
    </row>
    <row r="811" spans="1:5" ht="15.75" customHeight="1" x14ac:dyDescent="0.25">
      <c r="A811" s="6" t="s">
        <v>816</v>
      </c>
      <c r="B811" s="6" t="str">
        <f ca="1">IFERROR(__xludf.DUMMYFUNCTION("GOOGLETRANSLATE(A811,""bn"",""en"")"),"Cover cropping suppresses weeds while adding organic matter to the soil")</f>
        <v>Cover cropping suppresses weeds while adding organic matter to the soil</v>
      </c>
      <c r="C811" s="8" t="s">
        <v>13</v>
      </c>
      <c r="D811" s="8" t="s">
        <v>14</v>
      </c>
      <c r="E811" s="8">
        <v>1</v>
      </c>
    </row>
    <row r="812" spans="1:5" ht="15.75" customHeight="1" x14ac:dyDescent="0.25">
      <c r="A812" s="6" t="s">
        <v>817</v>
      </c>
      <c r="B812" s="6" t="str">
        <f ca="1">IFERROR(__xludf.DUMMYFUNCTION("GOOGLETRANSLATE(A812,""bn"",""en"")"),"If we can send our country's liquor once, the birth is worthwhile and many heartburns are avoided")</f>
        <v>If we can send our country's liquor once, the birth is worthwhile and many heartburns are avoided</v>
      </c>
      <c r="C812" s="7" t="s">
        <v>6</v>
      </c>
      <c r="D812" s="7" t="s">
        <v>7</v>
      </c>
      <c r="E812" s="7">
        <v>0</v>
      </c>
    </row>
    <row r="813" spans="1:5" ht="15.75" customHeight="1" x14ac:dyDescent="0.25">
      <c r="A813" s="6" t="s">
        <v>818</v>
      </c>
      <c r="B813" s="6" t="str">
        <f ca="1">IFERROR(__xludf.DUMMYFUNCTION("GOOGLETRANSLATE(A813,""bn"",""en"")"),"Some live together and some live alone like widows")</f>
        <v>Some live together and some live alone like widows</v>
      </c>
      <c r="C813" s="7" t="s">
        <v>6</v>
      </c>
      <c r="D813" s="7" t="s">
        <v>7</v>
      </c>
      <c r="E813" s="7">
        <v>0</v>
      </c>
    </row>
    <row r="814" spans="1:5" ht="15.75" customHeight="1" x14ac:dyDescent="0.25">
      <c r="A814" s="6" t="s">
        <v>819</v>
      </c>
      <c r="B814" s="6" t="str">
        <f ca="1">IFERROR(__xludf.DUMMYFUNCTION("GOOGLETRANSLATE(A814,""bn"",""en"")"),"I did what you told me")</f>
        <v>I did what you told me</v>
      </c>
      <c r="C814" s="7" t="s">
        <v>6</v>
      </c>
      <c r="D814" s="7" t="s">
        <v>7</v>
      </c>
      <c r="E814" s="7">
        <v>0</v>
      </c>
    </row>
    <row r="815" spans="1:5" ht="15.75" customHeight="1" x14ac:dyDescent="0.25">
      <c r="A815" s="6" t="s">
        <v>820</v>
      </c>
      <c r="B815" s="6" t="str">
        <f ca="1">IFERROR(__xludf.DUMMYFUNCTION("GOOGLETRANSLATE(A815,""bn"",""en"")"),"He kept walking so that he could not see anything")</f>
        <v>He kept walking so that he could not see anything</v>
      </c>
      <c r="C815" s="7" t="s">
        <v>6</v>
      </c>
      <c r="D815" s="7" t="s">
        <v>7</v>
      </c>
      <c r="E815" s="7">
        <v>0</v>
      </c>
    </row>
    <row r="816" spans="1:5" ht="15.75" customHeight="1" x14ac:dyDescent="0.25">
      <c r="A816" s="6" t="s">
        <v>821</v>
      </c>
      <c r="B816" s="6" t="str">
        <f ca="1">IFERROR(__xludf.DUMMYFUNCTION("GOOGLETRANSLATE(A816,""bn"",""en"")"),"I looked back at the mountain and shouted again")</f>
        <v>I looked back at the mountain and shouted again</v>
      </c>
      <c r="C816" s="7" t="s">
        <v>6</v>
      </c>
      <c r="D816" s="7" t="s">
        <v>7</v>
      </c>
      <c r="E816" s="7">
        <v>0</v>
      </c>
    </row>
    <row r="817" spans="1:5" ht="15.75" customHeight="1" x14ac:dyDescent="0.25">
      <c r="A817" s="6" t="s">
        <v>822</v>
      </c>
      <c r="B817" s="6" t="str">
        <f ca="1">IFERROR(__xludf.DUMMYFUNCTION("GOOGLETRANSLATE(A817,""bn"",""en"")"),"I wanted to hear his success stories")</f>
        <v>I wanted to hear his success stories</v>
      </c>
      <c r="C817" s="8" t="s">
        <v>13</v>
      </c>
      <c r="D817" s="8" t="s">
        <v>14</v>
      </c>
      <c r="E817" s="8">
        <v>1</v>
      </c>
    </row>
    <row r="818" spans="1:5" ht="15.75" customHeight="1" x14ac:dyDescent="0.25">
      <c r="A818" s="6" t="s">
        <v>823</v>
      </c>
      <c r="B818" s="6" t="str">
        <f ca="1">IFERROR(__xludf.DUMMYFUNCTION("GOOGLETRANSLATE(A818,""bn"",""en"")"),"The packaging was safe and the product arrived in perfect condition")</f>
        <v>The packaging was safe and the product arrived in perfect condition</v>
      </c>
      <c r="C818" s="8" t="s">
        <v>13</v>
      </c>
      <c r="D818" s="8" t="s">
        <v>14</v>
      </c>
      <c r="E818" s="8">
        <v>1</v>
      </c>
    </row>
    <row r="819" spans="1:5" ht="15.75" customHeight="1" x14ac:dyDescent="0.25">
      <c r="A819" s="6" t="s">
        <v>824</v>
      </c>
      <c r="B819" s="6" t="str">
        <f ca="1">IFERROR(__xludf.DUMMYFUNCTION("GOOGLETRANSLATE(A819,""bn"",""en"")"),"Crispy Fried Chicken Satisfies Thirst")</f>
        <v>Crispy Fried Chicken Satisfies Thirst</v>
      </c>
      <c r="C819" s="8" t="s">
        <v>13</v>
      </c>
      <c r="D819" s="8" t="s">
        <v>14</v>
      </c>
      <c r="E819" s="8">
        <v>1</v>
      </c>
    </row>
    <row r="820" spans="1:5" ht="15.75" customHeight="1" x14ac:dyDescent="0.25">
      <c r="A820" s="6" t="s">
        <v>825</v>
      </c>
      <c r="B820" s="6" t="str">
        <f ca="1">IFERROR(__xludf.DUMMYFUNCTION("GOOGLETRANSLATE(A820,""bn"",""en"")"),"My father used to perform the duties of the imam of the mosque in Rameswaram")</f>
        <v>My father used to perform the duties of the imam of the mosque in Rameswaram</v>
      </c>
      <c r="C820" s="8" t="s">
        <v>13</v>
      </c>
      <c r="D820" s="8" t="s">
        <v>14</v>
      </c>
      <c r="E820" s="8">
        <v>1</v>
      </c>
    </row>
    <row r="821" spans="1:5" ht="15.75" customHeight="1" x14ac:dyDescent="0.25">
      <c r="A821" s="6" t="s">
        <v>826</v>
      </c>
      <c r="B821" s="6" t="str">
        <f ca="1">IFERROR(__xludf.DUMMYFUNCTION("GOOGLETRANSLATE(A821,""bn"",""en"")"),"Did the rickshaw puller cheat him?")</f>
        <v>Did the rickshaw puller cheat him?</v>
      </c>
      <c r="C821" s="8" t="s">
        <v>13</v>
      </c>
      <c r="D821" s="8" t="s">
        <v>14</v>
      </c>
      <c r="E821" s="8">
        <v>1</v>
      </c>
    </row>
    <row r="822" spans="1:5" ht="15.75" customHeight="1" x14ac:dyDescent="0.25">
      <c r="A822" s="6" t="s">
        <v>827</v>
      </c>
      <c r="B822" s="6" t="str">
        <f ca="1">IFERROR(__xludf.DUMMYFUNCTION("GOOGLETRANSLATE(A822,""bn"",""en"")"),"When Abbajan's hair is red with henna, this young woman's mind will wander with the young man on a summer trip.")</f>
        <v>When Abbajan's hair is red with henna, this young woman's mind will wander with the young man on a summer trip.</v>
      </c>
      <c r="C822" s="7" t="s">
        <v>6</v>
      </c>
      <c r="D822" s="7" t="s">
        <v>7</v>
      </c>
      <c r="E822" s="7">
        <v>0</v>
      </c>
    </row>
    <row r="823" spans="1:5" ht="15.75" customHeight="1" x14ac:dyDescent="0.25">
      <c r="A823" s="6" t="s">
        <v>828</v>
      </c>
      <c r="B823" s="6" t="str">
        <f ca="1">IFERROR(__xludf.DUMMYFUNCTION("GOOGLETRANSLATE(A823,""bn"",""en"")"),"There is nothing good or bad about appearance, all creations are beautiful")</f>
        <v>There is nothing good or bad about appearance, all creations are beautiful</v>
      </c>
      <c r="C823" s="7" t="s">
        <v>6</v>
      </c>
      <c r="D823" s="7" t="s">
        <v>7</v>
      </c>
      <c r="E823" s="7">
        <v>0</v>
      </c>
    </row>
    <row r="824" spans="1:5" ht="15.75" customHeight="1" x14ac:dyDescent="0.25">
      <c r="A824" s="6" t="s">
        <v>829</v>
      </c>
      <c r="B824" s="6" t="str">
        <f ca="1">IFERROR(__xludf.DUMMYFUNCTION("GOOGLETRANSLATE(A824,""bn"",""en"")"),"As soon as the knowledge is disseminated, its purpose is accomplished")</f>
        <v>As soon as the knowledge is disseminated, its purpose is accomplished</v>
      </c>
      <c r="C824" s="7" t="s">
        <v>6</v>
      </c>
      <c r="D824" s="7" t="s">
        <v>7</v>
      </c>
      <c r="E824" s="7">
        <v>0</v>
      </c>
    </row>
    <row r="825" spans="1:5" ht="15.75" customHeight="1" x14ac:dyDescent="0.25">
      <c r="A825" s="6" t="s">
        <v>830</v>
      </c>
      <c r="B825" s="6" t="str">
        <f ca="1">IFERROR(__xludf.DUMMYFUNCTION("GOOGLETRANSLATE(A825,""bn"",""en"")"),"Navinmadhav Radhamadhava compares the two brothers and criticizes Navinmadhava for Radhamadhava's reputation for intellectual nature.")</f>
        <v>Navinmadhav Radhamadhava compares the two brothers and criticizes Navinmadhava for Radhamadhava's reputation for intellectual nature.</v>
      </c>
      <c r="C825" s="7" t="s">
        <v>6</v>
      </c>
      <c r="D825" s="7" t="s">
        <v>7</v>
      </c>
      <c r="E825" s="7">
        <v>0</v>
      </c>
    </row>
    <row r="826" spans="1:5" ht="15.75" customHeight="1" x14ac:dyDescent="0.25">
      <c r="A826" s="6" t="s">
        <v>831</v>
      </c>
      <c r="B826" s="6" t="str">
        <f ca="1">IFERROR(__xludf.DUMMYFUNCTION("GOOGLETRANSLATE(A826,""bn"",""en"")"),"Upinada went home depending on him")</f>
        <v>Upinada went home depending on him</v>
      </c>
      <c r="C826" s="7" t="s">
        <v>6</v>
      </c>
      <c r="D826" s="7" t="s">
        <v>7</v>
      </c>
      <c r="E826" s="7">
        <v>0</v>
      </c>
    </row>
    <row r="827" spans="1:5" ht="15.75" customHeight="1" x14ac:dyDescent="0.25">
      <c r="A827" s="6" t="s">
        <v>832</v>
      </c>
      <c r="B827" s="6" t="str">
        <f ca="1">IFERROR(__xludf.DUMMYFUNCTION("GOOGLETRANSLATE(A827,""bn"",""en"")"),"Many people used to wait for me when I would take the newspaper")</f>
        <v>Many people used to wait for me when I would take the newspaper</v>
      </c>
      <c r="C827" s="8" t="s">
        <v>13</v>
      </c>
      <c r="D827" s="8" t="s">
        <v>14</v>
      </c>
      <c r="E827" s="8">
        <v>1</v>
      </c>
    </row>
    <row r="828" spans="1:5" ht="15.75" customHeight="1" x14ac:dyDescent="0.25">
      <c r="A828" s="6" t="s">
        <v>833</v>
      </c>
      <c r="B828" s="6" t="str">
        <f ca="1">IFERROR(__xludf.DUMMYFUNCTION("GOOGLETRANSLATE(A828,""bn"",""en"")"),"Sunlight filters through the dense canopy and casts subtle shadows on the forest floor")</f>
        <v>Sunlight filters through the dense canopy and casts subtle shadows on the forest floor</v>
      </c>
      <c r="C828" s="8" t="s">
        <v>13</v>
      </c>
      <c r="D828" s="8" t="s">
        <v>14</v>
      </c>
      <c r="E828" s="8">
        <v>1</v>
      </c>
    </row>
    <row r="829" spans="1:5" ht="15.75" customHeight="1" x14ac:dyDescent="0.25">
      <c r="A829" s="6" t="s">
        <v>834</v>
      </c>
      <c r="B829" s="6" t="str">
        <f ca="1">IFERROR(__xludf.DUMMYFUNCTION("GOOGLETRANSLATE(A829,""bn"",""en"")"),"Rahim Karim will go for a visit")</f>
        <v>Rahim Karim will go for a visit</v>
      </c>
      <c r="C829" s="8" t="s">
        <v>13</v>
      </c>
      <c r="D829" s="8" t="s">
        <v>14</v>
      </c>
      <c r="E829" s="8">
        <v>1</v>
      </c>
    </row>
    <row r="830" spans="1:5" ht="15.75" customHeight="1" x14ac:dyDescent="0.25">
      <c r="A830" s="6" t="s">
        <v>835</v>
      </c>
      <c r="B830" s="6" t="str">
        <f ca="1">IFERROR(__xludf.DUMMYFUNCTION("GOOGLETRANSLATE(A830,""bn"",""en"")"),"Friends in school life like this name together")</f>
        <v>Friends in school life like this name together</v>
      </c>
      <c r="C830" s="8" t="s">
        <v>13</v>
      </c>
      <c r="D830" s="8" t="s">
        <v>14</v>
      </c>
      <c r="E830" s="8">
        <v>1</v>
      </c>
    </row>
    <row r="831" spans="1:5" ht="15.75" customHeight="1" x14ac:dyDescent="0.25">
      <c r="A831" s="6" t="s">
        <v>836</v>
      </c>
      <c r="B831" s="6" t="str">
        <f ca="1">IFERROR(__xludf.DUMMYFUNCTION("GOOGLETRANSLATE(A831,""bn"",""en"")"),"Asset allocation is an important strategy for managing investment risk")</f>
        <v>Asset allocation is an important strategy for managing investment risk</v>
      </c>
      <c r="C831" s="8" t="s">
        <v>13</v>
      </c>
      <c r="D831" s="8" t="s">
        <v>14</v>
      </c>
      <c r="E831" s="8">
        <v>1</v>
      </c>
    </row>
    <row r="832" spans="1:5" ht="15.75" customHeight="1" x14ac:dyDescent="0.25">
      <c r="A832" s="6" t="s">
        <v>837</v>
      </c>
      <c r="B832" s="6" t="str">
        <f ca="1">IFERROR(__xludf.DUMMYFUNCTION("GOOGLETRANSLATE(A832,""bn"",""en"")"),"Both of them laughed")</f>
        <v>Both of them laughed</v>
      </c>
      <c r="C832" s="7" t="s">
        <v>6</v>
      </c>
      <c r="D832" s="7" t="s">
        <v>7</v>
      </c>
      <c r="E832" s="7">
        <v>0</v>
      </c>
    </row>
    <row r="833" spans="1:5" ht="15.75" customHeight="1" x14ac:dyDescent="0.25">
      <c r="A833" s="6" t="s">
        <v>838</v>
      </c>
      <c r="B833" s="6" t="str">
        <f ca="1">IFERROR(__xludf.DUMMYFUNCTION("GOOGLETRANSLATE(A833,""bn"",""en"")"),"It must be said at this point that there are no cows other than buffalo in this region")</f>
        <v>It must be said at this point that there are no cows other than buffalo in this region</v>
      </c>
      <c r="C833" s="7" t="s">
        <v>6</v>
      </c>
      <c r="D833" s="7" t="s">
        <v>7</v>
      </c>
      <c r="E833" s="7">
        <v>0</v>
      </c>
    </row>
    <row r="834" spans="1:5" ht="15.75" customHeight="1" x14ac:dyDescent="0.25">
      <c r="A834" s="6" t="s">
        <v>839</v>
      </c>
      <c r="B834" s="6" t="str">
        <f ca="1">IFERROR(__xludf.DUMMYFUNCTION("GOOGLETRANSLATE(A834,""bn"",""en"")"),"I requested my mother to go on this holiday.")</f>
        <v>I requested my mother to go on this holiday.</v>
      </c>
      <c r="C834" s="7" t="s">
        <v>6</v>
      </c>
      <c r="D834" s="7" t="s">
        <v>7</v>
      </c>
      <c r="E834" s="7">
        <v>0</v>
      </c>
    </row>
    <row r="835" spans="1:5" ht="15.75" customHeight="1" x14ac:dyDescent="0.25">
      <c r="A835" s="6" t="s">
        <v>840</v>
      </c>
      <c r="B835" s="6" t="str">
        <f ca="1">IFERROR(__xludf.DUMMYFUNCTION("GOOGLETRANSLATE(A835,""bn"",""en"")"),"The banks of the canal in front of the banyan trees are very steep")</f>
        <v>The banks of the canal in front of the banyan trees are very steep</v>
      </c>
      <c r="C835" s="7" t="s">
        <v>6</v>
      </c>
      <c r="D835" s="7" t="s">
        <v>7</v>
      </c>
      <c r="E835" s="7">
        <v>0</v>
      </c>
    </row>
    <row r="836" spans="1:5" ht="15.75" customHeight="1" x14ac:dyDescent="0.25">
      <c r="A836" s="6" t="s">
        <v>841</v>
      </c>
      <c r="B836" s="6" t="str">
        <f ca="1">IFERROR(__xludf.DUMMYFUNCTION("GOOGLETRANSLATE(A836,""bn"",""en"")"),"Entered Palamau in the afternoon and started to pass through the forest to see the mountain ranges on both sides.")</f>
        <v>Entered Palamau in the afternoon and started to pass through the forest to see the mountain ranges on both sides.</v>
      </c>
      <c r="C836" s="7" t="s">
        <v>6</v>
      </c>
      <c r="D836" s="7" t="s">
        <v>7</v>
      </c>
      <c r="E836" s="7">
        <v>0</v>
      </c>
    </row>
    <row r="837" spans="1:5" ht="15.75" customHeight="1" x14ac:dyDescent="0.25">
      <c r="A837" s="6" t="s">
        <v>842</v>
      </c>
      <c r="B837" s="6" t="str">
        <f ca="1">IFERROR(__xludf.DUMMYFUNCTION("GOOGLETRANSLATE(A837,""bn"",""en"")"),"I am carpooling with my colleagues to reduce our commuting expenses")</f>
        <v>I am carpooling with my colleagues to reduce our commuting expenses</v>
      </c>
      <c r="C837" s="8" t="s">
        <v>13</v>
      </c>
      <c r="D837" s="8" t="s">
        <v>14</v>
      </c>
      <c r="E837" s="8">
        <v>1</v>
      </c>
    </row>
    <row r="838" spans="1:5" ht="15.75" customHeight="1" x14ac:dyDescent="0.25">
      <c r="A838" s="6" t="s">
        <v>843</v>
      </c>
      <c r="B838" s="6" t="str">
        <f ca="1">IFERROR(__xludf.DUMMYFUNCTION("GOOGLETRANSLATE(A838,""bn"",""en"")"),"Sometimes he flaps his wings")</f>
        <v>Sometimes he flaps his wings</v>
      </c>
      <c r="C838" s="8" t="s">
        <v>13</v>
      </c>
      <c r="D838" s="8" t="s">
        <v>14</v>
      </c>
      <c r="E838" s="8">
        <v>1</v>
      </c>
    </row>
    <row r="839" spans="1:5" ht="15.75" customHeight="1" x14ac:dyDescent="0.25">
      <c r="A839" s="6" t="s">
        <v>844</v>
      </c>
      <c r="B839" s="6" t="str">
        <f ca="1">IFERROR(__xludf.DUMMYFUNCTION("GOOGLETRANSLATE(A839,""bn"",""en"")"),"Soon after evening he sat in his room to read")</f>
        <v>Soon after evening he sat in his room to read</v>
      </c>
      <c r="C839" s="8" t="s">
        <v>13</v>
      </c>
      <c r="D839" s="8" t="s">
        <v>14</v>
      </c>
      <c r="E839" s="8">
        <v>1</v>
      </c>
    </row>
    <row r="840" spans="1:5" ht="15.75" customHeight="1" x14ac:dyDescent="0.25">
      <c r="A840" s="6" t="s">
        <v>845</v>
      </c>
      <c r="B840" s="6" t="str">
        <f ca="1">IFERROR(__xludf.DUMMYFUNCTION("GOOGLETRANSLATE(A840,""bn"",""en"")"),"Readers took it positively")</f>
        <v>Readers took it positively</v>
      </c>
      <c r="C840" s="8" t="s">
        <v>13</v>
      </c>
      <c r="D840" s="8" t="s">
        <v>14</v>
      </c>
      <c r="E840" s="8">
        <v>1</v>
      </c>
    </row>
    <row r="841" spans="1:5" ht="15.75" customHeight="1" x14ac:dyDescent="0.25">
      <c r="A841" s="6" t="s">
        <v>846</v>
      </c>
      <c r="B841" s="6" t="str">
        <f ca="1">IFERROR(__xludf.DUMMYFUNCTION("GOOGLETRANSLATE(A841,""bn"",""en"")"),"Real estate markets typically weaken before recessions")</f>
        <v>Real estate markets typically weaken before recessions</v>
      </c>
      <c r="C841" s="8" t="s">
        <v>13</v>
      </c>
      <c r="D841" s="8" t="s">
        <v>14</v>
      </c>
      <c r="E841" s="8">
        <v>1</v>
      </c>
    </row>
    <row r="842" spans="1:5" ht="15.75" customHeight="1" x14ac:dyDescent="0.25">
      <c r="A842" s="6" t="s">
        <v>847</v>
      </c>
      <c r="B842" s="6" t="str">
        <f ca="1">IFERROR(__xludf.DUMMYFUNCTION("GOOGLETRANSLATE(A842,""bn"",""en"")"),"In the last yard, he put his hand on a big stone and said let's push it here")</f>
        <v>In the last yard, he put his hand on a big stone and said let's push it here</v>
      </c>
      <c r="C842" s="7" t="s">
        <v>6</v>
      </c>
      <c r="D842" s="7" t="s">
        <v>7</v>
      </c>
      <c r="E842" s="7">
        <v>0</v>
      </c>
    </row>
    <row r="843" spans="1:5" ht="15.75" customHeight="1" x14ac:dyDescent="0.25">
      <c r="A843" s="6" t="s">
        <v>848</v>
      </c>
      <c r="B843" s="6" t="str">
        <f ca="1">IFERROR(__xludf.DUMMYFUNCTION("GOOGLETRANSLATE(A843,""bn"",""en"")"),"Or just remembered for a moment")</f>
        <v>Or just remembered for a moment</v>
      </c>
      <c r="C843" s="7" t="s">
        <v>6</v>
      </c>
      <c r="D843" s="7" t="s">
        <v>7</v>
      </c>
      <c r="E843" s="7">
        <v>0</v>
      </c>
    </row>
    <row r="844" spans="1:5" ht="15.75" customHeight="1" x14ac:dyDescent="0.25">
      <c r="A844" s="6" t="s">
        <v>849</v>
      </c>
      <c r="B844" s="6" t="str">
        <f ca="1">IFERROR(__xludf.DUMMYFUNCTION("GOOGLETRANSLATE(A844,""bn"",""en"")"),"Everyone, big or small, has to answer to him one day")</f>
        <v>Everyone, big or small, has to answer to him one day</v>
      </c>
      <c r="C844" s="7" t="s">
        <v>6</v>
      </c>
      <c r="D844" s="7" t="s">
        <v>7</v>
      </c>
      <c r="E844" s="7">
        <v>0</v>
      </c>
    </row>
    <row r="845" spans="1:5" ht="15.75" customHeight="1" x14ac:dyDescent="0.25">
      <c r="A845" s="6" t="s">
        <v>850</v>
      </c>
      <c r="B845" s="6" t="str">
        <f ca="1">IFERROR(__xludf.DUMMYFUNCTION("GOOGLETRANSLATE(A845,""bn"",""en"")"),"I turned back and saw no one")</f>
        <v>I turned back and saw no one</v>
      </c>
      <c r="C845" s="7" t="s">
        <v>6</v>
      </c>
      <c r="D845" s="7" t="s">
        <v>7</v>
      </c>
      <c r="E845" s="7">
        <v>0</v>
      </c>
    </row>
    <row r="846" spans="1:5" ht="15.75" customHeight="1" x14ac:dyDescent="0.25">
      <c r="A846" s="6" t="s">
        <v>851</v>
      </c>
      <c r="B846" s="6" t="str">
        <f ca="1">IFERROR(__xludf.DUMMYFUNCTION("GOOGLETRANSLATE(A846,""bn"",""en"")"),"I used to play sports with my mind like a boy")</f>
        <v>I used to play sports with my mind like a boy</v>
      </c>
      <c r="C846" s="7" t="s">
        <v>6</v>
      </c>
      <c r="D846" s="7" t="s">
        <v>7</v>
      </c>
      <c r="E846" s="7">
        <v>0</v>
      </c>
    </row>
    <row r="847" spans="1:5" ht="15.75" customHeight="1" x14ac:dyDescent="0.25">
      <c r="A847" s="6" t="s">
        <v>852</v>
      </c>
      <c r="B847" s="6" t="str">
        <f ca="1">IFERROR(__xludf.DUMMYFUNCTION("GOOGLETRANSLATE(A847,""bn"",""en"")"),"Natural gas is gas obtained from mines")</f>
        <v>Natural gas is gas obtained from mines</v>
      </c>
      <c r="C847" s="8" t="s">
        <v>13</v>
      </c>
      <c r="D847" s="8" t="s">
        <v>14</v>
      </c>
      <c r="E847" s="8">
        <v>1</v>
      </c>
    </row>
    <row r="848" spans="1:5" ht="15.75" customHeight="1" x14ac:dyDescent="0.25">
      <c r="A848" s="6" t="s">
        <v>853</v>
      </c>
      <c r="B848" s="6" t="str">
        <f ca="1">IFERROR(__xludf.DUMMYFUNCTION("GOOGLETRANSLATE(A848,""bn"",""en"")"),"He had a conversation with Ramakrishna Paramahamsa")</f>
        <v>He had a conversation with Ramakrishna Paramahamsa</v>
      </c>
      <c r="C848" s="8" t="s">
        <v>13</v>
      </c>
      <c r="D848" s="8" t="s">
        <v>14</v>
      </c>
      <c r="E848" s="8">
        <v>1</v>
      </c>
    </row>
    <row r="849" spans="1:5" ht="15.75" customHeight="1" x14ac:dyDescent="0.25">
      <c r="A849" s="6" t="s">
        <v>854</v>
      </c>
      <c r="B849" s="6" t="str">
        <f ca="1">IFERROR(__xludf.DUMMYFUNCTION("GOOGLETRANSLATE(A849,""bn"",""en"")"),"My uncle always makes me laugh")</f>
        <v>My uncle always makes me laugh</v>
      </c>
      <c r="C849" s="8" t="s">
        <v>13</v>
      </c>
      <c r="D849" s="8" t="s">
        <v>14</v>
      </c>
      <c r="E849" s="8">
        <v>1</v>
      </c>
    </row>
    <row r="850" spans="1:5" ht="15.75" customHeight="1" x14ac:dyDescent="0.25">
      <c r="A850" s="6" t="s">
        <v>855</v>
      </c>
      <c r="B850" s="6" t="str">
        <f ca="1">IFERROR(__xludf.DUMMYFUNCTION("GOOGLETRANSLATE(A850,""bn"",""en"")"),"Regret past mistakes")</f>
        <v>Regret past mistakes</v>
      </c>
      <c r="C850" s="8" t="s">
        <v>13</v>
      </c>
      <c r="D850" s="8" t="s">
        <v>14</v>
      </c>
      <c r="E850" s="8">
        <v>1</v>
      </c>
    </row>
    <row r="851" spans="1:5" ht="15.75" customHeight="1" x14ac:dyDescent="0.25">
      <c r="A851" s="6" t="s">
        <v>856</v>
      </c>
      <c r="B851" s="6" t="str">
        <f ca="1">IFERROR(__xludf.DUMMYFUNCTION("GOOGLETRANSLATE(A851,""bn"",""en"")"),"The nutmeg spiced dessert evokes the warmth of the holidays")</f>
        <v>The nutmeg spiced dessert evokes the warmth of the holidays</v>
      </c>
      <c r="C851" s="8" t="s">
        <v>13</v>
      </c>
      <c r="D851" s="8" t="s">
        <v>14</v>
      </c>
      <c r="E851" s="8">
        <v>1</v>
      </c>
    </row>
    <row r="852" spans="1:5" ht="15.75" customHeight="1" x14ac:dyDescent="0.25">
      <c r="A852" s="6" t="s">
        <v>857</v>
      </c>
      <c r="B852" s="6" t="str">
        <f ca="1">IFERROR(__xludf.DUMMYFUNCTION("GOOGLETRANSLATE(A852,""bn"",""en"")"),"In a moment, Shashi felt that Haru's afterlife was getting sadder in their words.")</f>
        <v>In a moment, Shashi felt that Haru's afterlife was getting sadder in their words.</v>
      </c>
      <c r="C852" s="7" t="s">
        <v>6</v>
      </c>
      <c r="D852" s="7" t="s">
        <v>7</v>
      </c>
      <c r="E852" s="7">
        <v>0</v>
      </c>
    </row>
    <row r="853" spans="1:5" ht="15.75" customHeight="1" x14ac:dyDescent="0.25">
      <c r="A853" s="6" t="s">
        <v>858</v>
      </c>
      <c r="B853" s="6" t="str">
        <f ca="1">IFERROR(__xludf.DUMMYFUNCTION("GOOGLETRANSLATE(A853,""bn"",""en"")"),"The discussion that was started was not finished")</f>
        <v>The discussion that was started was not finished</v>
      </c>
      <c r="C853" s="7" t="s">
        <v>6</v>
      </c>
      <c r="D853" s="7" t="s">
        <v>7</v>
      </c>
      <c r="E853" s="7">
        <v>0</v>
      </c>
    </row>
    <row r="854" spans="1:5" ht="15.75" customHeight="1" x14ac:dyDescent="0.25">
      <c r="A854" s="6" t="s">
        <v>859</v>
      </c>
      <c r="B854" s="6" t="str">
        <f ca="1">IFERROR(__xludf.DUMMYFUNCTION("GOOGLETRANSLATE(A854,""bn"",""en"")"),"One by one all the virgins of the village came to that room after evening")</f>
        <v>One by one all the virgins of the village came to that room after evening</v>
      </c>
      <c r="C854" s="7" t="s">
        <v>6</v>
      </c>
      <c r="D854" s="7" t="s">
        <v>7</v>
      </c>
      <c r="E854" s="7">
        <v>0</v>
      </c>
    </row>
    <row r="855" spans="1:5" ht="15.75" customHeight="1" x14ac:dyDescent="0.25">
      <c r="A855" s="6" t="s">
        <v>860</v>
      </c>
      <c r="B855" s="6" t="str">
        <f ca="1">IFERROR(__xludf.DUMMYFUNCTION("GOOGLETRANSLATE(A855,""bn"",""en"")"),"Tolerating interference from outsiders in that right is injustice to oneself")</f>
        <v>Tolerating interference from outsiders in that right is injustice to oneself</v>
      </c>
      <c r="C855" s="7" t="s">
        <v>6</v>
      </c>
      <c r="D855" s="7" t="s">
        <v>7</v>
      </c>
      <c r="E855" s="7">
        <v>0</v>
      </c>
    </row>
    <row r="856" spans="1:5" ht="15.75" customHeight="1" x14ac:dyDescent="0.25">
      <c r="A856" s="6" t="s">
        <v>861</v>
      </c>
      <c r="B856" s="6" t="str">
        <f ca="1">IFERROR(__xludf.DUMMYFUNCTION("GOOGLETRANSLATE(A856,""bn"",""en"")"),"How long does it take to meet dear colleagues?")</f>
        <v>How long does it take to meet dear colleagues?</v>
      </c>
      <c r="C856" s="7" t="s">
        <v>6</v>
      </c>
      <c r="D856" s="7" t="s">
        <v>7</v>
      </c>
      <c r="E856" s="7">
        <v>0</v>
      </c>
    </row>
    <row r="857" spans="1:5" ht="15.75" customHeight="1" x14ac:dyDescent="0.25">
      <c r="A857" s="6" t="s">
        <v>862</v>
      </c>
      <c r="B857" s="6" t="str">
        <f ca="1">IFERROR(__xludf.DUMMYFUNCTION("GOOGLETRANSLATE(A857,""bn"",""en"")"),"Shawn saw me and called me to play")</f>
        <v>Shawn saw me and called me to play</v>
      </c>
      <c r="C857" s="8" t="s">
        <v>13</v>
      </c>
      <c r="D857" s="8" t="s">
        <v>14</v>
      </c>
      <c r="E857" s="8">
        <v>1</v>
      </c>
    </row>
    <row r="858" spans="1:5" ht="15.75" customHeight="1" x14ac:dyDescent="0.25">
      <c r="A858" s="6" t="s">
        <v>863</v>
      </c>
      <c r="B858" s="6" t="str">
        <f ca="1">IFERROR(__xludf.DUMMYFUNCTION("GOOGLETRANSLATE(A858,""bn"",""en"")"),"A barista makes coffee for customers in a cafe")</f>
        <v>A barista makes coffee for customers in a cafe</v>
      </c>
      <c r="C858" s="8" t="s">
        <v>13</v>
      </c>
      <c r="D858" s="8" t="s">
        <v>14</v>
      </c>
      <c r="E858" s="8">
        <v>1</v>
      </c>
    </row>
    <row r="859" spans="1:5" ht="15.75" customHeight="1" x14ac:dyDescent="0.25">
      <c r="A859" s="6" t="s">
        <v>864</v>
      </c>
      <c r="B859" s="6" t="str">
        <f ca="1">IFERROR(__xludf.DUMMYFUNCTION("GOOGLETRANSLATE(A859,""bn"",""en"")"),"They were similar to his character in the film")</f>
        <v>They were similar to his character in the film</v>
      </c>
      <c r="C859" s="8" t="s">
        <v>13</v>
      </c>
      <c r="D859" s="8" t="s">
        <v>14</v>
      </c>
      <c r="E859" s="8">
        <v>1</v>
      </c>
    </row>
    <row r="860" spans="1:5" ht="15.75" customHeight="1" x14ac:dyDescent="0.25">
      <c r="A860" s="6" t="s">
        <v>865</v>
      </c>
      <c r="B860" s="6" t="str">
        <f ca="1">IFERROR(__xludf.DUMMYFUNCTION("GOOGLETRANSLATE(A860,""bn"",""en"")"),"Emotional intelligence enhances effective leadership team dynamics")</f>
        <v>Emotional intelligence enhances effective leadership team dynamics</v>
      </c>
      <c r="C860" s="8" t="s">
        <v>13</v>
      </c>
      <c r="D860" s="8" t="s">
        <v>14</v>
      </c>
      <c r="E860" s="8">
        <v>1</v>
      </c>
    </row>
    <row r="861" spans="1:5" ht="15.75" customHeight="1" x14ac:dyDescent="0.25">
      <c r="A861" s="6" t="s">
        <v>866</v>
      </c>
      <c r="B861" s="6" t="str">
        <f ca="1">IFERROR(__xludf.DUMMYFUNCTION("GOOGLETRANSLATE(A861,""bn"",""en"")"),"The first such war was the Sino-Soviet border conflict of 2006")</f>
        <v>The first such war was the Sino-Soviet border conflict of 2006</v>
      </c>
      <c r="C861" s="8" t="s">
        <v>13</v>
      </c>
      <c r="D861" s="8" t="s">
        <v>14</v>
      </c>
      <c r="E861" s="8">
        <v>1</v>
      </c>
    </row>
    <row r="862" spans="1:5" ht="15.75" customHeight="1" x14ac:dyDescent="0.25">
      <c r="A862" s="6" t="s">
        <v>867</v>
      </c>
      <c r="B862" s="6" t="str">
        <f ca="1">IFERROR(__xludf.DUMMYFUNCTION("GOOGLETRANSLATE(A862,""bn"",""en"")"),"How long do you not go to work?")</f>
        <v>How long do you not go to work?</v>
      </c>
      <c r="C862" s="7" t="s">
        <v>6</v>
      </c>
      <c r="D862" s="7" t="s">
        <v>7</v>
      </c>
      <c r="E862" s="7">
        <v>0</v>
      </c>
    </row>
    <row r="863" spans="1:5" ht="15.75" customHeight="1" x14ac:dyDescent="0.25">
      <c r="A863" s="6" t="s">
        <v>868</v>
      </c>
      <c r="B863" s="6" t="str">
        <f ca="1">IFERROR(__xludf.DUMMYFUNCTION("GOOGLETRANSLATE(A863,""bn"",""en"")"),"He must have thought that this bird was a descendant of Radhakunja's educated bird")</f>
        <v>He must have thought that this bird was a descendant of Radhakunja's educated bird</v>
      </c>
      <c r="C863" s="7" t="s">
        <v>6</v>
      </c>
      <c r="D863" s="7" t="s">
        <v>7</v>
      </c>
      <c r="E863" s="7">
        <v>0</v>
      </c>
    </row>
    <row r="864" spans="1:5" ht="15.75" customHeight="1" x14ac:dyDescent="0.25">
      <c r="A864" s="6" t="s">
        <v>869</v>
      </c>
      <c r="B864" s="6" t="str">
        <f ca="1">IFERROR(__xludf.DUMMYFUNCTION("GOOGLETRANSLATE(A864,""bn"",""en"")"),"In fact, he has not been in good health all day due to worry, nor has he made much contact with his sons.")</f>
        <v>In fact, he has not been in good health all day due to worry, nor has he made much contact with his sons.</v>
      </c>
      <c r="C864" s="7" t="s">
        <v>6</v>
      </c>
      <c r="D864" s="7" t="s">
        <v>7</v>
      </c>
      <c r="E864" s="7">
        <v>0</v>
      </c>
    </row>
    <row r="865" spans="1:5" ht="15.75" customHeight="1" x14ac:dyDescent="0.25">
      <c r="A865" s="6" t="s">
        <v>870</v>
      </c>
      <c r="B865" s="6" t="str">
        <f ca="1">IFERROR(__xludf.DUMMYFUNCTION("GOOGLETRANSLATE(A865,""bn"",""en"")"),"I realized by heart how much he used")</f>
        <v>I realized by heart how much he used</v>
      </c>
      <c r="C865" s="7" t="s">
        <v>6</v>
      </c>
      <c r="D865" s="7" t="s">
        <v>7</v>
      </c>
      <c r="E865" s="7">
        <v>0</v>
      </c>
    </row>
    <row r="866" spans="1:5" ht="15.75" customHeight="1" x14ac:dyDescent="0.25">
      <c r="A866" s="6" t="s">
        <v>871</v>
      </c>
      <c r="B866" s="6" t="str">
        <f ca="1">IFERROR(__xludf.DUMMYFUNCTION("GOOGLETRANSLATE(A866,""bn"",""en"")"),"He will follow such a strategy that the boys will not know about this before his death")</f>
        <v>He will follow such a strategy that the boys will not know about this before his death</v>
      </c>
      <c r="C866" s="7" t="s">
        <v>6</v>
      </c>
      <c r="D866" s="7" t="s">
        <v>7</v>
      </c>
      <c r="E866" s="7">
        <v>0</v>
      </c>
    </row>
    <row r="867" spans="1:5" ht="15.75" customHeight="1" x14ac:dyDescent="0.25">
      <c r="A867" s="6" t="s">
        <v>872</v>
      </c>
      <c r="B867" s="6" t="str">
        <f ca="1">IFERROR(__xludf.DUMMYFUNCTION("GOOGLETRANSLATE(A867,""bn"",""en"")"),"Hydroponics grows plants without soil using nutrient solutions in a controlled environment")</f>
        <v>Hydroponics grows plants without soil using nutrient solutions in a controlled environment</v>
      </c>
      <c r="C867" s="8" t="s">
        <v>13</v>
      </c>
      <c r="D867" s="8" t="s">
        <v>14</v>
      </c>
      <c r="E867" s="8">
        <v>1</v>
      </c>
    </row>
    <row r="868" spans="1:5" ht="15.75" customHeight="1" x14ac:dyDescent="0.25">
      <c r="A868" s="6" t="s">
        <v>873</v>
      </c>
      <c r="B868" s="6" t="str">
        <f ca="1">IFERROR(__xludf.DUMMYFUNCTION("GOOGLETRANSLATE(A868,""bn"",""en"")"),"The user interface of the app was intuitive and easy to navigate")</f>
        <v>The user interface of the app was intuitive and easy to navigate</v>
      </c>
      <c r="C868" s="8" t="s">
        <v>13</v>
      </c>
      <c r="D868" s="8" t="s">
        <v>14</v>
      </c>
      <c r="E868" s="8">
        <v>1</v>
      </c>
    </row>
    <row r="869" spans="1:5" ht="15.75" customHeight="1" x14ac:dyDescent="0.25">
      <c r="A869" s="6" t="s">
        <v>874</v>
      </c>
      <c r="B869" s="6" t="str">
        <f ca="1">IFERROR(__xludf.DUMMYFUNCTION("GOOGLETRANSLATE(A869,""bn"",""en"")"),"Scaling the ancient pyramids, they marveled at the ingenuity of a long-gone civilization")</f>
        <v>Scaling the ancient pyramids, they marveled at the ingenuity of a long-gone civilization</v>
      </c>
      <c r="C869" s="8" t="s">
        <v>13</v>
      </c>
      <c r="D869" s="8" t="s">
        <v>14</v>
      </c>
      <c r="E869" s="8">
        <v>1</v>
      </c>
    </row>
    <row r="870" spans="1:5" ht="15.75" customHeight="1" x14ac:dyDescent="0.25">
      <c r="A870" s="6" t="s">
        <v>875</v>
      </c>
      <c r="B870" s="6" t="str">
        <f ca="1">IFERROR(__xludf.DUMMYFUNCTION("GOOGLETRANSLATE(A870,""bn"",""en"")"),"Practice Forgiveness Holding a grudge only hurts you")</f>
        <v>Practice Forgiveness Holding a grudge only hurts you</v>
      </c>
      <c r="C870" s="8" t="s">
        <v>13</v>
      </c>
      <c r="D870" s="8" t="s">
        <v>14</v>
      </c>
      <c r="E870" s="8">
        <v>1</v>
      </c>
    </row>
    <row r="871" spans="1:5" ht="15.75" customHeight="1" x14ac:dyDescent="0.25">
      <c r="A871" s="6" t="s">
        <v>876</v>
      </c>
      <c r="B871" s="6" t="str">
        <f ca="1">IFERROR(__xludf.DUMMYFUNCTION("GOOGLETRANSLATE(A871,""bn"",""en"")"),"Some such software like Techmax etc")</f>
        <v>Some such software like Techmax etc</v>
      </c>
      <c r="C871" s="8" t="s">
        <v>13</v>
      </c>
      <c r="D871" s="8" t="s">
        <v>14</v>
      </c>
      <c r="E871" s="8">
        <v>1</v>
      </c>
    </row>
    <row r="872" spans="1:5" ht="15.75" customHeight="1" x14ac:dyDescent="0.25">
      <c r="A872" s="6" t="s">
        <v>877</v>
      </c>
      <c r="B872" s="6" t="str">
        <f ca="1">IFERROR(__xludf.DUMMYFUNCTION("GOOGLETRANSLATE(A872,""bn"",""en"")"),"The Aryas, helpless, would only call upon Indra, and sometimes they would gather in force and beat each other.")</f>
        <v>The Aryas, helpless, would only call upon Indra, and sometimes they would gather in force and beat each other.</v>
      </c>
      <c r="C872" s="7" t="s">
        <v>6</v>
      </c>
      <c r="D872" s="7" t="s">
        <v>7</v>
      </c>
      <c r="E872" s="7">
        <v>0</v>
      </c>
    </row>
    <row r="873" spans="1:5" ht="15.75" customHeight="1" x14ac:dyDescent="0.25">
      <c r="A873" s="6" t="s">
        <v>878</v>
      </c>
      <c r="B873" s="6" t="str">
        <f ca="1">IFERROR(__xludf.DUMMYFUNCTION("GOOGLETRANSLATE(A873,""bn"",""en"")"),"It looked like she was about to cry")</f>
        <v>It looked like she was about to cry</v>
      </c>
      <c r="C873" s="7" t="s">
        <v>6</v>
      </c>
      <c r="D873" s="7" t="s">
        <v>7</v>
      </c>
      <c r="E873" s="7">
        <v>0</v>
      </c>
    </row>
    <row r="874" spans="1:5" ht="15.75" customHeight="1" x14ac:dyDescent="0.25">
      <c r="A874" s="6" t="s">
        <v>879</v>
      </c>
      <c r="B874" s="6" t="str">
        <f ca="1">IFERROR(__xludf.DUMMYFUNCTION("GOOGLETRANSLATE(A874,""bn"",""en"")"),"There they asked me")</f>
        <v>There they asked me</v>
      </c>
      <c r="C874" s="7" t="s">
        <v>6</v>
      </c>
      <c r="D874" s="7" t="s">
        <v>7</v>
      </c>
      <c r="E874" s="7">
        <v>0</v>
      </c>
    </row>
    <row r="875" spans="1:5" ht="15.75" customHeight="1" x14ac:dyDescent="0.25">
      <c r="A875" s="6" t="s">
        <v>880</v>
      </c>
      <c r="B875" s="6" t="str">
        <f ca="1">IFERROR(__xludf.DUMMYFUNCTION("GOOGLETRANSLATE(A875,""bn"",""en"")"),"I won't try to force you to meet a young man if you want to break his heart.")</f>
        <v>I won't try to force you to meet a young man if you want to break his heart.</v>
      </c>
      <c r="C875" s="7" t="s">
        <v>6</v>
      </c>
      <c r="D875" s="7" t="s">
        <v>7</v>
      </c>
      <c r="E875" s="7">
        <v>0</v>
      </c>
    </row>
    <row r="876" spans="1:5" ht="15.75" customHeight="1" x14ac:dyDescent="0.25">
      <c r="A876" s="6" t="s">
        <v>881</v>
      </c>
      <c r="B876" s="6" t="str">
        <f ca="1">IFERROR(__xludf.DUMMYFUNCTION("GOOGLETRANSLATE(A876,""bn"",""en"")"),"When all the brothers and sisters joined the service, Nazrul started dreaming a little without his knowledge.")</f>
        <v>When all the brothers and sisters joined the service, Nazrul started dreaming a little without his knowledge.</v>
      </c>
      <c r="C876" s="7" t="s">
        <v>6</v>
      </c>
      <c r="D876" s="7" t="s">
        <v>7</v>
      </c>
      <c r="E876" s="7">
        <v>0</v>
      </c>
    </row>
    <row r="877" spans="1:5" ht="15.75" customHeight="1" x14ac:dyDescent="0.25">
      <c r="A877" s="6" t="s">
        <v>882</v>
      </c>
      <c r="B877" s="6" t="str">
        <f ca="1">IFERROR(__xludf.DUMMYFUNCTION("GOOGLETRANSLATE(A877,""bn"",""en"")"),"He returned home without telling me")</f>
        <v>He returned home without telling me</v>
      </c>
      <c r="C877" s="8" t="s">
        <v>13</v>
      </c>
      <c r="D877" s="8" t="s">
        <v>14</v>
      </c>
      <c r="E877" s="8">
        <v>1</v>
      </c>
    </row>
    <row r="878" spans="1:5" ht="15.75" customHeight="1" x14ac:dyDescent="0.25">
      <c r="A878" s="6" t="s">
        <v>883</v>
      </c>
      <c r="B878" s="6" t="str">
        <f ca="1">IFERROR(__xludf.DUMMYFUNCTION("GOOGLETRANSLATE(A878,""bn"",""en"")"),"He came home and saw that there was some commotion there")</f>
        <v>He came home and saw that there was some commotion there</v>
      </c>
      <c r="C878" s="8" t="s">
        <v>13</v>
      </c>
      <c r="D878" s="8" t="s">
        <v>14</v>
      </c>
      <c r="E878" s="8">
        <v>1</v>
      </c>
    </row>
    <row r="879" spans="1:5" ht="15.75" customHeight="1" x14ac:dyDescent="0.25">
      <c r="A879" s="6" t="s">
        <v>884</v>
      </c>
      <c r="B879" s="6" t="str">
        <f ca="1">IFERROR(__xludf.DUMMYFUNCTION("GOOGLETRANSLATE(A879,""bn"",""en"")"),"Prioritize overall wellness through exercise")</f>
        <v>Prioritize overall wellness through exercise</v>
      </c>
      <c r="C879" s="8" t="s">
        <v>13</v>
      </c>
      <c r="D879" s="8" t="s">
        <v>14</v>
      </c>
      <c r="E879" s="8">
        <v>1</v>
      </c>
    </row>
    <row r="880" spans="1:5" ht="15.75" customHeight="1" x14ac:dyDescent="0.25">
      <c r="A880" s="6" t="s">
        <v>885</v>
      </c>
      <c r="B880" s="6" t="str">
        <f ca="1">IFERROR(__xludf.DUMMYFUNCTION("GOOGLETRANSLATE(A880,""bn"",""en"")"),"Deep vein thrombosis is a blood clot that forms in a deep vein, usually in the legs, and can lead to serious complications if left untreated.")</f>
        <v>Deep vein thrombosis is a blood clot that forms in a deep vein, usually in the legs, and can lead to serious complications if left untreated.</v>
      </c>
      <c r="C880" s="8" t="s">
        <v>13</v>
      </c>
      <c r="D880" s="8" t="s">
        <v>14</v>
      </c>
      <c r="E880" s="8">
        <v>1</v>
      </c>
    </row>
    <row r="881" spans="1:5" ht="15.75" customHeight="1" x14ac:dyDescent="0.25">
      <c r="A881" s="6" t="s">
        <v>886</v>
      </c>
      <c r="B881" s="6" t="str">
        <f ca="1">IFERROR(__xludf.DUMMYFUNCTION("GOOGLETRANSLATE(A881,""bn"",""en"")"),"Remember to check your truck's oil")</f>
        <v>Remember to check your truck's oil</v>
      </c>
      <c r="C881" s="8" t="s">
        <v>13</v>
      </c>
      <c r="D881" s="8" t="s">
        <v>14</v>
      </c>
      <c r="E881" s="8">
        <v>1</v>
      </c>
    </row>
    <row r="882" spans="1:5" ht="15.75" customHeight="1" x14ac:dyDescent="0.25">
      <c r="A882" s="6" t="s">
        <v>787</v>
      </c>
      <c r="B882" s="6" t="str">
        <f ca="1">IFERROR(__xludf.DUMMYFUNCTION("GOOGLETRANSLATE(A882,""bn"",""en"")"),"At last the forest was clearly visible")</f>
        <v>At last the forest was clearly visible</v>
      </c>
      <c r="C882" s="7" t="s">
        <v>6</v>
      </c>
      <c r="D882" s="7" t="s">
        <v>7</v>
      </c>
      <c r="E882" s="7">
        <v>0</v>
      </c>
    </row>
    <row r="883" spans="1:5" ht="15.75" customHeight="1" x14ac:dyDescent="0.25">
      <c r="A883" s="6" t="s">
        <v>887</v>
      </c>
      <c r="B883" s="6" t="str">
        <f ca="1">IFERROR(__xludf.DUMMYFUNCTION("GOOGLETRANSLATE(A883,""bn"",""en"")"),"I started seeing only his form")</f>
        <v>I started seeing only his form</v>
      </c>
      <c r="C883" s="7" t="s">
        <v>6</v>
      </c>
      <c r="D883" s="7" t="s">
        <v>7</v>
      </c>
      <c r="E883" s="7">
        <v>0</v>
      </c>
    </row>
    <row r="884" spans="1:5" ht="15.75" customHeight="1" x14ac:dyDescent="0.25">
      <c r="A884" s="6" t="s">
        <v>888</v>
      </c>
      <c r="B884" s="6" t="str">
        <f ca="1">IFERROR(__xludf.DUMMYFUNCTION("GOOGLETRANSLATE(A884,""bn"",""en"")"),"Charges are so stretched that one has to resort to various nefarious tricks to avoid the eyes of the creditors.")</f>
        <v>Charges are so stretched that one has to resort to various nefarious tricks to avoid the eyes of the creditors.</v>
      </c>
      <c r="C884" s="7" t="s">
        <v>6</v>
      </c>
      <c r="D884" s="7" t="s">
        <v>7</v>
      </c>
      <c r="E884" s="7">
        <v>0</v>
      </c>
    </row>
    <row r="885" spans="1:5" ht="15.75" customHeight="1" x14ac:dyDescent="0.25">
      <c r="A885" s="6" t="s">
        <v>889</v>
      </c>
      <c r="B885" s="6" t="str">
        <f ca="1">IFERROR(__xludf.DUMMYFUNCTION("GOOGLETRANSLATE(A885,""bn"",""en"")"),"I am getting worried after going from office to office without being able to find any whereabouts.")</f>
        <v>I am getting worried after going from office to office without being able to find any whereabouts.</v>
      </c>
      <c r="C885" s="7" t="s">
        <v>6</v>
      </c>
      <c r="D885" s="7" t="s">
        <v>7</v>
      </c>
      <c r="E885" s="7">
        <v>0</v>
      </c>
    </row>
    <row r="886" spans="1:5" ht="15.75" customHeight="1" x14ac:dyDescent="0.25">
      <c r="A886" s="6" t="s">
        <v>890</v>
      </c>
      <c r="B886" s="6" t="str">
        <f ca="1">IFERROR(__xludf.DUMMYFUNCTION("GOOGLETRANSLATE(A886,""bn"",""en"")"),"It is the custom of Koljati women to fast by touching their knees")</f>
        <v>It is the custom of Koljati women to fast by touching their knees</v>
      </c>
      <c r="C886" s="7" t="s">
        <v>6</v>
      </c>
      <c r="D886" s="7" t="s">
        <v>7</v>
      </c>
      <c r="E886" s="7">
        <v>0</v>
      </c>
    </row>
    <row r="887" spans="1:5" ht="15.75" customHeight="1" x14ac:dyDescent="0.25">
      <c r="A887" s="6" t="s">
        <v>891</v>
      </c>
      <c r="B887" s="6" t="str">
        <f ca="1">IFERROR(__xludf.DUMMYFUNCTION("GOOGLETRANSLATE(A887,""bn"",""en"")"),"The girl was busy with housework that day")</f>
        <v>The girl was busy with housework that day</v>
      </c>
      <c r="C887" s="8" t="s">
        <v>13</v>
      </c>
      <c r="D887" s="8" t="s">
        <v>14</v>
      </c>
      <c r="E887" s="8">
        <v>1</v>
      </c>
    </row>
    <row r="888" spans="1:5" ht="15.75" customHeight="1" x14ac:dyDescent="0.25">
      <c r="A888" s="6" t="s">
        <v>892</v>
      </c>
      <c r="B888" s="6" t="str">
        <f ca="1">IFERROR(__xludf.DUMMYFUNCTION("GOOGLETRANSLATE(A888,""bn"",""en"")"),"Ali Khamenei is currently the supreme religious leader of Iran")</f>
        <v>Ali Khamenei is currently the supreme religious leader of Iran</v>
      </c>
      <c r="C888" s="8" t="s">
        <v>13</v>
      </c>
      <c r="D888" s="8" t="s">
        <v>14</v>
      </c>
      <c r="E888" s="8">
        <v>1</v>
      </c>
    </row>
    <row r="889" spans="1:5" ht="15.75" customHeight="1" x14ac:dyDescent="0.25">
      <c r="A889" s="6" t="s">
        <v>893</v>
      </c>
      <c r="B889" s="6" t="str">
        <f ca="1">IFERROR(__xludf.DUMMYFUNCTION("GOOGLETRANSLATE(A889,""bn"",""en"")"),"Rahim gets the highest marks in the exam every time")</f>
        <v>Rahim gets the highest marks in the exam every time</v>
      </c>
      <c r="C889" s="8" t="s">
        <v>13</v>
      </c>
      <c r="D889" s="8" t="s">
        <v>14</v>
      </c>
      <c r="E889" s="8">
        <v>1</v>
      </c>
    </row>
    <row r="890" spans="1:5" ht="15.75" customHeight="1" x14ac:dyDescent="0.25">
      <c r="A890" s="6" t="s">
        <v>894</v>
      </c>
      <c r="B890" s="6" t="str">
        <f ca="1">IFERROR(__xludf.DUMMYFUNCTION("GOOGLETRANSLATE(A890,""bn"",""en"")"),"Retweet for good vibes")</f>
        <v>Retweet for good vibes</v>
      </c>
      <c r="C890" s="8" t="s">
        <v>13</v>
      </c>
      <c r="D890" s="8" t="s">
        <v>14</v>
      </c>
      <c r="E890" s="8">
        <v>1</v>
      </c>
    </row>
    <row r="891" spans="1:5" ht="15.75" customHeight="1" x14ac:dyDescent="0.25">
      <c r="A891" s="6" t="s">
        <v>895</v>
      </c>
      <c r="B891" s="6" t="str">
        <f ca="1">IFERROR(__xludf.DUMMYFUNCTION("GOOGLETRANSLATE(A891,""bn"",""en"")"),"Neonatal hypothyroidism known as congenital hypothyroidism if not treated promptly can lead to developmental delay.")</f>
        <v>Neonatal hypothyroidism known as congenital hypothyroidism if not treated promptly can lead to developmental delay.</v>
      </c>
      <c r="C891" s="8" t="s">
        <v>13</v>
      </c>
      <c r="D891" s="8" t="s">
        <v>14</v>
      </c>
      <c r="E891" s="8">
        <v>1</v>
      </c>
    </row>
    <row r="892" spans="1:5" ht="15.75" customHeight="1" x14ac:dyDescent="0.25">
      <c r="A892" s="6" t="s">
        <v>896</v>
      </c>
      <c r="B892" s="6" t="str">
        <f ca="1">IFERROR(__xludf.DUMMYFUNCTION("GOOGLETRANSLATE(A892,""bn"",""en"")"),"After a while, the old man slowly closed his eyes and sighed")</f>
        <v>After a while, the old man slowly closed his eyes and sighed</v>
      </c>
      <c r="C892" s="7" t="s">
        <v>6</v>
      </c>
      <c r="D892" s="7" t="s">
        <v>7</v>
      </c>
      <c r="E892" s="7">
        <v>0</v>
      </c>
    </row>
    <row r="893" spans="1:5" ht="15.75" customHeight="1" x14ac:dyDescent="0.25">
      <c r="A893" s="6" t="s">
        <v>897</v>
      </c>
      <c r="B893" s="6" t="str">
        <f ca="1">IFERROR(__xludf.DUMMYFUNCTION("GOOGLETRANSLATE(A893,""bn"",""en"")"),"Mother came home and sat on the floor with her legs spread")</f>
        <v>Mother came home and sat on the floor with her legs spread</v>
      </c>
      <c r="C893" s="7" t="s">
        <v>6</v>
      </c>
      <c r="D893" s="7" t="s">
        <v>7</v>
      </c>
      <c r="E893" s="7">
        <v>0</v>
      </c>
    </row>
    <row r="894" spans="1:5" ht="15.75" customHeight="1" x14ac:dyDescent="0.25">
      <c r="A894" s="6" t="s">
        <v>898</v>
      </c>
      <c r="B894" s="6" t="str">
        <f ca="1">IFERROR(__xludf.DUMMYFUNCTION("GOOGLETRANSLATE(A894,""bn"",""en"")"),"Due to this, Navakumar's return was delayed")</f>
        <v>Due to this, Navakumar's return was delayed</v>
      </c>
      <c r="C894" s="7" t="s">
        <v>6</v>
      </c>
      <c r="D894" s="7" t="s">
        <v>7</v>
      </c>
      <c r="E894" s="7">
        <v>0</v>
      </c>
    </row>
    <row r="895" spans="1:5" ht="15.75" customHeight="1" x14ac:dyDescent="0.25">
      <c r="A895" s="6" t="s">
        <v>899</v>
      </c>
      <c r="B895" s="6" t="str">
        <f ca="1">IFERROR(__xludf.DUMMYFUNCTION("GOOGLETRANSLATE(A895,""bn"",""en"")"),"In the distance, the moat of the mountains seems to be the end of the world")</f>
        <v>In the distance, the moat of the mountains seems to be the end of the world</v>
      </c>
      <c r="C895" s="7" t="s">
        <v>6</v>
      </c>
      <c r="D895" s="7" t="s">
        <v>7</v>
      </c>
      <c r="E895" s="7">
        <v>0</v>
      </c>
    </row>
    <row r="896" spans="1:5" ht="15.75" customHeight="1" x14ac:dyDescent="0.25">
      <c r="A896" s="6" t="s">
        <v>900</v>
      </c>
      <c r="B896" s="6" t="str">
        <f ca="1">IFERROR(__xludf.DUMMYFUNCTION("GOOGLETRANSLATE(A896,""bn"",""en"")"),"No one explains how to fix it")</f>
        <v>No one explains how to fix it</v>
      </c>
      <c r="C896" s="7" t="s">
        <v>6</v>
      </c>
      <c r="D896" s="7" t="s">
        <v>7</v>
      </c>
      <c r="E896" s="7">
        <v>0</v>
      </c>
    </row>
    <row r="897" spans="1:5" ht="15.75" customHeight="1" x14ac:dyDescent="0.25">
      <c r="A897" s="6" t="s">
        <v>901</v>
      </c>
      <c r="B897" s="6" t="str">
        <f ca="1">IFERROR(__xludf.DUMMYFUNCTION("GOOGLETRANSLATE(A897,""bn"",""en"")"),"Tropical smoothies refresh summer afternoons")</f>
        <v>Tropical smoothies refresh summer afternoons</v>
      </c>
      <c r="C897" s="8" t="s">
        <v>13</v>
      </c>
      <c r="D897" s="8" t="s">
        <v>14</v>
      </c>
      <c r="E897" s="8">
        <v>1</v>
      </c>
    </row>
    <row r="898" spans="1:5" ht="15.75" customHeight="1" x14ac:dyDescent="0.25">
      <c r="A898" s="6" t="s">
        <v>902</v>
      </c>
      <c r="B898" s="6" t="str">
        <f ca="1">IFERROR(__xludf.DUMMYFUNCTION("GOOGLETRANSLATE(A898,""bn"",""en"")"),"I will definitely purchase this item again in the future")</f>
        <v>I will definitely purchase this item again in the future</v>
      </c>
      <c r="C898" s="8" t="s">
        <v>13</v>
      </c>
      <c r="D898" s="8" t="s">
        <v>14</v>
      </c>
      <c r="E898" s="8">
        <v>1</v>
      </c>
    </row>
    <row r="899" spans="1:5" ht="15.75" customHeight="1" x14ac:dyDescent="0.25">
      <c r="A899" s="6" t="s">
        <v>903</v>
      </c>
      <c r="B899" s="6" t="str">
        <f ca="1">IFERROR(__xludf.DUMMYFUNCTION("GOOGLETRANSLATE(A899,""bn"",""en"")"),"I could see him from a distance")</f>
        <v>I could see him from a distance</v>
      </c>
      <c r="C899" s="8" t="s">
        <v>13</v>
      </c>
      <c r="D899" s="8" t="s">
        <v>14</v>
      </c>
      <c r="E899" s="8">
        <v>1</v>
      </c>
    </row>
    <row r="900" spans="1:5" ht="15.75" customHeight="1" x14ac:dyDescent="0.25">
      <c r="A900" s="6" t="s">
        <v>904</v>
      </c>
      <c r="B900" s="6" t="str">
        <f ca="1">IFERROR(__xludf.DUMMYFUNCTION("GOOGLETRANSLATE(A900,""bn"",""en"")"),"I want to be very safe today")</f>
        <v>I want to be very safe today</v>
      </c>
      <c r="C900" s="8" t="s">
        <v>13</v>
      </c>
      <c r="D900" s="8" t="s">
        <v>14</v>
      </c>
      <c r="E900" s="8">
        <v>1</v>
      </c>
    </row>
    <row r="901" spans="1:5" ht="15.75" customHeight="1" x14ac:dyDescent="0.25">
      <c r="A901" s="6" t="s">
        <v>905</v>
      </c>
      <c r="B901" s="6" t="str">
        <f ca="1">IFERROR(__xludf.DUMMYFUNCTION("GOOGLETRANSLATE(A901,""bn"",""en"")"),"Subscribe for daily inspiration")</f>
        <v>Subscribe for daily inspiration</v>
      </c>
      <c r="C901" s="8" t="s">
        <v>13</v>
      </c>
      <c r="D901" s="8" t="s">
        <v>14</v>
      </c>
      <c r="E901" s="8">
        <v>1</v>
      </c>
    </row>
    <row r="902" spans="1:5" ht="15.75" customHeight="1" x14ac:dyDescent="0.25">
      <c r="A902" s="6" t="s">
        <v>906</v>
      </c>
      <c r="B902" s="6" t="str">
        <f ca="1">IFERROR(__xludf.DUMMYFUNCTION("GOOGLETRANSLATE(A902,""bn"",""en"")"),"I am young myself at the time I am talking about")</f>
        <v>I am young myself at the time I am talking about</v>
      </c>
      <c r="C902" s="7" t="s">
        <v>6</v>
      </c>
      <c r="D902" s="7" t="s">
        <v>7</v>
      </c>
      <c r="E902" s="7">
        <v>0</v>
      </c>
    </row>
    <row r="903" spans="1:5" ht="15.75" customHeight="1" x14ac:dyDescent="0.25">
      <c r="A903" s="6" t="s">
        <v>907</v>
      </c>
      <c r="B903" s="6" t="str">
        <f ca="1">IFERROR(__xludf.DUMMYFUNCTION("GOOGLETRANSLATE(A903,""bn"",""en"")"),"I will not come to do this")</f>
        <v>I will not come to do this</v>
      </c>
      <c r="C903" s="7" t="s">
        <v>6</v>
      </c>
      <c r="D903" s="7" t="s">
        <v>7</v>
      </c>
      <c r="E903" s="7">
        <v>0</v>
      </c>
    </row>
    <row r="904" spans="1:5" ht="15.75" customHeight="1" x14ac:dyDescent="0.25">
      <c r="A904" s="6" t="s">
        <v>908</v>
      </c>
      <c r="B904" s="6" t="str">
        <f ca="1">IFERROR(__xludf.DUMMYFUNCTION("GOOGLETRANSLATE(A904,""bn"",""en"")"),"Mother asked me to go to school")</f>
        <v>Mother asked me to go to school</v>
      </c>
      <c r="C904" s="7" t="s">
        <v>6</v>
      </c>
      <c r="D904" s="7" t="s">
        <v>7</v>
      </c>
      <c r="E904" s="7">
        <v>0</v>
      </c>
    </row>
    <row r="905" spans="1:5" ht="15.75" customHeight="1" x14ac:dyDescent="0.25">
      <c r="A905" s="6" t="s">
        <v>909</v>
      </c>
      <c r="B905" s="6" t="str">
        <f ca="1">IFERROR(__xludf.DUMMYFUNCTION("GOOGLETRANSLATE(A905,""bn"",""en"")"),"Before the boat could be freed, the beach was flooded")</f>
        <v>Before the boat could be freed, the beach was flooded</v>
      </c>
      <c r="C905" s="7" t="s">
        <v>6</v>
      </c>
      <c r="D905" s="7" t="s">
        <v>7</v>
      </c>
      <c r="E905" s="7">
        <v>0</v>
      </c>
    </row>
    <row r="906" spans="1:5" ht="15.75" customHeight="1" x14ac:dyDescent="0.25">
      <c r="A906" s="6" t="s">
        <v>910</v>
      </c>
      <c r="B906" s="6" t="str">
        <f ca="1">IFERROR(__xludf.DUMMYFUNCTION("GOOGLETRANSLATE(A906,""bn"",""en"")"),"I definitely said that I can't take it back")</f>
        <v>I definitely said that I can't take it back</v>
      </c>
      <c r="C906" s="7" t="s">
        <v>6</v>
      </c>
      <c r="D906" s="7" t="s">
        <v>7</v>
      </c>
      <c r="E906" s="7">
        <v>0</v>
      </c>
    </row>
    <row r="907" spans="1:5" ht="15.75" customHeight="1" x14ac:dyDescent="0.25">
      <c r="A907" s="6" t="s">
        <v>911</v>
      </c>
      <c r="B907" s="6" t="str">
        <f ca="1">IFERROR(__xludf.DUMMYFUNCTION("GOOGLETRANSLATE(A907,""bn"",""en"")"),"At last he succeeded")</f>
        <v>At last he succeeded</v>
      </c>
      <c r="C907" s="8" t="s">
        <v>13</v>
      </c>
      <c r="D907" s="8" t="s">
        <v>14</v>
      </c>
      <c r="E907" s="8">
        <v>1</v>
      </c>
    </row>
    <row r="908" spans="1:5" ht="15.75" customHeight="1" x14ac:dyDescent="0.25">
      <c r="A908" s="6" t="s">
        <v>912</v>
      </c>
      <c r="B908" s="6" t="str">
        <f ca="1">IFERROR(__xludf.DUMMYFUNCTION("GOOGLETRANSLATE(A908,""bn"",""en"")"),"The killers also visit the residences of other house tutors")</f>
        <v>The killers also visit the residences of other house tutors</v>
      </c>
      <c r="C908" s="8" t="s">
        <v>13</v>
      </c>
      <c r="D908" s="8" t="s">
        <v>14</v>
      </c>
      <c r="E908" s="8">
        <v>1</v>
      </c>
    </row>
    <row r="909" spans="1:5" ht="15.75" customHeight="1" x14ac:dyDescent="0.25">
      <c r="A909" s="6" t="s">
        <v>913</v>
      </c>
      <c r="B909" s="6" t="str">
        <f ca="1">IFERROR(__xludf.DUMMYFUNCTION("GOOGLETRANSLATE(A909,""bn"",""en"")"),"The newspaper's editorial staff works tirelessly to produce quality content")</f>
        <v>The newspaper's editorial staff works tirelessly to produce quality content</v>
      </c>
      <c r="C909" s="8" t="s">
        <v>13</v>
      </c>
      <c r="D909" s="8" t="s">
        <v>14</v>
      </c>
      <c r="E909" s="8">
        <v>1</v>
      </c>
    </row>
    <row r="910" spans="1:5" ht="15.75" customHeight="1" x14ac:dyDescent="0.25">
      <c r="A910" s="6" t="s">
        <v>914</v>
      </c>
      <c r="B910" s="6" t="str">
        <f ca="1">IFERROR(__xludf.DUMMYFUNCTION("GOOGLETRANSLATE(A910,""bn"",""en"")"),"Tag your friends here")</f>
        <v>Tag your friends here</v>
      </c>
      <c r="C910" s="8" t="s">
        <v>13</v>
      </c>
      <c r="D910" s="8" t="s">
        <v>14</v>
      </c>
      <c r="E910" s="8">
        <v>1</v>
      </c>
    </row>
    <row r="911" spans="1:5" ht="15.75" customHeight="1" x14ac:dyDescent="0.25">
      <c r="A911" s="6" t="s">
        <v>915</v>
      </c>
      <c r="B911" s="6" t="str">
        <f ca="1">IFERROR(__xludf.DUMMYFUNCTION("GOOGLETRANSLATE(A911,""bn"",""en"")"),"Pedagogical approaches should be aligned with learning objectives")</f>
        <v>Pedagogical approaches should be aligned with learning objectives</v>
      </c>
      <c r="C911" s="8" t="s">
        <v>13</v>
      </c>
      <c r="D911" s="8" t="s">
        <v>14</v>
      </c>
      <c r="E911" s="8">
        <v>1</v>
      </c>
    </row>
    <row r="912" spans="1:5" ht="15.75" customHeight="1" x14ac:dyDescent="0.25">
      <c r="A912" s="6" t="s">
        <v>916</v>
      </c>
      <c r="B912" s="6" t="str">
        <f ca="1">IFERROR(__xludf.DUMMYFUNCTION("GOOGLETRANSLATE(A912,""bn"",""en"")"),"The hill is far from here and you cannot reach it in the evening")</f>
        <v>The hill is far from here and you cannot reach it in the evening</v>
      </c>
      <c r="C912" s="7" t="s">
        <v>6</v>
      </c>
      <c r="D912" s="7" t="s">
        <v>7</v>
      </c>
      <c r="E912" s="7">
        <v>0</v>
      </c>
    </row>
    <row r="913" spans="1:5" ht="15.75" customHeight="1" x14ac:dyDescent="0.25">
      <c r="A913" s="6" t="s">
        <v>917</v>
      </c>
      <c r="B913" s="6" t="str">
        <f ca="1">IFERROR(__xludf.DUMMYFUNCTION("GOOGLETRANSLATE(A913,""bn"",""en"")"),"Rana is going to teach school")</f>
        <v>Rana is going to teach school</v>
      </c>
      <c r="C913" s="7" t="s">
        <v>6</v>
      </c>
      <c r="D913" s="7" t="s">
        <v>7</v>
      </c>
      <c r="E913" s="7">
        <v>0</v>
      </c>
    </row>
    <row r="914" spans="1:5" ht="15.75" customHeight="1" x14ac:dyDescent="0.25">
      <c r="A914" s="6" t="s">
        <v>918</v>
      </c>
      <c r="B914" s="6" t="str">
        <f ca="1">IFERROR(__xludf.DUMMYFUNCTION("GOOGLETRANSLATE(A914,""bn"",""en"")"),"When the king stood in front of Pakshala, a Bengali showed a pile of onions")</f>
        <v>When the king stood in front of Pakshala, a Bengali showed a pile of onions</v>
      </c>
      <c r="C914" s="7" t="s">
        <v>6</v>
      </c>
      <c r="D914" s="7" t="s">
        <v>7</v>
      </c>
      <c r="E914" s="7">
        <v>0</v>
      </c>
    </row>
    <row r="915" spans="1:5" ht="15.75" customHeight="1" x14ac:dyDescent="0.25">
      <c r="A915" s="6" t="s">
        <v>919</v>
      </c>
      <c r="B915" s="6" t="str">
        <f ca="1">IFERROR(__xludf.DUMMYFUNCTION("GOOGLETRANSLATE(A915,""bn"",""en"")"),"Cholera does not have a great relationship with Prem Preet")</f>
        <v>Cholera does not have a great relationship with Prem Preet</v>
      </c>
      <c r="C915" s="7" t="s">
        <v>6</v>
      </c>
      <c r="D915" s="7" t="s">
        <v>7</v>
      </c>
      <c r="E915" s="7">
        <v>0</v>
      </c>
    </row>
    <row r="916" spans="1:5" ht="15.75" customHeight="1" x14ac:dyDescent="0.25">
      <c r="A916" s="6" t="s">
        <v>920</v>
      </c>
      <c r="B916" s="6" t="str">
        <f ca="1">IFERROR(__xludf.DUMMYFUNCTION("GOOGLETRANSLATE(A916,""bn"",""en"")"),"I think Maya understood that too")</f>
        <v>I think Maya understood that too</v>
      </c>
      <c r="C916" s="7" t="s">
        <v>6</v>
      </c>
      <c r="D916" s="7" t="s">
        <v>7</v>
      </c>
      <c r="E916" s="7">
        <v>0</v>
      </c>
    </row>
    <row r="917" spans="1:5" ht="15.75" customHeight="1" x14ac:dyDescent="0.25">
      <c r="A917" s="6" t="s">
        <v>921</v>
      </c>
      <c r="B917" s="6" t="str">
        <f ca="1">IFERROR(__xludf.DUMMYFUNCTION("GOOGLETRANSLATE(A917,""bn"",""en"")"),"A Ludo is played in the same way")</f>
        <v>A Ludo is played in the same way</v>
      </c>
      <c r="C917" s="8" t="s">
        <v>13</v>
      </c>
      <c r="D917" s="8" t="s">
        <v>14</v>
      </c>
      <c r="E917" s="8">
        <v>1</v>
      </c>
    </row>
    <row r="918" spans="1:5" ht="15.75" customHeight="1" x14ac:dyDescent="0.25">
      <c r="A918" s="6" t="s">
        <v>922</v>
      </c>
      <c r="B918" s="6" t="str">
        <f ca="1">IFERROR(__xludf.DUMMYFUNCTION("GOOGLETRANSLATE(A918,""bn"",""en"")"),"Nurse practitioners provide primary health care to patients in rural communities")</f>
        <v>Nurse practitioners provide primary health care to patients in rural communities</v>
      </c>
      <c r="C918" s="8" t="s">
        <v>13</v>
      </c>
      <c r="D918" s="8" t="s">
        <v>14</v>
      </c>
      <c r="E918" s="8">
        <v>1</v>
      </c>
    </row>
    <row r="919" spans="1:5" ht="15.75" customHeight="1" x14ac:dyDescent="0.25">
      <c r="A919" s="6" t="s">
        <v>923</v>
      </c>
      <c r="B919" s="6" t="str">
        <f ca="1">IFERROR(__xludf.DUMMYFUNCTION("GOOGLETRANSLATE(A919,""bn"",""en"")"),"Remember your words have power")</f>
        <v>Remember your words have power</v>
      </c>
      <c r="C919" s="8" t="s">
        <v>13</v>
      </c>
      <c r="D919" s="8" t="s">
        <v>14</v>
      </c>
      <c r="E919" s="8">
        <v>1</v>
      </c>
    </row>
    <row r="920" spans="1:5" ht="15.75" customHeight="1" x14ac:dyDescent="0.25">
      <c r="A920" s="6" t="s">
        <v>924</v>
      </c>
      <c r="B920" s="6" t="str">
        <f ca="1">IFERROR(__xludf.DUMMYFUNCTION("GOOGLETRANSLATE(A920,""bn"",""en"")"),"Switzerland has a low unemployment rate")</f>
        <v>Switzerland has a low unemployment rate</v>
      </c>
      <c r="C920" s="8" t="s">
        <v>13</v>
      </c>
      <c r="D920" s="8" t="s">
        <v>14</v>
      </c>
      <c r="E920" s="8">
        <v>1</v>
      </c>
    </row>
    <row r="921" spans="1:5" ht="15.75" customHeight="1" x14ac:dyDescent="0.25">
      <c r="A921" s="6" t="s">
        <v>925</v>
      </c>
      <c r="B921" s="6" t="str">
        <f ca="1">IFERROR(__xludf.DUMMYFUNCTION("GOOGLETRANSLATE(A921,""bn"",""en"")"),"Aim for twenty minutes every day")</f>
        <v>Aim for twenty minutes every day</v>
      </c>
      <c r="C921" s="8" t="s">
        <v>13</v>
      </c>
      <c r="D921" s="8" t="s">
        <v>14</v>
      </c>
      <c r="E921" s="8">
        <v>1</v>
      </c>
    </row>
    <row r="922" spans="1:5" ht="15.75" customHeight="1" x14ac:dyDescent="0.25">
      <c r="A922" s="6" t="s">
        <v>926</v>
      </c>
      <c r="B922" s="6" t="str">
        <f ca="1">IFERROR(__xludf.DUMMYFUNCTION("GOOGLETRANSLATE(A922,""bn"",""en"")"),"Karim has brought his mother from the market")</f>
        <v>Karim has brought his mother from the market</v>
      </c>
      <c r="C922" s="7" t="s">
        <v>6</v>
      </c>
      <c r="D922" s="7" t="s">
        <v>7</v>
      </c>
      <c r="E922" s="7">
        <v>0</v>
      </c>
    </row>
    <row r="923" spans="1:5" ht="15.75" customHeight="1" x14ac:dyDescent="0.25">
      <c r="A923" s="6" t="s">
        <v>927</v>
      </c>
      <c r="B923" s="6" t="str">
        <f ca="1">IFERROR(__xludf.DUMMYFUNCTION("GOOGLETRANSLATE(A923,""bn"",""en"")"),"When Rai Bahadur's house is invited for worship, his brides will have to go like poor people in very modest ornaments.")</f>
        <v>When Rai Bahadur's house is invited for worship, his brides will have to go like poor people in very modest ornaments.</v>
      </c>
      <c r="C923" s="7" t="s">
        <v>6</v>
      </c>
      <c r="D923" s="7" t="s">
        <v>7</v>
      </c>
      <c r="E923" s="7">
        <v>0</v>
      </c>
    </row>
    <row r="924" spans="1:5" ht="15.75" customHeight="1" x14ac:dyDescent="0.25">
      <c r="A924" s="6" t="s">
        <v>928</v>
      </c>
      <c r="B924" s="6" t="str">
        <f ca="1">IFERROR(__xludf.DUMMYFUNCTION("GOOGLETRANSLATE(A924,""bn"",""en"")"),"The strength of a truth hidden in non-blame was harboring him unconsciously")</f>
        <v>The strength of a truth hidden in non-blame was harboring him unconsciously</v>
      </c>
      <c r="C924" s="7" t="s">
        <v>6</v>
      </c>
      <c r="D924" s="7" t="s">
        <v>7</v>
      </c>
      <c r="E924" s="7">
        <v>0</v>
      </c>
    </row>
    <row r="925" spans="1:5" ht="15.75" customHeight="1" x14ac:dyDescent="0.25">
      <c r="A925" s="6" t="s">
        <v>929</v>
      </c>
      <c r="B925" s="6" t="str">
        <f ca="1">IFERROR(__xludf.DUMMYFUNCTION("GOOGLETRANSLATE(A925,""bn"",""en"")"),"Mami saw him and said why Bapu, why do you do this with the next son, send him home.")</f>
        <v>Mami saw him and said why Bapu, why do you do this with the next son, send him home.</v>
      </c>
      <c r="C925" s="7" t="s">
        <v>6</v>
      </c>
      <c r="D925" s="7" t="s">
        <v>7</v>
      </c>
      <c r="E925" s="7">
        <v>0</v>
      </c>
    </row>
    <row r="926" spans="1:5" ht="15.75" customHeight="1" x14ac:dyDescent="0.25">
      <c r="A926" s="6" t="s">
        <v>930</v>
      </c>
      <c r="B926" s="6" t="str">
        <f ca="1">IFERROR(__xludf.DUMMYFUNCTION("GOOGLETRANSLATE(A926,""bn"",""en"")"),"I don't remember if Urang Munda Kherwar Dosad is the main among these four castes")</f>
        <v>I don't remember if Urang Munda Kherwar Dosad is the main among these four castes</v>
      </c>
      <c r="C926" s="7" t="s">
        <v>6</v>
      </c>
      <c r="D926" s="7" t="s">
        <v>7</v>
      </c>
      <c r="E926" s="7">
        <v>0</v>
      </c>
    </row>
    <row r="927" spans="1:5" ht="15.75" customHeight="1" x14ac:dyDescent="0.25">
      <c r="A927" s="6" t="s">
        <v>931</v>
      </c>
      <c r="B927" s="6" t="str">
        <f ca="1">IFERROR(__xludf.DUMMYFUNCTION("GOOGLETRANSLATE(A927,""bn"",""en"")"),"Getting encouragement from loved ones motivates me")</f>
        <v>Getting encouragement from loved ones motivates me</v>
      </c>
      <c r="C927" s="8" t="s">
        <v>13</v>
      </c>
      <c r="D927" s="8" t="s">
        <v>14</v>
      </c>
      <c r="E927" s="8">
        <v>1</v>
      </c>
    </row>
    <row r="928" spans="1:5" ht="15.75" customHeight="1" x14ac:dyDescent="0.25">
      <c r="A928" s="6" t="s">
        <v>932</v>
      </c>
      <c r="B928" s="6" t="str">
        <f ca="1">IFERROR(__xludf.DUMMYFUNCTION("GOOGLETRANSLATE(A928,""bn"",""en"")"),"Love your career not any girl")</f>
        <v>Love your career not any girl</v>
      </c>
      <c r="C928" s="8" t="s">
        <v>13</v>
      </c>
      <c r="D928" s="8" t="s">
        <v>14</v>
      </c>
      <c r="E928" s="8">
        <v>1</v>
      </c>
    </row>
    <row r="929" spans="1:5" ht="15.75" customHeight="1" x14ac:dyDescent="0.25">
      <c r="A929" s="6" t="s">
        <v>933</v>
      </c>
      <c r="B929" s="6" t="str">
        <f ca="1">IFERROR(__xludf.DUMMYFUNCTION("GOOGLETRANSLATE(A929,""bn"",""en"")"),"Khoda Bux Mridha passed away on March 20")</f>
        <v>Khoda Bux Mridha passed away on March 20</v>
      </c>
      <c r="C929" s="8" t="s">
        <v>13</v>
      </c>
      <c r="D929" s="8" t="s">
        <v>14</v>
      </c>
      <c r="E929" s="8">
        <v>1</v>
      </c>
    </row>
    <row r="930" spans="1:5" ht="15.75" customHeight="1" x14ac:dyDescent="0.25">
      <c r="A930" s="6" t="s">
        <v>934</v>
      </c>
      <c r="B930" s="6" t="str">
        <f ca="1">IFERROR(__xludf.DUMMYFUNCTION("GOOGLETRANSLATE(A930,""bn"",""en"")"),"Every tree turns beautiful green in spring")</f>
        <v>Every tree turns beautiful green in spring</v>
      </c>
      <c r="C930" s="8" t="s">
        <v>13</v>
      </c>
      <c r="D930" s="8" t="s">
        <v>14</v>
      </c>
      <c r="E930" s="8">
        <v>1</v>
      </c>
    </row>
    <row r="931" spans="1:5" ht="15.75" customHeight="1" x14ac:dyDescent="0.25">
      <c r="A931" s="6" t="s">
        <v>935</v>
      </c>
      <c r="B931" s="6" t="str">
        <f ca="1">IFERROR(__xludf.DUMMYFUNCTION("GOOGLETRANSLATE(A931,""bn"",""en"")"),"The man did not respond to the greeting")</f>
        <v>The man did not respond to the greeting</v>
      </c>
      <c r="C931" s="8" t="s">
        <v>13</v>
      </c>
      <c r="D931" s="8" t="s">
        <v>14</v>
      </c>
      <c r="E931" s="8">
        <v>1</v>
      </c>
    </row>
    <row r="932" spans="1:5" ht="15.75" customHeight="1" x14ac:dyDescent="0.25">
      <c r="A932" s="6" t="s">
        <v>936</v>
      </c>
      <c r="B932" s="6" t="str">
        <f ca="1">IFERROR(__xludf.DUMMYFUNCTION("GOOGLETRANSLATE(A932,""bn"",""en"")"),"It began to break down on the banks of the river")</f>
        <v>It began to break down on the banks of the river</v>
      </c>
      <c r="C932" s="7" t="s">
        <v>6</v>
      </c>
      <c r="D932" s="7" t="s">
        <v>7</v>
      </c>
      <c r="E932" s="7">
        <v>0</v>
      </c>
    </row>
    <row r="933" spans="1:5" ht="15.75" customHeight="1" x14ac:dyDescent="0.25">
      <c r="A933" s="6" t="s">
        <v>937</v>
      </c>
      <c r="B933" s="6" t="str">
        <f ca="1">IFERROR(__xludf.DUMMYFUNCTION("GOOGLETRANSLATE(A933,""bn"",""en"")"),"Every afternoon I used to go and sit in the foothills of Latehar Hill")</f>
        <v>Every afternoon I used to go and sit in the foothills of Latehar Hill</v>
      </c>
      <c r="C933" s="7" t="s">
        <v>6</v>
      </c>
      <c r="D933" s="7" t="s">
        <v>7</v>
      </c>
      <c r="E933" s="7">
        <v>0</v>
      </c>
    </row>
    <row r="934" spans="1:5" ht="15.75" customHeight="1" x14ac:dyDescent="0.25">
      <c r="A934" s="6" t="s">
        <v>938</v>
      </c>
      <c r="B934" s="6" t="str">
        <f ca="1">IFERROR(__xludf.DUMMYFUNCTION("GOOGLETRANSLATE(A934,""bn"",""en"")"),"Living in his house and touching him is neither happiness nor should be")</f>
        <v>Living in his house and touching him is neither happiness nor should be</v>
      </c>
      <c r="C934" s="7" t="s">
        <v>6</v>
      </c>
      <c r="D934" s="7" t="s">
        <v>7</v>
      </c>
      <c r="E934" s="7">
        <v>0</v>
      </c>
    </row>
    <row r="935" spans="1:5" ht="15.75" customHeight="1" x14ac:dyDescent="0.25">
      <c r="A935" s="6" t="s">
        <v>939</v>
      </c>
      <c r="B935" s="6" t="str">
        <f ca="1">IFERROR(__xludf.DUMMYFUNCTION("GOOGLETRANSLATE(A935,""bn"",""en"")"),"Seeing the service, my forehead is also raised")</f>
        <v>Seeing the service, my forehead is also raised</v>
      </c>
      <c r="C935" s="7" t="s">
        <v>6</v>
      </c>
      <c r="D935" s="7" t="s">
        <v>7</v>
      </c>
      <c r="E935" s="7">
        <v>0</v>
      </c>
    </row>
    <row r="936" spans="1:5" ht="15.75" customHeight="1" x14ac:dyDescent="0.25">
      <c r="A936" s="6" t="s">
        <v>940</v>
      </c>
      <c r="B936" s="6" t="str">
        <f ca="1">IFERROR(__xludf.DUMMYFUNCTION("GOOGLETRANSLATE(A936,""bn"",""en"")"),"Rahim will go for a walk today")</f>
        <v>Rahim will go for a walk today</v>
      </c>
      <c r="C936" s="7" t="s">
        <v>6</v>
      </c>
      <c r="D936" s="7" t="s">
        <v>7</v>
      </c>
      <c r="E936" s="7">
        <v>0</v>
      </c>
    </row>
    <row r="937" spans="1:5" ht="15.75" customHeight="1" x14ac:dyDescent="0.25">
      <c r="A937" s="6" t="s">
        <v>941</v>
      </c>
      <c r="B937" s="6" t="str">
        <f ca="1">IFERROR(__xludf.DUMMYFUNCTION("GOOGLETRANSLATE(A937,""bn"",""en"")"),"Engage in group classes for motivation")</f>
        <v>Engage in group classes for motivation</v>
      </c>
      <c r="C937" s="8" t="s">
        <v>13</v>
      </c>
      <c r="D937" s="8" t="s">
        <v>14</v>
      </c>
      <c r="E937" s="8">
        <v>1</v>
      </c>
    </row>
    <row r="938" spans="1:5" ht="15.75" customHeight="1" x14ac:dyDescent="0.25">
      <c r="A938" s="6" t="s">
        <v>942</v>
      </c>
      <c r="B938" s="6" t="str">
        <f ca="1">IFERROR(__xludf.DUMMYFUNCTION("GOOGLETRANSLATE(A938,""bn"",""en"")"),"can you do it")</f>
        <v>can you do it</v>
      </c>
      <c r="C938" s="8" t="s">
        <v>13</v>
      </c>
      <c r="D938" s="8" t="s">
        <v>14</v>
      </c>
      <c r="E938" s="8">
        <v>1</v>
      </c>
    </row>
    <row r="939" spans="1:5" ht="15.75" customHeight="1" x14ac:dyDescent="0.25">
      <c r="A939" s="6" t="s">
        <v>943</v>
      </c>
      <c r="B939" s="6" t="str">
        <f ca="1">IFERROR(__xludf.DUMMYFUNCTION("GOOGLETRANSLATE(A939,""bn"",""en"")"),"Global cuisine is a pleasure to cook")</f>
        <v>Global cuisine is a pleasure to cook</v>
      </c>
      <c r="C939" s="8" t="s">
        <v>13</v>
      </c>
      <c r="D939" s="8" t="s">
        <v>14</v>
      </c>
      <c r="E939" s="8">
        <v>1</v>
      </c>
    </row>
    <row r="940" spans="1:5" ht="15.75" customHeight="1" x14ac:dyDescent="0.25">
      <c r="A940" s="6" t="s">
        <v>944</v>
      </c>
      <c r="B940" s="6" t="str">
        <f ca="1">IFERROR(__xludf.DUMMYFUNCTION("GOOGLETRANSLATE(A940,""bn"",""en"")"),"They were also attacked")</f>
        <v>They were also attacked</v>
      </c>
      <c r="C940" s="8" t="s">
        <v>13</v>
      </c>
      <c r="D940" s="8" t="s">
        <v>14</v>
      </c>
      <c r="E940" s="8">
        <v>1</v>
      </c>
    </row>
    <row r="941" spans="1:5" ht="15.75" customHeight="1" x14ac:dyDescent="0.25">
      <c r="A941" s="6" t="s">
        <v>945</v>
      </c>
      <c r="B941" s="6" t="str">
        <f ca="1">IFERROR(__xludf.DUMMYFUNCTION("GOOGLETRANSLATE(A941,""bn"",""en"")"),"A terrible quarrel")</f>
        <v>A terrible quarrel</v>
      </c>
      <c r="C941" s="8" t="s">
        <v>13</v>
      </c>
      <c r="D941" s="8" t="s">
        <v>14</v>
      </c>
      <c r="E941" s="8">
        <v>1</v>
      </c>
    </row>
    <row r="942" spans="1:5" ht="15.75" customHeight="1" x14ac:dyDescent="0.25">
      <c r="A942" s="6" t="s">
        <v>946</v>
      </c>
      <c r="B942" s="6" t="str">
        <f ca="1">IFERROR(__xludf.DUMMYFUNCTION("GOOGLETRANSLATE(A942,""bn"",""en"")"),"Suman came to me and gave me the book")</f>
        <v>Suman came to me and gave me the book</v>
      </c>
      <c r="C942" s="7" t="s">
        <v>6</v>
      </c>
      <c r="D942" s="7" t="s">
        <v>7</v>
      </c>
      <c r="E942" s="7">
        <v>0</v>
      </c>
    </row>
    <row r="943" spans="1:5" ht="15.75" customHeight="1" x14ac:dyDescent="0.25">
      <c r="A943" s="6" t="s">
        <v>947</v>
      </c>
      <c r="B943" s="6" t="str">
        <f ca="1">IFERROR(__xludf.DUMMYFUNCTION("GOOGLETRANSLATE(A943,""bn"",""en"")"),"did you see them")</f>
        <v>did you see them</v>
      </c>
      <c r="C943" s="7" t="s">
        <v>6</v>
      </c>
      <c r="D943" s="7" t="s">
        <v>7</v>
      </c>
      <c r="E943" s="7">
        <v>0</v>
      </c>
    </row>
    <row r="944" spans="1:5" ht="15.75" customHeight="1" x14ac:dyDescent="0.25">
      <c r="A944" s="6" t="s">
        <v>948</v>
      </c>
      <c r="B944" s="6" t="str">
        <f ca="1">IFERROR(__xludf.DUMMYFUNCTION("GOOGLETRANSLATE(A944,""bn"",""en"")"),"The baby then sought the help of other people in search of Chakraborty's house")</f>
        <v>The baby then sought the help of other people in search of Chakraborty's house</v>
      </c>
      <c r="C944" s="7" t="s">
        <v>6</v>
      </c>
      <c r="D944" s="7" t="s">
        <v>7</v>
      </c>
      <c r="E944" s="7">
        <v>0</v>
      </c>
    </row>
    <row r="945" spans="1:5" ht="15.75" customHeight="1" x14ac:dyDescent="0.25">
      <c r="A945" s="6" t="s">
        <v>949</v>
      </c>
      <c r="B945" s="6" t="str">
        <f ca="1">IFERROR(__xludf.DUMMYFUNCTION("GOOGLETRANSLATE(A945,""bn"",""en"")"),"God has deprived us of this, and look how much the burnt bird is burning")</f>
        <v>God has deprived us of this, and look how much the burnt bird is burning</v>
      </c>
      <c r="C945" s="7" t="s">
        <v>6</v>
      </c>
      <c r="D945" s="7" t="s">
        <v>7</v>
      </c>
      <c r="E945" s="7">
        <v>0</v>
      </c>
    </row>
    <row r="946" spans="1:5" ht="15.75" customHeight="1" x14ac:dyDescent="0.25">
      <c r="A946" s="6" t="s">
        <v>950</v>
      </c>
      <c r="B946" s="6" t="str">
        <f ca="1">IFERROR(__xludf.DUMMYFUNCTION("GOOGLETRANSLATE(A946,""bn"",""en"")"),"As he worked, he said in a soft voice, ""I'll go with you.""")</f>
        <v>As he worked, he said in a soft voice, "I'll go with you."</v>
      </c>
      <c r="C946" s="7" t="s">
        <v>6</v>
      </c>
      <c r="D946" s="7" t="s">
        <v>7</v>
      </c>
      <c r="E946" s="7">
        <v>0</v>
      </c>
    </row>
    <row r="947" spans="1:5" ht="15.75" customHeight="1" x14ac:dyDescent="0.25">
      <c r="A947" s="6" t="s">
        <v>951</v>
      </c>
      <c r="B947" s="6" t="str">
        <f ca="1">IFERROR(__xludf.DUMMYFUNCTION("GOOGLETRANSLATE(A947,""bn"",""en"")"),"Training and development programs empower employees to excel")</f>
        <v>Training and development programs empower employees to excel</v>
      </c>
      <c r="C947" s="8" t="s">
        <v>13</v>
      </c>
      <c r="D947" s="8" t="s">
        <v>14</v>
      </c>
      <c r="E947" s="8">
        <v>1</v>
      </c>
    </row>
    <row r="948" spans="1:5" ht="15.75" customHeight="1" x14ac:dyDescent="0.25">
      <c r="A948" s="6" t="s">
        <v>952</v>
      </c>
      <c r="B948" s="6" t="str">
        <f ca="1">IFERROR(__xludf.DUMMYFUNCTION("GOOGLETRANSLATE(A948,""bn"",""en"")"),"Sheila approached Robin")</f>
        <v>Sheila approached Robin</v>
      </c>
      <c r="C948" s="8" t="s">
        <v>13</v>
      </c>
      <c r="D948" s="8" t="s">
        <v>14</v>
      </c>
      <c r="E948" s="8">
        <v>1</v>
      </c>
    </row>
    <row r="949" spans="1:5" ht="15.75" customHeight="1" x14ac:dyDescent="0.25">
      <c r="A949" s="6" t="s">
        <v>953</v>
      </c>
      <c r="B949" s="6" t="str">
        <f ca="1">IFERROR(__xludf.DUMMYFUNCTION("GOOGLETRANSLATE(A949,""bn"",""en"")"),"Comment your weekend plans")</f>
        <v>Comment your weekend plans</v>
      </c>
      <c r="C949" s="8" t="s">
        <v>13</v>
      </c>
      <c r="D949" s="8" t="s">
        <v>14</v>
      </c>
      <c r="E949" s="8">
        <v>1</v>
      </c>
    </row>
    <row r="950" spans="1:5" ht="15.75" customHeight="1" x14ac:dyDescent="0.25">
      <c r="A950" s="6" t="s">
        <v>954</v>
      </c>
      <c r="B950" s="6" t="str">
        <f ca="1">IFERROR(__xludf.DUMMYFUNCTION("GOOGLETRANSLATE(A950,""bn"",""en"")"),"Influenza, commonly known as the flu, is a viral infection that affects your respiratory system")</f>
        <v>Influenza, commonly known as the flu, is a viral infection that affects your respiratory system</v>
      </c>
      <c r="C950" s="8" t="s">
        <v>13</v>
      </c>
      <c r="D950" s="8" t="s">
        <v>14</v>
      </c>
      <c r="E950" s="8">
        <v>1</v>
      </c>
    </row>
    <row r="951" spans="1:5" ht="15.75" customHeight="1" x14ac:dyDescent="0.25">
      <c r="A951" s="6" t="s">
        <v>955</v>
      </c>
      <c r="B951" s="6" t="str">
        <f ca="1">IFERROR(__xludf.DUMMYFUNCTION("GOOGLETRANSLATE(A951,""bn"",""en"")"),"Marketing analytics inform targeted marketing campaigns")</f>
        <v>Marketing analytics inform targeted marketing campaigns</v>
      </c>
      <c r="C951" s="8" t="s">
        <v>13</v>
      </c>
      <c r="D951" s="8" t="s">
        <v>14</v>
      </c>
      <c r="E951" s="8">
        <v>1</v>
      </c>
    </row>
    <row r="952" spans="1:5" ht="15.75" customHeight="1" x14ac:dyDescent="0.25">
      <c r="A952" s="6" t="s">
        <v>956</v>
      </c>
      <c r="B952" s="6" t="str">
        <f ca="1">IFERROR(__xludf.DUMMYFUNCTION("GOOGLETRANSLATE(A952,""bn"",""en"")"),"He didn't think about his hunger until now due to various worries and excitement, now hunger is showing")</f>
        <v>He didn't think about his hunger until now due to various worries and excitement, now hunger is showing</v>
      </c>
      <c r="C952" s="7" t="s">
        <v>6</v>
      </c>
      <c r="D952" s="7" t="s">
        <v>7</v>
      </c>
      <c r="E952" s="7">
        <v>0</v>
      </c>
    </row>
    <row r="953" spans="1:5" ht="15.75" customHeight="1" x14ac:dyDescent="0.25">
      <c r="A953" s="6" t="s">
        <v>957</v>
      </c>
      <c r="B953" s="6" t="str">
        <f ca="1">IFERROR(__xludf.DUMMYFUNCTION("GOOGLETRANSLATE(A953,""bn"",""en"")"),"He came to our house yesterday.")</f>
        <v>He came to our house yesterday.</v>
      </c>
      <c r="C953" s="7" t="s">
        <v>6</v>
      </c>
      <c r="D953" s="7" t="s">
        <v>7</v>
      </c>
      <c r="E953" s="7">
        <v>0</v>
      </c>
    </row>
    <row r="954" spans="1:5" ht="15.75" customHeight="1" x14ac:dyDescent="0.25">
      <c r="A954" s="6" t="s">
        <v>958</v>
      </c>
      <c r="B954" s="6" t="str">
        <f ca="1">IFERROR(__xludf.DUMMYFUNCTION("GOOGLETRANSLATE(A954,""bn"",""en"")"),"Going to that unknown city, they had a new experience")</f>
        <v>Going to that unknown city, they had a new experience</v>
      </c>
      <c r="C954" s="7" t="s">
        <v>6</v>
      </c>
      <c r="D954" s="7" t="s">
        <v>7</v>
      </c>
      <c r="E954" s="7">
        <v>0</v>
      </c>
    </row>
    <row r="955" spans="1:5" ht="15.75" customHeight="1" x14ac:dyDescent="0.25">
      <c r="A955" s="6" t="s">
        <v>959</v>
      </c>
      <c r="B955" s="6" t="str">
        <f ca="1">IFERROR(__xludf.DUMMYFUNCTION("GOOGLETRANSLATE(A955,""bn"",""en"")"),"I will travel to Dhaka")</f>
        <v>I will travel to Dhaka</v>
      </c>
      <c r="C955" s="7" t="s">
        <v>6</v>
      </c>
      <c r="D955" s="7" t="s">
        <v>7</v>
      </c>
      <c r="E955" s="7">
        <v>0</v>
      </c>
    </row>
    <row r="956" spans="1:5" ht="15.75" customHeight="1" x14ac:dyDescent="0.25">
      <c r="A956" s="6" t="s">
        <v>960</v>
      </c>
      <c r="B956" s="6" t="str">
        <f ca="1">IFERROR(__xludf.DUMMYFUNCTION("GOOGLETRANSLATE(A956,""bn"",""en"")"),"Returning home, he began to scold himself again and again")</f>
        <v>Returning home, he began to scold himself again and again</v>
      </c>
      <c r="C956" s="7" t="s">
        <v>6</v>
      </c>
      <c r="D956" s="7" t="s">
        <v>7</v>
      </c>
      <c r="E956" s="7">
        <v>0</v>
      </c>
    </row>
    <row r="957" spans="1:5" ht="15.75" customHeight="1" x14ac:dyDescent="0.25">
      <c r="A957" s="6" t="s">
        <v>961</v>
      </c>
      <c r="B957" s="6" t="str">
        <f ca="1">IFERROR(__xludf.DUMMYFUNCTION("GOOGLETRANSLATE(A957,""bn"",""en"")"),"I have many cherished memories at my grandparents home")</f>
        <v>I have many cherished memories at my grandparents home</v>
      </c>
      <c r="C957" s="8" t="s">
        <v>13</v>
      </c>
      <c r="D957" s="8" t="s">
        <v>14</v>
      </c>
      <c r="E957" s="8">
        <v>1</v>
      </c>
    </row>
    <row r="958" spans="1:5" ht="15.75" customHeight="1" x14ac:dyDescent="0.25">
      <c r="A958" s="6" t="s">
        <v>962</v>
      </c>
      <c r="B958" s="6" t="str">
        <f ca="1">IFERROR(__xludf.DUMMYFUNCTION("GOOGLETRANSLATE(A958,""bn"",""en"")"),"Sajib's father asked me to sit in the house")</f>
        <v>Sajib's father asked me to sit in the house</v>
      </c>
      <c r="C958" s="8" t="s">
        <v>13</v>
      </c>
      <c r="D958" s="8" t="s">
        <v>14</v>
      </c>
      <c r="E958" s="8">
        <v>1</v>
      </c>
    </row>
    <row r="959" spans="1:5" ht="15.75" customHeight="1" x14ac:dyDescent="0.25">
      <c r="A959" s="6" t="s">
        <v>963</v>
      </c>
      <c r="B959" s="6" t="str">
        <f ca="1">IFERROR(__xludf.DUMMYFUNCTION("GOOGLETRANSLATE(A959,""bn"",""en"")"),"Analysis nirvana is the annihilation of inexplicable inexplicable thirst")</f>
        <v>Analysis nirvana is the annihilation of inexplicable inexplicable thirst</v>
      </c>
      <c r="C959" s="8" t="s">
        <v>13</v>
      </c>
      <c r="D959" s="8" t="s">
        <v>14</v>
      </c>
      <c r="E959" s="8">
        <v>1</v>
      </c>
    </row>
    <row r="960" spans="1:5" ht="15.75" customHeight="1" x14ac:dyDescent="0.25">
      <c r="A960" s="6" t="s">
        <v>964</v>
      </c>
      <c r="B960" s="6" t="str">
        <f ca="1">IFERROR(__xludf.DUMMYFUNCTION("GOOGLETRANSLATE(A960,""bn"",""en"")"),"The warmth of a hug from a friend comforts me")</f>
        <v>The warmth of a hug from a friend comforts me</v>
      </c>
      <c r="C960" s="8" t="s">
        <v>13</v>
      </c>
      <c r="D960" s="8" t="s">
        <v>14</v>
      </c>
      <c r="E960" s="8">
        <v>1</v>
      </c>
    </row>
    <row r="961" spans="1:5" ht="15.75" customHeight="1" x14ac:dyDescent="0.25">
      <c r="A961" s="6" t="s">
        <v>965</v>
      </c>
      <c r="B961" s="6" t="str">
        <f ca="1">IFERROR(__xludf.DUMMYFUNCTION("GOOGLETRANSLATE(A961,""bn"",""en"")"),"I want to buy a nice car")</f>
        <v>I want to buy a nice car</v>
      </c>
      <c r="C961" s="8" t="s">
        <v>13</v>
      </c>
      <c r="D961" s="8" t="s">
        <v>14</v>
      </c>
      <c r="E961" s="8">
        <v>1</v>
      </c>
    </row>
    <row r="962" spans="1:5" ht="15.75" customHeight="1" x14ac:dyDescent="0.25">
      <c r="A962" s="6" t="s">
        <v>966</v>
      </c>
      <c r="B962" s="6" t="str">
        <f ca="1">IFERROR(__xludf.DUMMYFUNCTION("GOOGLETRANSLATE(A962,""bn"",""en"")"),"I have long had doubts about this")</f>
        <v>I have long had doubts about this</v>
      </c>
      <c r="C962" s="7" t="s">
        <v>6</v>
      </c>
      <c r="D962" s="7" t="s">
        <v>7</v>
      </c>
      <c r="E962" s="7">
        <v>0</v>
      </c>
    </row>
    <row r="963" spans="1:5" ht="15.75" customHeight="1" x14ac:dyDescent="0.25">
      <c r="A963" s="6" t="s">
        <v>967</v>
      </c>
      <c r="B963" s="6" t="str">
        <f ca="1">IFERROR(__xludf.DUMMYFUNCTION("GOOGLETRANSLATE(A963,""bn"",""en"")"),"Suddenly one day they saw a beautiful island a little far away")</f>
        <v>Suddenly one day they saw a beautiful island a little far away</v>
      </c>
      <c r="C963" s="7" t="s">
        <v>6</v>
      </c>
      <c r="D963" s="7" t="s">
        <v>7</v>
      </c>
      <c r="E963" s="7">
        <v>0</v>
      </c>
    </row>
    <row r="964" spans="1:5" ht="15.75" customHeight="1" x14ac:dyDescent="0.25">
      <c r="A964" s="6" t="s">
        <v>968</v>
      </c>
      <c r="B964" s="6" t="str">
        <f ca="1">IFERROR(__xludf.DUMMYFUNCTION("GOOGLETRANSLATE(A964,""bn"",""en"")"),"As long as this does not come to their mind, they are brave in front of people")</f>
        <v>As long as this does not come to their mind, they are brave in front of people</v>
      </c>
      <c r="C964" s="7" t="s">
        <v>6</v>
      </c>
      <c r="D964" s="7" t="s">
        <v>7</v>
      </c>
      <c r="E964" s="7">
        <v>0</v>
      </c>
    </row>
    <row r="965" spans="1:5" ht="15.75" customHeight="1" x14ac:dyDescent="0.25">
      <c r="A965" s="6" t="s">
        <v>969</v>
      </c>
      <c r="B965" s="6" t="str">
        <f ca="1">IFERROR(__xludf.DUMMYFUNCTION("GOOGLETRANSLATE(A965,""bn"",""en"")"),"Shakib saw me and told me to play")</f>
        <v>Shakib saw me and told me to play</v>
      </c>
      <c r="C965" s="7" t="s">
        <v>6</v>
      </c>
      <c r="D965" s="7" t="s">
        <v>7</v>
      </c>
      <c r="E965" s="7">
        <v>0</v>
      </c>
    </row>
    <row r="966" spans="1:5" ht="15.75" customHeight="1" x14ac:dyDescent="0.25">
      <c r="A966" s="6" t="s">
        <v>970</v>
      </c>
      <c r="B966" s="6" t="str">
        <f ca="1">IFERROR(__xludf.DUMMYFUNCTION("GOOGLETRANSLATE(A966,""bn"",""en"")"),"He went down the stairs, stunned in speechless amazement")</f>
        <v>He went down the stairs, stunned in speechless amazement</v>
      </c>
      <c r="C966" s="7" t="s">
        <v>6</v>
      </c>
      <c r="D966" s="7" t="s">
        <v>7</v>
      </c>
      <c r="E966" s="7">
        <v>0</v>
      </c>
    </row>
    <row r="967" spans="1:5" ht="15.75" customHeight="1" x14ac:dyDescent="0.25">
      <c r="A967" s="6" t="s">
        <v>971</v>
      </c>
      <c r="B967" s="6" t="str">
        <f ca="1">IFERROR(__xludf.DUMMYFUNCTION("GOOGLETRANSLATE(A967,""bn"",""en"")"),"Building good credit is essential to accessing loans and other financial products")</f>
        <v>Building good credit is essential to accessing loans and other financial products</v>
      </c>
      <c r="C967" s="8" t="s">
        <v>13</v>
      </c>
      <c r="D967" s="8" t="s">
        <v>14</v>
      </c>
      <c r="E967" s="8">
        <v>1</v>
      </c>
    </row>
    <row r="968" spans="1:5" ht="15.75" customHeight="1" x14ac:dyDescent="0.25">
      <c r="A968" s="6" t="s">
        <v>972</v>
      </c>
      <c r="B968" s="6" t="str">
        <f ca="1">IFERROR(__xludf.DUMMYFUNCTION("GOOGLETRANSLATE(A968,""bn"",""en"")"),"They went to the market to buy fruit")</f>
        <v>They went to the market to buy fruit</v>
      </c>
      <c r="C968" s="8" t="s">
        <v>13</v>
      </c>
      <c r="D968" s="8" t="s">
        <v>14</v>
      </c>
      <c r="E968" s="8">
        <v>1</v>
      </c>
    </row>
    <row r="969" spans="1:5" ht="15.75" customHeight="1" x14ac:dyDescent="0.25">
      <c r="A969" s="6" t="s">
        <v>973</v>
      </c>
      <c r="B969" s="6" t="str">
        <f ca="1">IFERROR(__xludf.DUMMYFUNCTION("GOOGLETRANSLATE(A969,""bn"",""en"")"),"He told me that you have come to the end of the city and there is no place to wait")</f>
        <v>He told me that you have come to the end of the city and there is no place to wait</v>
      </c>
      <c r="C969" s="8" t="s">
        <v>13</v>
      </c>
      <c r="D969" s="8" t="s">
        <v>14</v>
      </c>
      <c r="E969" s="8">
        <v>1</v>
      </c>
    </row>
    <row r="970" spans="1:5" ht="15.75" customHeight="1" x14ac:dyDescent="0.25">
      <c r="A970" s="6" t="s">
        <v>974</v>
      </c>
      <c r="B970" s="6" t="str">
        <f ca="1">IFERROR(__xludf.DUMMYFUNCTION("GOOGLETRANSLATE(A970,""bn"",""en"")"),"She has been British Women's Chess Champion three times")</f>
        <v>She has been British Women's Chess Champion three times</v>
      </c>
      <c r="C970" s="8" t="s">
        <v>13</v>
      </c>
      <c r="D970" s="8" t="s">
        <v>14</v>
      </c>
      <c r="E970" s="8">
        <v>1</v>
      </c>
    </row>
    <row r="971" spans="1:5" ht="15.75" customHeight="1" x14ac:dyDescent="0.25">
      <c r="A971" s="6" t="s">
        <v>975</v>
      </c>
      <c r="B971" s="6" t="str">
        <f ca="1">IFERROR(__xludf.DUMMYFUNCTION("GOOGLETRANSLATE(A971,""bn"",""en"")"),"Rohit played with me")</f>
        <v>Rohit played with me</v>
      </c>
      <c r="C971" s="8" t="s">
        <v>13</v>
      </c>
      <c r="D971" s="8" t="s">
        <v>14</v>
      </c>
      <c r="E971" s="8">
        <v>1</v>
      </c>
    </row>
    <row r="972" spans="1:5" ht="15.75" customHeight="1" x14ac:dyDescent="0.25">
      <c r="A972" s="6" t="s">
        <v>976</v>
      </c>
      <c r="B972" s="6" t="str">
        <f ca="1">IFERROR(__xludf.DUMMYFUNCTION("GOOGLETRANSLATE(A972,""bn"",""en"")"),"Khadija went to school with me")</f>
        <v>Khadija went to school with me</v>
      </c>
      <c r="C972" s="7" t="s">
        <v>6</v>
      </c>
      <c r="D972" s="7" t="s">
        <v>7</v>
      </c>
      <c r="E972" s="7">
        <v>0</v>
      </c>
    </row>
    <row r="973" spans="1:5" ht="15.75" customHeight="1" x14ac:dyDescent="0.25">
      <c r="A973" s="6" t="s">
        <v>977</v>
      </c>
      <c r="B973" s="6" t="str">
        <f ca="1">IFERROR(__xludf.DUMMYFUNCTION("GOOGLETRANSLATE(A973,""bn"",""en"")"),"This sleep was not broken")</f>
        <v>This sleep was not broken</v>
      </c>
      <c r="C973" s="7" t="s">
        <v>6</v>
      </c>
      <c r="D973" s="7" t="s">
        <v>7</v>
      </c>
      <c r="E973" s="7">
        <v>0</v>
      </c>
    </row>
    <row r="974" spans="1:5" ht="15.75" customHeight="1" x14ac:dyDescent="0.25">
      <c r="A974" s="6" t="s">
        <v>978</v>
      </c>
      <c r="B974" s="6" t="str">
        <f ca="1">IFERROR(__xludf.DUMMYFUNCTION("GOOGLETRANSLATE(A974,""bn"",""en"")"),"Rumi went to the field to play volleyball")</f>
        <v>Rumi went to the field to play volleyball</v>
      </c>
      <c r="C974" s="7" t="s">
        <v>6</v>
      </c>
      <c r="D974" s="7" t="s">
        <v>7</v>
      </c>
      <c r="E974" s="7">
        <v>0</v>
      </c>
    </row>
    <row r="975" spans="1:5" ht="15.75" customHeight="1" x14ac:dyDescent="0.25">
      <c r="A975" s="6" t="s">
        <v>979</v>
      </c>
      <c r="B975" s="6" t="str">
        <f ca="1">IFERROR(__xludf.DUMMYFUNCTION("GOOGLETRANSLATE(A975,""bn"",""en"")"),"I have to take a place in between them")</f>
        <v>I have to take a place in between them</v>
      </c>
      <c r="C975" s="7" t="s">
        <v>6</v>
      </c>
      <c r="D975" s="7" t="s">
        <v>7</v>
      </c>
      <c r="E975" s="7">
        <v>0</v>
      </c>
    </row>
    <row r="976" spans="1:5" ht="15.75" customHeight="1" x14ac:dyDescent="0.25">
      <c r="A976" s="6" t="s">
        <v>980</v>
      </c>
      <c r="B976" s="6" t="str">
        <f ca="1">IFERROR(__xludf.DUMMYFUNCTION("GOOGLETRANSLATE(A976,""bn"",""en"")"),"Modern Civilization's Obsessive Act of Disgusting Social System")</f>
        <v>Modern Civilization's Obsessive Act of Disgusting Social System</v>
      </c>
      <c r="C976" s="7" t="s">
        <v>6</v>
      </c>
      <c r="D976" s="7" t="s">
        <v>7</v>
      </c>
      <c r="E976" s="7">
        <v>0</v>
      </c>
    </row>
    <row r="977" spans="1:5" ht="15.75" customHeight="1" x14ac:dyDescent="0.25">
      <c r="A977" s="6" t="s">
        <v>981</v>
      </c>
      <c r="B977" s="6" t="str">
        <f ca="1">IFERROR(__xludf.DUMMYFUNCTION("GOOGLETRANSLATE(A977,""bn"",""en"")"),"Find lessons in every experience")</f>
        <v>Find lessons in every experience</v>
      </c>
      <c r="C977" s="8" t="s">
        <v>13</v>
      </c>
      <c r="D977" s="8" t="s">
        <v>14</v>
      </c>
      <c r="E977" s="8">
        <v>1</v>
      </c>
    </row>
    <row r="978" spans="1:5" ht="15.75" customHeight="1" x14ac:dyDescent="0.25">
      <c r="A978" s="6" t="s">
        <v>982</v>
      </c>
      <c r="B978" s="6" t="str">
        <f ca="1">IFERROR(__xludf.DUMMYFUNCTION("GOOGLETRANSLATE(A978,""bn"",""en"")"),"He went to school and could not solve the question")</f>
        <v>He went to school and could not solve the question</v>
      </c>
      <c r="C978" s="8" t="s">
        <v>13</v>
      </c>
      <c r="D978" s="8" t="s">
        <v>14</v>
      </c>
      <c r="E978" s="8">
        <v>1</v>
      </c>
    </row>
    <row r="979" spans="1:5" ht="15.75" customHeight="1" x14ac:dyDescent="0.25">
      <c r="A979" s="6" t="s">
        <v>983</v>
      </c>
      <c r="B979" s="6" t="str">
        <f ca="1">IFERROR(__xludf.DUMMYFUNCTION("GOOGLETRANSLATE(A979,""bn"",""en"")"),"Mim proceeded as promised")</f>
        <v>Mim proceeded as promised</v>
      </c>
      <c r="C979" s="8" t="s">
        <v>13</v>
      </c>
      <c r="D979" s="8" t="s">
        <v>14</v>
      </c>
      <c r="E979" s="8">
        <v>1</v>
      </c>
    </row>
    <row r="980" spans="1:5" ht="15.75" customHeight="1" x14ac:dyDescent="0.25">
      <c r="A980" s="6" t="s">
        <v>984</v>
      </c>
      <c r="B980" s="6" t="str">
        <f ca="1">IFERROR(__xludf.DUMMYFUNCTION("GOOGLETRANSLATE(A980,""bn"",""en"")"),"During the Spanish Civil War, he was a supporter of Franco")</f>
        <v>During the Spanish Civil War, he was a supporter of Franco</v>
      </c>
      <c r="C980" s="8" t="s">
        <v>13</v>
      </c>
      <c r="D980" s="8" t="s">
        <v>14</v>
      </c>
      <c r="E980" s="8">
        <v>1</v>
      </c>
    </row>
    <row r="981" spans="1:5" ht="15.75" customHeight="1" x14ac:dyDescent="0.25">
      <c r="A981" s="6" t="s">
        <v>985</v>
      </c>
      <c r="B981" s="6" t="str">
        <f ca="1">IFERROR(__xludf.DUMMYFUNCTION("GOOGLETRANSLATE(A981,""bn"",""en"")"),"Traits Slow calm nature Fat heavy body Thin skinned")</f>
        <v>Traits Slow calm nature Fat heavy body Thin skinned</v>
      </c>
      <c r="C981" s="8" t="s">
        <v>13</v>
      </c>
      <c r="D981" s="8" t="s">
        <v>14</v>
      </c>
      <c r="E981" s="8">
        <v>1</v>
      </c>
    </row>
    <row r="982" spans="1:5" ht="15.75" customHeight="1" x14ac:dyDescent="0.25">
      <c r="A982" s="6" t="s">
        <v>986</v>
      </c>
      <c r="B982" s="6" t="str">
        <f ca="1">IFERROR(__xludf.DUMMYFUNCTION("GOOGLETRANSLATE(A982,""bn"",""en"")"),"Due to the lack of all the facilities that existed in the east, they gradually became degraded and exhausted")</f>
        <v>Due to the lack of all the facilities that existed in the east, they gradually became degraded and exhausted</v>
      </c>
      <c r="C982" s="7" t="s">
        <v>6</v>
      </c>
      <c r="D982" s="7" t="s">
        <v>7</v>
      </c>
      <c r="E982" s="7">
        <v>0</v>
      </c>
    </row>
    <row r="983" spans="1:5" ht="15.75" customHeight="1" x14ac:dyDescent="0.25">
      <c r="A983" s="6" t="s">
        <v>987</v>
      </c>
      <c r="B983" s="6" t="str">
        <f ca="1">IFERROR(__xludf.DUMMYFUNCTION("GOOGLETRANSLATE(A983,""bn"",""en"")"),"I shouted and chased them away")</f>
        <v>I shouted and chased them away</v>
      </c>
      <c r="C983" s="7" t="s">
        <v>6</v>
      </c>
      <c r="D983" s="7" t="s">
        <v>7</v>
      </c>
      <c r="E983" s="7">
        <v>0</v>
      </c>
    </row>
    <row r="984" spans="1:5" ht="15.75" customHeight="1" x14ac:dyDescent="0.25">
      <c r="A984" s="6" t="s">
        <v>988</v>
      </c>
      <c r="B984" s="6" t="str">
        <f ca="1">IFERROR(__xludf.DUMMYFUNCTION("GOOGLETRANSLATE(A984,""bn"",""en"")"),"There was no way to get a haircut at that time")</f>
        <v>There was no way to get a haircut at that time</v>
      </c>
      <c r="C984" s="7" t="s">
        <v>6</v>
      </c>
      <c r="D984" s="7" t="s">
        <v>7</v>
      </c>
      <c r="E984" s="7">
        <v>0</v>
      </c>
    </row>
    <row r="985" spans="1:5" ht="15.75" customHeight="1" x14ac:dyDescent="0.25">
      <c r="A985" s="6" t="s">
        <v>989</v>
      </c>
      <c r="B985" s="6" t="str">
        <f ca="1">IFERROR(__xludf.DUMMYFUNCTION("GOOGLETRANSLATE(A985,""bn"",""en"")"),"I liked it")</f>
        <v>I liked it</v>
      </c>
      <c r="C985" s="7" t="s">
        <v>6</v>
      </c>
      <c r="D985" s="7" t="s">
        <v>7</v>
      </c>
      <c r="E985" s="7">
        <v>0</v>
      </c>
    </row>
    <row r="986" spans="1:5" ht="15.75" customHeight="1" x14ac:dyDescent="0.25">
      <c r="A986" s="6" t="s">
        <v>990</v>
      </c>
      <c r="B986" s="6" t="str">
        <f ca="1">IFERROR(__xludf.DUMMYFUNCTION("GOOGLETRANSLATE(A986,""bn"",""en"")"),"He laughed and said the hill is far from here and you won't be able to reach it by evening")</f>
        <v>He laughed and said the hill is far from here and you won't be able to reach it by evening</v>
      </c>
      <c r="C986" s="7" t="s">
        <v>6</v>
      </c>
      <c r="D986" s="7" t="s">
        <v>7</v>
      </c>
      <c r="E986" s="7">
        <v>0</v>
      </c>
    </row>
    <row r="987" spans="1:5" ht="15.75" customHeight="1" x14ac:dyDescent="0.25">
      <c r="A987" s="6" t="s">
        <v>991</v>
      </c>
      <c r="B987" s="6" t="str">
        <f ca="1">IFERROR(__xludf.DUMMYFUNCTION("GOOGLETRANSLATE(A987,""bn"",""en"")"),"He died within an hour of the shooting")</f>
        <v>He died within an hour of the shooting</v>
      </c>
      <c r="C987" s="8" t="s">
        <v>13</v>
      </c>
      <c r="D987" s="8" t="s">
        <v>14</v>
      </c>
      <c r="E987" s="8">
        <v>1</v>
      </c>
    </row>
    <row r="988" spans="1:5" ht="15.75" customHeight="1" x14ac:dyDescent="0.25">
      <c r="A988" s="6" t="s">
        <v>992</v>
      </c>
      <c r="B988" s="6" t="str">
        <f ca="1">IFERROR(__xludf.DUMMYFUNCTION("GOOGLETRANSLATE(A988,""bn"",""en"")"),"I went to see you")</f>
        <v>I went to see you</v>
      </c>
      <c r="C988" s="8" t="s">
        <v>13</v>
      </c>
      <c r="D988" s="8" t="s">
        <v>14</v>
      </c>
      <c r="E988" s="8">
        <v>1</v>
      </c>
    </row>
    <row r="989" spans="1:5" ht="15.75" customHeight="1" x14ac:dyDescent="0.25">
      <c r="A989" s="6" t="s">
        <v>993</v>
      </c>
      <c r="B989" s="6" t="str">
        <f ca="1">IFERROR(__xludf.DUMMYFUNCTION("GOOGLETRANSLATE(A989,""bn"",""en"")"),"Cooperative learning encourages peer-to-peer knowledge exchange")</f>
        <v>Cooperative learning encourages peer-to-peer knowledge exchange</v>
      </c>
      <c r="C989" s="8" t="s">
        <v>13</v>
      </c>
      <c r="D989" s="8" t="s">
        <v>14</v>
      </c>
      <c r="E989" s="8">
        <v>1</v>
      </c>
    </row>
    <row r="990" spans="1:5" ht="15.75" customHeight="1" x14ac:dyDescent="0.25">
      <c r="A990" s="6" t="s">
        <v>994</v>
      </c>
      <c r="B990" s="6" t="str">
        <f ca="1">IFERROR(__xludf.DUMMYFUNCTION("GOOGLETRANSLATE(A990,""bn"",""en"")"),"My uncle is a great story teller")</f>
        <v>My uncle is a great story teller</v>
      </c>
      <c r="C990" s="8" t="s">
        <v>13</v>
      </c>
      <c r="D990" s="8" t="s">
        <v>14</v>
      </c>
      <c r="E990" s="8">
        <v>1</v>
      </c>
    </row>
    <row r="991" spans="1:5" ht="15.75" customHeight="1" x14ac:dyDescent="0.25">
      <c r="A991" s="6" t="s">
        <v>995</v>
      </c>
      <c r="B991" s="6" t="str">
        <f ca="1">IFERROR(__xludf.DUMMYFUNCTION("GOOGLETRANSLATE(A991,""bn"",""en"")"),"Follow us for wellness tips")</f>
        <v>Follow us for wellness tips</v>
      </c>
      <c r="C991" s="8" t="s">
        <v>13</v>
      </c>
      <c r="D991" s="8" t="s">
        <v>14</v>
      </c>
      <c r="E991" s="8">
        <v>1</v>
      </c>
    </row>
    <row r="992" spans="1:5" ht="15.75" customHeight="1" x14ac:dyDescent="0.25">
      <c r="A992" s="6" t="s">
        <v>996</v>
      </c>
      <c r="B992" s="6" t="str">
        <f ca="1">IFERROR(__xludf.DUMMYFUNCTION("GOOGLETRANSLATE(A992,""bn"",""en"")"),"To many it will be a song of Shiva")</f>
        <v>To many it will be a song of Shiva</v>
      </c>
      <c r="C992" s="7" t="s">
        <v>6</v>
      </c>
      <c r="D992" s="7" t="s">
        <v>7</v>
      </c>
      <c r="E992" s="7">
        <v>0</v>
      </c>
    </row>
    <row r="993" spans="1:5" ht="15.75" customHeight="1" x14ac:dyDescent="0.25">
      <c r="A993" s="6" t="s">
        <v>997</v>
      </c>
      <c r="B993" s="6" t="str">
        <f ca="1">IFERROR(__xludf.DUMMYFUNCTION("GOOGLETRANSLATE(A993,""bn"",""en"")"),"After the meal, the good man looked inside and said, ""Come and drink some lime.""")</f>
        <v>After the meal, the good man looked inside and said, "Come and drink some lime."</v>
      </c>
      <c r="C993" s="7" t="s">
        <v>6</v>
      </c>
      <c r="D993" s="7" t="s">
        <v>7</v>
      </c>
      <c r="E993" s="7">
        <v>0</v>
      </c>
    </row>
    <row r="994" spans="1:5" ht="15.75" customHeight="1" x14ac:dyDescent="0.25">
      <c r="A994" s="6" t="s">
        <v>998</v>
      </c>
      <c r="B994" s="6" t="str">
        <f ca="1">IFERROR(__xludf.DUMMYFUNCTION("GOOGLETRANSLATE(A994,""bn"",""en"")"),"It is written that a big man zamindar used to go by boat")</f>
        <v>It is written that a big man zamindar used to go by boat</v>
      </c>
      <c r="C994" s="7" t="s">
        <v>6</v>
      </c>
      <c r="D994" s="7" t="s">
        <v>7</v>
      </c>
      <c r="E994" s="7">
        <v>0</v>
      </c>
    </row>
    <row r="995" spans="1:5" ht="15.75" customHeight="1" x14ac:dyDescent="0.25">
      <c r="A995" s="6" t="s">
        <v>370</v>
      </c>
      <c r="B995" s="6" t="str">
        <f ca="1">IFERROR(__xludf.DUMMYFUNCTION("GOOGLETRANSLATE(A995,""bn"",""en"")"),"I feel that coal has caught up")</f>
        <v>I feel that coal has caught up</v>
      </c>
      <c r="C995" s="7" t="s">
        <v>6</v>
      </c>
      <c r="D995" s="7" t="s">
        <v>7</v>
      </c>
      <c r="E995" s="7">
        <v>0</v>
      </c>
    </row>
    <row r="996" spans="1:5" ht="15.75" customHeight="1" x14ac:dyDescent="0.25">
      <c r="A996" s="6" t="s">
        <v>999</v>
      </c>
      <c r="B996" s="6" t="str">
        <f ca="1">IFERROR(__xludf.DUMMYFUNCTION("GOOGLETRANSLATE(A996,""bn"",""en"")"),"A very nice breeze enters the house through the south balcony of the new house")</f>
        <v>A very nice breeze enters the house through the south balcony of the new house</v>
      </c>
      <c r="C996" s="7" t="s">
        <v>6</v>
      </c>
      <c r="D996" s="7" t="s">
        <v>7</v>
      </c>
      <c r="E996" s="7">
        <v>0</v>
      </c>
    </row>
    <row r="997" spans="1:5" ht="15.75" customHeight="1" x14ac:dyDescent="0.25">
      <c r="A997" s="6" t="s">
        <v>1000</v>
      </c>
      <c r="B997" s="6" t="str">
        <f ca="1">IFERROR(__xludf.DUMMYFUNCTION("GOOGLETRANSLATE(A997,""bn"",""en"")"),"Because land is ahead of water for intelligence")</f>
        <v>Because land is ahead of water for intelligence</v>
      </c>
      <c r="C997" s="8" t="s">
        <v>13</v>
      </c>
      <c r="D997" s="8" t="s">
        <v>14</v>
      </c>
      <c r="E997" s="8">
        <v>1</v>
      </c>
    </row>
    <row r="998" spans="1:5" ht="15.75" customHeight="1" x14ac:dyDescent="0.25">
      <c r="A998" s="6" t="s">
        <v>1001</v>
      </c>
      <c r="B998" s="6" t="str">
        <f ca="1">IFERROR(__xludf.DUMMYFUNCTION("GOOGLETRANSLATE(A998,""bn"",""en"")"),"He does not come to Dhaka city")</f>
        <v>He does not come to Dhaka city</v>
      </c>
      <c r="C998" s="8" t="s">
        <v>13</v>
      </c>
      <c r="D998" s="8" t="s">
        <v>14</v>
      </c>
      <c r="E998" s="8">
        <v>1</v>
      </c>
    </row>
    <row r="999" spans="1:5" ht="15.75" customHeight="1" x14ac:dyDescent="0.25">
      <c r="A999" s="6" t="s">
        <v>1002</v>
      </c>
      <c r="B999" s="6" t="str">
        <f ca="1">IFERROR(__xludf.DUMMYFUNCTION("GOOGLETRANSLATE(A999,""bn"",""en"")"),"I was amazed at how delicious the food was at this restaurant")</f>
        <v>I was amazed at how delicious the food was at this restaurant</v>
      </c>
      <c r="C999" s="8" t="s">
        <v>13</v>
      </c>
      <c r="D999" s="8" t="s">
        <v>14</v>
      </c>
      <c r="E999" s="8">
        <v>1</v>
      </c>
    </row>
    <row r="1000" spans="1:5" ht="15.75" customHeight="1" x14ac:dyDescent="0.25">
      <c r="A1000" s="6" t="s">
        <v>1003</v>
      </c>
      <c r="B1000" s="6" t="str">
        <f ca="1">IFERROR(__xludf.DUMMYFUNCTION("GOOGLETRANSLATE(A1000,""bn"",""en"")"),"Initiation made me eat rice")</f>
        <v>Initiation made me eat rice</v>
      </c>
      <c r="C1000" s="8" t="s">
        <v>13</v>
      </c>
      <c r="D1000" s="8" t="s">
        <v>14</v>
      </c>
      <c r="E1000" s="8">
        <v>1</v>
      </c>
    </row>
    <row r="1001" spans="1:5" ht="15.75" customHeight="1" x14ac:dyDescent="0.25">
      <c r="A1001" s="6" t="s">
        <v>1004</v>
      </c>
      <c r="B1001" s="6" t="str">
        <f ca="1">IFERROR(__xludf.DUMMYFUNCTION("GOOGLETRANSLATE(A1001,""bn"",""en"")"),"The Bhagavad Gita is a revered Hindu scripture that presents a dialogue between Lord Krishna and Prince Arjuna.")</f>
        <v>The Bhagavad Gita is a revered Hindu scripture that presents a dialogue between Lord Krishna and Prince Arjuna.</v>
      </c>
      <c r="C1001" s="8" t="s">
        <v>13</v>
      </c>
      <c r="D1001" s="8" t="s">
        <v>14</v>
      </c>
      <c r="E1001" s="8">
        <v>1</v>
      </c>
    </row>
    <row r="1002" spans="1:5" ht="15.75" customHeight="1" x14ac:dyDescent="0.25">
      <c r="A1002" s="6" t="s">
        <v>1005</v>
      </c>
      <c r="B1002" s="6" t="str">
        <f ca="1">IFERROR(__xludf.DUMMYFUNCTION("GOOGLETRANSLATE(A1002,""bn"",""en"")"),"For a while, there is no hearing at home")</f>
        <v>For a while, there is no hearing at home</v>
      </c>
      <c r="C1002" s="7" t="s">
        <v>6</v>
      </c>
      <c r="D1002" s="7" t="s">
        <v>7</v>
      </c>
      <c r="E1002" s="7">
        <v>0</v>
      </c>
    </row>
    <row r="1003" spans="1:5" ht="15.75" customHeight="1" x14ac:dyDescent="0.25">
      <c r="A1003" s="6" t="s">
        <v>1006</v>
      </c>
      <c r="B1003" s="6" t="str">
        <f ca="1">IFERROR(__xludf.DUMMYFUNCTION("GOOGLETRANSLATE(A1003,""bn"",""en"")"),"Sajeev asked me for food")</f>
        <v>Sajeev asked me for food</v>
      </c>
      <c r="C1003" s="7" t="s">
        <v>6</v>
      </c>
      <c r="D1003" s="7" t="s">
        <v>7</v>
      </c>
      <c r="E1003" s="7">
        <v>0</v>
      </c>
    </row>
    <row r="1004" spans="1:5" ht="15.75" customHeight="1" x14ac:dyDescent="0.25">
      <c r="A1004" s="6" t="s">
        <v>1007</v>
      </c>
      <c r="B1004" s="6" t="str">
        <f ca="1">IFERROR(__xludf.DUMMYFUNCTION("GOOGLETRANSLATE(A1004,""bn"",""en"")"),"Shrubs among deciduous trees")</f>
        <v>Shrubs among deciduous trees</v>
      </c>
      <c r="C1004" s="7" t="s">
        <v>6</v>
      </c>
      <c r="D1004" s="7" t="s">
        <v>7</v>
      </c>
      <c r="E1004" s="7">
        <v>0</v>
      </c>
    </row>
    <row r="1005" spans="1:5" ht="15.75" customHeight="1" x14ac:dyDescent="0.25">
      <c r="A1005" s="6" t="s">
        <v>1008</v>
      </c>
      <c r="B1005" s="6" t="str">
        <f ca="1">IFERROR(__xludf.DUMMYFUNCTION("GOOGLETRANSLATE(A1005,""bn"",""en"")"),"They put Hafiz in danger")</f>
        <v>They put Hafiz in danger</v>
      </c>
      <c r="C1005" s="7" t="s">
        <v>6</v>
      </c>
      <c r="D1005" s="7" t="s">
        <v>7</v>
      </c>
      <c r="E1005" s="7">
        <v>0</v>
      </c>
    </row>
    <row r="1006" spans="1:5" ht="15.75" customHeight="1" x14ac:dyDescent="0.25">
      <c r="A1006" s="6" t="s">
        <v>1009</v>
      </c>
      <c r="B1006" s="6" t="str">
        <f ca="1">IFERROR(__xludf.DUMMYFUNCTION("GOOGLETRANSLATE(A1006,""bn"",""en"")"),"At the time when the shadow falls in the courtyard, the mind of the bride is disturbed")</f>
        <v>At the time when the shadow falls in the courtyard, the mind of the bride is disturbed</v>
      </c>
      <c r="C1006" s="7" t="s">
        <v>6</v>
      </c>
      <c r="D1006" s="7" t="s">
        <v>7</v>
      </c>
      <c r="E1006" s="7">
        <v>0</v>
      </c>
    </row>
    <row r="1007" spans="1:5" ht="15.75" customHeight="1" x14ac:dyDescent="0.25">
      <c r="A1007" s="6" t="s">
        <v>1010</v>
      </c>
      <c r="B1007" s="6" t="str">
        <f ca="1">IFERROR(__xludf.DUMMYFUNCTION("GOOGLETRANSLATE(A1007,""bn"",""en"")"),"A transient ischemic attack, often referred to as a mini stroke, causes a temporary interruption of blood flow to the brain.")</f>
        <v>A transient ischemic attack, often referred to as a mini stroke, causes a temporary interruption of blood flow to the brain.</v>
      </c>
      <c r="C1007" s="8" t="s">
        <v>13</v>
      </c>
      <c r="D1007" s="8" t="s">
        <v>14</v>
      </c>
      <c r="E1007" s="8">
        <v>1</v>
      </c>
    </row>
    <row r="1008" spans="1:5" ht="15.75" customHeight="1" x14ac:dyDescent="0.25">
      <c r="A1008" s="6" t="s">
        <v>1011</v>
      </c>
      <c r="B1008" s="6" t="str">
        <f ca="1">IFERROR(__xludf.DUMMYFUNCTION("GOOGLETRANSLATE(A1008,""bn"",""en"")"),"He could not express the unspoken words of his mind")</f>
        <v>He could not express the unspoken words of his mind</v>
      </c>
      <c r="C1008" s="8" t="s">
        <v>13</v>
      </c>
      <c r="D1008" s="8" t="s">
        <v>14</v>
      </c>
      <c r="E1008" s="8">
        <v>1</v>
      </c>
    </row>
    <row r="1009" spans="1:5" ht="15.75" customHeight="1" x14ac:dyDescent="0.25">
      <c r="A1009" s="6" t="s">
        <v>1012</v>
      </c>
      <c r="B1009" s="6" t="str">
        <f ca="1">IFERROR(__xludf.DUMMYFUNCTION("GOOGLETRANSLATE(A1009,""bn"",""en"")"),"Facing a setback challenges my resilience")</f>
        <v>Facing a setback challenges my resilience</v>
      </c>
      <c r="C1009" s="8" t="s">
        <v>13</v>
      </c>
      <c r="D1009" s="8" t="s">
        <v>14</v>
      </c>
      <c r="E1009" s="8">
        <v>1</v>
      </c>
    </row>
    <row r="1010" spans="1:5" ht="15.75" customHeight="1" x14ac:dyDescent="0.25">
      <c r="A1010" s="6" t="s">
        <v>1013</v>
      </c>
      <c r="B1010" s="6" t="str">
        <f ca="1">IFERROR(__xludf.DUMMYFUNCTION("GOOGLETRANSLATE(A1010,""bn"",""en"")"),"A torchbearer approaches Ertazuddin")</f>
        <v>A torchbearer approaches Ertazuddin</v>
      </c>
      <c r="C1010" s="8" t="s">
        <v>13</v>
      </c>
      <c r="D1010" s="8" t="s">
        <v>14</v>
      </c>
      <c r="E1010" s="8">
        <v>1</v>
      </c>
    </row>
    <row r="1011" spans="1:5" ht="15.75" customHeight="1" x14ac:dyDescent="0.25">
      <c r="A1011" s="6" t="s">
        <v>1014</v>
      </c>
      <c r="B1011" s="6" t="str">
        <f ca="1">IFERROR(__xludf.DUMMYFUNCTION("GOOGLETRANSLATE(A1011,""bn"",""en"")"),"Strategic alliances expand our market reach")</f>
        <v>Strategic alliances expand our market reach</v>
      </c>
      <c r="C1011" s="8" t="s">
        <v>13</v>
      </c>
      <c r="D1011" s="8" t="s">
        <v>14</v>
      </c>
      <c r="E1011" s="8">
        <v>1</v>
      </c>
    </row>
    <row r="1012" spans="1:5" ht="15.75" customHeight="1" x14ac:dyDescent="0.25">
      <c r="A1012" s="6" t="s">
        <v>1015</v>
      </c>
      <c r="B1012" s="6" t="str">
        <f ca="1">IFERROR(__xludf.DUMMYFUNCTION("GOOGLETRANSLATE(A1012,""bn"",""en"")"),"Symptoms Symptoms Weakness")</f>
        <v>Symptoms Symptoms Weakness</v>
      </c>
      <c r="C1012" s="7" t="s">
        <v>6</v>
      </c>
      <c r="D1012" s="7" t="s">
        <v>7</v>
      </c>
      <c r="E1012" s="7">
        <v>0</v>
      </c>
    </row>
    <row r="1013" spans="1:5" ht="15.75" customHeight="1" x14ac:dyDescent="0.25">
      <c r="A1013" s="6" t="s">
        <v>1016</v>
      </c>
      <c r="B1013" s="6" t="str">
        <f ca="1">IFERROR(__xludf.DUMMYFUNCTION("GOOGLETRANSLATE(A1013,""bn"",""en"")"),"Sitting on this high place, up to five to seven kroshs could be seen")</f>
        <v>Sitting on this high place, up to five to seven kroshs could be seen</v>
      </c>
      <c r="C1013" s="7" t="s">
        <v>6</v>
      </c>
      <c r="D1013" s="7" t="s">
        <v>7</v>
      </c>
      <c r="E1013" s="7">
        <v>0</v>
      </c>
    </row>
    <row r="1014" spans="1:5" ht="15.75" customHeight="1" x14ac:dyDescent="0.25">
      <c r="A1014" s="6" t="s">
        <v>1017</v>
      </c>
      <c r="B1014" s="6" t="str">
        <f ca="1">IFERROR(__xludf.DUMMYFUNCTION("GOOGLETRANSLATE(A1014,""bn"",""en"")"),"Postmaster you told him he applied for transfer application rejected")</f>
        <v>Postmaster you told him he applied for transfer application rejected</v>
      </c>
      <c r="C1014" s="7" t="s">
        <v>6</v>
      </c>
      <c r="D1014" s="7" t="s">
        <v>7</v>
      </c>
      <c r="E1014" s="7">
        <v>0</v>
      </c>
    </row>
    <row r="1015" spans="1:5" ht="15.75" customHeight="1" x14ac:dyDescent="0.25">
      <c r="A1015" s="6" t="s">
        <v>1018</v>
      </c>
      <c r="B1015" s="6" t="str">
        <f ca="1">IFERROR(__xludf.DUMMYFUNCTION("GOOGLETRANSLATE(A1015,""bn"",""en"")"),"After that the young man alone pushed it to the edge of the hole and looked at the tiger once.")</f>
        <v>After that the young man alone pushed it to the edge of the hole and looked at the tiger once.</v>
      </c>
      <c r="C1015" s="7" t="s">
        <v>6</v>
      </c>
      <c r="D1015" s="7" t="s">
        <v>7</v>
      </c>
      <c r="E1015" s="7">
        <v>0</v>
      </c>
    </row>
    <row r="1016" spans="1:5" ht="15.75" customHeight="1" x14ac:dyDescent="0.25">
      <c r="A1016" s="6" t="s">
        <v>1019</v>
      </c>
      <c r="B1016" s="6" t="str">
        <f ca="1">IFERROR(__xludf.DUMMYFUNCTION("GOOGLETRANSLATE(A1016,""bn"",""en"")"),"I don't remember right now but I think I saw all the waves coming up from the east")</f>
        <v>I don't remember right now but I think I saw all the waves coming up from the east</v>
      </c>
      <c r="C1016" s="7" t="s">
        <v>6</v>
      </c>
      <c r="D1016" s="7" t="s">
        <v>7</v>
      </c>
      <c r="E1016" s="7">
        <v>0</v>
      </c>
    </row>
    <row r="1017" spans="1:5" ht="15.75" customHeight="1" x14ac:dyDescent="0.25">
      <c r="A1017" s="6" t="s">
        <v>1020</v>
      </c>
      <c r="B1017" s="6" t="str">
        <f ca="1">IFERROR(__xludf.DUMMYFUNCTION("GOOGLETRANSLATE(A1017,""bn"",""en"")"),"The criminal underworld operates outside the bounds of legality")</f>
        <v>The criminal underworld operates outside the bounds of legality</v>
      </c>
      <c r="C1017" s="8" t="s">
        <v>13</v>
      </c>
      <c r="D1017" s="8" t="s">
        <v>14</v>
      </c>
      <c r="E1017" s="8">
        <v>1</v>
      </c>
    </row>
    <row r="1018" spans="1:5" ht="15.75" customHeight="1" x14ac:dyDescent="0.25">
      <c r="A1018" s="6" t="s">
        <v>1021</v>
      </c>
      <c r="B1018" s="6" t="str">
        <f ca="1">IFERROR(__xludf.DUMMYFUNCTION("GOOGLETRANSLATE(A1018,""bn"",""en"")"),"Take time to reflect on your action decisions")</f>
        <v>Take time to reflect on your action decisions</v>
      </c>
      <c r="C1018" s="8" t="s">
        <v>13</v>
      </c>
      <c r="D1018" s="8" t="s">
        <v>14</v>
      </c>
      <c r="E1018" s="8">
        <v>1</v>
      </c>
    </row>
    <row r="1019" spans="1:5" ht="15.75" customHeight="1" x14ac:dyDescent="0.25">
      <c r="A1019" s="6" t="s">
        <v>1022</v>
      </c>
      <c r="B1019" s="6" t="str">
        <f ca="1">IFERROR(__xludf.DUMMYFUNCTION("GOOGLETRANSLATE(A1019,""bn"",""en"")"),"Because the best bed was used to serve guests")</f>
        <v>Because the best bed was used to serve guests</v>
      </c>
      <c r="C1019" s="8" t="s">
        <v>13</v>
      </c>
      <c r="D1019" s="8" t="s">
        <v>14</v>
      </c>
      <c r="E1019" s="8">
        <v>1</v>
      </c>
    </row>
    <row r="1020" spans="1:5" ht="15.75" customHeight="1" x14ac:dyDescent="0.25">
      <c r="A1020" s="6" t="s">
        <v>1023</v>
      </c>
      <c r="B1020" s="6" t="str">
        <f ca="1">IFERROR(__xludf.DUMMYFUNCTION("GOOGLETRANSLATE(A1020,""bn"",""en"")"),"Practice gratitude not only for the good things in life but also for the challenging lessons they bring")</f>
        <v>Practice gratitude not only for the good things in life but also for the challenging lessons they bring</v>
      </c>
      <c r="C1020" s="8" t="s">
        <v>13</v>
      </c>
      <c r="D1020" s="8" t="s">
        <v>14</v>
      </c>
      <c r="E1020" s="8">
        <v>1</v>
      </c>
    </row>
    <row r="1021" spans="1:5" ht="15.75" customHeight="1" x14ac:dyDescent="0.25">
      <c r="A1021" s="6" t="s">
        <v>1024</v>
      </c>
      <c r="B1021" s="6" t="str">
        <f ca="1">IFERROR(__xludf.DUMMYFUNCTION("GOOGLETRANSLATE(A1021,""bn"",""en"")"),"Scaling the sheer rocky face they marvel at the breathtaking view below")</f>
        <v>Scaling the sheer rocky face they marvel at the breathtaking view below</v>
      </c>
      <c r="C1021" s="8" t="s">
        <v>13</v>
      </c>
      <c r="D1021" s="8" t="s">
        <v>14</v>
      </c>
      <c r="E1021" s="8">
        <v>1</v>
      </c>
    </row>
    <row r="1022" spans="1:5" ht="15.75" customHeight="1" x14ac:dyDescent="0.25">
      <c r="A1022" s="6" t="s">
        <v>1025</v>
      </c>
      <c r="B1022" s="6" t="str">
        <f ca="1">IFERROR(__xludf.DUMMYFUNCTION("GOOGLETRANSLATE(A1022,""bn"",""en"")"),"Bibira can prove that whether the feet are moving or not, the hands are moving")</f>
        <v>Bibira can prove that whether the feet are moving or not, the hands are moving</v>
      </c>
      <c r="C1022" s="7" t="s">
        <v>6</v>
      </c>
      <c r="D1022" s="7" t="s">
        <v>7</v>
      </c>
      <c r="E1022" s="7">
        <v>0</v>
      </c>
    </row>
    <row r="1023" spans="1:5" ht="15.75" customHeight="1" x14ac:dyDescent="0.25">
      <c r="A1023" s="6" t="s">
        <v>1026</v>
      </c>
      <c r="B1023" s="6" t="str">
        <f ca="1">IFERROR(__xludf.DUMMYFUNCTION("GOOGLETRANSLATE(A1023,""bn"",""en"")"),"His eyelids became heavy and blurred")</f>
        <v>His eyelids became heavy and blurred</v>
      </c>
      <c r="C1023" s="7" t="s">
        <v>6</v>
      </c>
      <c r="D1023" s="7" t="s">
        <v>7</v>
      </c>
      <c r="E1023" s="7">
        <v>0</v>
      </c>
    </row>
    <row r="1024" spans="1:5" ht="15.75" customHeight="1" x14ac:dyDescent="0.25">
      <c r="A1024" s="6" t="s">
        <v>1027</v>
      </c>
      <c r="B1024" s="6" t="str">
        <f ca="1">IFERROR(__xludf.DUMMYFUNCTION("GOOGLETRANSLATE(A1024,""bn"",""en"")"),"Jhi was reluctant to go outside into the dark alley")</f>
        <v>Jhi was reluctant to go outside into the dark alley</v>
      </c>
      <c r="C1024" s="7" t="s">
        <v>6</v>
      </c>
      <c r="D1024" s="7" t="s">
        <v>7</v>
      </c>
      <c r="E1024" s="7">
        <v>0</v>
      </c>
    </row>
    <row r="1025" spans="1:5" ht="15.75" customHeight="1" x14ac:dyDescent="0.25">
      <c r="A1025" s="6" t="s">
        <v>1028</v>
      </c>
      <c r="B1025" s="6" t="str">
        <f ca="1">IFERROR(__xludf.DUMMYFUNCTION("GOOGLETRANSLATE(A1025,""bn"",""en"")"),"did you tell me my name")</f>
        <v>did you tell me my name</v>
      </c>
      <c r="C1025" s="7" t="s">
        <v>6</v>
      </c>
      <c r="D1025" s="7" t="s">
        <v>7</v>
      </c>
      <c r="E1025" s="7">
        <v>0</v>
      </c>
    </row>
    <row r="1026" spans="1:5" ht="15.75" customHeight="1" x14ac:dyDescent="0.25">
      <c r="A1026" s="6" t="s">
        <v>1029</v>
      </c>
      <c r="B1026" s="6" t="str">
        <f ca="1">IFERROR(__xludf.DUMMYFUNCTION("GOOGLETRANSLATE(A1026,""bn"",""en"")"),"Rana will not go to market now")</f>
        <v>Rana will not go to market now</v>
      </c>
      <c r="C1026" s="7" t="s">
        <v>6</v>
      </c>
      <c r="D1026" s="7" t="s">
        <v>7</v>
      </c>
      <c r="E1026" s="7">
        <v>0</v>
      </c>
    </row>
    <row r="1027" spans="1:5" ht="15.75" customHeight="1" x14ac:dyDescent="0.25">
      <c r="A1027" s="6" t="s">
        <v>1030</v>
      </c>
      <c r="B1027" s="6" t="str">
        <f ca="1">IFERROR(__xludf.DUMMYFUNCTION("GOOGLETRANSLATE(A1027,""bn"",""en"")"),"My father went to Sunny's house")</f>
        <v>My father went to Sunny's house</v>
      </c>
      <c r="C1027" s="8" t="s">
        <v>13</v>
      </c>
      <c r="D1027" s="8" t="s">
        <v>14</v>
      </c>
      <c r="E1027" s="8">
        <v>1</v>
      </c>
    </row>
    <row r="1028" spans="1:5" ht="15.75" customHeight="1" x14ac:dyDescent="0.25">
      <c r="A1028" s="6" t="s">
        <v>1031</v>
      </c>
      <c r="B1028" s="6" t="str">
        <f ca="1">IFERROR(__xludf.DUMMYFUNCTION("GOOGLETRANSLATE(A1028,""bn"",""en"")"),"Delicious tacos delight the hungry heart")</f>
        <v>Delicious tacos delight the hungry heart</v>
      </c>
      <c r="C1028" s="8" t="s">
        <v>13</v>
      </c>
      <c r="D1028" s="8" t="s">
        <v>14</v>
      </c>
      <c r="E1028" s="8">
        <v>1</v>
      </c>
    </row>
    <row r="1029" spans="1:5" ht="15.75" customHeight="1" x14ac:dyDescent="0.25">
      <c r="A1029" s="6" t="s">
        <v>1032</v>
      </c>
      <c r="B1029" s="6" t="str">
        <f ca="1">IFERROR(__xludf.DUMMYFUNCTION("GOOGLETRANSLATE(A1029,""bn"",""en"")"),"Gardening became his hobby")</f>
        <v>Gardening became his hobby</v>
      </c>
      <c r="C1029" s="8" t="s">
        <v>13</v>
      </c>
      <c r="D1029" s="8" t="s">
        <v>14</v>
      </c>
      <c r="E1029" s="8">
        <v>1</v>
      </c>
    </row>
    <row r="1030" spans="1:5" ht="15.75" customHeight="1" x14ac:dyDescent="0.25">
      <c r="A1030" s="6" t="s">
        <v>1033</v>
      </c>
      <c r="B1030" s="6" t="str">
        <f ca="1">IFERROR(__xludf.DUMMYFUNCTION("GOOGLETRANSLATE(A1030,""bn"",""en"")"),"Some parts of the wall are being damaged due to vandalism")</f>
        <v>Some parts of the wall are being damaged due to vandalism</v>
      </c>
      <c r="C1030" s="8" t="s">
        <v>13</v>
      </c>
      <c r="D1030" s="8" t="s">
        <v>14</v>
      </c>
      <c r="E1030" s="8">
        <v>1</v>
      </c>
    </row>
    <row r="1031" spans="1:5" ht="15.75" customHeight="1" x14ac:dyDescent="0.25">
      <c r="A1031" s="6" t="s">
        <v>1034</v>
      </c>
      <c r="B1031" s="6" t="str">
        <f ca="1">IFERROR(__xludf.DUMMYFUNCTION("GOOGLETRANSLATE(A1031,""bn"",""en"")"),"Police officers patrol the streets to ensure public safety")</f>
        <v>Police officers patrol the streets to ensure public safety</v>
      </c>
      <c r="C1031" s="8" t="s">
        <v>13</v>
      </c>
      <c r="D1031" s="8" t="s">
        <v>14</v>
      </c>
      <c r="E1031" s="8">
        <v>1</v>
      </c>
    </row>
    <row r="1032" spans="1:5" ht="15.75" customHeight="1" x14ac:dyDescent="0.25">
      <c r="A1032" s="6" t="s">
        <v>1035</v>
      </c>
      <c r="B1032" s="6" t="str">
        <f ca="1">IFERROR(__xludf.DUMMYFUNCTION("GOOGLETRANSLATE(A1032,""bn"",""en"")"),"He admitted early on that nobody knows anything")</f>
        <v>He admitted early on that nobody knows anything</v>
      </c>
      <c r="C1032" s="7" t="s">
        <v>6</v>
      </c>
      <c r="D1032" s="7" t="s">
        <v>7</v>
      </c>
      <c r="E1032" s="7">
        <v>0</v>
      </c>
    </row>
    <row r="1033" spans="1:5" ht="15.75" customHeight="1" x14ac:dyDescent="0.25">
      <c r="A1033" s="6" t="s">
        <v>1036</v>
      </c>
      <c r="B1033" s="6" t="str">
        <f ca="1">IFERROR(__xludf.DUMMYFUNCTION("GOOGLETRANSLATE(A1033,""bn"",""en"")"),"Will this timidity of ours remain forever?")</f>
        <v>Will this timidity of ours remain forever?</v>
      </c>
      <c r="C1033" s="7" t="s">
        <v>6</v>
      </c>
      <c r="D1033" s="7" t="s">
        <v>7</v>
      </c>
      <c r="E1033" s="7">
        <v>0</v>
      </c>
    </row>
    <row r="1034" spans="1:5" ht="15.75" customHeight="1" x14ac:dyDescent="0.25">
      <c r="A1034" s="6" t="s">
        <v>1037</v>
      </c>
      <c r="B1034" s="6" t="str">
        <f ca="1">IFERROR(__xludf.DUMMYFUNCTION("GOOGLETRANSLATE(A1034,""bn"",""en"")"),"Shihab saw me and sat near me")</f>
        <v>Shihab saw me and sat near me</v>
      </c>
      <c r="C1034" s="7" t="s">
        <v>6</v>
      </c>
      <c r="D1034" s="7" t="s">
        <v>7</v>
      </c>
      <c r="E1034" s="7">
        <v>0</v>
      </c>
    </row>
    <row r="1035" spans="1:5" ht="15.75" customHeight="1" x14ac:dyDescent="0.25">
      <c r="A1035" s="6" t="s">
        <v>1038</v>
      </c>
      <c r="B1035" s="6" t="str">
        <f ca="1">IFERROR(__xludf.DUMMYFUNCTION("GOOGLETRANSLATE(A1035,""bn"",""en"")"),"Sujan said this to my brother")</f>
        <v>Sujan said this to my brother</v>
      </c>
      <c r="C1035" s="7" t="s">
        <v>6</v>
      </c>
      <c r="D1035" s="7" t="s">
        <v>7</v>
      </c>
      <c r="E1035" s="7">
        <v>0</v>
      </c>
    </row>
    <row r="1036" spans="1:5" ht="15.75" customHeight="1" x14ac:dyDescent="0.25">
      <c r="A1036" s="6" t="s">
        <v>1039</v>
      </c>
      <c r="B1036" s="6" t="str">
        <f ca="1">IFERROR(__xludf.DUMMYFUNCTION("GOOGLETRANSLATE(A1036,""bn"",""en"")"),"The girl was staring at his face and could not finish the sentence properly")</f>
        <v>The girl was staring at his face and could not finish the sentence properly</v>
      </c>
      <c r="C1036" s="7" t="s">
        <v>6</v>
      </c>
      <c r="D1036" s="7" t="s">
        <v>7</v>
      </c>
      <c r="E1036" s="7">
        <v>0</v>
      </c>
    </row>
    <row r="1037" spans="1:5" ht="15.75" customHeight="1" x14ac:dyDescent="0.25">
      <c r="A1037" s="6" t="s">
        <v>1040</v>
      </c>
      <c r="B1037" s="6" t="str">
        <f ca="1">IFERROR(__xludf.DUMMYFUNCTION("GOOGLETRANSLATE(A1037,""bn"",""en"")"),"The film drew criticism")</f>
        <v>The film drew criticism</v>
      </c>
      <c r="C1037" s="8" t="s">
        <v>13</v>
      </c>
      <c r="D1037" s="8" t="s">
        <v>14</v>
      </c>
      <c r="E1037" s="8">
        <v>1</v>
      </c>
    </row>
    <row r="1038" spans="1:5" ht="15.75" customHeight="1" x14ac:dyDescent="0.25">
      <c r="A1038" s="6" t="s">
        <v>1041</v>
      </c>
      <c r="B1038" s="6" t="str">
        <f ca="1">IFERROR(__xludf.DUMMYFUNCTION("GOOGLETRANSLATE(A1038,""bn"",""en"")"),"Practice mindfulness Live in the present moment Let go of worrying about the past or the future")</f>
        <v>Practice mindfulness Live in the present moment Let go of worrying about the past or the future</v>
      </c>
      <c r="C1038" s="8" t="s">
        <v>13</v>
      </c>
      <c r="D1038" s="8" t="s">
        <v>14</v>
      </c>
      <c r="E1038" s="8">
        <v>1</v>
      </c>
    </row>
    <row r="1039" spans="1:5" ht="15.75" customHeight="1" x14ac:dyDescent="0.25">
      <c r="A1039" s="6" t="s">
        <v>1042</v>
      </c>
      <c r="B1039" s="6" t="str">
        <f ca="1">IFERROR(__xludf.DUMMYFUNCTION("GOOGLETRANSLATE(A1039,""bn"",""en"")"),"The king went to see the queen")</f>
        <v>The king went to see the queen</v>
      </c>
      <c r="C1039" s="8" t="s">
        <v>13</v>
      </c>
      <c r="D1039" s="8" t="s">
        <v>14</v>
      </c>
      <c r="E1039" s="8">
        <v>1</v>
      </c>
    </row>
    <row r="1040" spans="1:5" ht="15.75" customHeight="1" x14ac:dyDescent="0.25">
      <c r="A1040" s="6" t="s">
        <v>1043</v>
      </c>
      <c r="B1040" s="6" t="str">
        <f ca="1">IFERROR(__xludf.DUMMYFUNCTION("GOOGLETRANSLATE(A1040,""bn"",""en"")"),"Don't be afraid to say no when necessary Boundaries are important")</f>
        <v>Don't be afraid to say no when necessary Boundaries are important</v>
      </c>
      <c r="C1040" s="8" t="s">
        <v>13</v>
      </c>
      <c r="D1040" s="8" t="s">
        <v>14</v>
      </c>
      <c r="E1040" s="8">
        <v>1</v>
      </c>
    </row>
    <row r="1041" spans="1:5" ht="15.75" customHeight="1" x14ac:dyDescent="0.25">
      <c r="A1041" s="6" t="s">
        <v>1044</v>
      </c>
      <c r="B1041" s="6" t="str">
        <f ca="1">IFERROR(__xludf.DUMMYFUNCTION("GOOGLETRANSLATE(A1041,""bn"",""en"")"),"Irtazuddin shouldered the responsibility of the family from a very young age")</f>
        <v>Irtazuddin shouldered the responsibility of the family from a very young age</v>
      </c>
      <c r="C1041" s="8" t="s">
        <v>13</v>
      </c>
      <c r="D1041" s="8" t="s">
        <v>14</v>
      </c>
      <c r="E1041" s="8">
        <v>1</v>
      </c>
    </row>
    <row r="1042" spans="1:5" ht="15.75" customHeight="1" x14ac:dyDescent="0.25">
      <c r="A1042" s="6" t="s">
        <v>1045</v>
      </c>
      <c r="B1042" s="6" t="str">
        <f ca="1">IFERROR(__xludf.DUMMYFUNCTION("GOOGLETRANSLATE(A1042,""bn"",""en"")"),"The bride got up early the next morning and kissed her younger brother")</f>
        <v>The bride got up early the next morning and kissed her younger brother</v>
      </c>
      <c r="C1042" s="7" t="s">
        <v>6</v>
      </c>
      <c r="D1042" s="7" t="s">
        <v>7</v>
      </c>
      <c r="E1042" s="7">
        <v>0</v>
      </c>
    </row>
    <row r="1043" spans="1:5" ht="15.75" customHeight="1" x14ac:dyDescent="0.25">
      <c r="A1043" s="6" t="s">
        <v>1046</v>
      </c>
      <c r="B1043" s="6" t="str">
        <f ca="1">IFERROR(__xludf.DUMMYFUNCTION("GOOGLETRANSLATE(A1043,""bn"",""en"")"),"There is not a single particle of dirt on the hand, everything is clean and tidy")</f>
        <v>There is not a single particle of dirt on the hand, everything is clean and tidy</v>
      </c>
      <c r="C1043" s="7" t="s">
        <v>6</v>
      </c>
      <c r="D1043" s="7" t="s">
        <v>7</v>
      </c>
      <c r="E1043" s="7">
        <v>0</v>
      </c>
    </row>
    <row r="1044" spans="1:5" ht="15.75" customHeight="1" x14ac:dyDescent="0.25">
      <c r="A1044" s="6" t="s">
        <v>1047</v>
      </c>
      <c r="B1044" s="6" t="str">
        <f ca="1">IFERROR(__xludf.DUMMYFUNCTION("GOOGLETRANSLATE(A1044,""bn"",""en"")"),"Sujan saved money for Eid")</f>
        <v>Sujan saved money for Eid</v>
      </c>
      <c r="C1044" s="7" t="s">
        <v>6</v>
      </c>
      <c r="D1044" s="7" t="s">
        <v>7</v>
      </c>
      <c r="E1044" s="7">
        <v>0</v>
      </c>
    </row>
    <row r="1045" spans="1:5" ht="15.75" customHeight="1" x14ac:dyDescent="0.25">
      <c r="A1045" s="6" t="s">
        <v>1048</v>
      </c>
      <c r="B1045" s="6" t="str">
        <f ca="1">IFERROR(__xludf.DUMMYFUNCTION("GOOGLETRANSLATE(A1045,""bn"",""en"")"),"It seems as if I have seen this custom of Santals too")</f>
        <v>It seems as if I have seen this custom of Santals too</v>
      </c>
      <c r="C1045" s="7" t="s">
        <v>6</v>
      </c>
      <c r="D1045" s="7" t="s">
        <v>7</v>
      </c>
      <c r="E1045" s="7">
        <v>0</v>
      </c>
    </row>
    <row r="1046" spans="1:5" ht="15.75" customHeight="1" x14ac:dyDescent="0.25">
      <c r="A1046" s="6" t="s">
        <v>1049</v>
      </c>
      <c r="B1046" s="6" t="str">
        <f ca="1">IFERROR(__xludf.DUMMYFUNCTION("GOOGLETRANSLATE(A1046,""bn"",""en"")"),"That's why you're always apologizing for your existence")</f>
        <v>That's why you're always apologizing for your existence</v>
      </c>
      <c r="C1046" s="7" t="s">
        <v>6</v>
      </c>
      <c r="D1046" s="7" t="s">
        <v>7</v>
      </c>
      <c r="E1046" s="7">
        <v>0</v>
      </c>
    </row>
    <row r="1047" spans="1:5" ht="15.75" customHeight="1" x14ac:dyDescent="0.25">
      <c r="A1047" s="6" t="s">
        <v>1050</v>
      </c>
      <c r="B1047" s="6" t="str">
        <f ca="1">IFERROR(__xludf.DUMMYFUNCTION("GOOGLETRANSLATE(A1047,""bn"",""en"")"),"Be generous with your time resources")</f>
        <v>Be generous with your time resources</v>
      </c>
      <c r="C1047" s="8" t="s">
        <v>13</v>
      </c>
      <c r="D1047" s="8" t="s">
        <v>14</v>
      </c>
      <c r="E1047" s="8">
        <v>1</v>
      </c>
    </row>
    <row r="1048" spans="1:5" ht="15.75" customHeight="1" x14ac:dyDescent="0.25">
      <c r="A1048" s="6" t="s">
        <v>1051</v>
      </c>
      <c r="B1048" s="6" t="str">
        <f ca="1">IFERROR(__xludf.DUMMYFUNCTION("GOOGLETRANSLATE(A1048,""bn"",""en"")"),"Finally, when Titumir was killed, his party's resistance collapsed")</f>
        <v>Finally, when Titumir was killed, his party's resistance collapsed</v>
      </c>
      <c r="C1048" s="8" t="s">
        <v>13</v>
      </c>
      <c r="D1048" s="8" t="s">
        <v>14</v>
      </c>
      <c r="E1048" s="8">
        <v>1</v>
      </c>
    </row>
    <row r="1049" spans="1:5" ht="15.75" customHeight="1" x14ac:dyDescent="0.25">
      <c r="A1049" s="6" t="s">
        <v>1052</v>
      </c>
      <c r="B1049" s="6" t="str">
        <f ca="1">IFERROR(__xludf.DUMMYFUNCTION("GOOGLETRANSLATE(A1049,""bn"",""en"")"),"At the end of the night watch they returned home")</f>
        <v>At the end of the night watch they returned home</v>
      </c>
      <c r="C1049" s="8" t="s">
        <v>13</v>
      </c>
      <c r="D1049" s="8" t="s">
        <v>14</v>
      </c>
      <c r="E1049" s="8">
        <v>1</v>
      </c>
    </row>
    <row r="1050" spans="1:5" ht="15.75" customHeight="1" x14ac:dyDescent="0.25">
      <c r="A1050" s="6" t="s">
        <v>1053</v>
      </c>
      <c r="B1050" s="6" t="str">
        <f ca="1">IFERROR(__xludf.DUMMYFUNCTION("GOOGLETRANSLATE(A1050,""bn"",""en"")"),"My aunt always gives the best advice")</f>
        <v>My aunt always gives the best advice</v>
      </c>
      <c r="C1050" s="8" t="s">
        <v>13</v>
      </c>
      <c r="D1050" s="8" t="s">
        <v>14</v>
      </c>
      <c r="E1050" s="8">
        <v>1</v>
      </c>
    </row>
    <row r="1051" spans="1:5" ht="15.75" customHeight="1" x14ac:dyDescent="0.25">
      <c r="A1051" s="6" t="s">
        <v>1054</v>
      </c>
      <c r="B1051" s="6" t="str">
        <f ca="1">IFERROR(__xludf.DUMMYFUNCTION("GOOGLETRANSLATE(A1051,""bn"",""en"")"),"Bronchitis is an inflammation of the lining of the bronchial tubes that causes coughing and difficulty breathing")</f>
        <v>Bronchitis is an inflammation of the lining of the bronchial tubes that causes coughing and difficulty breathing</v>
      </c>
      <c r="C1051" s="8" t="s">
        <v>13</v>
      </c>
      <c r="D1051" s="8" t="s">
        <v>14</v>
      </c>
      <c r="E1051" s="8">
        <v>1</v>
      </c>
    </row>
    <row r="1052" spans="1:5" ht="15.75" customHeight="1" x14ac:dyDescent="0.25">
      <c r="A1052" s="6" t="s">
        <v>1055</v>
      </c>
      <c r="B1052" s="6" t="str">
        <f ca="1">IFERROR(__xludf.DUMMYFUNCTION("GOOGLETRANSLATE(A1052,""bn"",""en"")"),"Ramsundar agreed to it without any consideration")</f>
        <v>Ramsundar agreed to it without any consideration</v>
      </c>
      <c r="C1052" s="7" t="s">
        <v>6</v>
      </c>
      <c r="D1052" s="7" t="s">
        <v>7</v>
      </c>
      <c r="E1052" s="7">
        <v>0</v>
      </c>
    </row>
    <row r="1053" spans="1:5" ht="15.75" customHeight="1" x14ac:dyDescent="0.25">
      <c r="A1053" s="6" t="s">
        <v>1056</v>
      </c>
      <c r="B1053" s="6" t="str">
        <f ca="1">IFERROR(__xludf.DUMMYFUNCTION("GOOGLETRANSLATE(A1053,""bn"",""en"")"),"Could I blame you?")</f>
        <v>Could I blame you?</v>
      </c>
      <c r="C1053" s="7" t="s">
        <v>6</v>
      </c>
      <c r="D1053" s="7" t="s">
        <v>7</v>
      </c>
      <c r="E1053" s="7">
        <v>0</v>
      </c>
    </row>
    <row r="1054" spans="1:5" ht="15.75" customHeight="1" x14ac:dyDescent="0.25">
      <c r="A1054" s="6" t="s">
        <v>1057</v>
      </c>
      <c r="B1054" s="6" t="str">
        <f ca="1">IFERROR(__xludf.DUMMYFUNCTION("GOOGLETRANSLATE(A1054,""bn"",""en"")"),"After the sun sets in the mountains, the temperature drops very quickly")</f>
        <v>After the sun sets in the mountains, the temperature drops very quickly</v>
      </c>
      <c r="C1054" s="7" t="s">
        <v>6</v>
      </c>
      <c r="D1054" s="7" t="s">
        <v>7</v>
      </c>
      <c r="E1054" s="7">
        <v>0</v>
      </c>
    </row>
    <row r="1055" spans="1:5" ht="15.75" customHeight="1" x14ac:dyDescent="0.25">
      <c r="A1055" s="6" t="s">
        <v>1058</v>
      </c>
      <c r="B1055" s="6" t="str">
        <f ca="1">IFERROR(__xludf.DUMMYFUNCTION("GOOGLETRANSLATE(A1055,""bn"",""en"")"),"I have not seen them")</f>
        <v>I have not seen them</v>
      </c>
      <c r="C1055" s="7" t="s">
        <v>6</v>
      </c>
      <c r="D1055" s="7" t="s">
        <v>7</v>
      </c>
      <c r="E1055" s="7">
        <v>0</v>
      </c>
    </row>
    <row r="1056" spans="1:5" ht="15.75" customHeight="1" x14ac:dyDescent="0.25">
      <c r="A1056" s="6" t="s">
        <v>1059</v>
      </c>
      <c r="B1056" s="6" t="str">
        <f ca="1">IFERROR(__xludf.DUMMYFUNCTION("GOOGLETRANSLATE(A1056,""bn"",""en"")"),"Song of Sufal on Saturday If you wish, come")</f>
        <v>Song of Sufal on Saturday If you wish, come</v>
      </c>
      <c r="C1056" s="7" t="s">
        <v>6</v>
      </c>
      <c r="D1056" s="7" t="s">
        <v>7</v>
      </c>
      <c r="E1056" s="7">
        <v>0</v>
      </c>
    </row>
    <row r="1057" spans="1:5" ht="15.75" customHeight="1" x14ac:dyDescent="0.25">
      <c r="A1057" s="6" t="s">
        <v>1060</v>
      </c>
      <c r="B1057" s="6" t="str">
        <f ca="1">IFERROR(__xludf.DUMMYFUNCTION("GOOGLETRANSLATE(A1057,""bn"",""en"")"),"Finding strength in weakness brings authenticity")</f>
        <v>Finding strength in weakness brings authenticity</v>
      </c>
      <c r="C1057" s="8" t="s">
        <v>13</v>
      </c>
      <c r="D1057" s="8" t="s">
        <v>14</v>
      </c>
      <c r="E1057" s="8">
        <v>1</v>
      </c>
    </row>
    <row r="1058" spans="1:5" ht="15.75" customHeight="1" x14ac:dyDescent="0.25">
      <c r="A1058" s="6" t="s">
        <v>1061</v>
      </c>
      <c r="B1058" s="6" t="str">
        <f ca="1">IFERROR(__xludf.DUMMYFUNCTION("GOOGLETRANSLATE(A1058,""bn"",""en"")"),"Losing track of time while doing something I love brings satisfaction")</f>
        <v>Losing track of time while doing something I love brings satisfaction</v>
      </c>
      <c r="C1058" s="8" t="s">
        <v>13</v>
      </c>
      <c r="D1058" s="8" t="s">
        <v>14</v>
      </c>
      <c r="E1058" s="8">
        <v>1</v>
      </c>
    </row>
    <row r="1059" spans="1:5" ht="15.75" customHeight="1" x14ac:dyDescent="0.25">
      <c r="A1059" s="6" t="s">
        <v>1062</v>
      </c>
      <c r="B1059" s="6" t="str">
        <f ca="1">IFERROR(__xludf.DUMMYFUNCTION("GOOGLETRANSLATE(A1059,""bn"",""en"")"),"There was not even a drop of the kind of divisive racism seen in the outside world")</f>
        <v>There was not even a drop of the kind of divisive racism seen in the outside world</v>
      </c>
      <c r="C1059" s="8" t="s">
        <v>13</v>
      </c>
      <c r="D1059" s="8" t="s">
        <v>14</v>
      </c>
      <c r="E1059" s="8">
        <v>1</v>
      </c>
    </row>
    <row r="1060" spans="1:5" ht="15.75" customHeight="1" x14ac:dyDescent="0.25">
      <c r="A1060" s="6" t="s">
        <v>1063</v>
      </c>
      <c r="B1060" s="6" t="str">
        <f ca="1">IFERROR(__xludf.DUMMYFUNCTION("GOOGLETRANSLATE(A1060,""bn"",""en"")"),"I received a confirmation email for the transaction")</f>
        <v>I received a confirmation email for the transaction</v>
      </c>
      <c r="C1060" s="8" t="s">
        <v>13</v>
      </c>
      <c r="D1060" s="8" t="s">
        <v>14</v>
      </c>
      <c r="E1060" s="8">
        <v>1</v>
      </c>
    </row>
    <row r="1061" spans="1:5" ht="15.75" customHeight="1" x14ac:dyDescent="0.25">
      <c r="A1061" s="6" t="s">
        <v>1064</v>
      </c>
      <c r="B1061" s="6" t="str">
        <f ca="1">IFERROR(__xludf.DUMMYFUNCTION("GOOGLETRANSLATE(A1061,""bn"",""en"")"),"They were awakened by the relentless roar of the wind outside")</f>
        <v>They were awakened by the relentless roar of the wind outside</v>
      </c>
      <c r="C1061" s="8" t="s">
        <v>13</v>
      </c>
      <c r="D1061" s="8" t="s">
        <v>14</v>
      </c>
      <c r="E1061" s="8">
        <v>1</v>
      </c>
    </row>
    <row r="1062" spans="1:5" ht="15.75" customHeight="1" x14ac:dyDescent="0.25">
      <c r="A1062" s="6" t="s">
        <v>1065</v>
      </c>
      <c r="B1062" s="6" t="str">
        <f ca="1">IFERROR(__xludf.DUMMYFUNCTION("GOOGLETRANSLATE(A1062,""bn"",""en"")"),"As soon as I asked them, they both advanced to the door and bowed their hands to greet me.")</f>
        <v>As soon as I asked them, they both advanced to the door and bowed their hands to greet me.</v>
      </c>
      <c r="C1062" s="7" t="s">
        <v>6</v>
      </c>
      <c r="D1062" s="7" t="s">
        <v>7</v>
      </c>
      <c r="E1062" s="7">
        <v>0</v>
      </c>
    </row>
    <row r="1063" spans="1:5" ht="15.75" customHeight="1" x14ac:dyDescent="0.25">
      <c r="A1063" s="6" t="s">
        <v>1066</v>
      </c>
      <c r="B1063" s="6" t="str">
        <f ca="1">IFERROR(__xludf.DUMMYFUNCTION("GOOGLETRANSLATE(A1063,""bn"",""en"")"),"The moneylender will give him only a small amount of food")</f>
        <v>The moneylender will give him only a small amount of food</v>
      </c>
      <c r="C1063" s="7" t="s">
        <v>6</v>
      </c>
      <c r="D1063" s="7" t="s">
        <v>7</v>
      </c>
      <c r="E1063" s="7">
        <v>0</v>
      </c>
    </row>
    <row r="1064" spans="1:5" ht="15.75" customHeight="1" x14ac:dyDescent="0.25">
      <c r="A1064" s="6" t="s">
        <v>1067</v>
      </c>
      <c r="B1064" s="6" t="str">
        <f ca="1">IFERROR(__xludf.DUMMYFUNCTION("GOOGLETRANSLATE(A1064,""bn"",""en"")"),"Leaving the cars one by one, my car started moving")</f>
        <v>Leaving the cars one by one, my car started moving</v>
      </c>
      <c r="C1064" s="7" t="s">
        <v>6</v>
      </c>
      <c r="D1064" s="7" t="s">
        <v>7</v>
      </c>
      <c r="E1064" s="7">
        <v>0</v>
      </c>
    </row>
    <row r="1065" spans="1:5" ht="15.75" customHeight="1" x14ac:dyDescent="0.25">
      <c r="A1065" s="6" t="s">
        <v>1068</v>
      </c>
      <c r="B1065" s="6" t="str">
        <f ca="1">IFERROR(__xludf.DUMMYFUNCTION("GOOGLETRANSLATE(A1065,""bn"",""en"")"),"When I returned home, I told my father about my sorrow.")</f>
        <v>When I returned home, I told my father about my sorrow.</v>
      </c>
      <c r="C1065" s="7" t="s">
        <v>6</v>
      </c>
      <c r="D1065" s="7" t="s">
        <v>7</v>
      </c>
      <c r="E1065" s="7">
        <v>0</v>
      </c>
    </row>
    <row r="1066" spans="1:5" ht="15.75" customHeight="1" x14ac:dyDescent="0.25">
      <c r="A1066" s="6" t="s">
        <v>1069</v>
      </c>
      <c r="B1066" s="6" t="str">
        <f ca="1">IFERROR(__xludf.DUMMYFUNCTION("GOOGLETRANSLATE(A1066,""bn"",""en"")"),"He could not reciprocate")</f>
        <v>He could not reciprocate</v>
      </c>
      <c r="C1066" s="7" t="s">
        <v>6</v>
      </c>
      <c r="D1066" s="7" t="s">
        <v>7</v>
      </c>
      <c r="E1066" s="7">
        <v>0</v>
      </c>
    </row>
    <row r="1067" spans="1:5" ht="15.75" customHeight="1" x14ac:dyDescent="0.25">
      <c r="A1067" s="6" t="s">
        <v>1070</v>
      </c>
      <c r="B1067" s="6" t="str">
        <f ca="1">IFERROR(__xludf.DUMMYFUNCTION("GOOGLETRANSLATE(A1067,""bn"",""en"")"),"I spoke to Rahim")</f>
        <v>I spoke to Rahim</v>
      </c>
      <c r="C1067" s="8" t="s">
        <v>13</v>
      </c>
      <c r="D1067" s="8" t="s">
        <v>14</v>
      </c>
      <c r="E1067" s="8">
        <v>1</v>
      </c>
    </row>
    <row r="1068" spans="1:5" ht="15.75" customHeight="1" x14ac:dyDescent="0.25">
      <c r="A1068" s="6" t="s">
        <v>1071</v>
      </c>
      <c r="B1068" s="6" t="str">
        <f ca="1">IFERROR(__xludf.DUMMYFUNCTION("GOOGLETRANSLATE(A1068,""bn"",""en"")"),"Karim gave Rahim a book to read")</f>
        <v>Karim gave Rahim a book to read</v>
      </c>
      <c r="C1068" s="8" t="s">
        <v>13</v>
      </c>
      <c r="D1068" s="8" t="s">
        <v>14</v>
      </c>
      <c r="E1068" s="8">
        <v>1</v>
      </c>
    </row>
    <row r="1069" spans="1:5" ht="15.75" customHeight="1" x14ac:dyDescent="0.25">
      <c r="A1069" s="6" t="s">
        <v>1072</v>
      </c>
      <c r="B1069" s="6" t="str">
        <f ca="1">IFERROR(__xludf.DUMMYFUNCTION("GOOGLETRANSLATE(A1069,""bn"",""en"")"),"Criminal appeals allow convicted persons to challenge their convictions or sentences")</f>
        <v>Criminal appeals allow convicted persons to challenge their convictions or sentences</v>
      </c>
      <c r="C1069" s="8" t="s">
        <v>13</v>
      </c>
      <c r="D1069" s="8" t="s">
        <v>14</v>
      </c>
      <c r="E1069" s="8">
        <v>1</v>
      </c>
    </row>
    <row r="1070" spans="1:5" ht="15.75" customHeight="1" x14ac:dyDescent="0.25">
      <c r="A1070" s="6" t="s">
        <v>1073</v>
      </c>
      <c r="B1070" s="6" t="str">
        <f ca="1">IFERROR(__xludf.DUMMYFUNCTION("GOOGLETRANSLATE(A1070,""bn"",""en"")"),"Shockingly, their middle five siblings died within a month of birth")</f>
        <v>Shockingly, their middle five siblings died within a month of birth</v>
      </c>
      <c r="C1070" s="8" t="s">
        <v>13</v>
      </c>
      <c r="D1070" s="8" t="s">
        <v>14</v>
      </c>
      <c r="E1070" s="8">
        <v>1</v>
      </c>
    </row>
    <row r="1071" spans="1:5" ht="15.75" customHeight="1" x14ac:dyDescent="0.25">
      <c r="A1071" s="6" t="s">
        <v>1074</v>
      </c>
      <c r="B1071" s="6" t="str">
        <f ca="1">IFERROR(__xludf.DUMMYFUNCTION("GOOGLETRANSLATE(A1071,""bn"",""en"")"),"Criminal trespass occurs when someone unlawfully enters another person's property")</f>
        <v>Criminal trespass occurs when someone unlawfully enters another person's property</v>
      </c>
      <c r="C1071" s="8" t="s">
        <v>13</v>
      </c>
      <c r="D1071" s="8" t="s">
        <v>14</v>
      </c>
      <c r="E1071" s="8">
        <v>1</v>
      </c>
    </row>
    <row r="1072" spans="1:5" ht="15.75" customHeight="1" x14ac:dyDescent="0.25">
      <c r="A1072" s="6" t="s">
        <v>1075</v>
      </c>
      <c r="B1072" s="6" t="str">
        <f ca="1">IFERROR(__xludf.DUMMYFUNCTION("GOOGLETRANSLATE(A1072,""bn"",""en"")"),"He saw a beggar through the train window")</f>
        <v>He saw a beggar through the train window</v>
      </c>
      <c r="C1072" s="7" t="s">
        <v>6</v>
      </c>
      <c r="D1072" s="7" t="s">
        <v>7</v>
      </c>
      <c r="E1072" s="7">
        <v>0</v>
      </c>
    </row>
    <row r="1073" spans="1:6" ht="15.75" customHeight="1" x14ac:dyDescent="0.25">
      <c r="A1073" s="6" t="s">
        <v>1076</v>
      </c>
      <c r="B1073" s="6" t="str">
        <f ca="1">IFERROR(__xludf.DUMMYFUNCTION("GOOGLETRANSLATE(A1073,""bn"",""en"")"),"Shashi says Paran's wife didn't wake up even with the sound of your conch shell")</f>
        <v>Shashi says Paran's wife didn't wake up even with the sound of your conch shell</v>
      </c>
      <c r="C1073" s="7" t="s">
        <v>6</v>
      </c>
      <c r="D1073" s="7" t="s">
        <v>7</v>
      </c>
      <c r="E1073" s="7">
        <v>0</v>
      </c>
    </row>
    <row r="1074" spans="1:6" ht="15.75" customHeight="1" x14ac:dyDescent="0.25">
      <c r="A1074" s="6" t="s">
        <v>1077</v>
      </c>
      <c r="B1074" s="6" t="str">
        <f ca="1">IFERROR(__xludf.DUMMYFUNCTION("GOOGLETRANSLATE(A1074,""bn"",""en"")"),"He began to return to the river bank in search of a boat")</f>
        <v>He began to return to the river bank in search of a boat</v>
      </c>
      <c r="C1074" s="7" t="s">
        <v>6</v>
      </c>
      <c r="D1074" s="7" t="s">
        <v>7</v>
      </c>
      <c r="E1074" s="7">
        <v>0</v>
      </c>
    </row>
    <row r="1075" spans="1:6" ht="15.75" customHeight="1" x14ac:dyDescent="0.25">
      <c r="A1075" s="6" t="s">
        <v>1078</v>
      </c>
      <c r="B1075" s="6" t="str">
        <f ca="1">IFERROR(__xludf.DUMMYFUNCTION("GOOGLETRANSLATE(A1075,""bn"",""en"")"),"Every day he finishes school before going to school")</f>
        <v>Every day he finishes school before going to school</v>
      </c>
      <c r="C1075" s="7" t="s">
        <v>6</v>
      </c>
      <c r="D1075" s="7" t="s">
        <v>7</v>
      </c>
      <c r="E1075" s="7">
        <v>0</v>
      </c>
    </row>
    <row r="1076" spans="1:6" ht="15.75" customHeight="1" x14ac:dyDescent="0.25">
      <c r="A1076" s="6" t="s">
        <v>1079</v>
      </c>
      <c r="B1076" s="6" t="str">
        <f ca="1">IFERROR(__xludf.DUMMYFUNCTION("GOOGLETRANSLATE(A1076,""bn"",""en"")"),"He screamed and sat down in the middle of the road.")</f>
        <v>He screamed and sat down in the middle of the road.</v>
      </c>
      <c r="C1076" s="7" t="s">
        <v>6</v>
      </c>
      <c r="D1076" s="7" t="s">
        <v>7</v>
      </c>
      <c r="E1076" s="7">
        <v>0</v>
      </c>
    </row>
    <row r="1077" spans="1:6" ht="15.75" customHeight="1" x14ac:dyDescent="0.25">
      <c r="A1077" s="6" t="s">
        <v>1080</v>
      </c>
      <c r="B1077" s="6" t="str">
        <f ca="1">IFERROR(__xludf.DUMMYFUNCTION("GOOGLETRANSLATE(A1077,""bn"",""en"")"),"I also saw them in a different perspective")</f>
        <v>I also saw them in a different perspective</v>
      </c>
      <c r="C1077" s="8" t="s">
        <v>13</v>
      </c>
      <c r="D1077" s="8" t="s">
        <v>14</v>
      </c>
      <c r="E1077" s="8">
        <v>1</v>
      </c>
    </row>
    <row r="1078" spans="1:6" ht="15.75" customHeight="1" x14ac:dyDescent="0.25">
      <c r="A1078" s="6" t="s">
        <v>1081</v>
      </c>
      <c r="B1078" s="6" t="str">
        <f ca="1">IFERROR(__xludf.DUMMYFUNCTION("GOOGLETRANSLATE(A1078,""bn"",""en"")"),"He finally returned to École Normale Supérieure")</f>
        <v>He finally returned to École Normale Supérieure</v>
      </c>
      <c r="C1078" s="9" t="s">
        <v>13</v>
      </c>
      <c r="D1078" s="9" t="s">
        <v>14</v>
      </c>
      <c r="E1078" s="9">
        <v>1</v>
      </c>
      <c r="F1078" s="10"/>
    </row>
    <row r="1079" spans="1:6" ht="15.75" customHeight="1" x14ac:dyDescent="0.25">
      <c r="A1079" s="6" t="s">
        <v>1082</v>
      </c>
      <c r="B1079" s="6" t="str">
        <f ca="1">IFERROR(__xludf.DUMMYFUNCTION("GOOGLETRANSLATE(A1079,""bn"",""en"")"),"did you know my name")</f>
        <v>did you know my name</v>
      </c>
      <c r="C1079" s="8" t="s">
        <v>13</v>
      </c>
      <c r="D1079" s="8" t="s">
        <v>14</v>
      </c>
      <c r="E1079" s="8">
        <v>1</v>
      </c>
    </row>
    <row r="1080" spans="1:6" ht="15.75" customHeight="1" x14ac:dyDescent="0.25">
      <c r="A1080" s="6" t="s">
        <v>1083</v>
      </c>
      <c r="B1080" s="6" t="str">
        <f ca="1">IFERROR(__xludf.DUMMYFUNCTION("GOOGLETRANSLATE(A1080,""bn"",""en"")"),"Agricultural chemical runoff from fields can contaminate water sources if not managed properly")</f>
        <v>Agricultural chemical runoff from fields can contaminate water sources if not managed properly</v>
      </c>
      <c r="C1080" s="8" t="s">
        <v>13</v>
      </c>
      <c r="D1080" s="8" t="s">
        <v>14</v>
      </c>
      <c r="E1080" s="8">
        <v>1</v>
      </c>
    </row>
    <row r="1081" spans="1:6" ht="15.75" customHeight="1" x14ac:dyDescent="0.25">
      <c r="A1081" s="6" t="s">
        <v>1084</v>
      </c>
      <c r="B1081" s="6" t="str">
        <f ca="1">IFERROR(__xludf.DUMMYFUNCTION("GOOGLETRANSLATE(A1081,""bn"",""en"")"),"Ertazuddin does not know where to get water")</f>
        <v>Ertazuddin does not know where to get water</v>
      </c>
      <c r="C1081" s="8" t="s">
        <v>13</v>
      </c>
      <c r="D1081" s="8" t="s">
        <v>14</v>
      </c>
      <c r="E1081" s="8">
        <v>1</v>
      </c>
    </row>
    <row r="1082" spans="1:6" ht="15.75" customHeight="1" x14ac:dyDescent="0.25">
      <c r="A1082" s="6" t="s">
        <v>1085</v>
      </c>
      <c r="B1082" s="6" t="str">
        <f ca="1">IFERROR(__xludf.DUMMYFUNCTION("GOOGLETRANSLATE(A1082,""bn"",""en"")"),"Satish's words started to burn like a mosquito bite.")</f>
        <v>Satish's words started to burn like a mosquito bite.</v>
      </c>
      <c r="C1082" s="7" t="s">
        <v>6</v>
      </c>
      <c r="D1082" s="7" t="s">
        <v>7</v>
      </c>
      <c r="E1082" s="7">
        <v>0</v>
      </c>
    </row>
    <row r="1083" spans="1:6" ht="15.75" customHeight="1" x14ac:dyDescent="0.25">
      <c r="A1083" s="6" t="s">
        <v>1086</v>
      </c>
      <c r="B1083" s="6" t="str">
        <f ca="1">IFERROR(__xludf.DUMMYFUNCTION("GOOGLETRANSLATE(A1083,""bn"",""en"")"),"After advancing four or five kross, I got down from the palanquin to see Palamau again.")</f>
        <v>After advancing four or five kross, I got down from the palanquin to see Palamau again.</v>
      </c>
      <c r="C1083" s="7" t="s">
        <v>6</v>
      </c>
      <c r="D1083" s="7" t="s">
        <v>7</v>
      </c>
      <c r="E1083" s="7">
        <v>0</v>
      </c>
    </row>
    <row r="1084" spans="1:6" ht="15.75" customHeight="1" x14ac:dyDescent="0.25">
      <c r="A1084" s="6" t="s">
        <v>1087</v>
      </c>
      <c r="B1084" s="6" t="str">
        <f ca="1">IFERROR(__xludf.DUMMYFUNCTION("GOOGLETRANSLATE(A1084,""bn"",""en"")"),"Old sayings remain thus the capital of society increases")</f>
        <v>Old sayings remain thus the capital of society increases</v>
      </c>
      <c r="C1084" s="7" t="s">
        <v>6</v>
      </c>
      <c r="D1084" s="7" t="s">
        <v>7</v>
      </c>
      <c r="E1084" s="7">
        <v>0</v>
      </c>
    </row>
    <row r="1085" spans="1:6" ht="15.75" customHeight="1" x14ac:dyDescent="0.25">
      <c r="A1085" s="6" t="s">
        <v>1088</v>
      </c>
      <c r="B1085" s="6" t="str">
        <f ca="1">IFERROR(__xludf.DUMMYFUNCTION("GOOGLETRANSLATE(A1085,""bn"",""en"")"),"What could be happening in the bowl already?")</f>
        <v>What could be happening in the bowl already?</v>
      </c>
      <c r="C1085" s="7" t="s">
        <v>6</v>
      </c>
      <c r="D1085" s="7" t="s">
        <v>7</v>
      </c>
      <c r="E1085" s="7">
        <v>0</v>
      </c>
    </row>
    <row r="1086" spans="1:6" ht="15.75" customHeight="1" x14ac:dyDescent="0.25">
      <c r="A1086" s="6" t="s">
        <v>1089</v>
      </c>
      <c r="B1086" s="6" t="str">
        <f ca="1">IFERROR(__xludf.DUMMYFUNCTION("GOOGLETRANSLATE(A1086,""bn"",""en"")"),"Sitting for a while under the open sky, the sorrows of his mind were removed")</f>
        <v>Sitting for a while under the open sky, the sorrows of his mind were removed</v>
      </c>
      <c r="C1086" s="7" t="s">
        <v>6</v>
      </c>
      <c r="D1086" s="7" t="s">
        <v>7</v>
      </c>
      <c r="E1086" s="7">
        <v>0</v>
      </c>
    </row>
    <row r="1087" spans="1:6" ht="15.75" customHeight="1" x14ac:dyDescent="0.25">
      <c r="A1087" s="6" t="s">
        <v>684</v>
      </c>
      <c r="B1087" s="6" t="str">
        <f ca="1">IFERROR(__xludf.DUMMYFUNCTION("GOOGLETRANSLATE(A1087,""bn"",""en"")"),"He said he would return home when the rain subsided")</f>
        <v>He said he would return home when the rain subsided</v>
      </c>
      <c r="C1087" s="8" t="s">
        <v>13</v>
      </c>
      <c r="D1087" s="8" t="s">
        <v>14</v>
      </c>
      <c r="E1087" s="8">
        <v>1</v>
      </c>
    </row>
    <row r="1088" spans="1:6" ht="15.75" customHeight="1" x14ac:dyDescent="0.25">
      <c r="A1088" s="6" t="s">
        <v>1090</v>
      </c>
      <c r="B1088" s="6" t="str">
        <f ca="1">IFERROR(__xludf.DUMMYFUNCTION("GOOGLETRANSLATE(A1088,""bn"",""en"")"),"what did you do")</f>
        <v>what did you do</v>
      </c>
      <c r="C1088" s="8" t="s">
        <v>13</v>
      </c>
      <c r="D1088" s="8" t="s">
        <v>14</v>
      </c>
      <c r="E1088" s="8">
        <v>1</v>
      </c>
    </row>
    <row r="1089" spans="1:5" ht="15.75" customHeight="1" x14ac:dyDescent="0.25">
      <c r="A1089" s="6" t="s">
        <v>1091</v>
      </c>
      <c r="B1089" s="6" t="str">
        <f ca="1">IFERROR(__xludf.DUMMYFUNCTION("GOOGLETRANSLATE(A1089,""bn"",""en"")"),"He didn't bring an umbrella")</f>
        <v>He didn't bring an umbrella</v>
      </c>
      <c r="C1089" s="8" t="s">
        <v>13</v>
      </c>
      <c r="D1089" s="8" t="s">
        <v>14</v>
      </c>
      <c r="E1089" s="8">
        <v>1</v>
      </c>
    </row>
    <row r="1090" spans="1:5" ht="15.75" customHeight="1" x14ac:dyDescent="0.25">
      <c r="A1090" s="6" t="s">
        <v>1092</v>
      </c>
      <c r="B1090" s="6" t="str">
        <f ca="1">IFERROR(__xludf.DUMMYFUNCTION("GOOGLETRANSLATE(A1090,""bn"",""en"")"),"They laughed at me")</f>
        <v>They laughed at me</v>
      </c>
      <c r="C1090" s="8" t="s">
        <v>13</v>
      </c>
      <c r="D1090" s="8" t="s">
        <v>14</v>
      </c>
      <c r="E1090" s="8">
        <v>1</v>
      </c>
    </row>
    <row r="1091" spans="1:5" ht="15.75" customHeight="1" x14ac:dyDescent="0.25">
      <c r="A1091" s="6" t="s">
        <v>1093</v>
      </c>
      <c r="B1091" s="6" t="str">
        <f ca="1">IFERROR(__xludf.DUMMYFUNCTION("GOOGLETRANSLATE(A1091,""bn"",""en"")"),"Siblings have a unique bond that is hard to replicate")</f>
        <v>Siblings have a unique bond that is hard to replicate</v>
      </c>
      <c r="C1091" s="8" t="s">
        <v>13</v>
      </c>
      <c r="D1091" s="8" t="s">
        <v>14</v>
      </c>
      <c r="E1091" s="8">
        <v>1</v>
      </c>
    </row>
    <row r="1092" spans="1:5" ht="15.75" customHeight="1" x14ac:dyDescent="0.25">
      <c r="A1092" s="6" t="s">
        <v>1094</v>
      </c>
      <c r="B1092" s="6" t="str">
        <f ca="1">IFERROR(__xludf.DUMMYFUNCTION("GOOGLETRANSLATE(A1092,""bn"",""en"")"),"It seemed to him that tomorrow had never come")</f>
        <v>It seemed to him that tomorrow had never come</v>
      </c>
      <c r="C1092" s="7" t="s">
        <v>6</v>
      </c>
      <c r="D1092" s="7" t="s">
        <v>7</v>
      </c>
      <c r="E1092" s="7">
        <v>0</v>
      </c>
    </row>
    <row r="1093" spans="1:5" ht="15.75" customHeight="1" x14ac:dyDescent="0.25">
      <c r="A1093" s="6" t="s">
        <v>1095</v>
      </c>
      <c r="B1093" s="6" t="str">
        <f ca="1">IFERROR(__xludf.DUMMYFUNCTION("GOOGLETRANSLATE(A1093,""bn"",""en"")"),"Almost all trains now arrive on time")</f>
        <v>Almost all trains now arrive on time</v>
      </c>
      <c r="C1093" s="7" t="s">
        <v>6</v>
      </c>
      <c r="D1093" s="7" t="s">
        <v>7</v>
      </c>
      <c r="E1093" s="7">
        <v>0</v>
      </c>
    </row>
    <row r="1094" spans="1:5" ht="15.75" customHeight="1" x14ac:dyDescent="0.25">
      <c r="A1094" s="6" t="s">
        <v>1096</v>
      </c>
      <c r="B1094" s="6" t="str">
        <f ca="1">IFERROR(__xludf.DUMMYFUNCTION("GOOGLETRANSLATE(A1094,""bn"",""en"")"),"This happens everywhere")</f>
        <v>This happens everywhere</v>
      </c>
      <c r="C1094" s="7" t="s">
        <v>6</v>
      </c>
      <c r="D1094" s="7" t="s">
        <v>7</v>
      </c>
      <c r="E1094" s="7">
        <v>0</v>
      </c>
    </row>
    <row r="1095" spans="1:5" ht="15.75" customHeight="1" x14ac:dyDescent="0.25">
      <c r="A1095" s="6" t="s">
        <v>1097</v>
      </c>
      <c r="B1095" s="6" t="str">
        <f ca="1">IFERROR(__xludf.DUMMYFUNCTION("GOOGLETRANSLATE(A1095,""bn"",""en"")"),"They were all busy with their own work")</f>
        <v>They were all busy with their own work</v>
      </c>
      <c r="C1095" s="7" t="s">
        <v>6</v>
      </c>
      <c r="D1095" s="7" t="s">
        <v>7</v>
      </c>
      <c r="E1095" s="7">
        <v>0</v>
      </c>
    </row>
    <row r="1096" spans="1:5" ht="15.75" customHeight="1" x14ac:dyDescent="0.25">
      <c r="A1096" s="6" t="s">
        <v>1098</v>
      </c>
      <c r="B1096" s="6" t="str">
        <f ca="1">IFERROR(__xludf.DUMMYFUNCTION("GOOGLETRANSLATE(A1096,""bn"",""en"")"),"Therefore, the hood is bigger than the top of the mountain, it is not the merit of the mason nor the fault of the Vairagi.")</f>
        <v>Therefore, the hood is bigger than the top of the mountain, it is not the merit of the mason nor the fault of the Vairagi.</v>
      </c>
      <c r="C1096" s="7" t="s">
        <v>6</v>
      </c>
      <c r="D1096" s="7" t="s">
        <v>7</v>
      </c>
      <c r="E1096" s="7">
        <v>0</v>
      </c>
    </row>
    <row r="1097" spans="1:5" ht="15.75" customHeight="1" x14ac:dyDescent="0.25">
      <c r="A1097" s="6" t="s">
        <v>1099</v>
      </c>
      <c r="B1097" s="6" t="str">
        <f ca="1">IFERROR(__xludf.DUMMYFUNCTION("GOOGLETRANSLATE(A1097,""bn"",""en"")"),"He died in November in Dhaka")</f>
        <v>He died in November in Dhaka</v>
      </c>
      <c r="C1097" s="8" t="s">
        <v>13</v>
      </c>
      <c r="D1097" s="8" t="s">
        <v>14</v>
      </c>
      <c r="E1097" s="8">
        <v>1</v>
      </c>
    </row>
    <row r="1098" spans="1:5" ht="15.75" customHeight="1" x14ac:dyDescent="0.25">
      <c r="A1098" s="6" t="s">
        <v>1100</v>
      </c>
      <c r="B1098" s="6" t="str">
        <f ca="1">IFERROR(__xludf.DUMMYFUNCTION("GOOGLETRANSLATE(A1098,""bn"",""en"")"),"Other pastimes like horse riding and camel riding are very enjoyable")</f>
        <v>Other pastimes like horse riding and camel riding are very enjoyable</v>
      </c>
      <c r="C1098" s="8" t="s">
        <v>13</v>
      </c>
      <c r="D1098" s="8" t="s">
        <v>14</v>
      </c>
      <c r="E1098" s="8">
        <v>1</v>
      </c>
    </row>
    <row r="1099" spans="1:5" ht="15.75" customHeight="1" x14ac:dyDescent="0.25">
      <c r="A1099" s="6" t="s">
        <v>1101</v>
      </c>
      <c r="B1099" s="6" t="str">
        <f ca="1">IFERROR(__xludf.DUMMYFUNCTION("GOOGLETRANSLATE(A1099,""bn"",""en"")"),"I accompanied him in his loneliness")</f>
        <v>I accompanied him in his loneliness</v>
      </c>
      <c r="C1099" s="8" t="s">
        <v>13</v>
      </c>
      <c r="D1099" s="8" t="s">
        <v>14</v>
      </c>
      <c r="E1099" s="8">
        <v>1</v>
      </c>
    </row>
    <row r="1100" spans="1:5" ht="15.75" customHeight="1" x14ac:dyDescent="0.25">
      <c r="A1100" s="6" t="s">
        <v>1102</v>
      </c>
      <c r="B1100" s="6" t="str">
        <f ca="1">IFERROR(__xludf.DUMMYFUNCTION("GOOGLETRANSLATE(A1100,""bn"",""en"")"),"Sujan told this to my brother")</f>
        <v>Sujan told this to my brother</v>
      </c>
      <c r="C1100" s="8" t="s">
        <v>13</v>
      </c>
      <c r="D1100" s="8" t="s">
        <v>14</v>
      </c>
      <c r="E1100" s="8">
        <v>1</v>
      </c>
    </row>
    <row r="1101" spans="1:5" ht="15.75" customHeight="1" x14ac:dyDescent="0.25">
      <c r="A1101" s="6" t="s">
        <v>1103</v>
      </c>
      <c r="B1101" s="6" t="str">
        <f ca="1">IFERROR(__xludf.DUMMYFUNCTION("GOOGLETRANSLATE(A1101,""bn"",""en"")"),"A few days after their departure, Mahitosha's assistant died suddenly")</f>
        <v>A few days after their departure, Mahitosha's assistant died suddenly</v>
      </c>
      <c r="C1101" s="8" t="s">
        <v>13</v>
      </c>
      <c r="D1101" s="8" t="s">
        <v>14</v>
      </c>
      <c r="E1101" s="8">
        <v>1</v>
      </c>
    </row>
    <row r="1102" spans="1:5" ht="15.75" customHeight="1" x14ac:dyDescent="0.25">
      <c r="A1102" s="6" t="s">
        <v>1104</v>
      </c>
      <c r="B1102" s="6" t="str">
        <f ca="1">IFERROR(__xludf.DUMMYFUNCTION("GOOGLETRANSLATE(A1102,""bn"",""en"")"),"Today I did not accept as happiness")</f>
        <v>Today I did not accept as happiness</v>
      </c>
      <c r="C1102" s="7" t="s">
        <v>6</v>
      </c>
      <c r="D1102" s="7" t="s">
        <v>7</v>
      </c>
      <c r="E1102" s="7">
        <v>0</v>
      </c>
    </row>
    <row r="1103" spans="1:5" ht="15.75" customHeight="1" x14ac:dyDescent="0.25">
      <c r="A1103" s="6" t="s">
        <v>1105</v>
      </c>
      <c r="B1103" s="6" t="str">
        <f ca="1">IFERROR(__xludf.DUMMYFUNCTION("GOOGLETRANSLATE(A1103,""bn"",""en"")"),"How many days old hunters have forbidden me to go alone in the mountains")</f>
        <v>How many days old hunters have forbidden me to go alone in the mountains</v>
      </c>
      <c r="C1103" s="7" t="s">
        <v>6</v>
      </c>
      <c r="D1103" s="7" t="s">
        <v>7</v>
      </c>
      <c r="E1103" s="7">
        <v>0</v>
      </c>
    </row>
    <row r="1104" spans="1:5" ht="15.75" customHeight="1" x14ac:dyDescent="0.25">
      <c r="A1104" s="6" t="s">
        <v>1106</v>
      </c>
      <c r="B1104" s="6" t="str">
        <f ca="1">IFERROR(__xludf.DUMMYFUNCTION("GOOGLETRANSLATE(A1104,""bn"",""en"")"),"Let's talk about all that anger now")</f>
        <v>Let's talk about all that anger now</v>
      </c>
      <c r="C1104" s="7" t="s">
        <v>6</v>
      </c>
      <c r="D1104" s="7" t="s">
        <v>7</v>
      </c>
      <c r="E1104" s="7">
        <v>0</v>
      </c>
    </row>
    <row r="1105" spans="1:5" ht="15.75" customHeight="1" x14ac:dyDescent="0.25">
      <c r="A1105" s="6" t="s">
        <v>1107</v>
      </c>
      <c r="B1105" s="6" t="str">
        <f ca="1">IFERROR(__xludf.DUMMYFUNCTION("GOOGLETRANSLATE(A1105,""bn"",""en"")"),"Rana Sahib asked to do this")</f>
        <v>Rana Sahib asked to do this</v>
      </c>
      <c r="C1105" s="7" t="s">
        <v>6</v>
      </c>
      <c r="D1105" s="7" t="s">
        <v>7</v>
      </c>
      <c r="E1105" s="7">
        <v>0</v>
      </c>
    </row>
    <row r="1106" spans="1:5" ht="15.75" customHeight="1" x14ac:dyDescent="0.25">
      <c r="A1106" s="6" t="s">
        <v>1108</v>
      </c>
      <c r="B1106" s="6" t="str">
        <f ca="1">IFERROR(__xludf.DUMMYFUNCTION("GOOGLETRANSLATE(A1106,""bn"",""en"")"),"Seeing the young woman's face, I felt as if she was very scared")</f>
        <v>Seeing the young woman's face, I felt as if she was very scared</v>
      </c>
      <c r="C1106" s="7" t="s">
        <v>6</v>
      </c>
      <c r="D1106" s="7" t="s">
        <v>7</v>
      </c>
      <c r="E1106" s="7">
        <v>0</v>
      </c>
    </row>
    <row r="1107" spans="1:5" ht="15.75" customHeight="1" x14ac:dyDescent="0.25">
      <c r="A1107" s="6" t="s">
        <v>1109</v>
      </c>
      <c r="B1107" s="6" t="str">
        <f ca="1">IFERROR(__xludf.DUMMYFUNCTION("GOOGLETRANSLATE(A1107,""bn"",""en"")"),"Being able to express my true self is liberating")</f>
        <v>Being able to express my true self is liberating</v>
      </c>
      <c r="C1107" s="8" t="s">
        <v>13</v>
      </c>
      <c r="D1107" s="8" t="s">
        <v>14</v>
      </c>
      <c r="E1107" s="8">
        <v>1</v>
      </c>
    </row>
    <row r="1108" spans="1:5" ht="15.75" customHeight="1" x14ac:dyDescent="0.25">
      <c r="A1108" s="6" t="s">
        <v>1110</v>
      </c>
      <c r="B1108" s="6" t="str">
        <f ca="1">IFERROR(__xludf.DUMMYFUNCTION("GOOGLETRANSLATE(A1108,""bn"",""en"")"),"Embrace change as an opportunity for growth")</f>
        <v>Embrace change as an opportunity for growth</v>
      </c>
      <c r="C1108" s="8" t="s">
        <v>13</v>
      </c>
      <c r="D1108" s="8" t="s">
        <v>14</v>
      </c>
      <c r="E1108" s="8">
        <v>1</v>
      </c>
    </row>
    <row r="1109" spans="1:5" ht="15.75" customHeight="1" x14ac:dyDescent="0.25">
      <c r="A1109" s="6" t="s">
        <v>1111</v>
      </c>
      <c r="B1109" s="6" t="str">
        <f ca="1">IFERROR(__xludf.DUMMYFUNCTION("GOOGLETRANSLATE(A1109,""bn"",""en"")"),"The sports section of the newspaper is always a highlight for sports enthusiasts")</f>
        <v>The sports section of the newspaper is always a highlight for sports enthusiasts</v>
      </c>
      <c r="C1109" s="8" t="s">
        <v>13</v>
      </c>
      <c r="D1109" s="8" t="s">
        <v>14</v>
      </c>
      <c r="E1109" s="8">
        <v>1</v>
      </c>
    </row>
    <row r="1110" spans="1:5" ht="15.75" customHeight="1" x14ac:dyDescent="0.25">
      <c r="A1110" s="6" t="s">
        <v>1112</v>
      </c>
      <c r="B1110" s="6" t="str">
        <f ca="1">IFERROR(__xludf.DUMMYFUNCTION("GOOGLETRANSLATE(A1110,""bn"",""en"")"),"Like Tech, LaTeX is free software")</f>
        <v>Like Tech, LaTeX is free software</v>
      </c>
      <c r="C1110" s="8" t="s">
        <v>13</v>
      </c>
      <c r="D1110" s="8" t="s">
        <v>14</v>
      </c>
      <c r="E1110" s="8">
        <v>1</v>
      </c>
    </row>
    <row r="1111" spans="1:5" ht="15.75" customHeight="1" x14ac:dyDescent="0.25">
      <c r="A1111" s="6" t="s">
        <v>1113</v>
      </c>
      <c r="B1111" s="6" t="str">
        <f ca="1">IFERROR(__xludf.DUMMYFUNCTION("GOOGLETRANSLATE(A1111,""bn"",""en"")"),"Keeping an open mind is always something new to learn")</f>
        <v>Keeping an open mind is always something new to learn</v>
      </c>
      <c r="C1111" s="8" t="s">
        <v>13</v>
      </c>
      <c r="D1111" s="8" t="s">
        <v>14</v>
      </c>
      <c r="E1111" s="8">
        <v>1</v>
      </c>
    </row>
    <row r="1112" spans="1:5" ht="15.75" customHeight="1" x14ac:dyDescent="0.25">
      <c r="A1112" s="6" t="s">
        <v>1114</v>
      </c>
      <c r="B1112" s="6" t="str">
        <f ca="1">IFERROR(__xludf.DUMMYFUNCTION("GOOGLETRANSLATE(A1112,""bn"",""en"")"),"He was staring strangely at the tree through the window")</f>
        <v>He was staring strangely at the tree through the window</v>
      </c>
      <c r="C1112" s="7" t="s">
        <v>6</v>
      </c>
      <c r="D1112" s="7" t="s">
        <v>7</v>
      </c>
      <c r="E1112" s="7">
        <v>0</v>
      </c>
    </row>
    <row r="1113" spans="1:5" ht="15.75" customHeight="1" x14ac:dyDescent="0.25">
      <c r="A1113" s="6" t="s">
        <v>1115</v>
      </c>
      <c r="B1113" s="6" t="str">
        <f ca="1">IFERROR(__xludf.DUMMYFUNCTION("GOOGLETRANSLATE(A1113,""bn"",""en"")"),"Rubina had wasted a lot of food")</f>
        <v>Rubina had wasted a lot of food</v>
      </c>
      <c r="C1113" s="7" t="s">
        <v>6</v>
      </c>
      <c r="D1113" s="7" t="s">
        <v>7</v>
      </c>
      <c r="E1113" s="7">
        <v>0</v>
      </c>
    </row>
    <row r="1114" spans="1:5" ht="15.75" customHeight="1" x14ac:dyDescent="0.25">
      <c r="A1114" s="6" t="s">
        <v>1116</v>
      </c>
      <c r="B1114" s="6" t="str">
        <f ca="1">IFERROR(__xludf.DUMMYFUNCTION("GOOGLETRANSLATE(A1114,""bn"",""en"")"),"I have seen very few such happy stomachs")</f>
        <v>I have seen very few such happy stomachs</v>
      </c>
      <c r="C1114" s="7" t="s">
        <v>6</v>
      </c>
      <c r="D1114" s="7" t="s">
        <v>7</v>
      </c>
      <c r="E1114" s="7">
        <v>0</v>
      </c>
    </row>
    <row r="1115" spans="1:5" ht="15.75" customHeight="1" x14ac:dyDescent="0.25">
      <c r="A1115" s="6" t="s">
        <v>1117</v>
      </c>
      <c r="B1115" s="6" t="str">
        <f ca="1">IFERROR(__xludf.DUMMYFUNCTION("GOOGLETRANSLATE(A1115,""bn"",""en"")"),"Humiliation like this cannot be tolerated in the family home")</f>
        <v>Humiliation like this cannot be tolerated in the family home</v>
      </c>
      <c r="C1115" s="7" t="s">
        <v>6</v>
      </c>
      <c r="D1115" s="7" t="s">
        <v>7</v>
      </c>
      <c r="E1115" s="7">
        <v>0</v>
      </c>
    </row>
    <row r="1116" spans="1:5" ht="15.75" customHeight="1" x14ac:dyDescent="0.25">
      <c r="A1116" s="6" t="s">
        <v>1118</v>
      </c>
      <c r="B1116" s="6" t="str">
        <f ca="1">IFERROR(__xludf.DUMMYFUNCTION("GOOGLETRANSLATE(A1116,""bn"",""en"")"),"The birds are sitting in the trees and chirping")</f>
        <v>The birds are sitting in the trees and chirping</v>
      </c>
      <c r="C1116" s="7" t="s">
        <v>6</v>
      </c>
      <c r="D1116" s="7" t="s">
        <v>7</v>
      </c>
      <c r="E1116" s="7">
        <v>0</v>
      </c>
    </row>
    <row r="1117" spans="1:5" ht="15.75" customHeight="1" x14ac:dyDescent="0.25">
      <c r="A1117" s="6" t="s">
        <v>1119</v>
      </c>
      <c r="B1117" s="6" t="str">
        <f ca="1">IFERROR(__xludf.DUMMYFUNCTION("GOOGLETRANSLATE(A1117,""bn"",""en"")"),"He could not attend school tomorrow due to illness")</f>
        <v>He could not attend school tomorrow due to illness</v>
      </c>
      <c r="C1117" s="8" t="s">
        <v>13</v>
      </c>
      <c r="D1117" s="8" t="s">
        <v>14</v>
      </c>
      <c r="E1117" s="8">
        <v>1</v>
      </c>
    </row>
    <row r="1118" spans="1:5" ht="15.75" customHeight="1" x14ac:dyDescent="0.25">
      <c r="A1118" s="6" t="s">
        <v>1120</v>
      </c>
      <c r="B1118" s="6" t="str">
        <f ca="1">IFERROR(__xludf.DUMMYFUNCTION("GOOGLETRANSLATE(A1118,""bn"",""en"")"),"I am disappointed with the lack of communication from the company regarding my order")</f>
        <v>I am disappointed with the lack of communication from the company regarding my order</v>
      </c>
      <c r="C1118" s="8" t="s">
        <v>13</v>
      </c>
      <c r="D1118" s="8" t="s">
        <v>14</v>
      </c>
      <c r="E1118" s="8">
        <v>1</v>
      </c>
    </row>
    <row r="1119" spans="1:5" ht="15.75" customHeight="1" x14ac:dyDescent="0.25">
      <c r="A1119" s="6" t="s">
        <v>1121</v>
      </c>
      <c r="B1119" s="6" t="str">
        <f ca="1">IFERROR(__xludf.DUMMYFUNCTION("GOOGLETRANSLATE(A1119,""bn"",""en"")"),"Gentle rain began to fall quenching the earth's thirst and nourishing the trees")</f>
        <v>Gentle rain began to fall quenching the earth's thirst and nourishing the trees</v>
      </c>
      <c r="C1119" s="8" t="s">
        <v>13</v>
      </c>
      <c r="D1119" s="8" t="s">
        <v>14</v>
      </c>
      <c r="E1119" s="8">
        <v>1</v>
      </c>
    </row>
    <row r="1120" spans="1:5" ht="15.75" customHeight="1" x14ac:dyDescent="0.25">
      <c r="A1120" s="6" t="s">
        <v>1122</v>
      </c>
      <c r="B1120" s="6" t="str">
        <f ca="1">IFERROR(__xludf.DUMMYFUNCTION("GOOGLETRANSLATE(A1120,""bn"",""en"")"),"Include rest days for recovery")</f>
        <v>Include rest days for recovery</v>
      </c>
      <c r="C1120" s="8" t="s">
        <v>13</v>
      </c>
      <c r="D1120" s="8" t="s">
        <v>14</v>
      </c>
      <c r="E1120" s="8">
        <v>1</v>
      </c>
    </row>
    <row r="1121" spans="1:5" ht="15.75" customHeight="1" x14ac:dyDescent="0.25">
      <c r="A1121" s="6" t="s">
        <v>1123</v>
      </c>
      <c r="B1121" s="6" t="str">
        <f ca="1">IFERROR(__xludf.DUMMYFUNCTION("GOOGLETRANSLATE(A1121,""bn"",""en"")"),"Criminal punishment aims to balance punishment with prevention")</f>
        <v>Criminal punishment aims to balance punishment with prevention</v>
      </c>
      <c r="C1121" s="8" t="s">
        <v>13</v>
      </c>
      <c r="D1121" s="8" t="s">
        <v>14</v>
      </c>
      <c r="E1121" s="8">
        <v>1</v>
      </c>
    </row>
    <row r="1122" spans="1:5" ht="15.75" customHeight="1" x14ac:dyDescent="0.25">
      <c r="A1122" s="6" t="s">
        <v>1124</v>
      </c>
      <c r="B1122" s="6" t="str">
        <f ca="1">IFERROR(__xludf.DUMMYFUNCTION("GOOGLETRANSLATE(A1122,""bn"",""en"")"),"When the elders signaled, the youth group played the madal")</f>
        <v>When the elders signaled, the youth group played the madal</v>
      </c>
      <c r="C1122" s="7" t="s">
        <v>6</v>
      </c>
      <c r="D1122" s="7" t="s">
        <v>7</v>
      </c>
      <c r="E1122" s="7">
        <v>0</v>
      </c>
    </row>
    <row r="1123" spans="1:5" ht="15.75" customHeight="1" x14ac:dyDescent="0.25">
      <c r="A1123" s="6" t="s">
        <v>1125</v>
      </c>
      <c r="B1123" s="6" t="str">
        <f ca="1">IFERROR(__xludf.DUMMYFUNCTION("GOOGLETRANSLATE(A1123,""bn"",""en"")"),"Then he remembered all his words")</f>
        <v>Then he remembered all his words</v>
      </c>
      <c r="C1123" s="7" t="s">
        <v>6</v>
      </c>
      <c r="D1123" s="7" t="s">
        <v>7</v>
      </c>
      <c r="E1123" s="7">
        <v>0</v>
      </c>
    </row>
    <row r="1124" spans="1:5" ht="15.75" customHeight="1" x14ac:dyDescent="0.25">
      <c r="A1124" s="6" t="s">
        <v>1126</v>
      </c>
      <c r="B1124" s="6" t="str">
        <f ca="1">IFERROR(__xludf.DUMMYFUNCTION("GOOGLETRANSLATE(A1124,""bn"",""en"")"),"People cannot blame him for that")</f>
        <v>People cannot blame him for that</v>
      </c>
      <c r="C1124" s="7" t="s">
        <v>6</v>
      </c>
      <c r="D1124" s="7" t="s">
        <v>7</v>
      </c>
      <c r="E1124" s="7">
        <v>0</v>
      </c>
    </row>
    <row r="1125" spans="1:5" ht="15.75" customHeight="1" x14ac:dyDescent="0.25">
      <c r="A1125" s="6" t="s">
        <v>1127</v>
      </c>
      <c r="B1125" s="6" t="str">
        <f ca="1">IFERROR(__xludf.DUMMYFUNCTION("GOOGLETRANSLATE(A1125,""bn"",""en"")"),"Karim Sahib ordered to do this")</f>
        <v>Karim Sahib ordered to do this</v>
      </c>
      <c r="C1125" s="7" t="s">
        <v>6</v>
      </c>
      <c r="D1125" s="7" t="s">
        <v>7</v>
      </c>
      <c r="E1125" s="7">
        <v>0</v>
      </c>
    </row>
    <row r="1126" spans="1:5" ht="15.75" customHeight="1" x14ac:dyDescent="0.25">
      <c r="A1126" s="6" t="s">
        <v>1128</v>
      </c>
      <c r="B1126" s="6" t="str">
        <f ca="1">IFERROR(__xludf.DUMMYFUNCTION("GOOGLETRANSLATE(A1126,""bn"",""en"")"),"By the example of his father's death at a young age, he drew upon himself all the services of his maternal aunt.")</f>
        <v>By the example of his father's death at a young age, he drew upon himself all the services of his maternal aunt.</v>
      </c>
      <c r="C1126" s="7" t="s">
        <v>6</v>
      </c>
      <c r="D1126" s="7" t="s">
        <v>7</v>
      </c>
      <c r="E1126" s="7">
        <v>0</v>
      </c>
    </row>
    <row r="1127" spans="1:5" ht="15.75" customHeight="1" x14ac:dyDescent="0.25">
      <c r="A1127" s="6" t="s">
        <v>1129</v>
      </c>
      <c r="B1127" s="6" t="str">
        <f ca="1">IFERROR(__xludf.DUMMYFUNCTION("GOOGLETRANSLATE(A1127,""bn"",""en"")"),"Alaol's poetry is the most known among them")</f>
        <v>Alaol's poetry is the most known among them</v>
      </c>
      <c r="C1127" s="8" t="s">
        <v>13</v>
      </c>
      <c r="D1127" s="8" t="s">
        <v>14</v>
      </c>
      <c r="E1127" s="8">
        <v>1</v>
      </c>
    </row>
    <row r="1128" spans="1:5" ht="15.75" customHeight="1" x14ac:dyDescent="0.25">
      <c r="A1128" s="6" t="s">
        <v>1130</v>
      </c>
      <c r="B1128" s="6" t="str">
        <f ca="1">IFERROR(__xludf.DUMMYFUNCTION("GOOGLETRANSLATE(A1128,""bn"",""en"")"),"My mother used to wake me up")</f>
        <v>My mother used to wake me up</v>
      </c>
      <c r="C1128" s="8" t="s">
        <v>13</v>
      </c>
      <c r="D1128" s="8" t="s">
        <v>14</v>
      </c>
      <c r="E1128" s="8">
        <v>1</v>
      </c>
    </row>
    <row r="1129" spans="1:5" ht="15.75" customHeight="1" x14ac:dyDescent="0.25">
      <c r="A1129" s="6" t="s">
        <v>1131</v>
      </c>
      <c r="B1129" s="6" t="str">
        <f ca="1">IFERROR(__xludf.DUMMYFUNCTION("GOOGLETRANSLATE(A1129,""bn"",""en"")"),"Stay active for a healthy life")</f>
        <v>Stay active for a healthy life</v>
      </c>
      <c r="C1129" s="8" t="s">
        <v>13</v>
      </c>
      <c r="D1129" s="8" t="s">
        <v>14</v>
      </c>
      <c r="E1129" s="8">
        <v>1</v>
      </c>
    </row>
    <row r="1130" spans="1:5" ht="15.75" customHeight="1" x14ac:dyDescent="0.25">
      <c r="A1130" s="6" t="s">
        <v>1132</v>
      </c>
      <c r="B1130" s="6" t="str">
        <f ca="1">IFERROR(__xludf.DUMMYFUNCTION("GOOGLETRANSLATE(A1130,""bn"",""en"")"),"Fibromyalgia is a chronic condition characterized by widespread pain and fatigue")</f>
        <v>Fibromyalgia is a chronic condition characterized by widespread pain and fatigue</v>
      </c>
      <c r="C1130" s="8" t="s">
        <v>13</v>
      </c>
      <c r="D1130" s="8" t="s">
        <v>14</v>
      </c>
      <c r="E1130" s="8">
        <v>1</v>
      </c>
    </row>
    <row r="1131" spans="1:5" ht="15.75" customHeight="1" x14ac:dyDescent="0.25">
      <c r="A1131" s="6" t="s">
        <v>1133</v>
      </c>
      <c r="B1131" s="6" t="str">
        <f ca="1">IFERROR(__xludf.DUMMYFUNCTION("GOOGLETRANSLATE(A1131,""bn"",""en"")"),"This field gained special fame in the year")</f>
        <v>This field gained special fame in the year</v>
      </c>
      <c r="C1131" s="8" t="s">
        <v>13</v>
      </c>
      <c r="D1131" s="8" t="s">
        <v>14</v>
      </c>
      <c r="E1131" s="8">
        <v>1</v>
      </c>
    </row>
    <row r="1132" spans="1:5" ht="15.75" customHeight="1" x14ac:dyDescent="0.25">
      <c r="A1132" s="6" t="s">
        <v>1134</v>
      </c>
      <c r="B1132" s="6" t="str">
        <f ca="1">IFERROR(__xludf.DUMMYFUNCTION("GOOGLETRANSLATE(A1132,""bn"",""en"")"),"Finally Mast found the only son of Rai Bahadur's house and took him out")</f>
        <v>Finally Mast found the only son of Rai Bahadur's house and took him out</v>
      </c>
      <c r="C1132" s="7" t="s">
        <v>6</v>
      </c>
      <c r="D1132" s="7" t="s">
        <v>7</v>
      </c>
      <c r="E1132" s="7">
        <v>0</v>
      </c>
    </row>
    <row r="1133" spans="1:5" ht="15.75" customHeight="1" x14ac:dyDescent="0.25">
      <c r="A1133" s="6" t="s">
        <v>1135</v>
      </c>
      <c r="B1133" s="6" t="str">
        <f ca="1">IFERROR(__xludf.DUMMYFUNCTION("GOOGLETRANSLATE(A1133,""bn"",""en"")"),"Even her father has to admit that the fickle-hearted Mini's behavior is very shameful")</f>
        <v>Even her father has to admit that the fickle-hearted Mini's behavior is very shameful</v>
      </c>
      <c r="C1133" s="7" t="s">
        <v>6</v>
      </c>
      <c r="D1133" s="7" t="s">
        <v>7</v>
      </c>
      <c r="E1133" s="7">
        <v>0</v>
      </c>
    </row>
    <row r="1134" spans="1:5" ht="15.75" customHeight="1" x14ac:dyDescent="0.25">
      <c r="A1134" s="6" t="s">
        <v>1136</v>
      </c>
      <c r="B1134" s="6" t="str">
        <f ca="1">IFERROR(__xludf.DUMMYFUNCTION("GOOGLETRANSLATE(A1134,""bn"",""en"")"),"Bilat Jaiteche is rising to the stage of Bengali civilization")</f>
        <v>Bilat Jaiteche is rising to the stage of Bengali civilization</v>
      </c>
      <c r="C1134" s="7" t="s">
        <v>6</v>
      </c>
      <c r="D1134" s="7" t="s">
        <v>7</v>
      </c>
      <c r="E1134" s="7">
        <v>0</v>
      </c>
    </row>
    <row r="1135" spans="1:5" ht="15.75" customHeight="1" x14ac:dyDescent="0.25">
      <c r="A1135" s="6" t="s">
        <v>1137</v>
      </c>
      <c r="B1135" s="6" t="str">
        <f ca="1">IFERROR(__xludf.DUMMYFUNCTION("GOOGLETRANSLATE(A1135,""bn"",""en"")"),"I felt so happy thinking that I would go into that dark cloud right now")</f>
        <v>I felt so happy thinking that I would go into that dark cloud right now</v>
      </c>
      <c r="C1135" s="7" t="s">
        <v>6</v>
      </c>
      <c r="D1135" s="7" t="s">
        <v>7</v>
      </c>
      <c r="E1135" s="7">
        <v>0</v>
      </c>
    </row>
    <row r="1136" spans="1:5" ht="15.75" customHeight="1" x14ac:dyDescent="0.25">
      <c r="A1136" s="6" t="s">
        <v>1138</v>
      </c>
      <c r="B1136" s="6" t="str">
        <f ca="1">IFERROR(__xludf.DUMMYFUNCTION("GOOGLETRANSLATE(A1136,""bn"",""en"")"),"The second decision is to not read the remainder to avoid defamatory or offensive to anyone.")</f>
        <v>The second decision is to not read the remainder to avoid defamatory or offensive to anyone.</v>
      </c>
      <c r="C1136" s="7" t="s">
        <v>6</v>
      </c>
      <c r="D1136" s="7" t="s">
        <v>7</v>
      </c>
      <c r="E1136" s="7">
        <v>0</v>
      </c>
    </row>
    <row r="1137" spans="1:5" ht="15.75" customHeight="1" x14ac:dyDescent="0.25">
      <c r="A1137" s="6" t="s">
        <v>1139</v>
      </c>
      <c r="B1137" s="6" t="str">
        <f ca="1">IFERROR(__xludf.DUMMYFUNCTION("GOOGLETRANSLATE(A1137,""bn"",""en"")"),"Putla Putli Water Thirsty Elbow He is very embarrassed about duck bites.")</f>
        <v>Putla Putli Water Thirsty Elbow He is very embarrassed about duck bites.</v>
      </c>
      <c r="C1137" s="8" t="s">
        <v>13</v>
      </c>
      <c r="D1137" s="8" t="s">
        <v>14</v>
      </c>
      <c r="E1137" s="8">
        <v>1</v>
      </c>
    </row>
    <row r="1138" spans="1:5" ht="15.75" customHeight="1" x14ac:dyDescent="0.25">
      <c r="A1138" s="6" t="s">
        <v>1140</v>
      </c>
      <c r="B1138" s="6" t="str">
        <f ca="1">IFERROR(__xludf.DUMMYFUNCTION("GOOGLETRANSLATE(A1138,""bn"",""en"")"),"They have built such a big station without providing water")</f>
        <v>They have built such a big station without providing water</v>
      </c>
      <c r="C1138" s="8" t="s">
        <v>13</v>
      </c>
      <c r="D1138" s="8" t="s">
        <v>14</v>
      </c>
      <c r="E1138" s="8">
        <v>1</v>
      </c>
    </row>
    <row r="1139" spans="1:5" ht="15.75" customHeight="1" x14ac:dyDescent="0.25">
      <c r="A1139" s="6" t="s">
        <v>1141</v>
      </c>
      <c r="B1139" s="6" t="str">
        <f ca="1">IFERROR(__xludf.DUMMYFUNCTION("GOOGLETRANSLATE(A1139,""bn"",""en"")"),"Investing in a diversified portfolio of stocks and bonds can help you achieve your long-term financial goals")</f>
        <v>Investing in a diversified portfolio of stocks and bonds can help you achieve your long-term financial goals</v>
      </c>
      <c r="C1139" s="8" t="s">
        <v>13</v>
      </c>
      <c r="D1139" s="8" t="s">
        <v>14</v>
      </c>
      <c r="E1139" s="8">
        <v>1</v>
      </c>
    </row>
    <row r="1140" spans="1:5" ht="15.75" customHeight="1" x14ac:dyDescent="0.25">
      <c r="A1140" s="6" t="s">
        <v>1142</v>
      </c>
      <c r="B1140" s="6" t="str">
        <f ca="1">IFERROR(__xludf.DUMMYFUNCTION("GOOGLETRANSLATE(A1140,""bn"",""en"")"),"Mruttu battled various diseases including diabetes and jaundice throughout his life")</f>
        <v>Mruttu battled various diseases including diabetes and jaundice throughout his life</v>
      </c>
      <c r="C1140" s="8" t="s">
        <v>13</v>
      </c>
      <c r="D1140" s="8" t="s">
        <v>14</v>
      </c>
      <c r="E1140" s="8">
        <v>1</v>
      </c>
    </row>
    <row r="1141" spans="1:5" ht="15.75" customHeight="1" x14ac:dyDescent="0.25">
      <c r="A1141" s="6" t="s">
        <v>1143</v>
      </c>
      <c r="B1141" s="6" t="str">
        <f ca="1">IFERROR(__xludf.DUMMYFUNCTION("GOOGLETRANSLATE(A1141,""bn"",""en"")"),"He is best known today for his years playing career at United")</f>
        <v>He is best known today for his years playing career at United</v>
      </c>
      <c r="C1141" s="8" t="s">
        <v>13</v>
      </c>
      <c r="D1141" s="8" t="s">
        <v>14</v>
      </c>
      <c r="E1141" s="8">
        <v>1</v>
      </c>
    </row>
    <row r="1142" spans="1:5" ht="15.75" customHeight="1" x14ac:dyDescent="0.25">
      <c r="A1142" s="6" t="s">
        <v>1144</v>
      </c>
      <c r="B1142" s="6" t="str">
        <f ca="1">IFERROR(__xludf.DUMMYFUNCTION("GOOGLETRANSLATE(A1142,""bn"",""en"")"),"Why didn't the mind turn to ashes?")</f>
        <v>Why didn't the mind turn to ashes?</v>
      </c>
      <c r="C1142" s="7" t="s">
        <v>6</v>
      </c>
      <c r="D1142" s="7" t="s">
        <v>7</v>
      </c>
      <c r="E1142" s="7">
        <v>0</v>
      </c>
    </row>
    <row r="1143" spans="1:5" ht="15.75" customHeight="1" x14ac:dyDescent="0.25">
      <c r="A1143" s="6" t="s">
        <v>1145</v>
      </c>
      <c r="B1143" s="6" t="str">
        <f ca="1">IFERROR(__xludf.DUMMYFUNCTION("GOOGLETRANSLATE(A1143,""bn"",""en"")"),"He was staring strangely at the mango tree through the window")</f>
        <v>He was staring strangely at the mango tree through the window</v>
      </c>
      <c r="C1143" s="7" t="s">
        <v>6</v>
      </c>
      <c r="D1143" s="7" t="s">
        <v>7</v>
      </c>
      <c r="E1143" s="7">
        <v>0</v>
      </c>
    </row>
    <row r="1144" spans="1:5" ht="15.75" customHeight="1" x14ac:dyDescent="0.25">
      <c r="A1144" s="6" t="s">
        <v>1146</v>
      </c>
      <c r="B1144" s="6" t="str">
        <f ca="1">IFERROR(__xludf.DUMMYFUNCTION("GOOGLETRANSLATE(A1144,""bn"",""en"")"),"As the vitality of the individual declines, so the vitality of the species decays and gradually disappears.")</f>
        <v>As the vitality of the individual declines, so the vitality of the species decays and gradually disappears.</v>
      </c>
      <c r="C1144" s="7" t="s">
        <v>6</v>
      </c>
      <c r="D1144" s="7" t="s">
        <v>7</v>
      </c>
      <c r="E1144" s="7">
        <v>0</v>
      </c>
    </row>
    <row r="1145" spans="1:5" ht="15.75" customHeight="1" x14ac:dyDescent="0.25">
      <c r="A1145" s="6" t="s">
        <v>1147</v>
      </c>
      <c r="B1145" s="6" t="str">
        <f ca="1">IFERROR(__xludf.DUMMYFUNCTION("GOOGLETRANSLATE(A1145,""bn"",""en"")"),"I helped him with his reading and writing")</f>
        <v>I helped him with his reading and writing</v>
      </c>
      <c r="C1145" s="7" t="s">
        <v>6</v>
      </c>
      <c r="D1145" s="7" t="s">
        <v>7</v>
      </c>
      <c r="E1145" s="7">
        <v>0</v>
      </c>
    </row>
    <row r="1146" spans="1:5" ht="15.75" customHeight="1" x14ac:dyDescent="0.25">
      <c r="A1146" s="6" t="s">
        <v>1148</v>
      </c>
      <c r="B1146" s="6" t="str">
        <f ca="1">IFERROR(__xludf.DUMMYFUNCTION("GOOGLETRANSLATE(A1146,""bn"",""en"")"),"He refused to go despite the urgent summons of the Maharaj")</f>
        <v>He refused to go despite the urgent summons of the Maharaj</v>
      </c>
      <c r="C1146" s="7" t="s">
        <v>6</v>
      </c>
      <c r="D1146" s="7" t="s">
        <v>7</v>
      </c>
      <c r="E1146" s="7">
        <v>0</v>
      </c>
    </row>
    <row r="1147" spans="1:5" ht="15.75" customHeight="1" x14ac:dyDescent="0.25">
      <c r="A1147" s="6" t="s">
        <v>1149</v>
      </c>
      <c r="B1147" s="6" t="str">
        <f ca="1">IFERROR(__xludf.DUMMYFUNCTION("GOOGLETRANSLATE(A1147,""bn"",""en"")"),"Big mistake then")</f>
        <v>Big mistake then</v>
      </c>
      <c r="C1147" s="8" t="s">
        <v>13</v>
      </c>
      <c r="D1147" s="8" t="s">
        <v>14</v>
      </c>
      <c r="E1147" s="8">
        <v>1</v>
      </c>
    </row>
    <row r="1148" spans="1:5" ht="15.75" customHeight="1" x14ac:dyDescent="0.25">
      <c r="A1148" s="6" t="s">
        <v>1150</v>
      </c>
      <c r="B1148" s="6" t="str">
        <f ca="1">IFERROR(__xludf.DUMMYFUNCTION("GOOGLETRANSLATE(A1148,""bn"",""en"")"),"I bought him a pen")</f>
        <v>I bought him a pen</v>
      </c>
      <c r="C1148" s="8" t="s">
        <v>13</v>
      </c>
      <c r="D1148" s="8" t="s">
        <v>14</v>
      </c>
      <c r="E1148" s="8">
        <v>1</v>
      </c>
    </row>
    <row r="1149" spans="1:5" ht="15.75" customHeight="1" x14ac:dyDescent="0.25">
      <c r="A1149" s="6" t="s">
        <v>1151</v>
      </c>
      <c r="B1149" s="6" t="str">
        <f ca="1">IFERROR(__xludf.DUMMYFUNCTION("GOOGLETRANSLATE(A1149,""bn"",""en"")"),"Shakib will go to market with his brother")</f>
        <v>Shakib will go to market with his brother</v>
      </c>
      <c r="C1149" s="8" t="s">
        <v>13</v>
      </c>
      <c r="D1149" s="8" t="s">
        <v>14</v>
      </c>
      <c r="E1149" s="8">
        <v>1</v>
      </c>
    </row>
    <row r="1150" spans="1:5" ht="15.75" customHeight="1" x14ac:dyDescent="0.25">
      <c r="A1150" s="6" t="s">
        <v>1152</v>
      </c>
      <c r="B1150" s="6" t="str">
        <f ca="1">IFERROR(__xludf.DUMMYFUNCTION("GOOGLETRANSLATE(A1150,""bn"",""en"")"),"Do not spit anywhere")</f>
        <v>Do not spit anywhere</v>
      </c>
      <c r="C1150" s="8" t="s">
        <v>13</v>
      </c>
      <c r="D1150" s="8" t="s">
        <v>14</v>
      </c>
      <c r="E1150" s="8">
        <v>1</v>
      </c>
    </row>
    <row r="1151" spans="1:5" ht="15.75" customHeight="1" x14ac:dyDescent="0.25">
      <c r="A1151" s="6" t="s">
        <v>1153</v>
      </c>
      <c r="B1151" s="6" t="str">
        <f ca="1">IFERROR(__xludf.DUMMYFUNCTION("GOOGLETRANSLATE(A1151,""bn"",""en"")"),"Agricultural extension services provide farmers with information and training for better practices")</f>
        <v>Agricultural extension services provide farmers with information and training for better practices</v>
      </c>
      <c r="C1151" s="8" t="s">
        <v>13</v>
      </c>
      <c r="D1151" s="8" t="s">
        <v>14</v>
      </c>
      <c r="E1151" s="8">
        <v>1</v>
      </c>
    </row>
    <row r="1152" spans="1:5" ht="15.75" customHeight="1" x14ac:dyDescent="0.25">
      <c r="A1152" s="6" t="s">
        <v>1154</v>
      </c>
      <c r="B1152" s="6" t="str">
        <f ca="1">IFERROR(__xludf.DUMMYFUNCTION("GOOGLETRANSLATE(A1152,""bn"",""en"")"),"He lived alone ten kroshas away")</f>
        <v>He lived alone ten kroshas away</v>
      </c>
      <c r="C1152" s="7" t="s">
        <v>6</v>
      </c>
      <c r="D1152" s="7" t="s">
        <v>7</v>
      </c>
      <c r="E1152" s="7">
        <v>0</v>
      </c>
    </row>
    <row r="1153" spans="1:5" ht="15.75" customHeight="1" x14ac:dyDescent="0.25">
      <c r="A1153" s="6" t="s">
        <v>1155</v>
      </c>
      <c r="B1153" s="6" t="str">
        <f ca="1">IFERROR(__xludf.DUMMYFUNCTION("GOOGLETRANSLATE(A1153,""bn"",""en"")"),"With his own three sons, he is living in a house of his own accord")</f>
        <v>With his own three sons, he is living in a house of his own accord</v>
      </c>
      <c r="C1153" s="7" t="s">
        <v>6</v>
      </c>
      <c r="D1153" s="7" t="s">
        <v>7</v>
      </c>
      <c r="E1153" s="7">
        <v>0</v>
      </c>
    </row>
    <row r="1154" spans="1:5" ht="15.75" customHeight="1" x14ac:dyDescent="0.25">
      <c r="A1154" s="6" t="s">
        <v>1156</v>
      </c>
      <c r="B1154" s="6" t="str">
        <f ca="1">IFERROR(__xludf.DUMMYFUNCTION("GOOGLETRANSLATE(A1154,""bn"",""en"")"),"Gradually the village became a state")</f>
        <v>Gradually the village became a state</v>
      </c>
      <c r="C1154" s="7" t="s">
        <v>6</v>
      </c>
      <c r="D1154" s="7" t="s">
        <v>7</v>
      </c>
      <c r="E1154" s="7">
        <v>0</v>
      </c>
    </row>
    <row r="1155" spans="1:5" ht="15.75" customHeight="1" x14ac:dyDescent="0.25">
      <c r="A1155" s="6" t="s">
        <v>1157</v>
      </c>
      <c r="B1155" s="6" t="str">
        <f ca="1">IFERROR(__xludf.DUMMYFUNCTION("GOOGLETRANSLATE(A1155,""bn"",""en"")"),"It is no wonder that at that moment I would be so happy to see those little hills")</f>
        <v>It is no wonder that at that moment I would be so happy to see those little hills</v>
      </c>
      <c r="C1155" s="7" t="s">
        <v>6</v>
      </c>
      <c r="D1155" s="7" t="s">
        <v>7</v>
      </c>
      <c r="E1155" s="7">
        <v>0</v>
      </c>
    </row>
    <row r="1156" spans="1:5" ht="15.75" customHeight="1" x14ac:dyDescent="0.25">
      <c r="A1156" s="6" t="s">
        <v>1158</v>
      </c>
      <c r="B1156" s="6" t="str">
        <f ca="1">IFERROR(__xludf.DUMMYFUNCTION("GOOGLETRANSLATE(A1156,""bn"",""en"")"),"The handwriting of the little Parvati, the resident of her mountain home, reminded me of mine")</f>
        <v>The handwriting of the little Parvati, the resident of her mountain home, reminded me of mine</v>
      </c>
      <c r="C1156" s="7" t="s">
        <v>6</v>
      </c>
      <c r="D1156" s="7" t="s">
        <v>7</v>
      </c>
      <c r="E1156" s="7">
        <v>0</v>
      </c>
    </row>
    <row r="1157" spans="1:5" ht="15.75" customHeight="1" x14ac:dyDescent="0.25">
      <c r="A1157" s="6" t="s">
        <v>1159</v>
      </c>
      <c r="B1157" s="6" t="str">
        <f ca="1">IFERROR(__xludf.DUMMYFUNCTION("GOOGLETRANSLATE(A1157,""bn"",""en"")"),"I encountered several issues with the product that made it difficult to use")</f>
        <v>I encountered several issues with the product that made it difficult to use</v>
      </c>
      <c r="C1157" s="8" t="s">
        <v>13</v>
      </c>
      <c r="D1157" s="8" t="s">
        <v>14</v>
      </c>
      <c r="E1157" s="8">
        <v>1</v>
      </c>
    </row>
    <row r="1158" spans="1:5" ht="15.75" customHeight="1" x14ac:dyDescent="0.25">
      <c r="A1158" s="6" t="s">
        <v>1160</v>
      </c>
      <c r="B1158" s="6" t="str">
        <f ca="1">IFERROR(__xludf.DUMMYFUNCTION("GOOGLETRANSLATE(A1158,""bn"",""en"")"),"Believe in your life time everything happens for a reason")</f>
        <v>Believe in your life time everything happens for a reason</v>
      </c>
      <c r="C1158" s="8" t="s">
        <v>13</v>
      </c>
      <c r="D1158" s="8" t="s">
        <v>14</v>
      </c>
      <c r="E1158" s="8">
        <v>1</v>
      </c>
    </row>
    <row r="1159" spans="1:5" ht="15.75" customHeight="1" x14ac:dyDescent="0.25">
      <c r="A1159" s="6" t="s">
        <v>1161</v>
      </c>
      <c r="B1159" s="6" t="str">
        <f ca="1">IFERROR(__xludf.DUMMYFUNCTION("GOOGLETRANSLATE(A1159,""bn"",""en"")"),"Two friends were lost in the forest")</f>
        <v>Two friends were lost in the forest</v>
      </c>
      <c r="C1159" s="8" t="s">
        <v>13</v>
      </c>
      <c r="D1159" s="8" t="s">
        <v>14</v>
      </c>
      <c r="E1159" s="8">
        <v>1</v>
      </c>
    </row>
    <row r="1160" spans="1:5" ht="15.75" customHeight="1" x14ac:dyDescent="0.25">
      <c r="A1160" s="6" t="s">
        <v>1162</v>
      </c>
      <c r="B1160" s="6" t="str">
        <f ca="1">IFERROR(__xludf.DUMMYFUNCTION("GOOGLETRANSLATE(A1160,""bn"",""en"")"),"I was not able to do this")</f>
        <v>I was not able to do this</v>
      </c>
      <c r="C1160" s="8" t="s">
        <v>13</v>
      </c>
      <c r="D1160" s="8" t="s">
        <v>14</v>
      </c>
      <c r="E1160" s="8">
        <v>1</v>
      </c>
    </row>
    <row r="1161" spans="1:5" ht="15.75" customHeight="1" x14ac:dyDescent="0.25">
      <c r="A1161" s="6" t="s">
        <v>1163</v>
      </c>
      <c r="B1161" s="6" t="str">
        <f ca="1">IFERROR(__xludf.DUMMYFUNCTION("GOOGLETRANSLATE(A1161,""bn"",""en"")"),"His preferred department is humanities")</f>
        <v>His preferred department is humanities</v>
      </c>
      <c r="C1161" s="8" t="s">
        <v>13</v>
      </c>
      <c r="D1161" s="8" t="s">
        <v>14</v>
      </c>
      <c r="E1161" s="8">
        <v>1</v>
      </c>
    </row>
    <row r="1162" spans="1:5" ht="15.75" customHeight="1" x14ac:dyDescent="0.25">
      <c r="A1162" s="6" t="s">
        <v>1164</v>
      </c>
      <c r="B1162" s="6" t="str">
        <f ca="1">IFERROR(__xludf.DUMMYFUNCTION("GOOGLETRANSLATE(A1162,""bn"",""en"")"),"Even when his mind was torn, there was no way to neglect any regular work")</f>
        <v>Even when his mind was torn, there was no way to neglect any regular work</v>
      </c>
      <c r="C1162" s="7" t="s">
        <v>6</v>
      </c>
      <c r="D1162" s="7" t="s">
        <v>7</v>
      </c>
      <c r="E1162" s="7">
        <v>0</v>
      </c>
    </row>
    <row r="1163" spans="1:5" ht="15.75" customHeight="1" x14ac:dyDescent="0.25">
      <c r="A1163" s="6" t="s">
        <v>1165</v>
      </c>
      <c r="B1163" s="6" t="str">
        <f ca="1">IFERROR(__xludf.DUMMYFUNCTION("GOOGLETRANSLATE(A1163,""bn"",""en"")"),"Moti comes to know that Haru died in an accident on the way back from looking for a groom for her.")</f>
        <v>Moti comes to know that Haru died in an accident on the way back from looking for a groom for her.</v>
      </c>
      <c r="C1163" s="7" t="s">
        <v>6</v>
      </c>
      <c r="D1163" s="7" t="s">
        <v>7</v>
      </c>
      <c r="E1163" s="7">
        <v>0</v>
      </c>
    </row>
    <row r="1164" spans="1:5" ht="15.75" customHeight="1" x14ac:dyDescent="0.25">
      <c r="A1164" s="6" t="s">
        <v>1166</v>
      </c>
      <c r="B1164" s="6" t="str">
        <f ca="1">IFERROR(__xludf.DUMMYFUNCTION("GOOGLETRANSLATE(A1164,""bn"",""en"")"),"One part of it is cracked to a great extent")</f>
        <v>One part of it is cracked to a great extent</v>
      </c>
      <c r="C1164" s="7" t="s">
        <v>6</v>
      </c>
      <c r="D1164" s="7" t="s">
        <v>7</v>
      </c>
      <c r="E1164" s="7">
        <v>0</v>
      </c>
    </row>
    <row r="1165" spans="1:5" ht="15.75" customHeight="1" x14ac:dyDescent="0.25">
      <c r="A1165" s="6" t="s">
        <v>1167</v>
      </c>
      <c r="B1165" s="6" t="str">
        <f ca="1">IFERROR(__xludf.DUMMYFUNCTION("GOOGLETRANSLATE(A1165,""bn"",""en"")"),"My desk brother disappeared after letting me sit in the haircut")</f>
        <v>My desk brother disappeared after letting me sit in the haircut</v>
      </c>
      <c r="C1165" s="7" t="s">
        <v>6</v>
      </c>
      <c r="D1165" s="7" t="s">
        <v>7</v>
      </c>
      <c r="E1165" s="7">
        <v>0</v>
      </c>
    </row>
    <row r="1166" spans="1:5" ht="15.75" customHeight="1" x14ac:dyDescent="0.25">
      <c r="A1166" s="6" t="s">
        <v>1168</v>
      </c>
      <c r="B1166" s="6" t="str">
        <f ca="1">IFERROR(__xludf.DUMMYFUNCTION("GOOGLETRANSLATE(A1166,""bn"",""en"")"),"On my way to Palamau from Ranchi, I saw Palamau from a distance as per the instructions of the porters.")</f>
        <v>On my way to Palamau from Ranchi, I saw Palamau from a distance as per the instructions of the porters.</v>
      </c>
      <c r="C1166" s="7" t="s">
        <v>6</v>
      </c>
      <c r="D1166" s="7" t="s">
        <v>7</v>
      </c>
      <c r="E1166" s="7">
        <v>0</v>
      </c>
    </row>
    <row r="1167" spans="1:5" ht="15.75" customHeight="1" x14ac:dyDescent="0.25">
      <c r="A1167" s="6" t="s">
        <v>1169</v>
      </c>
      <c r="B1167" s="6" t="str">
        <f ca="1">IFERROR(__xludf.DUMMYFUNCTION("GOOGLETRANSLATE(A1167,""bn"",""en"")"),"None of Rameswaram had such an attitude")</f>
        <v>None of Rameswaram had such an attitude</v>
      </c>
      <c r="C1167" s="8" t="s">
        <v>13</v>
      </c>
      <c r="D1167" s="8" t="s">
        <v>14</v>
      </c>
      <c r="E1167" s="8">
        <v>1</v>
      </c>
    </row>
    <row r="1168" spans="1:5" ht="15.75" customHeight="1" x14ac:dyDescent="0.25">
      <c r="A1168" s="6" t="s">
        <v>1170</v>
      </c>
      <c r="B1168" s="6" t="str">
        <f ca="1">IFERROR(__xludf.DUMMYFUNCTION("GOOGLETRANSLATE(A1168,""bn"",""en"")"),"The towering mountains stretch heavenward, their snow-capped peaks glistening in the sunlight")</f>
        <v>The towering mountains stretch heavenward, their snow-capped peaks glistening in the sunlight</v>
      </c>
      <c r="C1168" s="8" t="s">
        <v>13</v>
      </c>
      <c r="D1168" s="8" t="s">
        <v>14</v>
      </c>
      <c r="E1168" s="8">
        <v>1</v>
      </c>
    </row>
    <row r="1169" spans="1:5" ht="15.75" customHeight="1" x14ac:dyDescent="0.25">
      <c r="A1169" s="6" t="s">
        <v>1171</v>
      </c>
      <c r="B1169" s="6" t="str">
        <f ca="1">IFERROR(__xludf.DUMMYFUNCTION("GOOGLETRANSLATE(A1169,""bn"",""en"")"),"Sitara Begum Dr Captain Sitara Rahman is a woman freedom fighter")</f>
        <v>Sitara Begum Dr Captain Sitara Rahman is a woman freedom fighter</v>
      </c>
      <c r="C1169" s="8" t="s">
        <v>13</v>
      </c>
      <c r="D1169" s="8" t="s">
        <v>14</v>
      </c>
      <c r="E1169" s="8">
        <v>1</v>
      </c>
    </row>
    <row r="1170" spans="1:5" ht="15.75" customHeight="1" x14ac:dyDescent="0.25">
      <c r="A1170" s="6" t="s">
        <v>1172</v>
      </c>
      <c r="B1170" s="6" t="str">
        <f ca="1">IFERROR(__xludf.DUMMYFUNCTION("GOOGLETRANSLATE(A1170,""bn"",""en"")"),"Drip irrigation reduces water wastage by supplying water directly to the plant roots")</f>
        <v>Drip irrigation reduces water wastage by supplying water directly to the plant roots</v>
      </c>
      <c r="C1170" s="8" t="s">
        <v>13</v>
      </c>
      <c r="D1170" s="8" t="s">
        <v>14</v>
      </c>
      <c r="E1170" s="8">
        <v>1</v>
      </c>
    </row>
    <row r="1171" spans="1:5" ht="15.75" customHeight="1" x14ac:dyDescent="0.25">
      <c r="A1171" s="6" t="s">
        <v>1173</v>
      </c>
      <c r="B1171" s="6" t="str">
        <f ca="1">IFERROR(__xludf.DUMMYFUNCTION("GOOGLETRANSLATE(A1171,""bn"",""en"")"),"In this storm, almost all domesticated animals and poultry died")</f>
        <v>In this storm, almost all domesticated animals and poultry died</v>
      </c>
      <c r="C1171" s="8" t="s">
        <v>13</v>
      </c>
      <c r="D1171" s="8" t="s">
        <v>14</v>
      </c>
      <c r="E1171" s="8">
        <v>1</v>
      </c>
    </row>
    <row r="1172" spans="1:5" ht="15.75" customHeight="1" x14ac:dyDescent="0.25">
      <c r="A1172" s="6" t="s">
        <v>1174</v>
      </c>
      <c r="B1172" s="6" t="str">
        <f ca="1">IFERROR(__xludf.DUMMYFUNCTION("GOOGLETRANSLATE(A1172,""bn"",""en"")"),"I have to change a book")</f>
        <v>I have to change a book</v>
      </c>
      <c r="C1172" s="7" t="s">
        <v>6</v>
      </c>
      <c r="D1172" s="7" t="s">
        <v>7</v>
      </c>
      <c r="E1172" s="7">
        <v>0</v>
      </c>
    </row>
    <row r="1173" spans="1:5" ht="15.75" customHeight="1" x14ac:dyDescent="0.25">
      <c r="A1173" s="6" t="s">
        <v>1175</v>
      </c>
      <c r="B1173" s="6" t="str">
        <f ca="1">IFERROR(__xludf.DUMMYFUNCTION("GOOGLETRANSLATE(A1173,""bn"",""en"")"),"Maybe he didn't even see that I survived")</f>
        <v>Maybe he didn't even see that I survived</v>
      </c>
      <c r="C1173" s="7" t="s">
        <v>6</v>
      </c>
      <c r="D1173" s="7" t="s">
        <v>7</v>
      </c>
      <c r="E1173" s="7">
        <v>0</v>
      </c>
    </row>
    <row r="1174" spans="1:5" ht="15.75" customHeight="1" x14ac:dyDescent="0.25">
      <c r="A1174" s="6" t="s">
        <v>1176</v>
      </c>
      <c r="B1174" s="6" t="str">
        <f ca="1">IFERROR(__xludf.DUMMYFUNCTION("GOOGLETRANSLATE(A1174,""bn"",""en"")"),"Before the night was over he went out in search of work")</f>
        <v>Before the night was over he went out in search of work</v>
      </c>
      <c r="C1174" s="7" t="s">
        <v>6</v>
      </c>
      <c r="D1174" s="7" t="s">
        <v>7</v>
      </c>
      <c r="E1174" s="7">
        <v>0</v>
      </c>
    </row>
    <row r="1175" spans="1:5" ht="15.75" customHeight="1" x14ac:dyDescent="0.25">
      <c r="A1175" s="6" t="s">
        <v>1177</v>
      </c>
      <c r="B1175" s="6" t="str">
        <f ca="1">IFERROR(__xludf.DUMMYFUNCTION("GOOGLETRANSLATE(A1175,""bn"",""en"")"),"He told me then that everything seemed like a dream to him")</f>
        <v>He told me then that everything seemed like a dream to him</v>
      </c>
      <c r="C1175" s="7" t="s">
        <v>6</v>
      </c>
      <c r="D1175" s="7" t="s">
        <v>7</v>
      </c>
      <c r="E1175" s="7">
        <v>0</v>
      </c>
    </row>
    <row r="1176" spans="1:5" ht="15.75" customHeight="1" x14ac:dyDescent="0.25">
      <c r="A1176" s="6" t="s">
        <v>1178</v>
      </c>
      <c r="B1176" s="6" t="str">
        <f ca="1">IFERROR(__xludf.DUMMYFUNCTION("GOOGLETRANSLATE(A1176,""bn"",""en"")"),"The young women grabbed each other's shoulders and started looking only to see Palki Behara")</f>
        <v>The young women grabbed each other's shoulders and started looking only to see Palki Behara</v>
      </c>
      <c r="C1176" s="7" t="s">
        <v>6</v>
      </c>
      <c r="D1176" s="7" t="s">
        <v>7</v>
      </c>
      <c r="E1176" s="7">
        <v>0</v>
      </c>
    </row>
    <row r="1177" spans="1:5" ht="15.75" customHeight="1" x14ac:dyDescent="0.25">
      <c r="A1177" s="6" t="s">
        <v>1179</v>
      </c>
      <c r="B1177" s="6" t="str">
        <f ca="1">IFERROR(__xludf.DUMMYFUNCTION("GOOGLETRANSLATE(A1177,""bn"",""en"")"),"The sound of a waterfall echoed through the gorge, its roar echoing off the walls.")</f>
        <v>The sound of a waterfall echoed through the gorge, its roar echoing off the walls.</v>
      </c>
      <c r="C1177" s="8" t="s">
        <v>13</v>
      </c>
      <c r="D1177" s="8" t="s">
        <v>14</v>
      </c>
      <c r="E1177" s="8">
        <v>1</v>
      </c>
    </row>
    <row r="1178" spans="1:5" ht="15.75" customHeight="1" x14ac:dyDescent="0.25">
      <c r="A1178" s="6" t="s">
        <v>1180</v>
      </c>
      <c r="B1178" s="6" t="str">
        <f ca="1">IFERROR(__xludf.DUMMYFUNCTION("GOOGLETRANSLATE(A1178,""bn"",""en"")"),"Endometriosis is a painful disorder in which tissue similar to the lining of the uterus grows outside the uterus.")</f>
        <v>Endometriosis is a painful disorder in which tissue similar to the lining of the uterus grows outside the uterus.</v>
      </c>
      <c r="C1178" s="8" t="s">
        <v>13</v>
      </c>
      <c r="D1178" s="8" t="s">
        <v>14</v>
      </c>
      <c r="E1178" s="8">
        <v>1</v>
      </c>
    </row>
    <row r="1179" spans="1:5" ht="15.75" customHeight="1" x14ac:dyDescent="0.25">
      <c r="A1179" s="6" t="s">
        <v>1181</v>
      </c>
      <c r="B1179" s="6" t="str">
        <f ca="1">IFERROR(__xludf.DUMMYFUNCTION("GOOGLETRANSLATE(A1179,""bn"",""en"")"),"Ships in Bombay became a great commercial success")</f>
        <v>Ships in Bombay became a great commercial success</v>
      </c>
      <c r="C1179" s="8" t="s">
        <v>13</v>
      </c>
      <c r="D1179" s="8" t="s">
        <v>14</v>
      </c>
      <c r="E1179" s="8">
        <v>1</v>
      </c>
    </row>
    <row r="1180" spans="1:5" ht="15.75" customHeight="1" x14ac:dyDescent="0.25">
      <c r="A1180" s="6" t="s">
        <v>1182</v>
      </c>
      <c r="B1180" s="6" t="str">
        <f ca="1">IFERROR(__xludf.DUMMYFUNCTION("GOOGLETRANSLATE(A1180,""bn"",""en"")"),"Newspapers also had World War news")</f>
        <v>Newspapers also had World War news</v>
      </c>
      <c r="C1180" s="8" t="s">
        <v>13</v>
      </c>
      <c r="D1180" s="8" t="s">
        <v>14</v>
      </c>
      <c r="E1180" s="8">
        <v>1</v>
      </c>
    </row>
    <row r="1181" spans="1:5" ht="15.75" customHeight="1" x14ac:dyDescent="0.25">
      <c r="A1181" s="6" t="s">
        <v>1183</v>
      </c>
      <c r="B1181" s="6" t="str">
        <f ca="1">IFERROR(__xludf.DUMMYFUNCTION("GOOGLETRANSLATE(A1181,""bn"",""en"")"),"Compound interest allows your savings to grow faster over time")</f>
        <v>Compound interest allows your savings to grow faster over time</v>
      </c>
      <c r="C1181" s="8" t="s">
        <v>13</v>
      </c>
      <c r="D1181" s="8" t="s">
        <v>14</v>
      </c>
      <c r="E1181" s="8">
        <v>1</v>
      </c>
    </row>
    <row r="1182" spans="1:5" ht="15.75" customHeight="1" x14ac:dyDescent="0.25">
      <c r="A1182" s="6" t="s">
        <v>1184</v>
      </c>
      <c r="B1182" s="6" t="str">
        <f ca="1">IFERROR(__xludf.DUMMYFUNCTION("GOOGLETRANSLATE(A1182,""bn"",""en"")"),"He was so strict about his dignity")</f>
        <v>He was so strict about his dignity</v>
      </c>
      <c r="C1182" s="7" t="s">
        <v>6</v>
      </c>
      <c r="D1182" s="7" t="s">
        <v>7</v>
      </c>
      <c r="E1182" s="7">
        <v>0</v>
      </c>
    </row>
    <row r="1183" spans="1:5" ht="15.75" customHeight="1" x14ac:dyDescent="0.25">
      <c r="A1183" s="6" t="s">
        <v>1185</v>
      </c>
      <c r="B1183" s="6" t="str">
        <f ca="1">IFERROR(__xludf.DUMMYFUNCTION("GOOGLETRANSLATE(A1183,""bn"",""en"")"),"He did not bring two ducks")</f>
        <v>He did not bring two ducks</v>
      </c>
      <c r="C1183" s="7" t="s">
        <v>6</v>
      </c>
      <c r="D1183" s="7" t="s">
        <v>7</v>
      </c>
      <c r="E1183" s="7">
        <v>0</v>
      </c>
    </row>
    <row r="1184" spans="1:5" ht="15.75" customHeight="1" x14ac:dyDescent="0.25">
      <c r="A1184" s="6" t="s">
        <v>1186</v>
      </c>
      <c r="B1184" s="6" t="str">
        <f ca="1">IFERROR(__xludf.DUMMYFUNCTION("GOOGLETRANSLATE(A1184,""bn"",""en"")"),"He is now very busy with his exams")</f>
        <v>He is now very busy with his exams</v>
      </c>
      <c r="C1184" s="7" t="s">
        <v>6</v>
      </c>
      <c r="D1184" s="7" t="s">
        <v>7</v>
      </c>
      <c r="E1184" s="7">
        <v>0</v>
      </c>
    </row>
    <row r="1185" spans="1:5" ht="15.75" customHeight="1" x14ac:dyDescent="0.25">
      <c r="A1185" s="6" t="s">
        <v>1187</v>
      </c>
      <c r="B1185" s="6" t="str">
        <f ca="1">IFERROR(__xludf.DUMMYFUNCTION("GOOGLETRANSLATE(A1185,""bn"",""en"")"),"After returning from school that night, he started to have a headache")</f>
        <v>After returning from school that night, he started to have a headache</v>
      </c>
      <c r="C1185" s="7" t="s">
        <v>6</v>
      </c>
      <c r="D1185" s="7" t="s">
        <v>7</v>
      </c>
      <c r="E1185" s="7">
        <v>0</v>
      </c>
    </row>
    <row r="1186" spans="1:5" ht="15.75" customHeight="1" x14ac:dyDescent="0.25">
      <c r="A1186" s="6" t="s">
        <v>1188</v>
      </c>
      <c r="B1186" s="6" t="str">
        <f ca="1">IFERROR(__xludf.DUMMYFUNCTION("GOOGLETRANSLATE(A1186,""bn"",""en"")"),"Sujan came to give me her book")</f>
        <v>Sujan came to give me her book</v>
      </c>
      <c r="C1186" s="7" t="s">
        <v>6</v>
      </c>
      <c r="D1186" s="7" t="s">
        <v>7</v>
      </c>
      <c r="E1186" s="7">
        <v>0</v>
      </c>
    </row>
    <row r="1187" spans="1:5" ht="15.75" customHeight="1" x14ac:dyDescent="0.25">
      <c r="A1187" s="6" t="s">
        <v>1189</v>
      </c>
      <c r="B1187" s="6" t="str">
        <f ca="1">IFERROR(__xludf.DUMMYFUNCTION("GOOGLETRANSLATE(A1187,""bn"",""en"")"),"Many Israelis call him a terrorist")</f>
        <v>Many Israelis call him a terrorist</v>
      </c>
      <c r="C1187" s="8" t="s">
        <v>13</v>
      </c>
      <c r="D1187" s="8" t="s">
        <v>14</v>
      </c>
      <c r="E1187" s="8">
        <v>1</v>
      </c>
    </row>
    <row r="1188" spans="1:5" ht="15.75" customHeight="1" x14ac:dyDescent="0.25">
      <c r="A1188" s="6" t="s">
        <v>1190</v>
      </c>
      <c r="B1188" s="6" t="str">
        <f ca="1">IFERROR(__xludf.DUMMYFUNCTION("GOOGLETRANSLATE(A1188,""bn"",""en"")"),"Professional management can provide investment diversification in mutual funds")</f>
        <v>Professional management can provide investment diversification in mutual funds</v>
      </c>
      <c r="C1188" s="8" t="s">
        <v>13</v>
      </c>
      <c r="D1188" s="8" t="s">
        <v>14</v>
      </c>
      <c r="E1188" s="8">
        <v>1</v>
      </c>
    </row>
    <row r="1189" spans="1:5" ht="15.75" customHeight="1" x14ac:dyDescent="0.25">
      <c r="A1189" s="6" t="s">
        <v>1191</v>
      </c>
      <c r="B1189" s="6" t="str">
        <f ca="1">IFERROR(__xludf.DUMMYFUNCTION("GOOGLETRANSLATE(A1189,""bn"",""en"")"),"Practice active listening to truly understand others")</f>
        <v>Practice active listening to truly understand others</v>
      </c>
      <c r="C1189" s="8" t="s">
        <v>13</v>
      </c>
      <c r="D1189" s="8" t="s">
        <v>14</v>
      </c>
      <c r="E1189" s="8">
        <v>1</v>
      </c>
    </row>
    <row r="1190" spans="1:5" ht="15.75" customHeight="1" x14ac:dyDescent="0.25">
      <c r="A1190" s="6" t="s">
        <v>1192</v>
      </c>
      <c r="B1190" s="6" t="str">
        <f ca="1">IFERROR(__xludf.DUMMYFUNCTION("GOOGLETRANSLATE(A1190,""bn"",""en"")"),"Theater group enhances acting skills")</f>
        <v>Theater group enhances acting skills</v>
      </c>
      <c r="C1190" s="8" t="s">
        <v>13</v>
      </c>
      <c r="D1190" s="8" t="s">
        <v>14</v>
      </c>
      <c r="E1190" s="8">
        <v>1</v>
      </c>
    </row>
    <row r="1191" spans="1:5" ht="15.75" customHeight="1" x14ac:dyDescent="0.25">
      <c r="A1191" s="6" t="s">
        <v>1193</v>
      </c>
      <c r="B1191" s="6" t="str">
        <f ca="1">IFERROR(__xludf.DUMMYFUNCTION("GOOGLETRANSLATE(A1191,""bn"",""en"")"),"I asked her to buy a red rose")</f>
        <v>I asked her to buy a red rose</v>
      </c>
      <c r="C1191" s="8" t="s">
        <v>13</v>
      </c>
      <c r="D1191" s="8" t="s">
        <v>14</v>
      </c>
      <c r="E1191" s="8">
        <v>1</v>
      </c>
    </row>
    <row r="1192" spans="1:5" ht="15.75" customHeight="1" x14ac:dyDescent="0.25">
      <c r="A1192" s="6" t="s">
        <v>1194</v>
      </c>
      <c r="B1192" s="6" t="str">
        <f ca="1">IFERROR(__xludf.DUMMYFUNCTION("GOOGLETRANSLATE(A1192,""bn"",""en"")"),"I remembered the day when Mini first met Kabuliwala")</f>
        <v>I remembered the day when Mini first met Kabuliwala</v>
      </c>
      <c r="C1192" s="7" t="s">
        <v>6</v>
      </c>
      <c r="D1192" s="7" t="s">
        <v>7</v>
      </c>
      <c r="E1192" s="7">
        <v>0</v>
      </c>
    </row>
    <row r="1193" spans="1:5" ht="15.75" customHeight="1" x14ac:dyDescent="0.25">
      <c r="A1193" s="6" t="s">
        <v>1195</v>
      </c>
      <c r="B1193" s="6" t="str">
        <f ca="1">IFERROR(__xludf.DUMMYFUNCTION("GOOGLETRANSLATE(A1193,""bn"",""en"")"),"Not everyone has the power to please everyone")</f>
        <v>Not everyone has the power to please everyone</v>
      </c>
      <c r="C1193" s="7" t="s">
        <v>6</v>
      </c>
      <c r="D1193" s="7" t="s">
        <v>7</v>
      </c>
      <c r="E1193" s="7">
        <v>0</v>
      </c>
    </row>
    <row r="1194" spans="1:5" ht="15.75" customHeight="1" x14ac:dyDescent="0.25">
      <c r="A1194" s="6" t="s">
        <v>1196</v>
      </c>
      <c r="B1194" s="6" t="str">
        <f ca="1">IFERROR(__xludf.DUMMYFUNCTION("GOOGLETRANSLATE(A1194,""bn"",""en"")"),"Many of those who fall in love with Sachish have a grudge against him")</f>
        <v>Many of those who fall in love with Sachish have a grudge against him</v>
      </c>
      <c r="C1194" s="7" t="s">
        <v>6</v>
      </c>
      <c r="D1194" s="7" t="s">
        <v>7</v>
      </c>
      <c r="E1194" s="7">
        <v>0</v>
      </c>
    </row>
    <row r="1195" spans="1:5" ht="15.75" customHeight="1" x14ac:dyDescent="0.25">
      <c r="A1195" s="6" t="s">
        <v>1197</v>
      </c>
      <c r="B1195" s="6" t="str">
        <f ca="1">IFERROR(__xludf.DUMMYFUNCTION("GOOGLETRANSLATE(A1195,""bn"",""en"")"),"Despite the fact that he was forbidden, he sat down to work")</f>
        <v>Despite the fact that he was forbidden, he sat down to work</v>
      </c>
      <c r="C1195" s="7" t="s">
        <v>6</v>
      </c>
      <c r="D1195" s="7" t="s">
        <v>7</v>
      </c>
      <c r="E1195" s="7">
        <v>0</v>
      </c>
    </row>
    <row r="1196" spans="1:5" ht="15.75" customHeight="1" x14ac:dyDescent="0.25">
      <c r="A1196" s="6" t="s">
        <v>1198</v>
      </c>
      <c r="B1196" s="6" t="str">
        <f ca="1">IFERROR(__xludf.DUMMYFUNCTION("GOOGLETRANSLATE(A1196,""bn"",""en"")"),"Are you still such a boy?")</f>
        <v>Are you still such a boy?</v>
      </c>
      <c r="C1196" s="7" t="s">
        <v>6</v>
      </c>
      <c r="D1196" s="7" t="s">
        <v>7</v>
      </c>
      <c r="E1196" s="7">
        <v>0</v>
      </c>
    </row>
    <row r="1197" spans="1:5" ht="15.75" customHeight="1" x14ac:dyDescent="0.25">
      <c r="A1197" s="6" t="s">
        <v>1199</v>
      </c>
      <c r="B1197" s="6" t="str">
        <f ca="1">IFERROR(__xludf.DUMMYFUNCTION("GOOGLETRANSLATE(A1197,""bn"",""en"")"),"His composition is very soft and sweet")</f>
        <v>His composition is very soft and sweet</v>
      </c>
      <c r="C1197" s="8" t="s">
        <v>13</v>
      </c>
      <c r="D1197" s="8" t="s">
        <v>14</v>
      </c>
      <c r="E1197" s="8">
        <v>1</v>
      </c>
    </row>
    <row r="1198" spans="1:5" ht="15.75" customHeight="1" x14ac:dyDescent="0.25">
      <c r="A1198" s="6" t="s">
        <v>1200</v>
      </c>
      <c r="B1198" s="6" t="str">
        <f ca="1">IFERROR(__xludf.DUMMYFUNCTION("GOOGLETRANSLATE(A1198,""bn"",""en"")"),"I have planted a new rose bush in my garden")</f>
        <v>I have planted a new rose bush in my garden</v>
      </c>
      <c r="C1198" s="8" t="s">
        <v>13</v>
      </c>
      <c r="D1198" s="8" t="s">
        <v>14</v>
      </c>
      <c r="E1198" s="8">
        <v>1</v>
      </c>
    </row>
    <row r="1199" spans="1:5" ht="15.75" customHeight="1" x14ac:dyDescent="0.25">
      <c r="A1199" s="6" t="s">
        <v>1201</v>
      </c>
      <c r="B1199" s="6" t="str">
        <f ca="1">IFERROR(__xludf.DUMMYFUNCTION("GOOGLETRANSLATE(A1199,""bn"",""en"")"),"It depends on your work discipline")</f>
        <v>It depends on your work discipline</v>
      </c>
      <c r="C1199" s="8" t="s">
        <v>13</v>
      </c>
      <c r="D1199" s="8" t="s">
        <v>14</v>
      </c>
      <c r="E1199" s="8">
        <v>1</v>
      </c>
    </row>
    <row r="1200" spans="1:5" ht="15.75" customHeight="1" x14ac:dyDescent="0.25">
      <c r="A1200" s="6" t="s">
        <v>1202</v>
      </c>
      <c r="B1200" s="6" t="str">
        <f ca="1">IFERROR(__xludf.DUMMYFUNCTION("GOOGLETRANSLATE(A1200,""bn"",""en"")"),"According to the traditional idea, matter energy is different")</f>
        <v>According to the traditional idea, matter energy is different</v>
      </c>
      <c r="C1200" s="8" t="s">
        <v>13</v>
      </c>
      <c r="D1200" s="8" t="s">
        <v>14</v>
      </c>
      <c r="E1200" s="8">
        <v>1</v>
      </c>
    </row>
    <row r="1201" spans="1:5" ht="15.75" customHeight="1" x14ac:dyDescent="0.25">
      <c r="A1201" s="6" t="s">
        <v>1203</v>
      </c>
      <c r="B1201" s="6" t="str">
        <f ca="1">IFERROR(__xludf.DUMMYFUNCTION("GOOGLETRANSLATE(A1201,""bn"",""en"")"),"Sujan wanted to give me her book")</f>
        <v>Sujan wanted to give me her book</v>
      </c>
      <c r="C1201" s="8" t="s">
        <v>13</v>
      </c>
      <c r="D1201" s="8" t="s">
        <v>14</v>
      </c>
      <c r="E1201" s="8">
        <v>1</v>
      </c>
    </row>
    <row r="1202" spans="1:5" ht="15.75" customHeight="1" x14ac:dyDescent="0.25">
      <c r="A1202" s="6" t="s">
        <v>1204</v>
      </c>
      <c r="B1202" s="6" t="str">
        <f ca="1">IFERROR(__xludf.DUMMYFUNCTION("GOOGLETRANSLATE(A1202,""bn"",""en"")"),"Satya is really crazy or Kusum")</f>
        <v>Satya is really crazy or Kusum</v>
      </c>
      <c r="C1202" s="7" t="s">
        <v>6</v>
      </c>
      <c r="D1202" s="7" t="s">
        <v>7</v>
      </c>
      <c r="E1202" s="7">
        <v>0</v>
      </c>
    </row>
    <row r="1203" spans="1:5" ht="15.75" customHeight="1" x14ac:dyDescent="0.25">
      <c r="A1203" s="6" t="s">
        <v>1205</v>
      </c>
      <c r="B1203" s="6" t="str">
        <f ca="1">IFERROR(__xludf.DUMMYFUNCTION("GOOGLETRANSLATE(A1203,""bn"",""en"")"),"Aharante proposed to play cards under that banyan tree")</f>
        <v>Aharante proposed to play cards under that banyan tree</v>
      </c>
      <c r="C1203" s="7" t="s">
        <v>6</v>
      </c>
      <c r="D1203" s="7" t="s">
        <v>7</v>
      </c>
      <c r="E1203" s="7">
        <v>0</v>
      </c>
    </row>
    <row r="1204" spans="1:5" ht="15.75" customHeight="1" x14ac:dyDescent="0.25">
      <c r="A1204" s="6" t="s">
        <v>1206</v>
      </c>
      <c r="B1204" s="6" t="str">
        <f ca="1">IFERROR(__xludf.DUMMYFUNCTION("GOOGLETRANSLATE(A1204,""bn"",""en"")"),"While going to the in-laws' house, the father could not hold back tears as he pulled Nirupama to his chest")</f>
        <v>While going to the in-laws' house, the father could not hold back tears as he pulled Nirupama to his chest</v>
      </c>
      <c r="C1204" s="7" t="s">
        <v>6</v>
      </c>
      <c r="D1204" s="7" t="s">
        <v>7</v>
      </c>
      <c r="E1204" s="7">
        <v>0</v>
      </c>
    </row>
    <row r="1205" spans="1:5" ht="15.75" customHeight="1" x14ac:dyDescent="0.25">
      <c r="A1205" s="6" t="s">
        <v>1207</v>
      </c>
      <c r="B1205" s="6" t="str">
        <f ca="1">IFERROR(__xludf.DUMMYFUNCTION("GOOGLETRANSLATE(A1205,""bn"",""en"")"),"As soon as he saw Fatik, his mother turned into a flame and said again, you have killed Makhan")</f>
        <v>As soon as he saw Fatik, his mother turned into a flame and said again, you have killed Makhan</v>
      </c>
      <c r="C1205" s="7" t="s">
        <v>6</v>
      </c>
      <c r="D1205" s="7" t="s">
        <v>7</v>
      </c>
      <c r="E1205" s="7">
        <v>0</v>
      </c>
    </row>
    <row r="1206" spans="1:5" ht="15.75" customHeight="1" x14ac:dyDescent="0.25">
      <c r="A1206" s="6" t="s">
        <v>1208</v>
      </c>
      <c r="B1206" s="6" t="str">
        <f ca="1">IFERROR(__xludf.DUMMYFUNCTION("GOOGLETRANSLATE(A1206,""bn"",""en"")"),"The madman's delirium is still raging megabytes")</f>
        <v>The madman's delirium is still raging megabytes</v>
      </c>
      <c r="C1206" s="7" t="s">
        <v>6</v>
      </c>
      <c r="D1206" s="7" t="s">
        <v>7</v>
      </c>
      <c r="E1206" s="7">
        <v>0</v>
      </c>
    </row>
    <row r="1207" spans="1:5" ht="15.75" customHeight="1" x14ac:dyDescent="0.25">
      <c r="A1207" s="6" t="s">
        <v>1209</v>
      </c>
      <c r="B1207" s="6" t="str">
        <f ca="1">IFERROR(__xludf.DUMMYFUNCTION("GOOGLETRANSLATE(A1207,""bn"",""en"")"),"Be proactive in seeking growth opportunities")</f>
        <v>Be proactive in seeking growth opportunities</v>
      </c>
      <c r="C1207" s="8" t="s">
        <v>13</v>
      </c>
      <c r="D1207" s="8" t="s">
        <v>14</v>
      </c>
      <c r="E1207" s="8">
        <v>1</v>
      </c>
    </row>
    <row r="1208" spans="1:5" ht="15.75" customHeight="1" x14ac:dyDescent="0.25">
      <c r="A1208" s="6" t="s">
        <v>1210</v>
      </c>
      <c r="B1208" s="6" t="str">
        <f ca="1">IFERROR(__xludf.DUMMYFUNCTION("GOOGLETRANSLATE(A1208,""bn"",""en"")"),"Criminal defense attorneys work to protect the rights of the accused")</f>
        <v>Criminal defense attorneys work to protect the rights of the accused</v>
      </c>
      <c r="C1208" s="8" t="s">
        <v>13</v>
      </c>
      <c r="D1208" s="8" t="s">
        <v>14</v>
      </c>
      <c r="E1208" s="8">
        <v>1</v>
      </c>
    </row>
    <row r="1209" spans="1:5" ht="15.75" customHeight="1" x14ac:dyDescent="0.25">
      <c r="A1209" s="6" t="s">
        <v>1211</v>
      </c>
      <c r="B1209" s="6" t="str">
        <f ca="1">IFERROR(__xludf.DUMMYFUNCTION("GOOGLETRANSLATE(A1209,""bn"",""en"")"),"Grilled seafood enthralls summer feasts")</f>
        <v>Grilled seafood enthralls summer feasts</v>
      </c>
      <c r="C1209" s="8" t="s">
        <v>13</v>
      </c>
      <c r="D1209" s="8" t="s">
        <v>14</v>
      </c>
      <c r="E1209" s="8">
        <v>1</v>
      </c>
    </row>
    <row r="1210" spans="1:5" ht="15.75" customHeight="1" x14ac:dyDescent="0.25">
      <c r="A1210" s="6" t="s">
        <v>1212</v>
      </c>
      <c r="B1210" s="6" t="str">
        <f ca="1">IFERROR(__xludf.DUMMYFUNCTION("GOOGLETRANSLATE(A1210,""bn"",""en"")"),"She gave me a beautiful rose")</f>
        <v>She gave me a beautiful rose</v>
      </c>
      <c r="C1210" s="8" t="s">
        <v>13</v>
      </c>
      <c r="D1210" s="8" t="s">
        <v>14</v>
      </c>
      <c r="E1210" s="8">
        <v>1</v>
      </c>
    </row>
    <row r="1211" spans="1:5" ht="15.75" customHeight="1" x14ac:dyDescent="0.25">
      <c r="A1211" s="6" t="s">
        <v>1213</v>
      </c>
      <c r="B1211" s="6" t="str">
        <f ca="1">IFERROR(__xludf.DUMMYFUNCTION("GOOGLETRANSLATE(A1211,""bn"",""en"")"),"Transactions are completed in real time")</f>
        <v>Transactions are completed in real time</v>
      </c>
      <c r="C1211" s="8" t="s">
        <v>13</v>
      </c>
      <c r="D1211" s="8" t="s">
        <v>14</v>
      </c>
      <c r="E1211" s="8">
        <v>1</v>
      </c>
    </row>
    <row r="1212" spans="1:5" ht="15.75" customHeight="1" x14ac:dyDescent="0.25">
      <c r="A1212" s="6" t="s">
        <v>1214</v>
      </c>
      <c r="B1212" s="6" t="str">
        <f ca="1">IFERROR(__xludf.DUMMYFUNCTION("GOOGLETRANSLATE(A1212,""bn"",""en"")"),"There was no doubt that he would have to take the money")</f>
        <v>There was no doubt that he would have to take the money</v>
      </c>
      <c r="C1212" s="7" t="s">
        <v>6</v>
      </c>
      <c r="D1212" s="7" t="s">
        <v>7</v>
      </c>
      <c r="E1212" s="7">
        <v>0</v>
      </c>
    </row>
    <row r="1213" spans="1:5" ht="15.75" customHeight="1" x14ac:dyDescent="0.25">
      <c r="A1213" s="6" t="s">
        <v>1215</v>
      </c>
      <c r="B1213" s="6" t="str">
        <f ca="1">IFERROR(__xludf.DUMMYFUNCTION("GOOGLETRANSLATE(A1213,""bn"",""en"")"),"I finished reading and went to play")</f>
        <v>I finished reading and went to play</v>
      </c>
      <c r="C1213" s="7" t="s">
        <v>6</v>
      </c>
      <c r="D1213" s="7" t="s">
        <v>7</v>
      </c>
      <c r="E1213" s="7">
        <v>0</v>
      </c>
    </row>
    <row r="1214" spans="1:5" ht="15.75" customHeight="1" x14ac:dyDescent="0.25">
      <c r="A1214" s="6" t="s">
        <v>1216</v>
      </c>
      <c r="B1214" s="6" t="str">
        <f ca="1">IFERROR(__xludf.DUMMYFUNCTION("GOOGLETRANSLATE(A1214,""bn"",""en"")"),"Mini, a bride dressed in Rangacheli, with sandal on her forehead, came shyly to me.")</f>
        <v>Mini, a bride dressed in Rangacheli, with sandal on her forehead, came shyly to me.</v>
      </c>
      <c r="C1214" s="7" t="s">
        <v>6</v>
      </c>
      <c r="D1214" s="7" t="s">
        <v>7</v>
      </c>
      <c r="E1214" s="7">
        <v>0</v>
      </c>
    </row>
    <row r="1215" spans="1:5" ht="15.75" customHeight="1" x14ac:dyDescent="0.25">
      <c r="A1215" s="6" t="s">
        <v>1217</v>
      </c>
      <c r="B1215" s="6" t="str">
        <f ca="1">IFERROR(__xludf.DUMMYFUNCTION("GOOGLETRANSLATE(A1215,""bn"",""en"")"),"A new idea flashed through the head of Balakdig's Sardar Fatik Chakraborty that there was a huge rock lying on the bank of the river waiting to be converted into a mast.")</f>
        <v>A new idea flashed through the head of Balakdig's Sardar Fatik Chakraborty that there was a huge rock lying on the bank of the river waiting to be converted into a mast.</v>
      </c>
      <c r="C1215" s="7" t="s">
        <v>6</v>
      </c>
      <c r="D1215" s="7" t="s">
        <v>7</v>
      </c>
      <c r="E1215" s="7">
        <v>0</v>
      </c>
    </row>
    <row r="1216" spans="1:5" ht="15.75" customHeight="1" x14ac:dyDescent="0.25">
      <c r="A1216" s="6" t="s">
        <v>1048</v>
      </c>
      <c r="B1216" s="6" t="str">
        <f ca="1">IFERROR(__xludf.DUMMYFUNCTION("GOOGLETRANSLATE(A1216,""bn"",""en"")"),"It seems as if I have seen this custom of Santals too")</f>
        <v>It seems as if I have seen this custom of Santals too</v>
      </c>
      <c r="C1216" s="7" t="s">
        <v>6</v>
      </c>
      <c r="D1216" s="7" t="s">
        <v>7</v>
      </c>
      <c r="E1216" s="7">
        <v>0</v>
      </c>
    </row>
    <row r="1217" spans="1:5" ht="15.75" customHeight="1" x14ac:dyDescent="0.25">
      <c r="A1217" s="6" t="s">
        <v>1218</v>
      </c>
      <c r="B1217" s="6" t="str">
        <f ca="1">IFERROR(__xludf.DUMMYFUNCTION("GOOGLETRANSLATE(A1217,""bn"",""en"")"),"Criminal justice reform efforts seek to address systemic problems such as racial bias and overcrowding in prisons.")</f>
        <v>Criminal justice reform efforts seek to address systemic problems such as racial bias and overcrowding in prisons.</v>
      </c>
      <c r="C1217" s="8" t="s">
        <v>13</v>
      </c>
      <c r="D1217" s="8" t="s">
        <v>14</v>
      </c>
      <c r="E1217" s="8">
        <v>1</v>
      </c>
    </row>
    <row r="1218" spans="1:5" ht="15.75" customHeight="1" x14ac:dyDescent="0.25">
      <c r="A1218" s="6" t="s">
        <v>1219</v>
      </c>
      <c r="B1218" s="6" t="str">
        <f ca="1">IFERROR(__xludf.DUMMYFUNCTION("GOOGLETRANSLATE(A1218,""bn"",""en"")"),"Will return after gaining the wealth of knowledge")</f>
        <v>Will return after gaining the wealth of knowledge</v>
      </c>
      <c r="C1218" s="8" t="s">
        <v>13</v>
      </c>
      <c r="D1218" s="8" t="s">
        <v>14</v>
      </c>
      <c r="E1218" s="8">
        <v>1</v>
      </c>
    </row>
    <row r="1219" spans="1:5" ht="15.75" customHeight="1" x14ac:dyDescent="0.25">
      <c r="A1219" s="6" t="s">
        <v>1220</v>
      </c>
      <c r="B1219" s="6" t="str">
        <f ca="1">IFERROR(__xludf.DUMMYFUNCTION("GOOGLETRANSLATE(A1219,""bn"",""en"")"),"Agricultural diversification reduces risk by growing different types of crops or raising different livestock")</f>
        <v>Agricultural diversification reduces risk by growing different types of crops or raising different livestock</v>
      </c>
      <c r="C1219" s="8" t="s">
        <v>13</v>
      </c>
      <c r="D1219" s="8" t="s">
        <v>14</v>
      </c>
      <c r="E1219" s="8">
        <v>1</v>
      </c>
    </row>
    <row r="1220" spans="1:5" ht="15.75" customHeight="1" x14ac:dyDescent="0.25">
      <c r="A1220" s="6" t="s">
        <v>1221</v>
      </c>
      <c r="B1220" s="6" t="str">
        <f ca="1">IFERROR(__xludf.DUMMYFUNCTION("GOOGLETRANSLATE(A1220,""bn"",""en"")"),"Russell is going to take a bath and pray")</f>
        <v>Russell is going to take a bath and pray</v>
      </c>
      <c r="C1220" s="8" t="s">
        <v>13</v>
      </c>
      <c r="D1220" s="8" t="s">
        <v>14</v>
      </c>
      <c r="E1220" s="8">
        <v>1</v>
      </c>
    </row>
    <row r="1221" spans="1:5" ht="15.75" customHeight="1" x14ac:dyDescent="0.25">
      <c r="A1221" s="6" t="s">
        <v>1222</v>
      </c>
      <c r="B1221" s="6" t="str">
        <f ca="1">IFERROR(__xludf.DUMMYFUNCTION("GOOGLETRANSLATE(A1221,""bn"",""en"")"),"Diabetes is a condition where your blood sugar levels are too high")</f>
        <v>Diabetes is a condition where your blood sugar levels are too high</v>
      </c>
      <c r="C1221" s="8" t="s">
        <v>13</v>
      </c>
      <c r="D1221" s="8" t="s">
        <v>14</v>
      </c>
      <c r="E1221" s="8">
        <v>1</v>
      </c>
    </row>
    <row r="1222" spans="1:5" ht="15.75" customHeight="1" x14ac:dyDescent="0.25">
      <c r="A1222" s="6" t="s">
        <v>221</v>
      </c>
      <c r="B1222" s="6" t="str">
        <f ca="1">IFERROR(__xludf.DUMMYFUNCTION("GOOGLETRANSLATE(A1222,""bn"",""en"")"),"I have also seen in our bungalow that the boys and girls in Palligram are almost shocked to see the Palki Behara.")</f>
        <v>I have also seen in our bungalow that the boys and girls in Palligram are almost shocked to see the Palki Behara.</v>
      </c>
      <c r="C1222" s="7" t="s">
        <v>6</v>
      </c>
      <c r="D1222" s="7" t="s">
        <v>7</v>
      </c>
      <c r="E1222" s="7">
        <v>0</v>
      </c>
    </row>
    <row r="1223" spans="1:5" ht="15.75" customHeight="1" x14ac:dyDescent="0.25">
      <c r="A1223" s="6" t="s">
        <v>698</v>
      </c>
      <c r="B1223" s="6" t="str">
        <f ca="1">IFERROR(__xludf.DUMMYFUNCTION("GOOGLETRANSLATE(A1223,""bn"",""en"")"),"After this evening they were sitting together in the balcony")</f>
        <v>After this evening they were sitting together in the balcony</v>
      </c>
      <c r="C1223" s="7" t="s">
        <v>6</v>
      </c>
      <c r="D1223" s="7" t="s">
        <v>7</v>
      </c>
      <c r="E1223" s="7">
        <v>0</v>
      </c>
    </row>
    <row r="1224" spans="1:5" ht="15.75" customHeight="1" x14ac:dyDescent="0.25">
      <c r="A1224" s="6" t="s">
        <v>1223</v>
      </c>
      <c r="B1224" s="6" t="str">
        <f ca="1">IFERROR(__xludf.DUMMYFUNCTION("GOOGLETRANSLATE(A1224,""bn"",""en"")"),"The whole night was spent in delirium, and Vishwambharbabu brought the doctor")</f>
        <v>The whole night was spent in delirium, and Vishwambharbabu brought the doctor</v>
      </c>
      <c r="C1224" s="7" t="s">
        <v>6</v>
      </c>
      <c r="D1224" s="7" t="s">
        <v>7</v>
      </c>
      <c r="E1224" s="7">
        <v>0</v>
      </c>
    </row>
    <row r="1225" spans="1:5" ht="15.75" customHeight="1" x14ac:dyDescent="0.25">
      <c r="A1225" s="6" t="s">
        <v>1224</v>
      </c>
      <c r="B1225" s="6" t="str">
        <f ca="1">IFERROR(__xludf.DUMMYFUNCTION("GOOGLETRANSLATE(A1225,""bn"",""en"")"),"The old people say it is a happy memory from birth")</f>
        <v>The old people say it is a happy memory from birth</v>
      </c>
      <c r="C1225" s="7" t="s">
        <v>6</v>
      </c>
      <c r="D1225" s="7" t="s">
        <v>7</v>
      </c>
      <c r="E1225" s="7">
        <v>0</v>
      </c>
    </row>
    <row r="1226" spans="1:5" ht="15.75" customHeight="1" x14ac:dyDescent="0.25">
      <c r="A1226" s="6" t="s">
        <v>1225</v>
      </c>
      <c r="B1226" s="6" t="str">
        <f ca="1">IFERROR(__xludf.DUMMYFUNCTION("GOOGLETRANSLATE(A1226,""bn"",""en"")"),"Had to rest at home for a month due to jaundice")</f>
        <v>Had to rest at home for a month due to jaundice</v>
      </c>
      <c r="C1226" s="7" t="s">
        <v>6</v>
      </c>
      <c r="D1226" s="7" t="s">
        <v>7</v>
      </c>
      <c r="E1226" s="7">
        <v>0</v>
      </c>
    </row>
    <row r="1227" spans="1:5" ht="15.75" customHeight="1" x14ac:dyDescent="0.25">
      <c r="A1227" s="6" t="s">
        <v>1226</v>
      </c>
      <c r="B1227" s="6" t="str">
        <f ca="1">IFERROR(__xludf.DUMMYFUNCTION("GOOGLETRANSLATE(A1227,""bn"",""en"")"),"It's a lot of fun to watch this movie")</f>
        <v>It's a lot of fun to watch this movie</v>
      </c>
      <c r="C1227" s="8" t="s">
        <v>13</v>
      </c>
      <c r="D1227" s="8" t="s">
        <v>14</v>
      </c>
      <c r="E1227" s="8">
        <v>1</v>
      </c>
    </row>
    <row r="1228" spans="1:5" ht="15.75" customHeight="1" x14ac:dyDescent="0.25">
      <c r="A1228" s="6" t="s">
        <v>1227</v>
      </c>
      <c r="B1228" s="6" t="str">
        <f ca="1">IFERROR(__xludf.DUMMYFUNCTION("GOOGLETRANSLATE(A1228,""bn"",""en"")"),"For whatever reason he is afraid")</f>
        <v>For whatever reason he is afraid</v>
      </c>
      <c r="C1228" s="8" t="s">
        <v>13</v>
      </c>
      <c r="D1228" s="8" t="s">
        <v>14</v>
      </c>
      <c r="E1228" s="8">
        <v>1</v>
      </c>
    </row>
    <row r="1229" spans="1:5" ht="15.75" customHeight="1" x14ac:dyDescent="0.25">
      <c r="A1229" s="6" t="s">
        <v>1228</v>
      </c>
      <c r="B1229" s="6" t="str">
        <f ca="1">IFERROR(__xludf.DUMMYFUNCTION("GOOGLETRANSLATE(A1229,""bn"",""en"")"),"Rana worked with me")</f>
        <v>Rana worked with me</v>
      </c>
      <c r="C1229" s="8" t="s">
        <v>13</v>
      </c>
      <c r="D1229" s="8" t="s">
        <v>14</v>
      </c>
      <c r="E1229" s="8">
        <v>1</v>
      </c>
    </row>
    <row r="1230" spans="1:5" ht="15.75" customHeight="1" x14ac:dyDescent="0.25">
      <c r="A1230" s="6" t="s">
        <v>1229</v>
      </c>
      <c r="B1230" s="6" t="str">
        <f ca="1">IFERROR(__xludf.DUMMYFUNCTION("GOOGLETRANSLATE(A1230,""bn"",""en"")"),"Mim asked him to come")</f>
        <v>Mim asked him to come</v>
      </c>
      <c r="C1230" s="8" t="s">
        <v>13</v>
      </c>
      <c r="D1230" s="8" t="s">
        <v>14</v>
      </c>
      <c r="E1230" s="8">
        <v>1</v>
      </c>
    </row>
    <row r="1231" spans="1:5" ht="15.75" customHeight="1" x14ac:dyDescent="0.25">
      <c r="A1231" s="6" t="s">
        <v>1230</v>
      </c>
      <c r="B1231" s="6" t="str">
        <f ca="1">IFERROR(__xludf.DUMMYFUNCTION("GOOGLETRANSLATE(A1231,""bn"",""en"")"),"Now he went behind the door")</f>
        <v>Now he went behind the door</v>
      </c>
      <c r="C1231" s="8" t="s">
        <v>13</v>
      </c>
      <c r="D1231" s="8" t="s">
        <v>14</v>
      </c>
      <c r="E1231" s="8">
        <v>1</v>
      </c>
    </row>
    <row r="1232" spans="1:5" ht="15.75" customHeight="1" x14ac:dyDescent="0.25">
      <c r="A1232" s="6" t="s">
        <v>1231</v>
      </c>
      <c r="B1232" s="6" t="str">
        <f ca="1">IFERROR(__xludf.DUMMYFUNCTION("GOOGLETRANSLATE(A1232,""bn"",""en"")"),"He will be married during the Puja holidays")</f>
        <v>He will be married during the Puja holidays</v>
      </c>
      <c r="C1232" s="7" t="s">
        <v>6</v>
      </c>
      <c r="D1232" s="7" t="s">
        <v>7</v>
      </c>
      <c r="E1232" s="7">
        <v>0</v>
      </c>
    </row>
    <row r="1233" spans="1:5" ht="15.75" customHeight="1" x14ac:dyDescent="0.25">
      <c r="A1233" s="6" t="s">
        <v>1232</v>
      </c>
      <c r="B1233" s="6" t="str">
        <f ca="1">IFERROR(__xludf.DUMMYFUNCTION("GOOGLETRANSLATE(A1233,""bn"",""en"")"),"He had lunch and went back to work")</f>
        <v>He had lunch and went back to work</v>
      </c>
      <c r="C1233" s="7" t="s">
        <v>6</v>
      </c>
      <c r="D1233" s="7" t="s">
        <v>7</v>
      </c>
      <c r="E1233" s="7">
        <v>0</v>
      </c>
    </row>
    <row r="1234" spans="1:5" ht="15.75" customHeight="1" x14ac:dyDescent="0.25">
      <c r="A1234" s="6" t="s">
        <v>1233</v>
      </c>
      <c r="B1234" s="6" t="str">
        <f ca="1">IFERROR(__xludf.DUMMYFUNCTION("GOOGLETRANSLATE(A1234,""bn"",""en"")"),"In the middle of it is a stone-built cottage")</f>
        <v>In the middle of it is a stone-built cottage</v>
      </c>
      <c r="C1234" s="7" t="s">
        <v>6</v>
      </c>
      <c r="D1234" s="7" t="s">
        <v>7</v>
      </c>
      <c r="E1234" s="7">
        <v>0</v>
      </c>
    </row>
    <row r="1235" spans="1:5" ht="15.75" customHeight="1" x14ac:dyDescent="0.25">
      <c r="A1235" s="6" t="s">
        <v>1234</v>
      </c>
      <c r="B1235" s="6" t="str">
        <f ca="1">IFERROR(__xludf.DUMMYFUNCTION("GOOGLETRANSLATE(A1235,""bn"",""en"")"),"Only the melody was heard")</f>
        <v>Only the melody was heard</v>
      </c>
      <c r="C1235" s="7" t="s">
        <v>6</v>
      </c>
      <c r="D1235" s="7" t="s">
        <v>7</v>
      </c>
      <c r="E1235" s="7">
        <v>0</v>
      </c>
    </row>
    <row r="1236" spans="1:5" ht="15.75" customHeight="1" x14ac:dyDescent="0.25">
      <c r="A1236" s="6" t="s">
        <v>1235</v>
      </c>
      <c r="B1236" s="6" t="str">
        <f ca="1">IFERROR(__xludf.DUMMYFUNCTION("GOOGLETRANSLATE(A1236,""bn"",""en"")"),"They do not live with the Kols or any other wild race")</f>
        <v>They do not live with the Kols or any other wild race</v>
      </c>
      <c r="C1236" s="7" t="s">
        <v>6</v>
      </c>
      <c r="D1236" s="7" t="s">
        <v>7</v>
      </c>
      <c r="E1236" s="7">
        <v>0</v>
      </c>
    </row>
    <row r="1237" spans="1:5" ht="15.75" customHeight="1" x14ac:dyDescent="0.25">
      <c r="A1237" s="6" t="s">
        <v>1236</v>
      </c>
      <c r="B1237" s="6" t="str">
        <f ca="1">IFERROR(__xludf.DUMMYFUNCTION("GOOGLETRANSLATE(A1237,""bn"",""en"")"),"Sumi will go to school with her father")</f>
        <v>Sumi will go to school with her father</v>
      </c>
      <c r="C1237" s="8" t="s">
        <v>13</v>
      </c>
      <c r="D1237" s="8" t="s">
        <v>14</v>
      </c>
      <c r="E1237" s="8">
        <v>1</v>
      </c>
    </row>
    <row r="1238" spans="1:5" ht="15.75" customHeight="1" x14ac:dyDescent="0.25">
      <c r="A1238" s="6" t="s">
        <v>1237</v>
      </c>
      <c r="B1238" s="6" t="str">
        <f ca="1">IFERROR(__xludf.DUMMYFUNCTION("GOOGLETRANSLATE(A1238,""bn"",""en"")"),"Collaborative innovation in our workplace increases productivity")</f>
        <v>Collaborative innovation in our workplace increases productivity</v>
      </c>
      <c r="C1238" s="8" t="s">
        <v>13</v>
      </c>
      <c r="D1238" s="8" t="s">
        <v>14</v>
      </c>
      <c r="E1238" s="8">
        <v>1</v>
      </c>
    </row>
    <row r="1239" spans="1:5" ht="15.75" customHeight="1" x14ac:dyDescent="0.25">
      <c r="A1239" s="6" t="s">
        <v>1238</v>
      </c>
      <c r="B1239" s="6" t="str">
        <f ca="1">IFERROR(__xludf.DUMMYFUNCTION("GOOGLETRANSLATE(A1239,""bn"",""en"")"),"A lot of responsibility falls on the shoulders despite not wanting to")</f>
        <v>A lot of responsibility falls on the shoulders despite not wanting to</v>
      </c>
      <c r="C1239" s="8" t="s">
        <v>13</v>
      </c>
      <c r="D1239" s="8" t="s">
        <v>14</v>
      </c>
      <c r="E1239" s="8">
        <v>1</v>
      </c>
    </row>
    <row r="1240" spans="1:5" ht="15.75" customHeight="1" x14ac:dyDescent="0.25">
      <c r="A1240" s="6" t="s">
        <v>1239</v>
      </c>
      <c r="B1240" s="6" t="str">
        <f ca="1">IFERROR(__xludf.DUMMYFUNCTION("GOOGLETRANSLATE(A1240,""bn"",""en"")"),"Citizen journalism has become more prevalent with the rise of social media blogging platforms")</f>
        <v>Citizen journalism has become more prevalent with the rise of social media blogging platforms</v>
      </c>
      <c r="C1240" s="8" t="s">
        <v>13</v>
      </c>
      <c r="D1240" s="8" t="s">
        <v>14</v>
      </c>
      <c r="E1240" s="8">
        <v>1</v>
      </c>
    </row>
    <row r="1241" spans="1:5" ht="15.75" customHeight="1" x14ac:dyDescent="0.25">
      <c r="A1241" s="6" t="s">
        <v>1240</v>
      </c>
      <c r="B1241" s="6" t="str">
        <f ca="1">IFERROR(__xludf.DUMMYFUNCTION("GOOGLETRANSLATE(A1241,""bn"",""en"")"),"Roni is not expecting that Tuhin will come")</f>
        <v>Roni is not expecting that Tuhin will come</v>
      </c>
      <c r="C1241" s="8" t="s">
        <v>13</v>
      </c>
      <c r="D1241" s="8" t="s">
        <v>14</v>
      </c>
      <c r="E1241" s="8">
        <v>1</v>
      </c>
    </row>
    <row r="1242" spans="1:5" ht="15.75" customHeight="1" x14ac:dyDescent="0.25">
      <c r="A1242" s="6" t="s">
        <v>1241</v>
      </c>
      <c r="B1242" s="6" t="str">
        <f ca="1">IFERROR(__xludf.DUMMYFUNCTION("GOOGLETRANSLATE(A1242,""bn"",""en"")"),"Sometimes it goes to another branch and sits")</f>
        <v>Sometimes it goes to another branch and sits</v>
      </c>
      <c r="C1242" s="7" t="s">
        <v>6</v>
      </c>
      <c r="D1242" s="7" t="s">
        <v>7</v>
      </c>
      <c r="E1242" s="7">
        <v>0</v>
      </c>
    </row>
    <row r="1243" spans="1:5" ht="15.75" customHeight="1" x14ac:dyDescent="0.25">
      <c r="A1243" s="6" t="s">
        <v>1242</v>
      </c>
      <c r="B1243" s="6" t="str">
        <f ca="1">IFERROR(__xludf.DUMMYFUNCTION("GOOGLETRANSLATE(A1243,""bn"",""en"")"),"How long did he sit there and wait with this expectation")</f>
        <v>How long did he sit there and wait with this expectation</v>
      </c>
      <c r="C1243" s="7" t="s">
        <v>6</v>
      </c>
      <c r="D1243" s="7" t="s">
        <v>7</v>
      </c>
      <c r="E1243" s="7">
        <v>0</v>
      </c>
    </row>
    <row r="1244" spans="1:5" ht="15.75" customHeight="1" x14ac:dyDescent="0.25">
      <c r="A1244" s="6" t="s">
        <v>1243</v>
      </c>
      <c r="B1244" s="6" t="str">
        <f ca="1">IFERROR(__xludf.DUMMYFUNCTION("GOOGLETRANSLATE(A1244,""bn"",""en"")"),"Immediately Bagha Bagdi came and said Fatikdada mother is calling")</f>
        <v>Immediately Bagha Bagdi came and said Fatikdada mother is calling</v>
      </c>
      <c r="C1244" s="7" t="s">
        <v>6</v>
      </c>
      <c r="D1244" s="7" t="s">
        <v>7</v>
      </c>
      <c r="E1244" s="7">
        <v>0</v>
      </c>
    </row>
    <row r="1245" spans="1:5" ht="15.75" customHeight="1" x14ac:dyDescent="0.25">
      <c r="A1245" s="6" t="s">
        <v>1244</v>
      </c>
      <c r="B1245" s="6" t="str">
        <f ca="1">IFERROR(__xludf.DUMMYFUNCTION("GOOGLETRANSLATE(A1245,""bn"",""en"")"),"On the first day, the resident's goats will clean the flowering trees")</f>
        <v>On the first day, the resident's goats will clean the flowering trees</v>
      </c>
      <c r="C1245" s="7" t="s">
        <v>6</v>
      </c>
      <c r="D1245" s="7" t="s">
        <v>7</v>
      </c>
      <c r="E1245" s="7">
        <v>0</v>
      </c>
    </row>
    <row r="1246" spans="1:5" ht="15.75" customHeight="1" x14ac:dyDescent="0.25">
      <c r="A1246" s="6" t="s">
        <v>1245</v>
      </c>
      <c r="B1246" s="6" t="str">
        <f ca="1">IFERROR(__xludf.DUMMYFUNCTION("GOOGLETRANSLATE(A1246,""bn"",""en"")"),"At this time, the young women of the village came in groups and started planting")</f>
        <v>At this time, the young women of the village came in groups and started planting</v>
      </c>
      <c r="C1246" s="7" t="s">
        <v>6</v>
      </c>
      <c r="D1246" s="7" t="s">
        <v>7</v>
      </c>
      <c r="E1246" s="7">
        <v>0</v>
      </c>
    </row>
    <row r="1247" spans="1:5" ht="15.75" customHeight="1" x14ac:dyDescent="0.25">
      <c r="A1247" s="6" t="s">
        <v>1246</v>
      </c>
      <c r="B1247" s="6" t="str">
        <f ca="1">IFERROR(__xludf.DUMMYFUNCTION("GOOGLETRANSLATE(A1247,""bn"",""en"")"),"The construction foreman oversees the progress of the building project")</f>
        <v>The construction foreman oversees the progress of the building project</v>
      </c>
      <c r="C1247" s="8" t="s">
        <v>13</v>
      </c>
      <c r="D1247" s="8" t="s">
        <v>14</v>
      </c>
      <c r="E1247" s="8">
        <v>1</v>
      </c>
    </row>
    <row r="1248" spans="1:5" ht="15.75" customHeight="1" x14ac:dyDescent="0.25">
      <c r="A1248" s="6" t="s">
        <v>1247</v>
      </c>
      <c r="B1248" s="6" t="str">
        <f ca="1">IFERROR(__xludf.DUMMYFUNCTION("GOOGLETRANSLATE(A1248,""bn"",""en"")"),"My cousins ​​make ordinary days extraordinary")</f>
        <v>My cousins ​​make ordinary days extraordinary</v>
      </c>
      <c r="C1248" s="8" t="s">
        <v>13</v>
      </c>
      <c r="D1248" s="8" t="s">
        <v>14</v>
      </c>
      <c r="E1248" s="8">
        <v>1</v>
      </c>
    </row>
    <row r="1249" spans="1:5" ht="15.75" customHeight="1" x14ac:dyDescent="0.25">
      <c r="A1249" s="6" t="s">
        <v>1248</v>
      </c>
      <c r="B1249" s="6" t="str">
        <f ca="1">IFERROR(__xludf.DUMMYFUNCTION("GOOGLETRANSLATE(A1249,""bn"",""en"")"),"Helping others in need fills me with compassion")</f>
        <v>Helping others in need fills me with compassion</v>
      </c>
      <c r="C1249" s="8" t="s">
        <v>13</v>
      </c>
      <c r="D1249" s="8" t="s">
        <v>14</v>
      </c>
      <c r="E1249" s="8">
        <v>1</v>
      </c>
    </row>
    <row r="1250" spans="1:5" ht="15.75" customHeight="1" x14ac:dyDescent="0.25">
      <c r="A1250" s="6" t="s">
        <v>1249</v>
      </c>
      <c r="B1250" s="6" t="str">
        <f ca="1">IFERROR(__xludf.DUMMYFUNCTION("GOOGLETRANSLATE(A1250,""bn"",""en"")"),"Prioritize self-care to maintain balance in life")</f>
        <v>Prioritize self-care to maintain balance in life</v>
      </c>
      <c r="C1250" s="8" t="s">
        <v>13</v>
      </c>
      <c r="D1250" s="8" t="s">
        <v>14</v>
      </c>
      <c r="E1250" s="8">
        <v>1</v>
      </c>
    </row>
    <row r="1251" spans="1:5" ht="15.75" customHeight="1" x14ac:dyDescent="0.25">
      <c r="A1251" s="6" t="s">
        <v>1250</v>
      </c>
      <c r="B1251" s="6" t="str">
        <f ca="1">IFERROR(__xludf.DUMMYFUNCTION("GOOGLETRANSLATE(A1251,""bn"",""en"")"),"The presumption of innocence is a fundamental principle in the criminal justice system")</f>
        <v>The presumption of innocence is a fundamental principle in the criminal justice system</v>
      </c>
      <c r="C1251" s="8" t="s">
        <v>13</v>
      </c>
      <c r="D1251" s="8" t="s">
        <v>14</v>
      </c>
      <c r="E1251" s="8">
        <v>1</v>
      </c>
    </row>
    <row r="1252" spans="1:5" ht="15.75" customHeight="1" x14ac:dyDescent="0.25">
      <c r="A1252" s="6" t="s">
        <v>1251</v>
      </c>
      <c r="B1252" s="6" t="str">
        <f ca="1">IFERROR(__xludf.DUMMYFUNCTION("GOOGLETRANSLATE(A1252,""bn"",""en"")"),"This time my car went to the other side")</f>
        <v>This time my car went to the other side</v>
      </c>
      <c r="C1252" s="7" t="s">
        <v>6</v>
      </c>
      <c r="D1252" s="7" t="s">
        <v>7</v>
      </c>
      <c r="E1252" s="7">
        <v>0</v>
      </c>
    </row>
    <row r="1253" spans="1:5" ht="15.75" customHeight="1" x14ac:dyDescent="0.25">
      <c r="A1253" s="6" t="s">
        <v>1252</v>
      </c>
      <c r="B1253" s="6" t="str">
        <f ca="1">IFERROR(__xludf.DUMMYFUNCTION("GOOGLETRANSLATE(A1253,""bn"",""en"")"),"Their ship was sailing with the unblinking speed of a star falling from the sky with the speed of an arrow")</f>
        <v>Their ship was sailing with the unblinking speed of a star falling from the sky with the speed of an arrow</v>
      </c>
      <c r="C1253" s="7" t="s">
        <v>6</v>
      </c>
      <c r="D1253" s="7" t="s">
        <v>7</v>
      </c>
      <c r="E1253" s="7">
        <v>0</v>
      </c>
    </row>
    <row r="1254" spans="1:5" ht="15.75" customHeight="1" x14ac:dyDescent="0.25">
      <c r="A1254" s="6" t="s">
        <v>1253</v>
      </c>
      <c r="B1254" s="6" t="str">
        <f ca="1">IFERROR(__xludf.DUMMYFUNCTION("GOOGLETRANSLATE(A1254,""bn"",""en"")"),"He was afraid to return home alone in the dark of night")</f>
        <v>He was afraid to return home alone in the dark of night</v>
      </c>
      <c r="C1254" s="7" t="s">
        <v>6</v>
      </c>
      <c r="D1254" s="7" t="s">
        <v>7</v>
      </c>
      <c r="E1254" s="7">
        <v>0</v>
      </c>
    </row>
    <row r="1255" spans="1:5" ht="15.75" customHeight="1" x14ac:dyDescent="0.25">
      <c r="A1255" s="6" t="s">
        <v>1254</v>
      </c>
      <c r="B1255" s="6" t="str">
        <f ca="1">IFERROR(__xludf.DUMMYFUNCTION("GOOGLETRANSLATE(A1255,""bn"",""en"")"),"On the morning after the wedding, he is not as fast as before")</f>
        <v>On the morning after the wedding, he is not as fast as before</v>
      </c>
      <c r="C1255" s="7" t="s">
        <v>6</v>
      </c>
      <c r="D1255" s="7" t="s">
        <v>7</v>
      </c>
      <c r="E1255" s="7">
        <v>0</v>
      </c>
    </row>
    <row r="1256" spans="1:5" ht="15.75" customHeight="1" x14ac:dyDescent="0.25">
      <c r="A1256" s="6" t="s">
        <v>1255</v>
      </c>
      <c r="B1256" s="6" t="str">
        <f ca="1">IFERROR(__xludf.DUMMYFUNCTION("GOOGLETRANSLATE(A1256,""bn"",""en"")"),"Sajib went there and traveled a lot")</f>
        <v>Sajib went there and traveled a lot</v>
      </c>
      <c r="C1256" s="7" t="s">
        <v>6</v>
      </c>
      <c r="D1256" s="7" t="s">
        <v>7</v>
      </c>
      <c r="E1256" s="7">
        <v>0</v>
      </c>
    </row>
    <row r="1257" spans="1:5" ht="15.75" customHeight="1" x14ac:dyDescent="0.25">
      <c r="A1257" s="6" t="s">
        <v>1256</v>
      </c>
      <c r="B1257" s="6" t="str">
        <f ca="1">IFERROR(__xludf.DUMMYFUNCTION("GOOGLETRANSLATE(A1257,""bn"",""en"")"),"Hairdressers style their client's hair for a special occasion")</f>
        <v>Hairdressers style their client's hair for a special occasion</v>
      </c>
      <c r="C1257" s="8" t="s">
        <v>13</v>
      </c>
      <c r="D1257" s="8" t="s">
        <v>14</v>
      </c>
      <c r="E1257" s="8">
        <v>1</v>
      </c>
    </row>
    <row r="1258" spans="1:5" ht="15.75" customHeight="1" x14ac:dyDescent="0.25">
      <c r="A1258" s="6" t="s">
        <v>1257</v>
      </c>
      <c r="B1258" s="6" t="str">
        <f ca="1">IFERROR(__xludf.DUMMYFUNCTION("GOOGLETRANSLATE(A1258,""bn"",""en"")"),"Comment your favorite food")</f>
        <v>Comment your favorite food</v>
      </c>
      <c r="C1258" s="8" t="s">
        <v>13</v>
      </c>
      <c r="D1258" s="8" t="s">
        <v>14</v>
      </c>
      <c r="E1258" s="8">
        <v>1</v>
      </c>
    </row>
    <row r="1259" spans="1:5" ht="15.75" customHeight="1" x14ac:dyDescent="0.25">
      <c r="A1259" s="6" t="s">
        <v>1258</v>
      </c>
      <c r="B1259" s="6" t="str">
        <f ca="1">IFERROR(__xludf.DUMMYFUNCTION("GOOGLETRANSLATE(A1259,""bn"",""en"")"),"Agribusiness encompasses all activities involved in the distribution of agricultural produce")</f>
        <v>Agribusiness encompasses all activities involved in the distribution of agricultural produce</v>
      </c>
      <c r="C1259" s="8" t="s">
        <v>13</v>
      </c>
      <c r="D1259" s="8" t="s">
        <v>14</v>
      </c>
      <c r="E1259" s="8">
        <v>1</v>
      </c>
    </row>
    <row r="1260" spans="1:5" ht="15.75" customHeight="1" x14ac:dyDescent="0.25">
      <c r="A1260" s="6" t="s">
        <v>1259</v>
      </c>
      <c r="B1260" s="6" t="str">
        <f ca="1">IFERROR(__xludf.DUMMYFUNCTION("GOOGLETRANSLATE(A1260,""bn"",""en"")"),"Sajib went there and traveled a lot")</f>
        <v>Sajib went there and traveled a lot</v>
      </c>
      <c r="C1260" s="8" t="s">
        <v>13</v>
      </c>
      <c r="D1260" s="8" t="s">
        <v>14</v>
      </c>
      <c r="E1260" s="8">
        <v>1</v>
      </c>
    </row>
    <row r="1261" spans="1:5" ht="15.75" customHeight="1" x14ac:dyDescent="0.25">
      <c r="A1261" s="6" t="s">
        <v>1260</v>
      </c>
      <c r="B1261" s="6" t="str">
        <f ca="1">IFERROR(__xludf.DUMMYFUNCTION("GOOGLETRANSLATE(A1261,""bn"",""en"")"),"You will take the decision which gives majority opinion")</f>
        <v>You will take the decision which gives majority opinion</v>
      </c>
      <c r="C1261" s="8" t="s">
        <v>13</v>
      </c>
      <c r="D1261" s="8" t="s">
        <v>14</v>
      </c>
      <c r="E1261" s="8">
        <v>1</v>
      </c>
    </row>
    <row r="1262" spans="1:5" ht="15.75" customHeight="1" x14ac:dyDescent="0.25">
      <c r="A1262" s="6" t="s">
        <v>1261</v>
      </c>
      <c r="B1262" s="6" t="str">
        <f ca="1">IFERROR(__xludf.DUMMYFUNCTION("GOOGLETRANSLATE(A1262,""bn"",""en"")"),"In such a big city, you can't find people to read a single letter")</f>
        <v>In such a big city, you can't find people to read a single letter</v>
      </c>
      <c r="C1262" s="7" t="s">
        <v>6</v>
      </c>
      <c r="D1262" s="7" t="s">
        <v>7</v>
      </c>
      <c r="E1262" s="7">
        <v>0</v>
      </c>
    </row>
    <row r="1263" spans="1:5" ht="15.75" customHeight="1" x14ac:dyDescent="0.25">
      <c r="A1263" s="6" t="s">
        <v>1262</v>
      </c>
      <c r="B1263" s="6" t="str">
        <f ca="1">IFERROR(__xludf.DUMMYFUNCTION("GOOGLETRANSLATE(A1263,""bn"",""en"")"),"If kept dry, this flower lasts for a long time")</f>
        <v>If kept dry, this flower lasts for a long time</v>
      </c>
      <c r="C1263" s="7" t="s">
        <v>6</v>
      </c>
      <c r="D1263" s="7" t="s">
        <v>7</v>
      </c>
      <c r="E1263" s="7">
        <v>0</v>
      </c>
    </row>
    <row r="1264" spans="1:5" ht="15.75" customHeight="1" x14ac:dyDescent="0.25">
      <c r="A1264" s="6" t="s">
        <v>1263</v>
      </c>
      <c r="B1264" s="6" t="str">
        <f ca="1">IFERROR(__xludf.DUMMYFUNCTION("GOOGLETRANSLATE(A1264,""bn"",""en"")"),"Our large family also faced difficulties in meeting their needs")</f>
        <v>Our large family also faced difficulties in meeting their needs</v>
      </c>
      <c r="C1264" s="7" t="s">
        <v>6</v>
      </c>
      <c r="D1264" s="7" t="s">
        <v>7</v>
      </c>
      <c r="E1264" s="7">
        <v>0</v>
      </c>
    </row>
    <row r="1265" spans="1:5" ht="15.75" customHeight="1" x14ac:dyDescent="0.25">
      <c r="A1265" s="6" t="s">
        <v>1264</v>
      </c>
      <c r="B1265" s="6" t="str">
        <f ca="1">IFERROR(__xludf.DUMMYFUNCTION("GOOGLETRANSLATE(A1265,""bn"",""en"")"),"If you sleep like that day and night, you will be the one who will fall ill in the end")</f>
        <v>If you sleep like that day and night, you will be the one who will fall ill in the end</v>
      </c>
      <c r="C1265" s="7" t="s">
        <v>6</v>
      </c>
      <c r="D1265" s="7" t="s">
        <v>7</v>
      </c>
      <c r="E1265" s="7">
        <v>0</v>
      </c>
    </row>
    <row r="1266" spans="1:5" ht="15.75" customHeight="1" x14ac:dyDescent="0.25">
      <c r="A1266" s="6" t="s">
        <v>1265</v>
      </c>
      <c r="B1266" s="6" t="str">
        <f ca="1">IFERROR(__xludf.DUMMYFUNCTION("GOOGLETRANSLATE(A1266,""bn"",""en"")"),"Balia herself said with a little smile, well, isn't it a little difficult to repeat the words with your mouth")</f>
        <v>Balia herself said with a little smile, well, isn't it a little difficult to repeat the words with your mouth</v>
      </c>
      <c r="C1266" s="7" t="s">
        <v>6</v>
      </c>
      <c r="D1266" s="7" t="s">
        <v>7</v>
      </c>
      <c r="E1266" s="7">
        <v>0</v>
      </c>
    </row>
    <row r="1267" spans="1:5" ht="15.75" customHeight="1" x14ac:dyDescent="0.25">
      <c r="A1267" s="6" t="s">
        <v>1266</v>
      </c>
      <c r="B1267" s="6" t="str">
        <f ca="1">IFERROR(__xludf.DUMMYFUNCTION("GOOGLETRANSLATE(A1267,""bn"",""en"")"),"A very nice breeze enters the house through the south balcony of the new house")</f>
        <v>A very nice breeze enters the house through the south balcony of the new house</v>
      </c>
      <c r="C1267" s="8" t="s">
        <v>13</v>
      </c>
      <c r="D1267" s="8" t="s">
        <v>14</v>
      </c>
      <c r="E1267" s="8">
        <v>1</v>
      </c>
    </row>
    <row r="1268" spans="1:5" ht="15.75" customHeight="1" x14ac:dyDescent="0.25">
      <c r="A1268" s="6" t="s">
        <v>1267</v>
      </c>
      <c r="B1268" s="6" t="str">
        <f ca="1">IFERROR(__xludf.DUMMYFUNCTION("GOOGLETRANSLATE(A1268,""bn"",""en"")"),"A gentle breeze rustled the leaves creating a soothing melody in the air")</f>
        <v>A gentle breeze rustled the leaves creating a soothing melody in the air</v>
      </c>
      <c r="C1268" s="8" t="s">
        <v>13</v>
      </c>
      <c r="D1268" s="8" t="s">
        <v>14</v>
      </c>
      <c r="E1268" s="8">
        <v>1</v>
      </c>
    </row>
    <row r="1269" spans="1:5" ht="15.75" customHeight="1" x14ac:dyDescent="0.25">
      <c r="A1269" s="6" t="s">
        <v>1268</v>
      </c>
      <c r="B1269" s="6" t="str">
        <f ca="1">IFERROR(__xludf.DUMMYFUNCTION("GOOGLETRANSLATE(A1269,""bn"",""en"")"),"This material gained unprecedented popularity")</f>
        <v>This material gained unprecedented popularity</v>
      </c>
      <c r="C1269" s="8" t="s">
        <v>13</v>
      </c>
      <c r="D1269" s="8" t="s">
        <v>14</v>
      </c>
      <c r="E1269" s="8">
        <v>1</v>
      </c>
    </row>
    <row r="1270" spans="1:5" ht="15.75" customHeight="1" x14ac:dyDescent="0.25">
      <c r="A1270" s="6" t="s">
        <v>1269</v>
      </c>
      <c r="B1270" s="6" t="str">
        <f ca="1">IFERROR(__xludf.DUMMYFUNCTION("GOOGLETRANSLATE(A1270,""bn"",""en"")"),"He helped the blind man")</f>
        <v>He helped the blind man</v>
      </c>
      <c r="C1270" s="8" t="s">
        <v>13</v>
      </c>
      <c r="D1270" s="8" t="s">
        <v>14</v>
      </c>
      <c r="E1270" s="8">
        <v>1</v>
      </c>
    </row>
    <row r="1271" spans="1:5" ht="15.75" customHeight="1" x14ac:dyDescent="0.25">
      <c r="A1271" s="6" t="s">
        <v>1270</v>
      </c>
      <c r="B1271" s="6" t="str">
        <f ca="1">IFERROR(__xludf.DUMMYFUNCTION("GOOGLETRANSLATE(A1271,""bn"",""en"")"),"Sumi played with us")</f>
        <v>Sumi played with us</v>
      </c>
      <c r="C1271" s="8" t="s">
        <v>13</v>
      </c>
      <c r="D1271" s="8" t="s">
        <v>14</v>
      </c>
      <c r="E1271" s="8">
        <v>1</v>
      </c>
    </row>
    <row r="1272" spans="1:5" ht="15.75" customHeight="1" x14ac:dyDescent="0.25">
      <c r="A1272" s="6" t="s">
        <v>1271</v>
      </c>
      <c r="B1272" s="6" t="str">
        <f ca="1">IFERROR(__xludf.DUMMYFUNCTION("GOOGLETRANSLATE(A1272,""bn"",""en"")"),"At one time this marriage was common all over the world")</f>
        <v>At one time this marriage was common all over the world</v>
      </c>
      <c r="C1272" s="7" t="s">
        <v>6</v>
      </c>
      <c r="D1272" s="7" t="s">
        <v>7</v>
      </c>
      <c r="E1272" s="7">
        <v>0</v>
      </c>
    </row>
    <row r="1273" spans="1:5" ht="15.75" customHeight="1" x14ac:dyDescent="0.25">
      <c r="A1273" s="6" t="s">
        <v>43</v>
      </c>
      <c r="B1273" s="6" t="str">
        <f ca="1">IFERROR(__xludf.DUMMYFUNCTION("GOOGLETRANSLATE(A1273,""bn"",""en"")"),"That night mother told me a story")</f>
        <v>That night mother told me a story</v>
      </c>
      <c r="C1273" s="7" t="s">
        <v>6</v>
      </c>
      <c r="D1273" s="7" t="s">
        <v>7</v>
      </c>
      <c r="E1273" s="7">
        <v>0</v>
      </c>
    </row>
    <row r="1274" spans="1:5" ht="15.75" customHeight="1" x14ac:dyDescent="0.25">
      <c r="A1274" s="6" t="s">
        <v>1272</v>
      </c>
      <c r="B1274" s="6" t="str">
        <f ca="1">IFERROR(__xludf.DUMMYFUNCTION("GOOGLETRANSLATE(A1274,""bn"",""en"")"),"Green is still not back from school")</f>
        <v>Green is still not back from school</v>
      </c>
      <c r="C1274" s="7" t="s">
        <v>6</v>
      </c>
      <c r="D1274" s="7" t="s">
        <v>7</v>
      </c>
      <c r="E1274" s="7">
        <v>0</v>
      </c>
    </row>
    <row r="1275" spans="1:5" ht="15.75" customHeight="1" x14ac:dyDescent="0.25">
      <c r="A1275" s="6" t="s">
        <v>1273</v>
      </c>
      <c r="B1275" s="6" t="str">
        <f ca="1">IFERROR(__xludf.DUMMYFUNCTION("GOOGLETRANSLATE(A1275,""bn"",""en"")"),"Behari snorted through his nose and blood flowed out")</f>
        <v>Behari snorted through his nose and blood flowed out</v>
      </c>
      <c r="C1275" s="7" t="s">
        <v>6</v>
      </c>
      <c r="D1275" s="7" t="s">
        <v>7</v>
      </c>
      <c r="E1275" s="7">
        <v>0</v>
      </c>
    </row>
    <row r="1276" spans="1:5" ht="15.75" customHeight="1" x14ac:dyDescent="0.25">
      <c r="A1276" s="6" t="s">
        <v>1274</v>
      </c>
      <c r="B1276" s="6" t="str">
        <f ca="1">IFERROR(__xludf.DUMMYFUNCTION("GOOGLETRANSLATE(A1276,""bn"",""en"")"),"After the break, they came near the college gate and saw their group of BA class students standing far away and arguing.")</f>
        <v>After the break, they came near the college gate and saw their group of BA class students standing far away and arguing.</v>
      </c>
      <c r="C1276" s="7" t="s">
        <v>6</v>
      </c>
      <c r="D1276" s="7" t="s">
        <v>7</v>
      </c>
      <c r="E1276" s="7">
        <v>0</v>
      </c>
    </row>
    <row r="1277" spans="1:5" ht="15.75" customHeight="1" x14ac:dyDescent="0.25">
      <c r="A1277" s="6" t="s">
        <v>1275</v>
      </c>
      <c r="B1277" s="6" t="str">
        <f ca="1">IFERROR(__xludf.DUMMYFUNCTION("GOOGLETRANSLATE(A1277,""bn"",""en"")"),"In the end they put me in danger")</f>
        <v>In the end they put me in danger</v>
      </c>
      <c r="C1277" s="8" t="s">
        <v>13</v>
      </c>
      <c r="D1277" s="8" t="s">
        <v>14</v>
      </c>
      <c r="E1277" s="8">
        <v>1</v>
      </c>
    </row>
    <row r="1278" spans="1:5" ht="15.75" customHeight="1" x14ac:dyDescent="0.25">
      <c r="A1278" s="6" t="s">
        <v>1276</v>
      </c>
      <c r="B1278" s="6" t="str">
        <f ca="1">IFERROR(__xludf.DUMMYFUNCTION("GOOGLETRANSLATE(A1278,""bn"",""en"")"),"Facing fear during an adventure can lead to personal success")</f>
        <v>Facing fear during an adventure can lead to personal success</v>
      </c>
      <c r="C1278" s="8" t="s">
        <v>13</v>
      </c>
      <c r="D1278" s="8" t="s">
        <v>14</v>
      </c>
      <c r="E1278" s="8">
        <v>1</v>
      </c>
    </row>
    <row r="1279" spans="1:5" ht="15.75" customHeight="1" x14ac:dyDescent="0.25">
      <c r="A1279" s="6" t="s">
        <v>1277</v>
      </c>
      <c r="B1279" s="6" t="str">
        <f ca="1">IFERROR(__xludf.DUMMYFUNCTION("GOOGLETRANSLATE(A1279,""bn"",""en"")"),"Newspapers face criticism for their perceived biased editorial stances")</f>
        <v>Newspapers face criticism for their perceived biased editorial stances</v>
      </c>
      <c r="C1279" s="8" t="s">
        <v>13</v>
      </c>
      <c r="D1279" s="8" t="s">
        <v>14</v>
      </c>
      <c r="E1279" s="8">
        <v>1</v>
      </c>
    </row>
    <row r="1280" spans="1:5" ht="15.75" customHeight="1" x14ac:dyDescent="0.25">
      <c r="A1280" s="6" t="s">
        <v>1278</v>
      </c>
      <c r="B1280" s="6" t="str">
        <f ca="1">IFERROR(__xludf.DUMMYFUNCTION("GOOGLETRANSLATE(A1280,""bn"",""en"")"),"Crop rotation is a common practice in agriculture to maintain soil fertility")</f>
        <v>Crop rotation is a common practice in agriculture to maintain soil fertility</v>
      </c>
      <c r="C1280" s="8" t="s">
        <v>13</v>
      </c>
      <c r="D1280" s="8" t="s">
        <v>14</v>
      </c>
      <c r="E1280" s="8">
        <v>1</v>
      </c>
    </row>
    <row r="1281" spans="1:5" ht="15.75" customHeight="1" x14ac:dyDescent="0.25">
      <c r="A1281" s="6" t="s">
        <v>1279</v>
      </c>
      <c r="B1281" s="6" t="str">
        <f ca="1">IFERROR(__xludf.DUMMYFUNCTION("GOOGLETRANSLATE(A1281,""bn"",""en"")"),"He will teach us for one year")</f>
        <v>He will teach us for one year</v>
      </c>
      <c r="C1281" s="8" t="s">
        <v>13</v>
      </c>
      <c r="D1281" s="8" t="s">
        <v>14</v>
      </c>
      <c r="E1281" s="8">
        <v>1</v>
      </c>
    </row>
    <row r="1282" spans="1:5" ht="15.75" customHeight="1" x14ac:dyDescent="0.25">
      <c r="A1282" s="6" t="s">
        <v>1280</v>
      </c>
      <c r="B1282" s="6" t="str">
        <f ca="1">IFERROR(__xludf.DUMMYFUNCTION("GOOGLETRANSLATE(A1282,""bn"",""en"")"),"Diwakar slowly went out to get ready")</f>
        <v>Diwakar slowly went out to get ready</v>
      </c>
      <c r="C1282" s="7" t="s">
        <v>6</v>
      </c>
      <c r="D1282" s="7" t="s">
        <v>7</v>
      </c>
      <c r="E1282" s="7">
        <v>0</v>
      </c>
    </row>
    <row r="1283" spans="1:5" ht="15.75" customHeight="1" x14ac:dyDescent="0.25">
      <c r="A1283" s="6" t="s">
        <v>1281</v>
      </c>
      <c r="B1283" s="6" t="str">
        <f ca="1">IFERROR(__xludf.DUMMYFUNCTION("GOOGLETRANSLATE(A1283,""bn"",""en"")"),"I thought that wild birds may never have been seen by humans")</f>
        <v>I thought that wild birds may never have been seen by humans</v>
      </c>
      <c r="C1283" s="7" t="s">
        <v>6</v>
      </c>
      <c r="D1283" s="7" t="s">
        <v>7</v>
      </c>
      <c r="E1283" s="7">
        <v>0</v>
      </c>
    </row>
    <row r="1284" spans="1:5" ht="15.75" customHeight="1" x14ac:dyDescent="0.25">
      <c r="A1284" s="6" t="s">
        <v>1282</v>
      </c>
      <c r="B1284" s="6" t="str">
        <f ca="1">IFERROR(__xludf.DUMMYFUNCTION("GOOGLETRANSLATE(A1284,""bn"",""en"")"),"I used to play cricket with you")</f>
        <v>I used to play cricket with you</v>
      </c>
      <c r="C1284" s="7" t="s">
        <v>6</v>
      </c>
      <c r="D1284" s="7" t="s">
        <v>7</v>
      </c>
      <c r="E1284" s="7">
        <v>0</v>
      </c>
    </row>
    <row r="1285" spans="1:5" ht="15.75" customHeight="1" x14ac:dyDescent="0.25">
      <c r="A1285" s="6" t="s">
        <v>1283</v>
      </c>
      <c r="B1285" s="6" t="str">
        <f ca="1">IFERROR(__xludf.DUMMYFUNCTION("GOOGLETRANSLATE(A1285,""bn"",""en"")"),"The lamp began to flicker, and at one point, rain water began to pour through the dilapidated roof of the house, on top of an earthen slat.")</f>
        <v>The lamp began to flicker, and at one point, rain water began to pour through the dilapidated roof of the house, on top of an earthen slat.</v>
      </c>
      <c r="C1285" s="7" t="s">
        <v>6</v>
      </c>
      <c r="D1285" s="7" t="s">
        <v>7</v>
      </c>
      <c r="E1285" s="7">
        <v>0</v>
      </c>
    </row>
    <row r="1286" spans="1:5" ht="15.75" customHeight="1" x14ac:dyDescent="0.25">
      <c r="A1286" s="6" t="s">
        <v>1284</v>
      </c>
      <c r="B1286" s="6" t="str">
        <f ca="1">IFERROR(__xludf.DUMMYFUNCTION("GOOGLETRANSLATE(A1286,""bn"",""en"")"),"He saw a wonderful beauty through the window of the train")</f>
        <v>He saw a wonderful beauty through the window of the train</v>
      </c>
      <c r="C1286" s="7" t="s">
        <v>6</v>
      </c>
      <c r="D1286" s="7" t="s">
        <v>7</v>
      </c>
      <c r="E1286" s="7">
        <v>0</v>
      </c>
    </row>
    <row r="1287" spans="1:5" ht="15.75" customHeight="1" x14ac:dyDescent="0.25">
      <c r="A1287" s="6" t="s">
        <v>1285</v>
      </c>
      <c r="B1287" s="6" t="str">
        <f ca="1">IFERROR(__xludf.DUMMYFUNCTION("GOOGLETRANSLATE(A1287,""bn"",""en"")"),"I found the customer service unhelpful unresponsive")</f>
        <v>I found the customer service unhelpful unresponsive</v>
      </c>
      <c r="C1287" s="8" t="s">
        <v>13</v>
      </c>
      <c r="D1287" s="8" t="s">
        <v>14</v>
      </c>
      <c r="E1287" s="8">
        <v>1</v>
      </c>
    </row>
    <row r="1288" spans="1:5" ht="15.75" customHeight="1" x14ac:dyDescent="0.25">
      <c r="A1288" s="6" t="s">
        <v>1286</v>
      </c>
      <c r="B1288" s="6" t="str">
        <f ca="1">IFERROR(__xludf.DUMMYFUNCTION("GOOGLETRANSLATE(A1288,""bn"",""en"")"),"His poems are well received in the West")</f>
        <v>His poems are well received in the West</v>
      </c>
      <c r="C1288" s="8" t="s">
        <v>13</v>
      </c>
      <c r="D1288" s="8" t="s">
        <v>14</v>
      </c>
      <c r="E1288" s="8">
        <v>1</v>
      </c>
    </row>
    <row r="1289" spans="1:5" ht="15.75" customHeight="1" x14ac:dyDescent="0.25">
      <c r="A1289" s="6" t="s">
        <v>1287</v>
      </c>
      <c r="B1289" s="6" t="str">
        <f ca="1">IFERROR(__xludf.DUMMYFUNCTION("GOOGLETRANSLATE(A1289,""bn"",""en"")"),"They won the league during the season")</f>
        <v>They won the league during the season</v>
      </c>
      <c r="C1289" s="8" t="s">
        <v>13</v>
      </c>
      <c r="D1289" s="8" t="s">
        <v>14</v>
      </c>
      <c r="E1289" s="8">
        <v>1</v>
      </c>
    </row>
    <row r="1290" spans="1:5" ht="15.75" customHeight="1" x14ac:dyDescent="0.25">
      <c r="A1290" s="6" t="s">
        <v>1288</v>
      </c>
      <c r="B1290" s="6" t="str">
        <f ca="1">IFERROR(__xludf.DUMMYFUNCTION("GOOGLETRANSLATE(A1290,""bn"",""en"")"),"Jainism promotes ahimsa satya non property as a fundamental principle")</f>
        <v>Jainism promotes ahimsa satya non property as a fundamental principle</v>
      </c>
      <c r="C1290" s="8" t="s">
        <v>13</v>
      </c>
      <c r="D1290" s="8" t="s">
        <v>14</v>
      </c>
      <c r="E1290" s="8">
        <v>1</v>
      </c>
    </row>
    <row r="1291" spans="1:5" ht="15.75" customHeight="1" x14ac:dyDescent="0.25">
      <c r="A1291" s="6" t="s">
        <v>1289</v>
      </c>
      <c r="B1291" s="6" t="str">
        <f ca="1">IFERROR(__xludf.DUMMYFUNCTION("GOOGLETRANSLATE(A1291,""bn"",""en"")"),"Suphal asked me to eat rice")</f>
        <v>Suphal asked me to eat rice</v>
      </c>
      <c r="C1291" s="8" t="s">
        <v>13</v>
      </c>
      <c r="D1291" s="8" t="s">
        <v>14</v>
      </c>
      <c r="E1291" s="8">
        <v>1</v>
      </c>
    </row>
    <row r="1292" spans="1:5" ht="15.75" customHeight="1" x14ac:dyDescent="0.25">
      <c r="A1292" s="6" t="s">
        <v>1290</v>
      </c>
      <c r="B1292" s="6" t="str">
        <f ca="1">IFERROR(__xludf.DUMMYFUNCTION("GOOGLETRANSLATE(A1292,""bn"",""en"")"),"Rahim asked Sujan to go and read")</f>
        <v>Rahim asked Sujan to go and read</v>
      </c>
      <c r="C1292" s="7" t="s">
        <v>6</v>
      </c>
      <c r="D1292" s="7" t="s">
        <v>7</v>
      </c>
      <c r="E1292" s="7">
        <v>0</v>
      </c>
    </row>
    <row r="1293" spans="1:5" ht="15.75" customHeight="1" x14ac:dyDescent="0.25">
      <c r="A1293" s="6" t="s">
        <v>1291</v>
      </c>
      <c r="B1293" s="6" t="str">
        <f ca="1">IFERROR(__xludf.DUMMYFUNCTION("GOOGLETRANSLATE(A1293,""bn"",""en"")"),"In the past, it was not found in anyone's bowl")</f>
        <v>In the past, it was not found in anyone's bowl</v>
      </c>
      <c r="C1293" s="7" t="s">
        <v>6</v>
      </c>
      <c r="D1293" s="7" t="s">
        <v>7</v>
      </c>
      <c r="E1293" s="7">
        <v>0</v>
      </c>
    </row>
    <row r="1294" spans="1:5" ht="15.75" customHeight="1" x14ac:dyDescent="0.25">
      <c r="A1294" s="6" t="s">
        <v>1292</v>
      </c>
      <c r="B1294" s="6" t="str">
        <f ca="1">IFERROR(__xludf.DUMMYFUNCTION("GOOGLETRANSLATE(A1294,""bn"",""en"")"),"It was dark when I finally found the house.")</f>
        <v>It was dark when I finally found the house.</v>
      </c>
      <c r="C1294" s="7" t="s">
        <v>6</v>
      </c>
      <c r="D1294" s="7" t="s">
        <v>7</v>
      </c>
      <c r="E1294" s="7">
        <v>0</v>
      </c>
    </row>
    <row r="1295" spans="1:5" ht="15.75" customHeight="1" x14ac:dyDescent="0.25">
      <c r="A1295" s="6" t="s">
        <v>1293</v>
      </c>
      <c r="B1295" s="6" t="str">
        <f ca="1">IFERROR(__xludf.DUMMYFUNCTION("GOOGLETRANSLATE(A1295,""bn"",""en"")"),"Sumi played with us")</f>
        <v>Sumi played with us</v>
      </c>
      <c r="C1295" s="7" t="s">
        <v>6</v>
      </c>
      <c r="D1295" s="7" t="s">
        <v>7</v>
      </c>
      <c r="E1295" s="7">
        <v>0</v>
      </c>
    </row>
    <row r="1296" spans="1:5" ht="15.75" customHeight="1" x14ac:dyDescent="0.25">
      <c r="A1296" s="6" t="s">
        <v>1294</v>
      </c>
      <c r="B1296" s="6" t="str">
        <f ca="1">IFERROR(__xludf.DUMMYFUNCTION("GOOGLETRANSLATE(A1296,""bn"",""en"")"),"I have spoken to Rahim")</f>
        <v>I have spoken to Rahim</v>
      </c>
      <c r="C1296" s="7" t="s">
        <v>6</v>
      </c>
      <c r="D1296" s="7" t="s">
        <v>7</v>
      </c>
      <c r="E1296" s="7">
        <v>0</v>
      </c>
    </row>
    <row r="1297" spans="1:5" ht="15.75" customHeight="1" x14ac:dyDescent="0.25">
      <c r="A1297" s="6" t="s">
        <v>1295</v>
      </c>
      <c r="B1297" s="6" t="str">
        <f ca="1">IFERROR(__xludf.DUMMYFUNCTION("GOOGLETRANSLATE(A1297,""bn"",""en"")"),"I currently want to focus on improving my career")</f>
        <v>I currently want to focus on improving my career</v>
      </c>
      <c r="C1297" s="8" t="s">
        <v>13</v>
      </c>
      <c r="D1297" s="8" t="s">
        <v>14</v>
      </c>
      <c r="E1297" s="8">
        <v>1</v>
      </c>
    </row>
    <row r="1298" spans="1:5" ht="15.75" customHeight="1" x14ac:dyDescent="0.25">
      <c r="A1298" s="6" t="s">
        <v>1296</v>
      </c>
      <c r="B1298" s="6" t="str">
        <f ca="1">IFERROR(__xludf.DUMMYFUNCTION("GOOGLETRANSLATE(A1298,""bn"",""en"")"),"Newspapers were delivered to all of them")</f>
        <v>Newspapers were delivered to all of them</v>
      </c>
      <c r="C1298" s="8" t="s">
        <v>13</v>
      </c>
      <c r="D1298" s="8" t="s">
        <v>14</v>
      </c>
      <c r="E1298" s="8">
        <v>1</v>
      </c>
    </row>
    <row r="1299" spans="1:5" ht="15.75" customHeight="1" x14ac:dyDescent="0.25">
      <c r="A1299" s="6" t="s">
        <v>1297</v>
      </c>
      <c r="B1299" s="6" t="str">
        <f ca="1">IFERROR(__xludf.DUMMYFUNCTION("GOOGLETRANSLATE(A1299,""bn"",""en"")"),"He couldn't tell me the right answer.")</f>
        <v>He couldn't tell me the right answer.</v>
      </c>
      <c r="C1299" s="8" t="s">
        <v>13</v>
      </c>
      <c r="D1299" s="8" t="s">
        <v>14</v>
      </c>
      <c r="E1299" s="8">
        <v>1</v>
      </c>
    </row>
    <row r="1300" spans="1:5" ht="15.75" customHeight="1" x14ac:dyDescent="0.25">
      <c r="A1300" s="6" t="s">
        <v>1298</v>
      </c>
      <c r="B1300" s="6" t="str">
        <f ca="1">IFERROR(__xludf.DUMMYFUNCTION("GOOGLETRANSLATE(A1300,""bn"",""en"")"),"He did not perform well in the exam")</f>
        <v>He did not perform well in the exam</v>
      </c>
      <c r="C1300" s="8" t="s">
        <v>13</v>
      </c>
      <c r="D1300" s="8" t="s">
        <v>14</v>
      </c>
      <c r="E1300" s="8">
        <v>1</v>
      </c>
    </row>
    <row r="1301" spans="1:5" ht="15.75" customHeight="1" x14ac:dyDescent="0.25">
      <c r="A1301" s="6" t="s">
        <v>1299</v>
      </c>
      <c r="B1301" s="6" t="str">
        <f ca="1">IFERROR(__xludf.DUMMYFUNCTION("GOOGLETRANSLATE(A1301,""bn"",""en"")"),"Horseback riding is an enjoyable pursuit")</f>
        <v>Horseback riding is an enjoyable pursuit</v>
      </c>
      <c r="C1301" s="8" t="s">
        <v>13</v>
      </c>
      <c r="D1301" s="8" t="s">
        <v>14</v>
      </c>
      <c r="E1301" s="8">
        <v>1</v>
      </c>
    </row>
    <row r="1302" spans="1:5" ht="15.75" customHeight="1" x14ac:dyDescent="0.25">
      <c r="A1302" s="6" t="s">
        <v>1300</v>
      </c>
      <c r="B1302" s="6" t="str">
        <f ca="1">IFERROR(__xludf.DUMMYFUNCTION("GOOGLETRANSLATE(A1302,""bn"",""en"")"),"The moneylender only gives food to the slave")</f>
        <v>The moneylender only gives food to the slave</v>
      </c>
      <c r="C1302" s="7" t="s">
        <v>6</v>
      </c>
      <c r="D1302" s="7" t="s">
        <v>7</v>
      </c>
      <c r="E1302" s="7">
        <v>0</v>
      </c>
    </row>
    <row r="1303" spans="1:5" ht="15.75" customHeight="1" x14ac:dyDescent="0.25">
      <c r="A1303" s="6" t="s">
        <v>1301</v>
      </c>
      <c r="B1303" s="6" t="str">
        <f ca="1">IFERROR(__xludf.DUMMYFUNCTION("GOOGLETRANSLATE(A1303,""bn"",""en"")"),"He had escaped from Calcutta and was living anonymously")</f>
        <v>He had escaped from Calcutta and was living anonymously</v>
      </c>
      <c r="C1303" s="7" t="s">
        <v>6</v>
      </c>
      <c r="D1303" s="7" t="s">
        <v>7</v>
      </c>
      <c r="E1303" s="7">
        <v>0</v>
      </c>
    </row>
    <row r="1304" spans="1:5" ht="15.75" customHeight="1" x14ac:dyDescent="0.25">
      <c r="A1304" s="6" t="s">
        <v>1302</v>
      </c>
      <c r="B1304" s="6" t="str">
        <f ca="1">IFERROR(__xludf.DUMMYFUNCTION("GOOGLETRANSLATE(A1304,""bn"",""en"")"),"You don't have to walk half a mile to reach the village")</f>
        <v>You don't have to walk half a mile to reach the village</v>
      </c>
      <c r="C1304" s="7" t="s">
        <v>6</v>
      </c>
      <c r="D1304" s="7" t="s">
        <v>7</v>
      </c>
      <c r="E1304" s="7">
        <v>0</v>
      </c>
    </row>
    <row r="1305" spans="1:5" ht="15.75" customHeight="1" x14ac:dyDescent="0.25">
      <c r="A1305" s="6" t="s">
        <v>1303</v>
      </c>
      <c r="B1305" s="6" t="str">
        <f ca="1">IFERROR(__xludf.DUMMYFUNCTION("GOOGLETRANSLATE(A1305,""bn"",""en"")"),"Govardhan had heard the matter first and foremost")</f>
        <v>Govardhan had heard the matter first and foremost</v>
      </c>
      <c r="C1305" s="7" t="s">
        <v>6</v>
      </c>
      <c r="D1305" s="7" t="s">
        <v>7</v>
      </c>
      <c r="E1305" s="7">
        <v>0</v>
      </c>
    </row>
    <row r="1306" spans="1:5" ht="15.75" customHeight="1" x14ac:dyDescent="0.25">
      <c r="A1306" s="6" t="s">
        <v>1304</v>
      </c>
      <c r="B1306" s="6" t="str">
        <f ca="1">IFERROR(__xludf.DUMMYFUNCTION("GOOGLETRANSLATE(A1306,""bn"",""en"")"),"Roni doesn't trust that Tuhin will come")</f>
        <v>Roni doesn't trust that Tuhin will come</v>
      </c>
      <c r="C1306" s="7" t="s">
        <v>6</v>
      </c>
      <c r="D1306" s="7" t="s">
        <v>7</v>
      </c>
      <c r="E1306" s="7">
        <v>0</v>
      </c>
    </row>
    <row r="1307" spans="1:5" ht="15.75" customHeight="1" x14ac:dyDescent="0.25">
      <c r="A1307" s="6" t="s">
        <v>1305</v>
      </c>
      <c r="B1307" s="6" t="str">
        <f ca="1">IFERROR(__xludf.DUMMYFUNCTION("GOOGLETRANSLATE(A1307,""bn"",""en"")"),"I am trying to do this correctly")</f>
        <v>I am trying to do this correctly</v>
      </c>
      <c r="C1307" s="8" t="s">
        <v>13</v>
      </c>
      <c r="D1307" s="8" t="s">
        <v>14</v>
      </c>
      <c r="E1307" s="8">
        <v>1</v>
      </c>
    </row>
    <row r="1308" spans="1:5" ht="15.75" customHeight="1" x14ac:dyDescent="0.25">
      <c r="A1308" s="6" t="s">
        <v>1306</v>
      </c>
      <c r="B1308" s="6" t="str">
        <f ca="1">IFERROR(__xludf.DUMMYFUNCTION("GOOGLETRANSLATE(A1308,""bn"",""en"")"),"After death Hercules marries Diana")</f>
        <v>After death Hercules marries Diana</v>
      </c>
      <c r="C1308" s="8" t="s">
        <v>13</v>
      </c>
      <c r="D1308" s="8" t="s">
        <v>14</v>
      </c>
      <c r="E1308" s="8">
        <v>1</v>
      </c>
    </row>
    <row r="1309" spans="1:5" ht="15.75" customHeight="1" x14ac:dyDescent="0.25">
      <c r="A1309" s="6" t="s">
        <v>1307</v>
      </c>
      <c r="B1309" s="6" t="str">
        <f ca="1">IFERROR(__xludf.DUMMYFUNCTION("GOOGLETRANSLATE(A1309,""bn"",""en"")"),"Shamsuddin liked me very much")</f>
        <v>Shamsuddin liked me very much</v>
      </c>
      <c r="C1309" s="8" t="s">
        <v>13</v>
      </c>
      <c r="D1309" s="8" t="s">
        <v>14</v>
      </c>
      <c r="E1309" s="8">
        <v>1</v>
      </c>
    </row>
    <row r="1310" spans="1:5" ht="15.75" customHeight="1" x14ac:dyDescent="0.25">
      <c r="A1310" s="6" t="s">
        <v>1308</v>
      </c>
      <c r="B1310" s="6" t="str">
        <f ca="1">IFERROR(__xludf.DUMMYFUNCTION("GOOGLETRANSLATE(A1310,""bn"",""en"")"),"Come to listen to good music")</f>
        <v>Come to listen to good music</v>
      </c>
      <c r="C1310" s="8" t="s">
        <v>13</v>
      </c>
      <c r="D1310" s="8" t="s">
        <v>14</v>
      </c>
      <c r="E1310" s="8">
        <v>1</v>
      </c>
    </row>
    <row r="1311" spans="1:5" ht="15.75" customHeight="1" x14ac:dyDescent="0.25">
      <c r="A1311" s="6" t="s">
        <v>1309</v>
      </c>
      <c r="B1311" s="6" t="str">
        <f ca="1">IFERROR(__xludf.DUMMYFUNCTION("GOOGLETRANSLATE(A1311,""bn"",""en"")"),"Vaishnavas consider this fact to be true")</f>
        <v>Vaishnavas consider this fact to be true</v>
      </c>
      <c r="C1311" s="8" t="s">
        <v>13</v>
      </c>
      <c r="D1311" s="8" t="s">
        <v>14</v>
      </c>
      <c r="E1311" s="8">
        <v>1</v>
      </c>
    </row>
    <row r="1312" spans="1:5" ht="15.75" customHeight="1" x14ac:dyDescent="0.25">
      <c r="A1312" s="6" t="s">
        <v>1310</v>
      </c>
      <c r="B1312" s="6" t="str">
        <f ca="1">IFERROR(__xludf.DUMMYFUNCTION("GOOGLETRANSLATE(A1312,""bn"",""en"")"),"I myself was personally present at one such event")</f>
        <v>I myself was personally present at one such event</v>
      </c>
      <c r="C1312" s="7" t="s">
        <v>6</v>
      </c>
      <c r="D1312" s="7" t="s">
        <v>7</v>
      </c>
      <c r="E1312" s="7">
        <v>0</v>
      </c>
    </row>
    <row r="1313" spans="1:5" ht="15.75" customHeight="1" x14ac:dyDescent="0.25">
      <c r="A1313" s="6" t="s">
        <v>1311</v>
      </c>
      <c r="B1313" s="6" t="str">
        <f ca="1">IFERROR(__xludf.DUMMYFUNCTION("GOOGLETRANSLATE(A1313,""bn"",""en"")"),"I don't have Suman")</f>
        <v>I don't have Suman</v>
      </c>
      <c r="C1313" s="7" t="s">
        <v>6</v>
      </c>
      <c r="D1313" s="7" t="s">
        <v>7</v>
      </c>
      <c r="E1313" s="7">
        <v>0</v>
      </c>
    </row>
    <row r="1314" spans="1:5" ht="15.75" customHeight="1" x14ac:dyDescent="0.25">
      <c r="A1314" s="6" t="s">
        <v>1312</v>
      </c>
      <c r="B1314" s="6" t="str">
        <f ca="1">IFERROR(__xludf.DUMMYFUNCTION("GOOGLETRANSLATE(A1314,""bn"",""en"")"),"I did not rescue him")</f>
        <v>I did not rescue him</v>
      </c>
      <c r="C1314" s="7" t="s">
        <v>6</v>
      </c>
      <c r="D1314" s="7" t="s">
        <v>7</v>
      </c>
      <c r="E1314" s="7">
        <v>0</v>
      </c>
    </row>
    <row r="1315" spans="1:5" ht="15.75" customHeight="1" x14ac:dyDescent="0.25">
      <c r="A1315" s="6" t="s">
        <v>1313</v>
      </c>
      <c r="B1315" s="6" t="str">
        <f ca="1">IFERROR(__xludf.DUMMYFUNCTION("GOOGLETRANSLATE(A1315,""bn"",""en"")"),"I was surprised that I had forty rupees in my hand")</f>
        <v>I was surprised that I had forty rupees in my hand</v>
      </c>
      <c r="C1315" s="7" t="s">
        <v>6</v>
      </c>
      <c r="D1315" s="7" t="s">
        <v>7</v>
      </c>
      <c r="E1315" s="7">
        <v>0</v>
      </c>
    </row>
    <row r="1316" spans="1:5" ht="15.75" customHeight="1" x14ac:dyDescent="0.25">
      <c r="A1316" s="6" t="s">
        <v>1314</v>
      </c>
      <c r="B1316" s="6" t="str">
        <f ca="1">IFERROR(__xludf.DUMMYFUNCTION("GOOGLETRANSLATE(A1316,""bn"",""en"")"),"A smart boy talks less and does more")</f>
        <v>A smart boy talks less and does more</v>
      </c>
      <c r="C1316" s="7" t="s">
        <v>6</v>
      </c>
      <c r="D1316" s="7" t="s">
        <v>7</v>
      </c>
      <c r="E1316" s="7">
        <v>0</v>
      </c>
    </row>
    <row r="1317" spans="1:5" ht="15.75" customHeight="1" x14ac:dyDescent="0.25">
      <c r="A1317" s="6" t="s">
        <v>1315</v>
      </c>
      <c r="B1317" s="6" t="str">
        <f ca="1">IFERROR(__xludf.DUMMYFUNCTION("GOOGLETRANSLATE(A1317,""bn"",""en"")"),"Shakib saw me and asked me to play")</f>
        <v>Shakib saw me and asked me to play</v>
      </c>
      <c r="C1317" s="8" t="s">
        <v>13</v>
      </c>
      <c r="D1317" s="8" t="s">
        <v>14</v>
      </c>
      <c r="E1317" s="8">
        <v>1</v>
      </c>
    </row>
    <row r="1318" spans="1:5" ht="15.75" customHeight="1" x14ac:dyDescent="0.25">
      <c r="A1318" s="6" t="s">
        <v>1316</v>
      </c>
      <c r="B1318" s="6" t="str">
        <f ca="1">IFERROR(__xludf.DUMMYFUNCTION("GOOGLETRANSLATE(A1318,""bn"",""en"")"),"Bates, the owner of this motel, is a psychopathic murderer")</f>
        <v>Bates, the owner of this motel, is a psychopathic murderer</v>
      </c>
      <c r="C1318" s="8" t="s">
        <v>13</v>
      </c>
      <c r="D1318" s="8" t="s">
        <v>14</v>
      </c>
      <c r="E1318" s="8">
        <v>1</v>
      </c>
    </row>
    <row r="1319" spans="1:5" ht="15.75" customHeight="1" x14ac:dyDescent="0.25">
      <c r="A1319" s="6" t="s">
        <v>1317</v>
      </c>
      <c r="B1319" s="6" t="str">
        <f ca="1">IFERROR(__xludf.DUMMYFUNCTION("GOOGLETRANSLATE(A1319,""bn"",""en"")"),"Bees buzz among flowers to collect nectar to take back to their hives")</f>
        <v>Bees buzz among flowers to collect nectar to take back to their hives</v>
      </c>
      <c r="C1319" s="8" t="s">
        <v>13</v>
      </c>
      <c r="D1319" s="8" t="s">
        <v>14</v>
      </c>
      <c r="E1319" s="8">
        <v>1</v>
      </c>
    </row>
    <row r="1320" spans="1:5" ht="15.75" customHeight="1" x14ac:dyDescent="0.25">
      <c r="A1320" s="6" t="s">
        <v>1318</v>
      </c>
      <c r="B1320" s="6" t="str">
        <f ca="1">IFERROR(__xludf.DUMMYFUNCTION("GOOGLETRANSLATE(A1320,""bn"",""en"")"),"Educational funding resource allocation affects educational opportunities")</f>
        <v>Educational funding resource allocation affects educational opportunities</v>
      </c>
      <c r="C1320" s="8" t="s">
        <v>13</v>
      </c>
      <c r="D1320" s="8" t="s">
        <v>14</v>
      </c>
      <c r="E1320" s="8">
        <v>1</v>
      </c>
    </row>
    <row r="1321" spans="1:5" ht="15.75" customHeight="1" x14ac:dyDescent="0.25">
      <c r="A1321" s="6" t="s">
        <v>1319</v>
      </c>
      <c r="B1321" s="6" t="str">
        <f ca="1">IFERROR(__xludf.DUMMYFUNCTION("GOOGLETRANSLATE(A1321,""bn"",""en"")"),"He himself participated in this war")</f>
        <v>He himself participated in this war</v>
      </c>
      <c r="C1321" s="8" t="s">
        <v>13</v>
      </c>
      <c r="D1321" s="8" t="s">
        <v>14</v>
      </c>
      <c r="E1321" s="8">
        <v>1</v>
      </c>
    </row>
    <row r="1322" spans="1:5" ht="15.75" customHeight="1" x14ac:dyDescent="0.25">
      <c r="A1322" s="6" t="s">
        <v>1320</v>
      </c>
      <c r="B1322" s="6" t="str">
        <f ca="1">IFERROR(__xludf.DUMMYFUNCTION("GOOGLETRANSLATE(A1322,""bn"",""en"")"),"Let's talk about all that anger now")</f>
        <v>Let's talk about all that anger now</v>
      </c>
      <c r="C1322" s="7" t="s">
        <v>6</v>
      </c>
      <c r="D1322" s="7" t="s">
        <v>7</v>
      </c>
      <c r="E1322" s="7">
        <v>0</v>
      </c>
    </row>
    <row r="1323" spans="1:5" ht="15.75" customHeight="1" x14ac:dyDescent="0.25">
      <c r="A1323" s="6" t="s">
        <v>1321</v>
      </c>
      <c r="B1323" s="6" t="str">
        <f ca="1">IFERROR(__xludf.DUMMYFUNCTION("GOOGLETRANSLATE(A1323,""bn"",""en"")"),"Defeated Asuras, leaving the Aryas in a good place, you went to the inaccessible mountains and set up your abodes.")</f>
        <v>Defeated Asuras, leaving the Aryas in a good place, you went to the inaccessible mountains and set up your abodes.</v>
      </c>
      <c r="C1323" s="7" t="s">
        <v>6</v>
      </c>
      <c r="D1323" s="7" t="s">
        <v>7</v>
      </c>
      <c r="E1323" s="7">
        <v>0</v>
      </c>
    </row>
    <row r="1324" spans="1:5" ht="15.75" customHeight="1" x14ac:dyDescent="0.25">
      <c r="A1324" s="6" t="s">
        <v>1322</v>
      </c>
      <c r="B1324" s="6" t="str">
        <f ca="1">IFERROR(__xludf.DUMMYFUNCTION("GOOGLETRANSLATE(A1324,""bn"",""en"")"),"People cannot and should not be completely silent")</f>
        <v>People cannot and should not be completely silent</v>
      </c>
      <c r="C1324" s="7" t="s">
        <v>6</v>
      </c>
      <c r="D1324" s="7" t="s">
        <v>7</v>
      </c>
      <c r="E1324" s="7">
        <v>0</v>
      </c>
    </row>
    <row r="1325" spans="1:5" ht="15.75" customHeight="1" x14ac:dyDescent="0.25">
      <c r="A1325" s="6" t="s">
        <v>1323</v>
      </c>
      <c r="B1325" s="6" t="str">
        <f ca="1">IFERROR(__xludf.DUMMYFUNCTION("GOOGLETRANSLATE(A1325,""bn"",""en"")"),"Behari briefly said I don't know and left")</f>
        <v>Behari briefly said I don't know and left</v>
      </c>
      <c r="C1325" s="7" t="s">
        <v>6</v>
      </c>
      <c r="D1325" s="7" t="s">
        <v>7</v>
      </c>
      <c r="E1325" s="7">
        <v>0</v>
      </c>
    </row>
    <row r="1326" spans="1:5" ht="15.75" customHeight="1" x14ac:dyDescent="0.25">
      <c r="A1326" s="6" t="s">
        <v>1324</v>
      </c>
      <c r="B1326" s="6" t="str">
        <f ca="1">IFERROR(__xludf.DUMMYFUNCTION("GOOGLETRANSLATE(A1326,""bn"",""en"")"),"have you eaten")</f>
        <v>have you eaten</v>
      </c>
      <c r="C1326" s="7" t="s">
        <v>6</v>
      </c>
      <c r="D1326" s="7" t="s">
        <v>7</v>
      </c>
      <c r="E1326" s="7">
        <v>0</v>
      </c>
    </row>
    <row r="1327" spans="1:5" ht="15.75" customHeight="1" x14ac:dyDescent="0.25">
      <c r="A1327" s="6" t="s">
        <v>1325</v>
      </c>
      <c r="B1327" s="6" t="str">
        <f ca="1">IFERROR(__xludf.DUMMYFUNCTION("GOOGLETRANSLATE(A1327,""bn"",""en"")"),"Apart from this, Satyakar's devotion is eternal")</f>
        <v>Apart from this, Satyakar's devotion is eternal</v>
      </c>
      <c r="C1327" s="8" t="s">
        <v>13</v>
      </c>
      <c r="D1327" s="8" t="s">
        <v>14</v>
      </c>
      <c r="E1327" s="8">
        <v>1</v>
      </c>
    </row>
    <row r="1328" spans="1:5" ht="15.75" customHeight="1" x14ac:dyDescent="0.25">
      <c r="A1328" s="6" t="s">
        <v>1326</v>
      </c>
      <c r="B1328" s="6" t="str">
        <f ca="1">IFERROR(__xludf.DUMMYFUNCTION("GOOGLETRANSLATE(A1328,""bn"",""en"")"),"A gentle breeze was blowing all around")</f>
        <v>A gentle breeze was blowing all around</v>
      </c>
      <c r="C1328" s="8" t="s">
        <v>13</v>
      </c>
      <c r="D1328" s="8" t="s">
        <v>14</v>
      </c>
      <c r="E1328" s="8">
        <v>1</v>
      </c>
    </row>
    <row r="1329" spans="1:5" ht="15.75" customHeight="1" x14ac:dyDescent="0.25">
      <c r="A1329" s="6" t="s">
        <v>1327</v>
      </c>
      <c r="B1329" s="6" t="str">
        <f ca="1">IFERROR(__xludf.DUMMYFUNCTION("GOOGLETRANSLATE(A1329,""bn"",""en"")"),"The following days began to go as my mother had said")</f>
        <v>The following days began to go as my mother had said</v>
      </c>
      <c r="C1329" s="8" t="s">
        <v>13</v>
      </c>
      <c r="D1329" s="8" t="s">
        <v>14</v>
      </c>
      <c r="E1329" s="8">
        <v>1</v>
      </c>
    </row>
    <row r="1330" spans="1:5" ht="15.75" customHeight="1" x14ac:dyDescent="0.25">
      <c r="A1330" s="6" t="s">
        <v>1328</v>
      </c>
      <c r="B1330" s="6" t="str">
        <f ca="1">IFERROR(__xludf.DUMMYFUNCTION("GOOGLETRANSLATE(A1330,""bn"",""en"")"),"Always prioritize form over speed")</f>
        <v>Always prioritize form over speed</v>
      </c>
      <c r="C1330" s="8" t="s">
        <v>13</v>
      </c>
      <c r="D1330" s="8" t="s">
        <v>14</v>
      </c>
      <c r="E1330" s="8">
        <v>1</v>
      </c>
    </row>
    <row r="1331" spans="1:5" ht="15.75" customHeight="1" x14ac:dyDescent="0.25">
      <c r="A1331" s="6" t="s">
        <v>1329</v>
      </c>
      <c r="B1331" s="6" t="str">
        <f ca="1">IFERROR(__xludf.DUMMYFUNCTION("GOOGLETRANSLATE(A1331,""bn"",""en"")"),"Standing in front of a closed gate makes no sense")</f>
        <v>Standing in front of a closed gate makes no sense</v>
      </c>
      <c r="C1331" s="8" t="s">
        <v>13</v>
      </c>
      <c r="D1331" s="8" t="s">
        <v>14</v>
      </c>
      <c r="E1331" s="8">
        <v>1</v>
      </c>
    </row>
    <row r="1332" spans="1:5" ht="15.75" customHeight="1" x14ac:dyDescent="0.25">
      <c r="A1332" s="6" t="s">
        <v>1330</v>
      </c>
      <c r="B1332" s="6" t="str">
        <f ca="1">IFERROR(__xludf.DUMMYFUNCTION("GOOGLETRANSLATE(A1332,""bn"",""en"")"),"Apu has not returned from the field yet")</f>
        <v>Apu has not returned from the field yet</v>
      </c>
      <c r="C1332" s="7" t="s">
        <v>6</v>
      </c>
      <c r="D1332" s="7" t="s">
        <v>7</v>
      </c>
      <c r="E1332" s="7">
        <v>0</v>
      </c>
    </row>
    <row r="1333" spans="1:5" ht="15.75" customHeight="1" x14ac:dyDescent="0.25">
      <c r="A1333" s="6" t="s">
        <v>1331</v>
      </c>
      <c r="B1333" s="6" t="str">
        <f ca="1">IFERROR(__xludf.DUMMYFUNCTION("GOOGLETRANSLATE(A1333,""bn"",""en"")"),"Between the fists of the two hands, the huge Kharis snake is completely dried up")</f>
        <v>Between the fists of the two hands, the huge Kharis snake is completely dried up</v>
      </c>
      <c r="C1333" s="7" t="s">
        <v>6</v>
      </c>
      <c r="D1333" s="7" t="s">
        <v>7</v>
      </c>
      <c r="E1333" s="7">
        <v>0</v>
      </c>
    </row>
    <row r="1334" spans="1:5" ht="15.75" customHeight="1" x14ac:dyDescent="0.25">
      <c r="A1334" s="6" t="s">
        <v>1332</v>
      </c>
      <c r="B1334" s="6" t="str">
        <f ca="1">IFERROR(__xludf.DUMMYFUNCTION("GOOGLETRANSLATE(A1334,""bn"",""en"")"),"If you want to read my writings, you will have to tolerate such delusions from time to time")</f>
        <v>If you want to read my writings, you will have to tolerate such delusions from time to time</v>
      </c>
      <c r="C1334" s="7" t="s">
        <v>6</v>
      </c>
      <c r="D1334" s="7" t="s">
        <v>7</v>
      </c>
      <c r="E1334" s="7">
        <v>0</v>
      </c>
    </row>
    <row r="1335" spans="1:5" ht="15.75" customHeight="1" x14ac:dyDescent="0.25">
      <c r="A1335" s="6" t="s">
        <v>1333</v>
      </c>
      <c r="B1335" s="6" t="str">
        <f ca="1">IFERROR(__xludf.DUMMYFUNCTION("GOOGLETRANSLATE(A1335,""bn"",""en"")"),"Why is it the habit of sitting on mother's lap?")</f>
        <v>Why is it the habit of sitting on mother's lap?</v>
      </c>
      <c r="C1335" s="7" t="s">
        <v>6</v>
      </c>
      <c r="D1335" s="7" t="s">
        <v>7</v>
      </c>
      <c r="E1335" s="7">
        <v>0</v>
      </c>
    </row>
    <row r="1336" spans="1:5" ht="15.75" customHeight="1" x14ac:dyDescent="0.25">
      <c r="A1336" s="6" t="s">
        <v>1334</v>
      </c>
      <c r="B1336" s="6" t="str">
        <f ca="1">IFERROR(__xludf.DUMMYFUNCTION("GOOGLETRANSLATE(A1336,""bn"",""en"")"),"Now, if Jamini Kariraj dies, the matter can go down in the womb of history")</f>
        <v>Now, if Jamini Kariraj dies, the matter can go down in the womb of history</v>
      </c>
      <c r="C1336" s="7" t="s">
        <v>6</v>
      </c>
      <c r="D1336" s="7" t="s">
        <v>7</v>
      </c>
      <c r="E1336" s="7">
        <v>0</v>
      </c>
    </row>
    <row r="1337" spans="1:5" ht="15.75" customHeight="1" x14ac:dyDescent="0.25">
      <c r="A1337" s="6" t="s">
        <v>1335</v>
      </c>
      <c r="B1337" s="6" t="str">
        <f ca="1">IFERROR(__xludf.DUMMYFUNCTION("GOOGLETRANSLATE(A1337,""bn"",""en"")"),"Event coordinator handles logistics for a charity fundraiser")</f>
        <v>Event coordinator handles logistics for a charity fundraiser</v>
      </c>
      <c r="C1337" s="8" t="s">
        <v>13</v>
      </c>
      <c r="D1337" s="8" t="s">
        <v>14</v>
      </c>
      <c r="E1337" s="8">
        <v>1</v>
      </c>
    </row>
    <row r="1338" spans="1:5" ht="15.75" customHeight="1" x14ac:dyDescent="0.25">
      <c r="A1338" s="6" t="s">
        <v>1336</v>
      </c>
      <c r="B1338" s="6" t="str">
        <f ca="1">IFERROR(__xludf.DUMMYFUNCTION("GOOGLETRANSLATE(A1338,""bn"",""en"")"),"It breaks my heart to see someone I care about in pain")</f>
        <v>It breaks my heart to see someone I care about in pain</v>
      </c>
      <c r="C1338" s="8" t="s">
        <v>13</v>
      </c>
      <c r="D1338" s="8" t="s">
        <v>14</v>
      </c>
      <c r="E1338" s="8">
        <v>1</v>
      </c>
    </row>
    <row r="1339" spans="1:5" ht="15.75" customHeight="1" x14ac:dyDescent="0.25">
      <c r="A1339" s="6" t="s">
        <v>1337</v>
      </c>
      <c r="B1339" s="6" t="str">
        <f ca="1">IFERROR(__xludf.DUMMYFUNCTION("GOOGLETRANSLATE(A1339,""bn"",""en"")"),"His favorite subject there was mathematics")</f>
        <v>His favorite subject there was mathematics</v>
      </c>
      <c r="C1339" s="8" t="s">
        <v>13</v>
      </c>
      <c r="D1339" s="8" t="s">
        <v>14</v>
      </c>
      <c r="E1339" s="8">
        <v>1</v>
      </c>
    </row>
    <row r="1340" spans="1:5" ht="15.75" customHeight="1" x14ac:dyDescent="0.25">
      <c r="A1340" s="6" t="s">
        <v>1338</v>
      </c>
      <c r="B1340" s="6" t="str">
        <f ca="1">IFERROR(__xludf.DUMMYFUNCTION("GOOGLETRANSLATE(A1340,""bn"",""en"")"),"This time he did not bring an umbrella by mistake")</f>
        <v>This time he did not bring an umbrella by mistake</v>
      </c>
      <c r="C1340" s="8" t="s">
        <v>13</v>
      </c>
      <c r="D1340" s="8" t="s">
        <v>14</v>
      </c>
      <c r="E1340" s="8">
        <v>1</v>
      </c>
    </row>
    <row r="1341" spans="1:5" ht="15.75" customHeight="1" x14ac:dyDescent="0.25">
      <c r="A1341" s="6" t="s">
        <v>1339</v>
      </c>
      <c r="B1341" s="6" t="str">
        <f ca="1">IFERROR(__xludf.DUMMYFUNCTION("GOOGLETRANSLATE(A1341,""bn"",""en"")"),"Note that at Lord's too, the team won by chasing the highest number of runs")</f>
        <v>Note that at Lord's too, the team won by chasing the highest number of runs</v>
      </c>
      <c r="C1341" s="8" t="s">
        <v>13</v>
      </c>
      <c r="D1341" s="8" t="s">
        <v>14</v>
      </c>
      <c r="E1341" s="8">
        <v>1</v>
      </c>
    </row>
    <row r="1342" spans="1:5" ht="15.75" customHeight="1" x14ac:dyDescent="0.25">
      <c r="A1342" s="6" t="s">
        <v>1340</v>
      </c>
      <c r="B1342" s="6" t="str">
        <f ca="1">IFERROR(__xludf.DUMMYFUNCTION("GOOGLETRANSLATE(A1342,""bn"",""en"")"),"Today Sujan Tanu has gone to travel")</f>
        <v>Today Sujan Tanu has gone to travel</v>
      </c>
      <c r="C1342" s="7" t="s">
        <v>6</v>
      </c>
      <c r="D1342" s="7" t="s">
        <v>7</v>
      </c>
      <c r="E1342" s="7">
        <v>0</v>
      </c>
    </row>
    <row r="1343" spans="1:5" ht="15.75" customHeight="1" x14ac:dyDescent="0.25">
      <c r="A1343" s="6" t="s">
        <v>1341</v>
      </c>
      <c r="B1343" s="6" t="str">
        <f ca="1">IFERROR(__xludf.DUMMYFUNCTION("GOOGLETRANSLATE(A1343,""bn"",""en"")"),"They will go to fetch water even if they say there is water, they will throw water and go fetch water")</f>
        <v>They will go to fetch water even if they say there is water, they will throw water and go fetch water</v>
      </c>
      <c r="C1343" s="7" t="s">
        <v>6</v>
      </c>
      <c r="D1343" s="7" t="s">
        <v>7</v>
      </c>
      <c r="E1343" s="7">
        <v>0</v>
      </c>
    </row>
    <row r="1344" spans="1:5" ht="15.75" customHeight="1" x14ac:dyDescent="0.25">
      <c r="A1344" s="6" t="s">
        <v>1342</v>
      </c>
      <c r="B1344" s="6" t="str">
        <f ca="1">IFERROR(__xludf.DUMMYFUNCTION("GOOGLETRANSLATE(A1344,""bn"",""en"")"),"Where do you leave home to go?")</f>
        <v>Where do you leave home to go?</v>
      </c>
      <c r="C1344" s="7" t="s">
        <v>6</v>
      </c>
      <c r="D1344" s="7" t="s">
        <v>7</v>
      </c>
      <c r="E1344" s="7">
        <v>0</v>
      </c>
    </row>
    <row r="1345" spans="1:5" ht="15.75" customHeight="1" x14ac:dyDescent="0.25">
      <c r="A1345" s="6" t="s">
        <v>1343</v>
      </c>
      <c r="B1345" s="6" t="str">
        <f ca="1">IFERROR(__xludf.DUMMYFUNCTION("GOOGLETRANSLATE(A1345,""bn"",""en"")"),"A boil on the forehead has developed, and all other observations have been correct")</f>
        <v>A boil on the forehead has developed, and all other observations have been correct</v>
      </c>
      <c r="C1345" s="7" t="s">
        <v>6</v>
      </c>
      <c r="D1345" s="7" t="s">
        <v>7</v>
      </c>
      <c r="E1345" s="7">
        <v>0</v>
      </c>
    </row>
    <row r="1346" spans="1:5" ht="15.75" customHeight="1" x14ac:dyDescent="0.25">
      <c r="A1346" s="6" t="s">
        <v>1344</v>
      </c>
      <c r="B1346" s="6" t="str">
        <f ca="1">IFERROR(__xludf.DUMMYFUNCTION("GOOGLETRANSLATE(A1346,""bn"",""en"")"),"The bride came and leaned down and said slowly that mother is sleeping")</f>
        <v>The bride came and leaned down and said slowly that mother is sleeping</v>
      </c>
      <c r="C1346" s="7" t="s">
        <v>6</v>
      </c>
      <c r="D1346" s="7" t="s">
        <v>7</v>
      </c>
      <c r="E1346" s="7">
        <v>0</v>
      </c>
    </row>
    <row r="1347" spans="1:5" ht="15.75" customHeight="1" x14ac:dyDescent="0.25">
      <c r="A1347" s="6" t="s">
        <v>1345</v>
      </c>
      <c r="B1347" s="6" t="str">
        <f ca="1">IFERROR(__xludf.DUMMYFUNCTION("GOOGLETRANSLATE(A1347,""bn"",""en"")"),"Experiencing rejection from a loved one causes heartache")</f>
        <v>Experiencing rejection from a loved one causes heartache</v>
      </c>
      <c r="C1347" s="8" t="s">
        <v>13</v>
      </c>
      <c r="D1347" s="8" t="s">
        <v>14</v>
      </c>
      <c r="E1347" s="8">
        <v>1</v>
      </c>
    </row>
    <row r="1348" spans="1:5" ht="15.75" customHeight="1" x14ac:dyDescent="0.25">
      <c r="A1348" s="6" t="s">
        <v>1346</v>
      </c>
      <c r="B1348" s="6" t="str">
        <f ca="1">IFERROR(__xludf.DUMMYFUNCTION("GOOGLETRANSLATE(A1348,""bn"",""en"")"),"He died before that")</f>
        <v>He died before that</v>
      </c>
      <c r="C1348" s="8" t="s">
        <v>13</v>
      </c>
      <c r="D1348" s="8" t="s">
        <v>14</v>
      </c>
      <c r="E1348" s="8">
        <v>1</v>
      </c>
    </row>
    <row r="1349" spans="1:5" ht="15.75" customHeight="1" x14ac:dyDescent="0.25">
      <c r="A1349" s="6" t="s">
        <v>1347</v>
      </c>
      <c r="B1349" s="6" t="str">
        <f ca="1">IFERROR(__xludf.DUMMYFUNCTION("GOOGLETRANSLATE(A1349,""bn"",""en"")"),"Osteoporosis weakens bones making them prone to fracture")</f>
        <v>Osteoporosis weakens bones making them prone to fracture</v>
      </c>
      <c r="C1349" s="8" t="s">
        <v>13</v>
      </c>
      <c r="D1349" s="8" t="s">
        <v>14</v>
      </c>
      <c r="E1349" s="8">
        <v>1</v>
      </c>
    </row>
    <row r="1350" spans="1:5" ht="15.75" customHeight="1" x14ac:dyDescent="0.25">
      <c r="A1350" s="6" t="s">
        <v>1348</v>
      </c>
      <c r="B1350" s="6" t="str">
        <f ca="1">IFERROR(__xludf.DUMMYFUNCTION("GOOGLETRANSLATE(A1350,""bn"",""en"")"),"Retirement planning should start early to ensure a comfortable future")</f>
        <v>Retirement planning should start early to ensure a comfortable future</v>
      </c>
      <c r="C1350" s="8" t="s">
        <v>13</v>
      </c>
      <c r="D1350" s="8" t="s">
        <v>14</v>
      </c>
      <c r="E1350" s="8">
        <v>1</v>
      </c>
    </row>
    <row r="1351" spans="1:5" ht="15.75" customHeight="1" x14ac:dyDescent="0.25">
      <c r="A1351" s="6" t="s">
        <v>1349</v>
      </c>
      <c r="B1351" s="6" t="str">
        <f ca="1">IFERROR(__xludf.DUMMYFUNCTION("GOOGLETRANSLATE(A1351,""bn"",""en"")"),"The rabbi did not return from the madrasa")</f>
        <v>The rabbi did not return from the madrasa</v>
      </c>
      <c r="C1351" s="8" t="s">
        <v>13</v>
      </c>
      <c r="D1351" s="8" t="s">
        <v>14</v>
      </c>
      <c r="E1351" s="8">
        <v>1</v>
      </c>
    </row>
    <row r="1352" spans="1:5" ht="15.75" customHeight="1" x14ac:dyDescent="0.25">
      <c r="A1352" s="6" t="s">
        <v>1350</v>
      </c>
      <c r="B1352" s="6" t="str">
        <f ca="1">IFERROR(__xludf.DUMMYFUNCTION("GOOGLETRANSLATE(A1352,""bn"",""en"")"),"However, at this age, a little extra eagerness for affection is born in the mind")</f>
        <v>However, at this age, a little extra eagerness for affection is born in the mind</v>
      </c>
      <c r="C1352" s="7" t="s">
        <v>6</v>
      </c>
      <c r="D1352" s="7" t="s">
        <v>7</v>
      </c>
      <c r="E1352" s="7">
        <v>0</v>
      </c>
    </row>
    <row r="1353" spans="1:5" ht="15.75" customHeight="1" x14ac:dyDescent="0.25">
      <c r="A1353" s="6" t="s">
        <v>1351</v>
      </c>
      <c r="B1353" s="6" t="str">
        <f ca="1">IFERROR(__xludf.DUMMYFUNCTION("GOOGLETRANSLATE(A1353,""bn"",""en"")"),"Some are lonely here and there like widows")</f>
        <v>Some are lonely here and there like widows</v>
      </c>
      <c r="C1353" s="7" t="s">
        <v>6</v>
      </c>
      <c r="D1353" s="7" t="s">
        <v>7</v>
      </c>
      <c r="E1353" s="7">
        <v>0</v>
      </c>
    </row>
    <row r="1354" spans="1:5" ht="15.75" customHeight="1" x14ac:dyDescent="0.25">
      <c r="A1354" s="6" t="s">
        <v>945</v>
      </c>
      <c r="B1354" s="6" t="str">
        <f ca="1">IFERROR(__xludf.DUMMYFUNCTION("GOOGLETRANSLATE(A1354,""bn"",""en"")"),"A terrible quarrel")</f>
        <v>A terrible quarrel</v>
      </c>
      <c r="C1354" s="7" t="s">
        <v>6</v>
      </c>
      <c r="D1354" s="7" t="s">
        <v>7</v>
      </c>
      <c r="E1354" s="7">
        <v>0</v>
      </c>
    </row>
    <row r="1355" spans="1:5" ht="15.75" customHeight="1" x14ac:dyDescent="0.25">
      <c r="A1355" s="6" t="s">
        <v>1352</v>
      </c>
      <c r="B1355" s="6" t="str">
        <f ca="1">IFERROR(__xludf.DUMMYFUNCTION("GOOGLETRANSLATE(A1355,""bn"",""en"")"),"Aghormoyi said after standing still for a while, I will call Jhi once")</f>
        <v>Aghormoyi said after standing still for a while, I will call Jhi once</v>
      </c>
      <c r="C1355" s="7" t="s">
        <v>6</v>
      </c>
      <c r="D1355" s="7" t="s">
        <v>7</v>
      </c>
      <c r="E1355" s="7">
        <v>0</v>
      </c>
    </row>
    <row r="1356" spans="1:5" ht="15.75" customHeight="1" x14ac:dyDescent="0.25">
      <c r="A1356" s="6" t="s">
        <v>1353</v>
      </c>
      <c r="B1356" s="6" t="str">
        <f ca="1">IFERROR(__xludf.DUMMYFUNCTION("GOOGLETRANSLATE(A1356,""bn"",""en"")"),"Every year in the middle of the month of Magh Rahmat goes to the country")</f>
        <v>Every year in the middle of the month of Magh Rahmat goes to the country</v>
      </c>
      <c r="C1356" s="7" t="s">
        <v>6</v>
      </c>
      <c r="D1356" s="7" t="s">
        <v>7</v>
      </c>
      <c r="E1356" s="7">
        <v>0</v>
      </c>
    </row>
    <row r="1357" spans="1:5" ht="15.75" customHeight="1" x14ac:dyDescent="0.25">
      <c r="A1357" s="6" t="s">
        <v>1354</v>
      </c>
      <c r="B1357" s="6" t="str">
        <f ca="1">IFERROR(__xludf.DUMMYFUNCTION("GOOGLETRANSLATE(A1357,""bn"",""en"")"),"will you go for a walk with me")</f>
        <v>will you go for a walk with me</v>
      </c>
      <c r="C1357" s="8" t="s">
        <v>13</v>
      </c>
      <c r="D1357" s="8" t="s">
        <v>14</v>
      </c>
      <c r="E1357" s="8">
        <v>1</v>
      </c>
    </row>
    <row r="1358" spans="1:5" ht="15.75" customHeight="1" x14ac:dyDescent="0.25">
      <c r="A1358" s="6" t="s">
        <v>1355</v>
      </c>
      <c r="B1358" s="6" t="str">
        <f ca="1">IFERROR(__xludf.DUMMYFUNCTION("GOOGLETRANSLATE(A1358,""bn"",""en"")"),"Overall I was pretty disappointed with my experience")</f>
        <v>Overall I was pretty disappointed with my experience</v>
      </c>
      <c r="C1358" s="8" t="s">
        <v>13</v>
      </c>
      <c r="D1358" s="8" t="s">
        <v>14</v>
      </c>
      <c r="E1358" s="8">
        <v>1</v>
      </c>
    </row>
    <row r="1359" spans="1:5" ht="15.75" customHeight="1" x14ac:dyDescent="0.25">
      <c r="A1359" s="6" t="s">
        <v>1356</v>
      </c>
      <c r="B1359" s="6" t="str">
        <f ca="1">IFERROR(__xludf.DUMMYFUNCTION("GOOGLETRANSLATE(A1359,""bn"",""en"")"),"Retweet for a shout out")</f>
        <v>Retweet for a shout out</v>
      </c>
      <c r="C1359" s="8" t="s">
        <v>13</v>
      </c>
      <c r="D1359" s="8" t="s">
        <v>14</v>
      </c>
      <c r="E1359" s="8">
        <v>1</v>
      </c>
    </row>
    <row r="1360" spans="1:5" ht="15.75" customHeight="1" x14ac:dyDescent="0.25">
      <c r="A1360" s="6" t="s">
        <v>1357</v>
      </c>
      <c r="B1360" s="6" t="str">
        <f ca="1">IFERROR(__xludf.DUMMYFUNCTION("GOOGLETRANSLATE(A1360,""bn"",""en"")"),"Rafiq is calling me to play")</f>
        <v>Rafiq is calling me to play</v>
      </c>
      <c r="C1360" s="8" t="s">
        <v>13</v>
      </c>
      <c r="D1360" s="8" t="s">
        <v>14</v>
      </c>
      <c r="E1360" s="8">
        <v>1</v>
      </c>
    </row>
    <row r="1361" spans="1:5" ht="15.75" customHeight="1" x14ac:dyDescent="0.25">
      <c r="A1361" s="6" t="s">
        <v>1358</v>
      </c>
      <c r="B1361" s="6" t="str">
        <f ca="1">IFERROR(__xludf.DUMMYFUNCTION("GOOGLETRANSLATE(A1361,""bn"",""en"")"),"Press conferences are a common way for government officials to communicate with the media")</f>
        <v>Press conferences are a common way for government officials to communicate with the media</v>
      </c>
      <c r="C1361" s="8" t="s">
        <v>13</v>
      </c>
      <c r="D1361" s="8" t="s">
        <v>14</v>
      </c>
      <c r="E1361" s="8">
        <v>1</v>
      </c>
    </row>
    <row r="1362" spans="1:5" ht="15.75" customHeight="1" x14ac:dyDescent="0.25">
      <c r="A1362" s="6" t="s">
        <v>1359</v>
      </c>
      <c r="B1362" s="6" t="str">
        <f ca="1">IFERROR(__xludf.DUMMYFUNCTION("GOOGLETRANSLATE(A1362,""bn"",""en"")"),"The train left before he arrived")</f>
        <v>The train left before he arrived</v>
      </c>
      <c r="C1362" s="7" t="s">
        <v>6</v>
      </c>
      <c r="D1362" s="7" t="s">
        <v>7</v>
      </c>
      <c r="E1362" s="7">
        <v>0</v>
      </c>
    </row>
    <row r="1363" spans="1:5" ht="15.75" customHeight="1" x14ac:dyDescent="0.25">
      <c r="A1363" s="6" t="s">
        <v>1360</v>
      </c>
      <c r="B1363" s="6" t="str">
        <f ca="1">IFERROR(__xludf.DUMMYFUNCTION("GOOGLETRANSLATE(A1363,""bn"",""en"")"),"Baliai turned her face and started to smile")</f>
        <v>Baliai turned her face and started to smile</v>
      </c>
      <c r="C1363" s="7" t="s">
        <v>6</v>
      </c>
      <c r="D1363" s="7" t="s">
        <v>7</v>
      </c>
      <c r="E1363" s="7">
        <v>0</v>
      </c>
    </row>
    <row r="1364" spans="1:5" ht="15.75" customHeight="1" x14ac:dyDescent="0.25">
      <c r="A1364" s="6" t="s">
        <v>1361</v>
      </c>
      <c r="B1364" s="6" t="str">
        <f ca="1">IFERROR(__xludf.DUMMYFUNCTION("GOOGLETRANSLATE(A1364,""bn"",""en"")"),"I saw him and called him to me")</f>
        <v>I saw him and called him to me</v>
      </c>
      <c r="C1364" s="7" t="s">
        <v>6</v>
      </c>
      <c r="D1364" s="7" t="s">
        <v>7</v>
      </c>
      <c r="E1364" s="7">
        <v>0</v>
      </c>
    </row>
    <row r="1365" spans="1:5" ht="15.75" customHeight="1" x14ac:dyDescent="0.25">
      <c r="A1365" s="6" t="s">
        <v>1362</v>
      </c>
      <c r="B1365" s="6" t="str">
        <f ca="1">IFERROR(__xludf.DUMMYFUNCTION("GOOGLETRANSLATE(A1365,""bn"",""en"")"),"I stood and the young man left")</f>
        <v>I stood and the young man left</v>
      </c>
      <c r="C1365" s="7" t="s">
        <v>6</v>
      </c>
      <c r="D1365" s="7" t="s">
        <v>7</v>
      </c>
      <c r="E1365" s="7">
        <v>0</v>
      </c>
    </row>
    <row r="1366" spans="1:5" ht="15.75" customHeight="1" x14ac:dyDescent="0.25">
      <c r="A1366" s="6" t="s">
        <v>1363</v>
      </c>
      <c r="B1366" s="6" t="str">
        <f ca="1">IFERROR(__xludf.DUMMYFUNCTION("GOOGLETRANSLATE(A1366,""bn"",""en"")"),"The river was very small at that time, there was little water and everyone was crossing on foot")</f>
        <v>The river was very small at that time, there was little water and everyone was crossing on foot</v>
      </c>
      <c r="C1366" s="7" t="s">
        <v>6</v>
      </c>
      <c r="D1366" s="7" t="s">
        <v>7</v>
      </c>
      <c r="E1366" s="7">
        <v>0</v>
      </c>
    </row>
    <row r="1367" spans="1:5" ht="15.75" customHeight="1" x14ac:dyDescent="0.25">
      <c r="A1367" s="6" t="s">
        <v>1364</v>
      </c>
      <c r="B1367" s="6" t="str">
        <f ca="1">IFERROR(__xludf.DUMMYFUNCTION("GOOGLETRANSLATE(A1367,""bn"",""en"")"),"They have become very active in local politics")</f>
        <v>They have become very active in local politics</v>
      </c>
      <c r="C1367" s="8" t="s">
        <v>13</v>
      </c>
      <c r="D1367" s="8" t="s">
        <v>14</v>
      </c>
      <c r="E1367" s="8">
        <v>1</v>
      </c>
    </row>
    <row r="1368" spans="1:5" ht="15.75" customHeight="1" x14ac:dyDescent="0.25">
      <c r="A1368" s="6" t="s">
        <v>1365</v>
      </c>
      <c r="B1368" s="6" t="str">
        <f ca="1">IFERROR(__xludf.DUMMYFUNCTION("GOOGLETRANSLATE(A1368,""bn"",""en"")"),"Salman won the Microsoft Tech Award")</f>
        <v>Salman won the Microsoft Tech Award</v>
      </c>
      <c r="C1368" s="8" t="s">
        <v>13</v>
      </c>
      <c r="D1368" s="8" t="s">
        <v>14</v>
      </c>
      <c r="E1368" s="8">
        <v>1</v>
      </c>
    </row>
    <row r="1369" spans="1:5" ht="15.75" customHeight="1" x14ac:dyDescent="0.25">
      <c r="A1369" s="6" t="s">
        <v>1366</v>
      </c>
      <c r="B1369" s="6" t="str">
        <f ca="1">IFERROR(__xludf.DUMMYFUNCTION("GOOGLETRANSLATE(A1369,""bn"",""en"")"),"Later the popularity of this poem increased in East Bengal and North Bengal as well")</f>
        <v>Later the popularity of this poem increased in East Bengal and North Bengal as well</v>
      </c>
      <c r="C1369" s="8" t="s">
        <v>13</v>
      </c>
      <c r="D1369" s="8" t="s">
        <v>14</v>
      </c>
      <c r="E1369" s="8">
        <v>1</v>
      </c>
    </row>
    <row r="1370" spans="1:5" ht="15.75" customHeight="1" x14ac:dyDescent="0.25">
      <c r="A1370" s="6" t="s">
        <v>1367</v>
      </c>
      <c r="B1370" s="6" t="str">
        <f ca="1">IFERROR(__xludf.DUMMYFUNCTION("GOOGLETRANSLATE(A1370,""bn"",""en"")"),"Identity theft is a common form of cybercrime that can have serious consequences")</f>
        <v>Identity theft is a common form of cybercrime that can have serious consequences</v>
      </c>
      <c r="C1370" s="8" t="s">
        <v>13</v>
      </c>
      <c r="D1370" s="8" t="s">
        <v>14</v>
      </c>
      <c r="E1370" s="8">
        <v>1</v>
      </c>
    </row>
    <row r="1371" spans="1:5" ht="15.75" customHeight="1" x14ac:dyDescent="0.25">
      <c r="A1371" s="6" t="s">
        <v>1368</v>
      </c>
      <c r="B1371" s="6" t="str">
        <f ca="1">IFERROR(__xludf.DUMMYFUNCTION("GOOGLETRANSLATE(A1371,""bn"",""en"")"),"Don't call me")</f>
        <v>Don't call me</v>
      </c>
      <c r="C1371" s="8" t="s">
        <v>13</v>
      </c>
      <c r="D1371" s="8" t="s">
        <v>14</v>
      </c>
      <c r="E1371" s="8">
        <v>1</v>
      </c>
    </row>
    <row r="1372" spans="1:5" ht="15.75" customHeight="1" x14ac:dyDescent="0.25">
      <c r="A1372" s="6" t="s">
        <v>1369</v>
      </c>
      <c r="B1372" s="6" t="str">
        <f ca="1">IFERROR(__xludf.DUMMYFUNCTION("GOOGLETRANSLATE(A1372,""bn"",""en"")"),"It should not be deeper than two hands")</f>
        <v>It should not be deeper than two hands</v>
      </c>
      <c r="C1372" s="7" t="s">
        <v>6</v>
      </c>
      <c r="D1372" s="7" t="s">
        <v>7</v>
      </c>
      <c r="E1372" s="7">
        <v>0</v>
      </c>
    </row>
    <row r="1373" spans="1:5" ht="15.75" customHeight="1" x14ac:dyDescent="0.25">
      <c r="A1373" s="6" t="s">
        <v>1370</v>
      </c>
      <c r="B1373" s="6" t="str">
        <f ca="1">IFERROR(__xludf.DUMMYFUNCTION("GOOGLETRANSLATE(A1373,""bn"",""en"")"),"One day father said to Ramsundar take me home once")</f>
        <v>One day father said to Ramsundar take me home once</v>
      </c>
      <c r="C1373" s="7" t="s">
        <v>6</v>
      </c>
      <c r="D1373" s="7" t="s">
        <v>7</v>
      </c>
      <c r="E1373" s="7">
        <v>0</v>
      </c>
    </row>
    <row r="1374" spans="1:5" ht="15.75" customHeight="1" x14ac:dyDescent="0.25">
      <c r="A1374" s="6" t="s">
        <v>1371</v>
      </c>
      <c r="B1374" s="6" t="str">
        <f ca="1">IFERROR(__xludf.DUMMYFUNCTION("GOOGLETRANSLATE(A1374,""bn"",""en"")"),"He got up and said calmly, how will you tie the chest")</f>
        <v>He got up and said calmly, how will you tie the chest</v>
      </c>
      <c r="C1374" s="7" t="s">
        <v>6</v>
      </c>
      <c r="D1374" s="7" t="s">
        <v>7</v>
      </c>
      <c r="E1374" s="7">
        <v>0</v>
      </c>
    </row>
    <row r="1375" spans="1:5" ht="15.75" customHeight="1" x14ac:dyDescent="0.25">
      <c r="A1375" s="6" t="s">
        <v>977</v>
      </c>
      <c r="B1375" s="6" t="str">
        <f ca="1">IFERROR(__xludf.DUMMYFUNCTION("GOOGLETRANSLATE(A1375,""bn"",""en"")"),"This sleep was not broken")</f>
        <v>This sleep was not broken</v>
      </c>
      <c r="C1375" s="7" t="s">
        <v>6</v>
      </c>
      <c r="D1375" s="7" t="s">
        <v>7</v>
      </c>
      <c r="E1375" s="7">
        <v>0</v>
      </c>
    </row>
    <row r="1376" spans="1:5" ht="15.75" customHeight="1" x14ac:dyDescent="0.25">
      <c r="A1376" s="6" t="s">
        <v>1372</v>
      </c>
      <c r="B1376" s="6" t="str">
        <f ca="1">IFERROR(__xludf.DUMMYFUNCTION("GOOGLETRANSLATE(A1376,""bn"",""en"")"),"His name is often associated with Gopal")</f>
        <v>His name is often associated with Gopal</v>
      </c>
      <c r="C1376" s="7" t="s">
        <v>6</v>
      </c>
      <c r="D1376" s="7" t="s">
        <v>7</v>
      </c>
      <c r="E1376" s="7">
        <v>0</v>
      </c>
    </row>
    <row r="1377" spans="1:5" ht="15.75" customHeight="1" x14ac:dyDescent="0.25">
      <c r="A1377" s="6" t="s">
        <v>1373</v>
      </c>
      <c r="B1377" s="6" t="str">
        <f ca="1">IFERROR(__xludf.DUMMYFUNCTION("GOOGLETRANSLATE(A1377,""bn"",""en"")"),"My father told me to go to the mosque")</f>
        <v>My father told me to go to the mosque</v>
      </c>
      <c r="C1377" s="8" t="s">
        <v>13</v>
      </c>
      <c r="D1377" s="8" t="s">
        <v>14</v>
      </c>
      <c r="E1377" s="8">
        <v>1</v>
      </c>
    </row>
    <row r="1378" spans="1:5" ht="15.75" customHeight="1" x14ac:dyDescent="0.25">
      <c r="A1378" s="6" t="s">
        <v>1374</v>
      </c>
      <c r="B1378" s="6" t="str">
        <f ca="1">IFERROR(__xludf.DUMMYFUNCTION("GOOGLETRANSLATE(A1378,""bn"",""en"")"),"The Guru Granth Sahib is the central scripture of Sikhism and is considered to be the Eternal Guru")</f>
        <v>The Guru Granth Sahib is the central scripture of Sikhism and is considered to be the Eternal Guru</v>
      </c>
      <c r="C1378" s="8" t="s">
        <v>13</v>
      </c>
      <c r="D1378" s="8" t="s">
        <v>14</v>
      </c>
      <c r="E1378" s="8">
        <v>1</v>
      </c>
    </row>
    <row r="1379" spans="1:5" ht="15.75" customHeight="1" x14ac:dyDescent="0.25">
      <c r="A1379" s="6" t="s">
        <v>1375</v>
      </c>
      <c r="B1379" s="6" t="str">
        <f ca="1">IFERROR(__xludf.DUMMYFUNCTION("GOOGLETRANSLATE(A1379,""bn"",""en"")"),"The police arrested them")</f>
        <v>The police arrested them</v>
      </c>
      <c r="C1379" s="8" t="s">
        <v>13</v>
      </c>
      <c r="D1379" s="8" t="s">
        <v>14</v>
      </c>
      <c r="E1379" s="8">
        <v>1</v>
      </c>
    </row>
    <row r="1380" spans="1:5" ht="15.75" customHeight="1" x14ac:dyDescent="0.25">
      <c r="A1380" s="6" t="s">
        <v>1376</v>
      </c>
      <c r="B1380" s="6" t="str">
        <f ca="1">IFERROR(__xludf.DUMMYFUNCTION("GOOGLETRANSLATE(A1380,""bn"",""en"")"),"Learn from criticism don't let it define you")</f>
        <v>Learn from criticism don't let it define you</v>
      </c>
      <c r="C1380" s="8" t="s">
        <v>13</v>
      </c>
      <c r="D1380" s="8" t="s">
        <v>14</v>
      </c>
      <c r="E1380" s="8">
        <v>1</v>
      </c>
    </row>
    <row r="1381" spans="1:5" ht="15.75" customHeight="1" x14ac:dyDescent="0.25">
      <c r="A1381" s="6" t="s">
        <v>1377</v>
      </c>
      <c r="B1381" s="6" t="str">
        <f ca="1">IFERROR(__xludf.DUMMYFUNCTION("GOOGLETRANSLATE(A1381,""bn"",""en"")"),"After that his friendship was established with Vashishtha")</f>
        <v>After that his friendship was established with Vashishtha</v>
      </c>
      <c r="C1381" s="8" t="s">
        <v>13</v>
      </c>
      <c r="D1381" s="8" t="s">
        <v>14</v>
      </c>
      <c r="E1381" s="8">
        <v>1</v>
      </c>
    </row>
    <row r="1382" spans="1:5" ht="15.75" customHeight="1" x14ac:dyDescent="0.25">
      <c r="A1382" s="6" t="s">
        <v>821</v>
      </c>
      <c r="B1382" s="6" t="str">
        <f ca="1">IFERROR(__xludf.DUMMYFUNCTION("GOOGLETRANSLATE(A1382,""bn"",""en"")"),"I looked back at the mountain and shouted again")</f>
        <v>I looked back at the mountain and shouted again</v>
      </c>
      <c r="C1382" s="7" t="s">
        <v>6</v>
      </c>
      <c r="D1382" s="7" t="s">
        <v>7</v>
      </c>
      <c r="E1382" s="7">
        <v>0</v>
      </c>
    </row>
    <row r="1383" spans="1:5" ht="15.75" customHeight="1" x14ac:dyDescent="0.25">
      <c r="A1383" s="6" t="s">
        <v>1378</v>
      </c>
      <c r="B1383" s="6" t="str">
        <f ca="1">IFERROR(__xludf.DUMMYFUNCTION("GOOGLETRANSLATE(A1383,""bn"",""en"")"),"At the edge of the village, under a banyan tree, all the young people of the village have come together")</f>
        <v>At the edge of the village, under a banyan tree, all the young people of the village have come together</v>
      </c>
      <c r="C1383" s="7" t="s">
        <v>6</v>
      </c>
      <c r="D1383" s="7" t="s">
        <v>7</v>
      </c>
      <c r="E1383" s="7">
        <v>0</v>
      </c>
    </row>
    <row r="1384" spans="1:5" ht="15.75" customHeight="1" x14ac:dyDescent="0.25">
      <c r="A1384" s="6" t="s">
        <v>1379</v>
      </c>
      <c r="B1384" s="6" t="str">
        <f ca="1">IFERROR(__xludf.DUMMYFUNCTION("GOOGLETRANSLATE(A1384,""bn"",""en"")"),"It has no escape even from dull stones")</f>
        <v>It has no escape even from dull stones</v>
      </c>
      <c r="C1384" s="7" t="s">
        <v>6</v>
      </c>
      <c r="D1384" s="7" t="s">
        <v>7</v>
      </c>
      <c r="E1384" s="7">
        <v>0</v>
      </c>
    </row>
    <row r="1385" spans="1:5" ht="15.75" customHeight="1" x14ac:dyDescent="0.25">
      <c r="A1385" s="6" t="s">
        <v>1380</v>
      </c>
      <c r="B1385" s="6" t="str">
        <f ca="1">IFERROR(__xludf.DUMMYFUNCTION("GOOGLETRANSLATE(A1385,""bn"",""en"")"),"The bride of the house who may utter two harsh words merely to protect herself from the apprehension of impending danger.")</f>
        <v>The bride of the house who may utter two harsh words merely to protect herself from the apprehension of impending danger.</v>
      </c>
      <c r="C1385" s="7" t="s">
        <v>6</v>
      </c>
      <c r="D1385" s="7" t="s">
        <v>7</v>
      </c>
      <c r="E1385" s="7">
        <v>0</v>
      </c>
    </row>
    <row r="1386" spans="1:5" ht="15.75" customHeight="1" x14ac:dyDescent="0.25">
      <c r="A1386" s="6" t="s">
        <v>1381</v>
      </c>
      <c r="B1386" s="6" t="str">
        <f ca="1">IFERROR(__xludf.DUMMYFUNCTION("GOOGLETRANSLATE(A1386,""bn"",""en"")"),"If you wish to have a good song on Saturday, then come")</f>
        <v>If you wish to have a good song on Saturday, then come</v>
      </c>
      <c r="C1386" s="7" t="s">
        <v>6</v>
      </c>
      <c r="D1386" s="7" t="s">
        <v>7</v>
      </c>
      <c r="E1386" s="7">
        <v>0</v>
      </c>
    </row>
    <row r="1387" spans="1:5" ht="15.75" customHeight="1" x14ac:dyDescent="0.25">
      <c r="A1387" s="6" t="s">
        <v>1382</v>
      </c>
      <c r="B1387" s="6" t="str">
        <f ca="1">IFERROR(__xludf.DUMMYFUNCTION("GOOGLETRANSLATE(A1387,""bn"",""en"")"),"I asked him when his exam would start")</f>
        <v>I asked him when his exam would start</v>
      </c>
      <c r="C1387" s="8" t="s">
        <v>13</v>
      </c>
      <c r="D1387" s="8" t="s">
        <v>14</v>
      </c>
      <c r="E1387" s="8">
        <v>1</v>
      </c>
    </row>
    <row r="1388" spans="1:5" ht="15.75" customHeight="1" x14ac:dyDescent="0.25">
      <c r="A1388" s="6" t="s">
        <v>1383</v>
      </c>
      <c r="B1388" s="6" t="str">
        <f ca="1">IFERROR(__xludf.DUMMYFUNCTION("GOOGLETRANSLATE(A1388,""bn"",""en"")"),"Exploring the culture of a new place can be a transformative experience")</f>
        <v>Exploring the culture of a new place can be a transformative experience</v>
      </c>
      <c r="C1388" s="8" t="s">
        <v>13</v>
      </c>
      <c r="D1388" s="8" t="s">
        <v>14</v>
      </c>
      <c r="E1388" s="8">
        <v>1</v>
      </c>
    </row>
    <row r="1389" spans="1:5" ht="15.75" customHeight="1" x14ac:dyDescent="0.25">
      <c r="A1389" s="6" t="s">
        <v>1384</v>
      </c>
      <c r="B1389" s="6" t="str">
        <f ca="1">IFERROR(__xludf.DUMMYFUNCTION("GOOGLETRANSLATE(A1389,""bn"",""en"")"),"Some time ago the cemetery was abandoned and ruined")</f>
        <v>Some time ago the cemetery was abandoned and ruined</v>
      </c>
      <c r="C1389" s="8" t="s">
        <v>13</v>
      </c>
      <c r="D1389" s="8" t="s">
        <v>14</v>
      </c>
      <c r="E1389" s="8">
        <v>1</v>
      </c>
    </row>
    <row r="1390" spans="1:5" ht="15.75" customHeight="1" x14ac:dyDescent="0.25">
      <c r="A1390" s="6" t="s">
        <v>1385</v>
      </c>
      <c r="B1390" s="6" t="str">
        <f ca="1">IFERROR(__xludf.DUMMYFUNCTION("GOOGLETRANSLATE(A1390,""bn"",""en"")"),"He created two gardens")</f>
        <v>He created two gardens</v>
      </c>
      <c r="C1390" s="8" t="s">
        <v>13</v>
      </c>
      <c r="D1390" s="8" t="s">
        <v>14</v>
      </c>
      <c r="E1390" s="8">
        <v>1</v>
      </c>
    </row>
    <row r="1391" spans="1:5" ht="15.75" customHeight="1" x14ac:dyDescent="0.25">
      <c r="A1391" s="6" t="s">
        <v>1386</v>
      </c>
      <c r="B1391" s="6" t="str">
        <f ca="1">IFERROR(__xludf.DUMMYFUNCTION("GOOGLETRANSLATE(A1391,""bn"",""en"")"),"This festival is celebrated every year on Kartika Purnima Tithi")</f>
        <v>This festival is celebrated every year on Kartika Purnima Tithi</v>
      </c>
      <c r="C1391" s="8" t="s">
        <v>13</v>
      </c>
      <c r="D1391" s="8" t="s">
        <v>14</v>
      </c>
      <c r="E1391" s="8">
        <v>1</v>
      </c>
    </row>
    <row r="1392" spans="1:5" ht="15.75" customHeight="1" x14ac:dyDescent="0.25">
      <c r="A1392" s="6" t="s">
        <v>1387</v>
      </c>
      <c r="B1392" s="6" t="str">
        <f ca="1">IFERROR(__xludf.DUMMYFUNCTION("GOOGLETRANSLATE(A1392,""bn"",""en"")"),"Death disturbs one by one")</f>
        <v>Death disturbs one by one</v>
      </c>
      <c r="C1392" s="7" t="s">
        <v>6</v>
      </c>
      <c r="D1392" s="7" t="s">
        <v>7</v>
      </c>
      <c r="E1392" s="7">
        <v>0</v>
      </c>
    </row>
    <row r="1393" spans="1:5" ht="15.75" customHeight="1" x14ac:dyDescent="0.25">
      <c r="A1393" s="6" t="s">
        <v>1388</v>
      </c>
      <c r="B1393" s="6" t="str">
        <f ca="1">IFERROR(__xludf.DUMMYFUNCTION("GOOGLETRANSLATE(A1393,""bn"",""en"")"),"Mr. Suman used to go to sleep at night")</f>
        <v>Mr. Suman used to go to sleep at night</v>
      </c>
      <c r="C1393" s="7" t="s">
        <v>6</v>
      </c>
      <c r="D1393" s="7" t="s">
        <v>7</v>
      </c>
      <c r="E1393" s="7">
        <v>0</v>
      </c>
    </row>
    <row r="1394" spans="1:5" ht="15.75" customHeight="1" x14ac:dyDescent="0.25">
      <c r="A1394" s="6" t="s">
        <v>1389</v>
      </c>
      <c r="B1394" s="6" t="str">
        <f ca="1">IFERROR(__xludf.DUMMYFUNCTION("GOOGLETRANSLATE(A1394,""bn"",""en"")"),"A large ashwath tree has grown on that crack")</f>
        <v>A large ashwath tree has grown on that crack</v>
      </c>
      <c r="C1394" s="7" t="s">
        <v>6</v>
      </c>
      <c r="D1394" s="7" t="s">
        <v>7</v>
      </c>
      <c r="E1394" s="7">
        <v>0</v>
      </c>
    </row>
    <row r="1395" spans="1:5" ht="15.75" customHeight="1" x14ac:dyDescent="0.25">
      <c r="A1395" s="6" t="s">
        <v>1390</v>
      </c>
      <c r="B1395" s="6" t="str">
        <f ca="1">IFERROR(__xludf.DUMMYFUNCTION("GOOGLETRANSLATE(A1395,""bn"",""en"")"),"He who believes does not verify the truth nor does he who disbelieves")</f>
        <v>He who believes does not verify the truth nor does he who disbelieves</v>
      </c>
      <c r="C1395" s="7" t="s">
        <v>6</v>
      </c>
      <c r="D1395" s="7" t="s">
        <v>7</v>
      </c>
      <c r="E1395" s="7">
        <v>0</v>
      </c>
    </row>
    <row r="1396" spans="1:5" ht="15.75" customHeight="1" x14ac:dyDescent="0.25">
      <c r="A1396" s="6" t="s">
        <v>1391</v>
      </c>
      <c r="B1396" s="6" t="str">
        <f ca="1">IFERROR(__xludf.DUMMYFUNCTION("GOOGLETRANSLATE(A1396,""bn"",""en"")"),"My head was doing it")</f>
        <v>My head was doing it</v>
      </c>
      <c r="C1396" s="7" t="s">
        <v>6</v>
      </c>
      <c r="D1396" s="7" t="s">
        <v>7</v>
      </c>
      <c r="E1396" s="7">
        <v>0</v>
      </c>
    </row>
    <row r="1397" spans="1:5" ht="15.75" customHeight="1" x14ac:dyDescent="0.25">
      <c r="A1397" s="6" t="s">
        <v>1392</v>
      </c>
      <c r="B1397" s="6" t="str">
        <f ca="1">IFERROR(__xludf.DUMMYFUNCTION("GOOGLETRANSLATE(A1397,""bn"",""en"")"),"Intellectual property protection protects our inventions")</f>
        <v>Intellectual property protection protects our inventions</v>
      </c>
      <c r="C1397" s="8" t="s">
        <v>13</v>
      </c>
      <c r="D1397" s="8" t="s">
        <v>14</v>
      </c>
      <c r="E1397" s="8">
        <v>1</v>
      </c>
    </row>
    <row r="1398" spans="1:5" ht="15.75" customHeight="1" x14ac:dyDescent="0.25">
      <c r="A1398" s="6" t="s">
        <v>1393</v>
      </c>
      <c r="B1398" s="6" t="str">
        <f ca="1">IFERROR(__xludf.DUMMYFUNCTION("GOOGLETRANSLATE(A1398,""bn"",""en"")"),"Divyoka's nephew Bhima was a popular ruler")</f>
        <v>Divyoka's nephew Bhima was a popular ruler</v>
      </c>
      <c r="C1398" s="8" t="s">
        <v>13</v>
      </c>
      <c r="D1398" s="8" t="s">
        <v>14</v>
      </c>
      <c r="E1398" s="8">
        <v>1</v>
      </c>
    </row>
    <row r="1399" spans="1:5" ht="15.75" customHeight="1" x14ac:dyDescent="0.25">
      <c r="A1399" s="6" t="s">
        <v>1394</v>
      </c>
      <c r="B1399" s="6" t="str">
        <f ca="1">IFERROR(__xludf.DUMMYFUNCTION("GOOGLETRANSLATE(A1399,""bn"",""en"")"),"Sharif took me to the mosque")</f>
        <v>Sharif took me to the mosque</v>
      </c>
      <c r="C1399" s="8" t="s">
        <v>13</v>
      </c>
      <c r="D1399" s="8" t="s">
        <v>14</v>
      </c>
      <c r="E1399" s="8">
        <v>1</v>
      </c>
    </row>
    <row r="1400" spans="1:5" ht="15.75" customHeight="1" x14ac:dyDescent="0.25">
      <c r="A1400" s="6" t="s">
        <v>1395</v>
      </c>
      <c r="B1400" s="6" t="str">
        <f ca="1">IFERROR(__xludf.DUMMYFUNCTION("GOOGLETRANSLATE(A1400,""bn"",""en"")"),"Journalists risk their lives to report dangerous situations in conflict zones")</f>
        <v>Journalists risk their lives to report dangerous situations in conflict zones</v>
      </c>
      <c r="C1400" s="8" t="s">
        <v>13</v>
      </c>
      <c r="D1400" s="8" t="s">
        <v>14</v>
      </c>
      <c r="E1400" s="8">
        <v>1</v>
      </c>
    </row>
    <row r="1401" spans="1:5" ht="15.75" customHeight="1" x14ac:dyDescent="0.25">
      <c r="A1401" s="6" t="s">
        <v>1396</v>
      </c>
      <c r="B1401" s="6" t="str">
        <f ca="1">IFERROR(__xludf.DUMMYFUNCTION("GOOGLETRANSLATE(A1401,""bn"",""en"")"),"He died in twenty one")</f>
        <v>He died in twenty one</v>
      </c>
      <c r="C1401" s="8" t="s">
        <v>13</v>
      </c>
      <c r="D1401" s="8" t="s">
        <v>14</v>
      </c>
      <c r="E1401" s="8">
        <v>1</v>
      </c>
    </row>
    <row r="1402" spans="1:5" ht="15.75" customHeight="1" x14ac:dyDescent="0.25">
      <c r="A1402" s="6" t="s">
        <v>1397</v>
      </c>
      <c r="B1402" s="6" t="str">
        <f ca="1">IFERROR(__xludf.DUMMYFUNCTION("GOOGLETRANSLATE(A1402,""bn"",""en"")"),"I came only once")</f>
        <v>I came only once</v>
      </c>
      <c r="C1402" s="7" t="s">
        <v>6</v>
      </c>
      <c r="D1402" s="7" t="s">
        <v>7</v>
      </c>
      <c r="E1402" s="7">
        <v>0</v>
      </c>
    </row>
    <row r="1403" spans="1:5" ht="15.75" customHeight="1" x14ac:dyDescent="0.25">
      <c r="A1403" s="6" t="s">
        <v>1398</v>
      </c>
      <c r="B1403" s="6" t="str">
        <f ca="1">IFERROR(__xludf.DUMMYFUNCTION("GOOGLETRANSLATE(A1403,""bn"",""en"")"),"After that the family does not get food")</f>
        <v>After that the family does not get food</v>
      </c>
      <c r="C1403" s="7" t="s">
        <v>6</v>
      </c>
      <c r="D1403" s="7" t="s">
        <v>7</v>
      </c>
      <c r="E1403" s="7">
        <v>0</v>
      </c>
    </row>
    <row r="1404" spans="1:5" ht="15.75" customHeight="1" x14ac:dyDescent="0.25">
      <c r="A1404" s="6" t="s">
        <v>1399</v>
      </c>
      <c r="B1404" s="6" t="str">
        <f ca="1">IFERROR(__xludf.DUMMYFUNCTION("GOOGLETRANSLATE(A1404,""bn"",""en"")"),"Fatik was nowhere to be seen the next morning")</f>
        <v>Fatik was nowhere to be seen the next morning</v>
      </c>
      <c r="C1404" s="7" t="s">
        <v>6</v>
      </c>
      <c r="D1404" s="7" t="s">
        <v>7</v>
      </c>
      <c r="E1404" s="7">
        <v>0</v>
      </c>
    </row>
    <row r="1405" spans="1:5" ht="15.75" customHeight="1" x14ac:dyDescent="0.25">
      <c r="A1405" s="6" t="s">
        <v>1400</v>
      </c>
      <c r="B1405" s="6" t="str">
        <f ca="1">IFERROR(__xludf.DUMMYFUNCTION("GOOGLETRANSLATE(A1405,""bn"",""en"")"),"During his illness he felt ashamed to expect that this feeble, strange, stupid boy could have the services of anyone on earth but his own mother.")</f>
        <v>During his illness he felt ashamed to expect that this feeble, strange, stupid boy could have the services of anyone on earth but his own mother.</v>
      </c>
      <c r="C1405" s="7" t="s">
        <v>6</v>
      </c>
      <c r="D1405" s="7" t="s">
        <v>7</v>
      </c>
      <c r="E1405" s="7">
        <v>0</v>
      </c>
    </row>
    <row r="1406" spans="1:5" ht="15.75" customHeight="1" x14ac:dyDescent="0.25">
      <c r="A1406" s="6" t="s">
        <v>1401</v>
      </c>
      <c r="B1406" s="6" t="str">
        <f ca="1">IFERROR(__xludf.DUMMYFUNCTION("GOOGLETRANSLATE(A1406,""bn"",""en"")"),"He bought me my favorite book")</f>
        <v>He bought me my favorite book</v>
      </c>
      <c r="C1406" s="7" t="s">
        <v>6</v>
      </c>
      <c r="D1406" s="7" t="s">
        <v>7</v>
      </c>
      <c r="E1406" s="7">
        <v>0</v>
      </c>
    </row>
    <row r="1407" spans="1:5" ht="15.75" customHeight="1" x14ac:dyDescent="0.25">
      <c r="A1407" s="6" t="s">
        <v>1402</v>
      </c>
      <c r="B1407" s="6" t="str">
        <f ca="1">IFERROR(__xludf.DUMMYFUNCTION("GOOGLETRANSLATE(A1407,""bn"",""en"")"),"He was sentenced to death on two charges")</f>
        <v>He was sentenced to death on two charges</v>
      </c>
      <c r="C1407" s="8" t="s">
        <v>13</v>
      </c>
      <c r="D1407" s="8" t="s">
        <v>14</v>
      </c>
      <c r="E1407" s="8">
        <v>1</v>
      </c>
    </row>
    <row r="1408" spans="1:5" ht="15.75" customHeight="1" x14ac:dyDescent="0.25">
      <c r="A1408" s="6" t="s">
        <v>1403</v>
      </c>
      <c r="B1408" s="6" t="str">
        <f ca="1">IFERROR(__xludf.DUMMYFUNCTION("GOOGLETRANSLATE(A1408,""bn"",""en"")"),"Her name is Rifa Rafia Monir")</f>
        <v>Her name is Rifa Rafia Monir</v>
      </c>
      <c r="C1408" s="8" t="s">
        <v>13</v>
      </c>
      <c r="D1408" s="8" t="s">
        <v>14</v>
      </c>
      <c r="E1408" s="8">
        <v>1</v>
      </c>
    </row>
    <row r="1409" spans="1:5" ht="15.75" customHeight="1" x14ac:dyDescent="0.25">
      <c r="A1409" s="6" t="s">
        <v>1404</v>
      </c>
      <c r="B1409" s="6" t="str">
        <f ca="1">IFERROR(__xludf.DUMMYFUNCTION("GOOGLETRANSLATE(A1409,""bn"",""en"")"),"All the streets of Dhaka city look the same to him")</f>
        <v>All the streets of Dhaka city look the same to him</v>
      </c>
      <c r="C1409" s="8" t="s">
        <v>13</v>
      </c>
      <c r="D1409" s="8" t="s">
        <v>14</v>
      </c>
      <c r="E1409" s="8">
        <v>1</v>
      </c>
    </row>
    <row r="1410" spans="1:5" ht="15.75" customHeight="1" x14ac:dyDescent="0.25">
      <c r="A1410" s="6" t="s">
        <v>1405</v>
      </c>
      <c r="B1410" s="6" t="str">
        <f ca="1">IFERROR(__xludf.DUMMYFUNCTION("GOOGLETRANSLATE(A1410,""bn"",""en"")"),"He was promoted to the rank of professor")</f>
        <v>He was promoted to the rank of professor</v>
      </c>
      <c r="C1410" s="8" t="s">
        <v>13</v>
      </c>
      <c r="D1410" s="8" t="s">
        <v>14</v>
      </c>
      <c r="E1410" s="8">
        <v>1</v>
      </c>
    </row>
    <row r="1411" spans="1:5" ht="15.75" customHeight="1" x14ac:dyDescent="0.25">
      <c r="A1411" s="6" t="s">
        <v>1406</v>
      </c>
      <c r="B1411" s="6" t="str">
        <f ca="1">IFERROR(__xludf.DUMMYFUNCTION("GOOGLETRANSLATE(A1411,""bn"",""en"")"),"Facing dangerous challenges they relied on teamwork courage to overcome obstacles")</f>
        <v>Facing dangerous challenges they relied on teamwork courage to overcome obstacles</v>
      </c>
      <c r="C1411" s="8" t="s">
        <v>13</v>
      </c>
      <c r="D1411" s="8" t="s">
        <v>14</v>
      </c>
      <c r="E1411" s="8">
        <v>1</v>
      </c>
    </row>
    <row r="1412" spans="1:5" ht="15.75" customHeight="1" x14ac:dyDescent="0.25">
      <c r="A1412" s="6" t="s">
        <v>1407</v>
      </c>
      <c r="B1412" s="6" t="str">
        <f ca="1">IFERROR(__xludf.DUMMYFUNCTION("GOOGLETRANSLATE(A1412,""bn"",""en"")"),"The girl was reading the story book very attentively.")</f>
        <v>The girl was reading the story book very attentively.</v>
      </c>
      <c r="C1412" s="7" t="s">
        <v>6</v>
      </c>
      <c r="D1412" s="7" t="s">
        <v>7</v>
      </c>
      <c r="E1412" s="7">
        <v>0</v>
      </c>
    </row>
    <row r="1413" spans="1:5" ht="15.75" customHeight="1" x14ac:dyDescent="0.25">
      <c r="A1413" s="6" t="s">
        <v>1408</v>
      </c>
      <c r="B1413" s="6" t="str">
        <f ca="1">IFERROR(__xludf.DUMMYFUNCTION("GOOGLETRANSLATE(A1413,""bn"",""en"")"),"He also did not have the ability to sit down, so he also got up and down")</f>
        <v>He also did not have the ability to sit down, so he also got up and down</v>
      </c>
      <c r="C1413" s="7" t="s">
        <v>6</v>
      </c>
      <c r="D1413" s="7" t="s">
        <v>7</v>
      </c>
      <c r="E1413" s="7">
        <v>0</v>
      </c>
    </row>
    <row r="1414" spans="1:5" ht="15.75" customHeight="1" x14ac:dyDescent="0.25">
      <c r="A1414" s="6" t="s">
        <v>1409</v>
      </c>
      <c r="B1414" s="6" t="str">
        <f ca="1">IFERROR(__xludf.DUMMYFUNCTION("GOOGLETRANSLATE(A1414,""bn"",""en"")"),"He told me to come with my head bowed or I will be shadowed in the courtyard")</f>
        <v>He told me to come with my head bowed or I will be shadowed in the courtyard</v>
      </c>
      <c r="C1414" s="7" t="s">
        <v>6</v>
      </c>
      <c r="D1414" s="7" t="s">
        <v>7</v>
      </c>
      <c r="E1414" s="7">
        <v>0</v>
      </c>
    </row>
    <row r="1415" spans="1:5" ht="15.75" customHeight="1" x14ac:dyDescent="0.25">
      <c r="A1415" s="6" t="s">
        <v>1410</v>
      </c>
      <c r="B1415" s="6" t="str">
        <f ca="1">IFERROR(__xludf.DUMMYFUNCTION("GOOGLETRANSLATE(A1415,""bn"",""en"")"),"Green was playing football with Sujan")</f>
        <v>Green was playing football with Sujan</v>
      </c>
      <c r="C1415" s="7" t="s">
        <v>6</v>
      </c>
      <c r="D1415" s="7" t="s">
        <v>7</v>
      </c>
      <c r="E1415" s="7">
        <v>0</v>
      </c>
    </row>
    <row r="1416" spans="1:5" ht="15.75" customHeight="1" x14ac:dyDescent="0.25">
      <c r="A1416" s="6" t="s">
        <v>1411</v>
      </c>
      <c r="B1416" s="6" t="str">
        <f ca="1">IFERROR(__xludf.DUMMYFUNCTION("GOOGLETRANSLATE(A1416,""bn"",""en"")"),"I came to talk to you")</f>
        <v>I came to talk to you</v>
      </c>
      <c r="C1416" s="7" t="s">
        <v>6</v>
      </c>
      <c r="D1416" s="7" t="s">
        <v>7</v>
      </c>
      <c r="E1416" s="7">
        <v>0</v>
      </c>
    </row>
    <row r="1417" spans="1:5" ht="15.75" customHeight="1" x14ac:dyDescent="0.25">
      <c r="A1417" s="6" t="s">
        <v>1412</v>
      </c>
      <c r="B1417" s="6" t="str">
        <f ca="1">IFERROR(__xludf.DUMMYFUNCTION("GOOGLETRANSLATE(A1417,""bn"",""en"")"),"This is how I first learned to take responsibility on my own shoulders")</f>
        <v>This is how I first learned to take responsibility on my own shoulders</v>
      </c>
      <c r="C1417" s="8" t="s">
        <v>13</v>
      </c>
      <c r="D1417" s="8" t="s">
        <v>14</v>
      </c>
      <c r="E1417" s="8">
        <v>1</v>
      </c>
    </row>
    <row r="1418" spans="1:5" ht="15.75" customHeight="1" x14ac:dyDescent="0.25">
      <c r="A1418" s="6" t="s">
        <v>1413</v>
      </c>
      <c r="B1418" s="6" t="str">
        <f ca="1">IFERROR(__xludf.DUMMYFUNCTION("GOOGLETRANSLATE(A1418,""bn"",""en"")"),"The customer service team was not responsive to my inquiries")</f>
        <v>The customer service team was not responsive to my inquiries</v>
      </c>
      <c r="C1418" s="8" t="s">
        <v>13</v>
      </c>
      <c r="D1418" s="8" t="s">
        <v>14</v>
      </c>
      <c r="E1418" s="8">
        <v>1</v>
      </c>
    </row>
    <row r="1419" spans="1:5" ht="15.75" customHeight="1" x14ac:dyDescent="0.25">
      <c r="A1419" s="6" t="s">
        <v>1414</v>
      </c>
      <c r="B1419" s="6" t="str">
        <f ca="1">IFERROR(__xludf.DUMMYFUNCTION("GOOGLETRANSLATE(A1419,""bn"",""en"")"),"He sat without speaking for a long time with a pale face")</f>
        <v>He sat without speaking for a long time with a pale face</v>
      </c>
      <c r="C1419" s="8" t="s">
        <v>13</v>
      </c>
      <c r="D1419" s="8" t="s">
        <v>14</v>
      </c>
      <c r="E1419" s="8">
        <v>1</v>
      </c>
    </row>
    <row r="1420" spans="1:5" ht="15.75" customHeight="1" x14ac:dyDescent="0.25">
      <c r="A1420" s="6" t="s">
        <v>1415</v>
      </c>
      <c r="B1420" s="6" t="str">
        <f ca="1">IFERROR(__xludf.DUMMYFUNCTION("GOOGLETRANSLATE(A1420,""bn"",""en"")"),"It was his first novel")</f>
        <v>It was his first novel</v>
      </c>
      <c r="C1420" s="8" t="s">
        <v>13</v>
      </c>
      <c r="D1420" s="8" t="s">
        <v>14</v>
      </c>
      <c r="E1420" s="8">
        <v>1</v>
      </c>
    </row>
    <row r="1421" spans="1:5" ht="15.75" customHeight="1" x14ac:dyDescent="0.25">
      <c r="A1421" s="6" t="s">
        <v>1416</v>
      </c>
      <c r="B1421" s="6" t="str">
        <f ca="1">IFERROR(__xludf.DUMMYFUNCTION("GOOGLETRANSLATE(A1421,""bn"",""en"")"),"It will be useful to us")</f>
        <v>It will be useful to us</v>
      </c>
      <c r="C1421" s="8" t="s">
        <v>13</v>
      </c>
      <c r="D1421" s="8" t="s">
        <v>14</v>
      </c>
      <c r="E1421" s="8">
        <v>1</v>
      </c>
    </row>
    <row r="1422" spans="1:5" ht="15.75" customHeight="1" x14ac:dyDescent="0.25">
      <c r="A1422" s="6" t="s">
        <v>1417</v>
      </c>
      <c r="B1422" s="6" t="str">
        <f ca="1">IFERROR(__xludf.DUMMYFUNCTION("GOOGLETRANSLATE(A1422,""bn"",""en"")"),"In the evening I went to see the dance")</f>
        <v>In the evening I went to see the dance</v>
      </c>
      <c r="C1422" s="7" t="s">
        <v>6</v>
      </c>
      <c r="D1422" s="7" t="s">
        <v>7</v>
      </c>
      <c r="E1422" s="7">
        <v>0</v>
      </c>
    </row>
    <row r="1423" spans="1:5" ht="15.75" customHeight="1" x14ac:dyDescent="0.25">
      <c r="A1423" s="6" t="s">
        <v>1418</v>
      </c>
      <c r="B1423" s="6" t="str">
        <f ca="1">IFERROR(__xludf.DUMMYFUNCTION("GOOGLETRANSLATE(A1423,""bn"",""en"")"),"I turned back and saw no one. I looked in all directions and there was no one")</f>
        <v>I turned back and saw no one. I looked in all directions and there was no one</v>
      </c>
      <c r="C1423" s="7" t="s">
        <v>6</v>
      </c>
      <c r="D1423" s="7" t="s">
        <v>7</v>
      </c>
      <c r="E1423" s="7">
        <v>0</v>
      </c>
    </row>
    <row r="1424" spans="1:5" ht="15.75" customHeight="1" x14ac:dyDescent="0.25">
      <c r="A1424" s="6" t="s">
        <v>1419</v>
      </c>
      <c r="B1424" s="6" t="str">
        <f ca="1">IFERROR(__xludf.DUMMYFUNCTION("GOOGLETRANSLATE(A1424,""bn"",""en"")"),"Makhan thought he was proud of it")</f>
        <v>Makhan thought he was proud of it</v>
      </c>
      <c r="C1424" s="7" t="s">
        <v>6</v>
      </c>
      <c r="D1424" s="7" t="s">
        <v>7</v>
      </c>
      <c r="E1424" s="7">
        <v>0</v>
      </c>
    </row>
    <row r="1425" spans="1:5" ht="15.75" customHeight="1" x14ac:dyDescent="0.25">
      <c r="A1425" s="6" t="s">
        <v>1420</v>
      </c>
      <c r="B1425" s="6" t="str">
        <f ca="1">IFERROR(__xludf.DUMMYFUNCTION("GOOGLETRANSLATE(A1425,""bn"",""en"")"),"Their dance is new to us")</f>
        <v>Their dance is new to us</v>
      </c>
      <c r="C1425" s="7" t="s">
        <v>6</v>
      </c>
      <c r="D1425" s="7" t="s">
        <v>7</v>
      </c>
      <c r="E1425" s="7">
        <v>0</v>
      </c>
    </row>
    <row r="1426" spans="1:5" ht="15.75" customHeight="1" x14ac:dyDescent="0.25">
      <c r="A1426" s="6" t="s">
        <v>1421</v>
      </c>
      <c r="B1426" s="6" t="str">
        <f ca="1">IFERROR(__xludf.DUMMYFUNCTION("GOOGLETRANSLATE(A1426,""bn"",""en"")"),"One afternoon I went bird hunting with a gun in the place where the English first settled.")</f>
        <v>One afternoon I went bird hunting with a gun in the place where the English first settled.</v>
      </c>
      <c r="C1426" s="7" t="s">
        <v>6</v>
      </c>
      <c r="D1426" s="7" t="s">
        <v>7</v>
      </c>
      <c r="E1426" s="7">
        <v>0</v>
      </c>
    </row>
    <row r="1427" spans="1:5" ht="15.75" customHeight="1" x14ac:dyDescent="0.25">
      <c r="A1427" s="6" t="s">
        <v>1422</v>
      </c>
      <c r="B1427" s="6" t="str">
        <f ca="1">IFERROR(__xludf.DUMMYFUNCTION("GOOGLETRANSLATE(A1427,""bn"",""en"")"),"Sometimes other mythological stories are also enacted")</f>
        <v>Sometimes other mythological stories are also enacted</v>
      </c>
      <c r="C1427" s="8" t="s">
        <v>13</v>
      </c>
      <c r="D1427" s="8" t="s">
        <v>14</v>
      </c>
      <c r="E1427" s="8">
        <v>1</v>
      </c>
    </row>
    <row r="1428" spans="1:5" ht="15.75" customHeight="1" x14ac:dyDescent="0.25">
      <c r="A1428" s="6" t="s">
        <v>1423</v>
      </c>
      <c r="B1428" s="6" t="str">
        <f ca="1">IFERROR(__xludf.DUMMYFUNCTION("GOOGLETRANSLATE(A1428,""bn"",""en"")"),"If you want to buy things without looking at the price, learn to work without looking at the clock")</f>
        <v>If you want to buy things without looking at the price, learn to work without looking at the clock</v>
      </c>
      <c r="C1428" s="8" t="s">
        <v>13</v>
      </c>
      <c r="D1428" s="8" t="s">
        <v>14</v>
      </c>
      <c r="E1428" s="8">
        <v>1</v>
      </c>
    </row>
    <row r="1429" spans="1:5" ht="15.75" customHeight="1" x14ac:dyDescent="0.25">
      <c r="A1429" s="6" t="s">
        <v>1424</v>
      </c>
      <c r="B1429" s="6" t="str">
        <f ca="1">IFERROR(__xludf.DUMMYFUNCTION("GOOGLETRANSLATE(A1429,""bn"",""en"")"),"My siblings and I are different")</f>
        <v>My siblings and I are different</v>
      </c>
      <c r="C1429" s="8" t="s">
        <v>13</v>
      </c>
      <c r="D1429" s="8" t="s">
        <v>14</v>
      </c>
      <c r="E1429" s="8">
        <v>1</v>
      </c>
    </row>
    <row r="1430" spans="1:5" ht="15.75" customHeight="1" x14ac:dyDescent="0.25">
      <c r="A1430" s="6" t="s">
        <v>1425</v>
      </c>
      <c r="B1430" s="6" t="str">
        <f ca="1">IFERROR(__xludf.DUMMYFUNCTION("GOOGLETRANSLATE(A1430,""bn"",""en"")"),"The Trinity is a central doctrine of Christianity that affirms the belief in one God in three persons, the Father, the Son, the Holy Spirit")</f>
        <v>The Trinity is a central doctrine of Christianity that affirms the belief in one God in three persons, the Father, the Son, the Holy Spirit</v>
      </c>
      <c r="C1430" s="8" t="s">
        <v>13</v>
      </c>
      <c r="D1430" s="8" t="s">
        <v>14</v>
      </c>
      <c r="E1430" s="8">
        <v>1</v>
      </c>
    </row>
    <row r="1431" spans="1:5" ht="15.75" customHeight="1" x14ac:dyDescent="0.25">
      <c r="A1431" s="6" t="s">
        <v>1426</v>
      </c>
      <c r="B1431" s="6" t="str">
        <f ca="1">IFERROR(__xludf.DUMMYFUNCTION("GOOGLETRANSLATE(A1431,""bn"",""en"")"),"Board games fun with friends")</f>
        <v>Board games fun with friends</v>
      </c>
      <c r="C1431" s="8" t="s">
        <v>13</v>
      </c>
      <c r="D1431" s="8" t="s">
        <v>14</v>
      </c>
      <c r="E1431" s="8">
        <v>1</v>
      </c>
    </row>
    <row r="1432" spans="1:5" ht="15.75" customHeight="1" x14ac:dyDescent="0.25">
      <c r="A1432" s="6" t="s">
        <v>1427</v>
      </c>
      <c r="B1432" s="6" t="str">
        <f ca="1">IFERROR(__xludf.DUMMYFUNCTION("GOOGLETRANSLATE(A1432,""bn"",""en"")"),"The bird flaps its wings and flies away")</f>
        <v>The bird flaps its wings and flies away</v>
      </c>
      <c r="C1432" s="7" t="s">
        <v>6</v>
      </c>
      <c r="D1432" s="7" t="s">
        <v>7</v>
      </c>
      <c r="E1432" s="7">
        <v>0</v>
      </c>
    </row>
    <row r="1433" spans="1:5" ht="15.75" customHeight="1" x14ac:dyDescent="0.25">
      <c r="A1433" s="6" t="s">
        <v>1428</v>
      </c>
      <c r="B1433" s="6" t="str">
        <f ca="1">IFERROR(__xludf.DUMMYFUNCTION("GOOGLETRANSLATE(A1433,""bn"",""en"")"),"Now Harimohan tried to rescue him from the hands of Jatha")</f>
        <v>Now Harimohan tried to rescue him from the hands of Jatha</v>
      </c>
      <c r="C1433" s="7" t="s">
        <v>6</v>
      </c>
      <c r="D1433" s="7" t="s">
        <v>7</v>
      </c>
      <c r="E1433" s="7">
        <v>0</v>
      </c>
    </row>
    <row r="1434" spans="1:5" ht="15.75" customHeight="1" x14ac:dyDescent="0.25">
      <c r="A1434" s="6" t="s">
        <v>1429</v>
      </c>
      <c r="B1434" s="6" t="str">
        <f ca="1">IFERROR(__xludf.DUMMYFUNCTION("GOOGLETRANSLATE(A1434,""bn"",""en"")"),"He let out a long sigh as the doctor's footsteps outside drifted away from his ears")</f>
        <v>He let out a long sigh as the doctor's footsteps outside drifted away from his ears</v>
      </c>
      <c r="C1434" s="7" t="s">
        <v>6</v>
      </c>
      <c r="D1434" s="7" t="s">
        <v>7</v>
      </c>
      <c r="E1434" s="7">
        <v>0</v>
      </c>
    </row>
    <row r="1435" spans="1:5" ht="15.75" customHeight="1" x14ac:dyDescent="0.25">
      <c r="A1435" s="6" t="s">
        <v>1430</v>
      </c>
      <c r="B1435" s="6" t="str">
        <f ca="1">IFERROR(__xludf.DUMMYFUNCTION("GOOGLETRANSLATE(A1435,""bn"",""en"")"),"He wants to participate in new campaigns.")</f>
        <v>He wants to participate in new campaigns.</v>
      </c>
      <c r="C1435" s="7" t="s">
        <v>6</v>
      </c>
      <c r="D1435" s="7" t="s">
        <v>7</v>
      </c>
      <c r="E1435" s="7">
        <v>0</v>
      </c>
    </row>
    <row r="1436" spans="1:5" ht="15.75" customHeight="1" x14ac:dyDescent="0.25">
      <c r="A1436" s="6" t="s">
        <v>1431</v>
      </c>
      <c r="B1436" s="6" t="str">
        <f ca="1">IFERROR(__xludf.DUMMYFUNCTION("GOOGLETRANSLATE(A1436,""bn"",""en"")"),"His father Ramsundar Mitra searches a lot but nothing matches his heart")</f>
        <v>His father Ramsundar Mitra searches a lot but nothing matches his heart</v>
      </c>
      <c r="C1436" s="7" t="s">
        <v>6</v>
      </c>
      <c r="D1436" s="7" t="s">
        <v>7</v>
      </c>
      <c r="E1436" s="7">
        <v>0</v>
      </c>
    </row>
    <row r="1437" spans="1:5" ht="15.75" customHeight="1" x14ac:dyDescent="0.25">
      <c r="A1437" s="6" t="s">
        <v>1432</v>
      </c>
      <c r="B1437" s="6" t="str">
        <f ca="1">IFERROR(__xludf.DUMMYFUNCTION("GOOGLETRANSLATE(A1437,""bn"",""en"")"),"Data analysis informs evidence-based decision making")</f>
        <v>Data analysis informs evidence-based decision making</v>
      </c>
      <c r="C1437" s="8" t="s">
        <v>13</v>
      </c>
      <c r="D1437" s="8" t="s">
        <v>14</v>
      </c>
      <c r="E1437" s="8">
        <v>1</v>
      </c>
    </row>
    <row r="1438" spans="1:5" ht="15.75" customHeight="1" x14ac:dyDescent="0.25">
      <c r="A1438" s="6" t="s">
        <v>1433</v>
      </c>
      <c r="B1438" s="6" t="str">
        <f ca="1">IFERROR(__xludf.DUMMYFUNCTION("GOOGLETRANSLATE(A1438,""bn"",""en"")"),"Cycling is a great cardio exercise")</f>
        <v>Cycling is a great cardio exercise</v>
      </c>
      <c r="C1438" s="8" t="s">
        <v>13</v>
      </c>
      <c r="D1438" s="8" t="s">
        <v>14</v>
      </c>
      <c r="E1438" s="8">
        <v>1</v>
      </c>
    </row>
    <row r="1439" spans="1:5" ht="15.75" customHeight="1" x14ac:dyDescent="0.25">
      <c r="A1439" s="6" t="s">
        <v>1434</v>
      </c>
      <c r="B1439" s="6" t="str">
        <f ca="1">IFERROR(__xludf.DUMMYFUNCTION("GOOGLETRANSLATE(A1439,""bn"",""en"")"),"It is not correct to say only children")</f>
        <v>It is not correct to say only children</v>
      </c>
      <c r="C1439" s="8" t="s">
        <v>13</v>
      </c>
      <c r="D1439" s="8" t="s">
        <v>14</v>
      </c>
      <c r="E1439" s="8">
        <v>1</v>
      </c>
    </row>
    <row r="1440" spans="1:5" ht="15.75" customHeight="1" x14ac:dyDescent="0.25">
      <c r="A1440" s="6" t="s">
        <v>1435</v>
      </c>
      <c r="B1440" s="6" t="str">
        <f ca="1">IFERROR(__xludf.DUMMYFUNCTION("GOOGLETRANSLATE(A1440,""bn"",""en"")"),"The receptionist greeted the front desk with a warm smile")</f>
        <v>The receptionist greeted the front desk with a warm smile</v>
      </c>
      <c r="C1440" s="8" t="s">
        <v>13</v>
      </c>
      <c r="D1440" s="8" t="s">
        <v>14</v>
      </c>
      <c r="E1440" s="8">
        <v>1</v>
      </c>
    </row>
    <row r="1441" spans="1:5" ht="15.75" customHeight="1" x14ac:dyDescent="0.25">
      <c r="A1441" s="6" t="s">
        <v>1436</v>
      </c>
      <c r="B1441" s="6" t="str">
        <f ca="1">IFERROR(__xludf.DUMMYFUNCTION("GOOGLETRANSLATE(A1441,""bn"",""en"")"),"Newspapers face financial challenges as advertising revenue declines in the digital age")</f>
        <v>Newspapers face financial challenges as advertising revenue declines in the digital age</v>
      </c>
      <c r="C1441" s="8" t="s">
        <v>13</v>
      </c>
      <c r="D1441" s="8" t="s">
        <v>14</v>
      </c>
      <c r="E1441" s="8">
        <v>1</v>
      </c>
    </row>
    <row r="1442" spans="1:5" ht="15.75" customHeight="1" x14ac:dyDescent="0.25">
      <c r="A1442" s="6" t="s">
        <v>1437</v>
      </c>
      <c r="B1442" s="6" t="str">
        <f ca="1">IFERROR(__xludf.DUMMYFUNCTION("GOOGLETRANSLATE(A1442,""bn"",""en"")"),"Binodini did not agree at all")</f>
        <v>Binodini did not agree at all</v>
      </c>
      <c r="C1442" s="7" t="s">
        <v>6</v>
      </c>
      <c r="D1442" s="7" t="s">
        <v>7</v>
      </c>
      <c r="E1442" s="7">
        <v>0</v>
      </c>
    </row>
    <row r="1443" spans="1:5" ht="15.75" customHeight="1" x14ac:dyDescent="0.25">
      <c r="A1443" s="6" t="s">
        <v>1438</v>
      </c>
      <c r="B1443" s="6" t="str">
        <f ca="1">IFERROR(__xludf.DUMMYFUNCTION("GOOGLETRANSLATE(A1443,""bn"",""en"")"),"Sujan has gone on a trip to Dhaka")</f>
        <v>Sujan has gone on a trip to Dhaka</v>
      </c>
      <c r="C1443" s="7" t="s">
        <v>6</v>
      </c>
      <c r="D1443" s="7" t="s">
        <v>7</v>
      </c>
      <c r="E1443" s="7">
        <v>0</v>
      </c>
    </row>
    <row r="1444" spans="1:5" ht="15.75" customHeight="1" x14ac:dyDescent="0.25">
      <c r="A1444" s="6" t="s">
        <v>1439</v>
      </c>
      <c r="B1444" s="6" t="str">
        <f ca="1">IFERROR(__xludf.DUMMYFUNCTION("GOOGLETRANSLATE(A1444,""bn"",""en"")"),"What doesn't feel good today")</f>
        <v>What doesn't feel good today</v>
      </c>
      <c r="C1444" s="7" t="s">
        <v>6</v>
      </c>
      <c r="D1444" s="7" t="s">
        <v>7</v>
      </c>
      <c r="E1444" s="7">
        <v>0</v>
      </c>
    </row>
    <row r="1445" spans="1:5" ht="15.75" customHeight="1" x14ac:dyDescent="0.25">
      <c r="A1445" s="6" t="s">
        <v>1440</v>
      </c>
      <c r="B1445" s="6" t="str">
        <f ca="1">IFERROR(__xludf.DUMMYFUNCTION("GOOGLETRANSLATE(A1445,""bn"",""en"")"),"Zahid is giving leaps and bounds")</f>
        <v>Zahid is giving leaps and bounds</v>
      </c>
      <c r="C1445" s="7" t="s">
        <v>6</v>
      </c>
      <c r="D1445" s="7" t="s">
        <v>7</v>
      </c>
      <c r="E1445" s="7">
        <v>0</v>
      </c>
    </row>
    <row r="1446" spans="1:5" ht="15.75" customHeight="1" x14ac:dyDescent="0.25">
      <c r="A1446" s="6" t="s">
        <v>1441</v>
      </c>
      <c r="B1446" s="6" t="str">
        <f ca="1">IFERROR(__xludf.DUMMYFUNCTION("GOOGLETRANSLATE(A1446,""bn"",""en"")"),"They came to meet me")</f>
        <v>They came to meet me</v>
      </c>
      <c r="C1446" s="7" t="s">
        <v>6</v>
      </c>
      <c r="D1446" s="7" t="s">
        <v>7</v>
      </c>
      <c r="E1446" s="7">
        <v>0</v>
      </c>
    </row>
    <row r="1447" spans="1:5" ht="15.75" customHeight="1" x14ac:dyDescent="0.25">
      <c r="A1447" s="6" t="s">
        <v>1442</v>
      </c>
      <c r="B1447" s="6" t="str">
        <f ca="1">IFERROR(__xludf.DUMMYFUNCTION("GOOGLETRANSLATE(A1447,""bn"",""en"")"),"Set clear goals and work diligently to achieve them")</f>
        <v>Set clear goals and work diligently to achieve them</v>
      </c>
      <c r="C1447" s="8" t="s">
        <v>13</v>
      </c>
      <c r="D1447" s="8" t="s">
        <v>14</v>
      </c>
      <c r="E1447" s="8">
        <v>1</v>
      </c>
    </row>
    <row r="1448" spans="1:5" ht="15.75" customHeight="1" x14ac:dyDescent="0.25">
      <c r="A1448" s="6" t="s">
        <v>1443</v>
      </c>
      <c r="B1448" s="6" t="str">
        <f ca="1">IFERROR(__xludf.DUMMYFUNCTION("GOOGLETRANSLATE(A1448,""bn"",""en"")"),"Fashion designers sketch out ideas for the next clothing line")</f>
        <v>Fashion designers sketch out ideas for the next clothing line</v>
      </c>
      <c r="C1448" s="8" t="s">
        <v>13</v>
      </c>
      <c r="D1448" s="8" t="s">
        <v>14</v>
      </c>
      <c r="E1448" s="8">
        <v>1</v>
      </c>
    </row>
    <row r="1449" spans="1:5" ht="15.75" customHeight="1" x14ac:dyDescent="0.25">
      <c r="A1449" s="6" t="s">
        <v>1444</v>
      </c>
      <c r="B1449" s="6" t="str">
        <f ca="1">IFERROR(__xludf.DUMMYFUNCTION("GOOGLETRANSLATE(A1449,""bn"",""en"")"),"Setting financial goals can help you stay motivated and focused")</f>
        <v>Setting financial goals can help you stay motivated and focused</v>
      </c>
      <c r="C1449" s="8" t="s">
        <v>13</v>
      </c>
      <c r="D1449" s="8" t="s">
        <v>14</v>
      </c>
      <c r="E1449" s="8">
        <v>1</v>
      </c>
    </row>
    <row r="1450" spans="1:5" ht="15.75" customHeight="1" x14ac:dyDescent="0.25">
      <c r="A1450" s="6" t="s">
        <v>1445</v>
      </c>
      <c r="B1450" s="6" t="str">
        <f ca="1">IFERROR(__xludf.DUMMYFUNCTION("GOOGLETRANSLATE(A1450,""bn"",""en"")"),"A thick fog drifted in from the sea covering the landscape in an eerie blanket of fog")</f>
        <v>A thick fog drifted in from the sea covering the landscape in an eerie blanket of fog</v>
      </c>
      <c r="C1450" s="8" t="s">
        <v>13</v>
      </c>
      <c r="D1450" s="8" t="s">
        <v>14</v>
      </c>
      <c r="E1450" s="8">
        <v>1</v>
      </c>
    </row>
    <row r="1451" spans="1:5" ht="15.75" customHeight="1" x14ac:dyDescent="0.25">
      <c r="A1451" s="6" t="s">
        <v>1446</v>
      </c>
      <c r="B1451" s="6" t="str">
        <f ca="1">IFERROR(__xludf.DUMMYFUNCTION("GOOGLETRANSLATE(A1451,""bn"",""en"")"),"I love hearing the stories of my ancestors")</f>
        <v>I love hearing the stories of my ancestors</v>
      </c>
      <c r="C1451" s="8" t="s">
        <v>13</v>
      </c>
      <c r="D1451" s="8" t="s">
        <v>14</v>
      </c>
      <c r="E1451" s="8">
        <v>1</v>
      </c>
    </row>
    <row r="1452" spans="1:5" ht="15.75" customHeight="1" x14ac:dyDescent="0.25">
      <c r="A1452" s="6" t="s">
        <v>1447</v>
      </c>
      <c r="B1452" s="6" t="str">
        <f ca="1">IFERROR(__xludf.DUMMYFUNCTION("GOOGLETRANSLATE(A1452,""bn"",""en"")"),"I thought that when the wife reached, the youth's anger must have turned on the rice")</f>
        <v>I thought that when the wife reached, the youth's anger must have turned on the rice</v>
      </c>
      <c r="C1452" s="7" t="s">
        <v>6</v>
      </c>
      <c r="D1452" s="7" t="s">
        <v>7</v>
      </c>
      <c r="E1452" s="7">
        <v>0</v>
      </c>
    </row>
    <row r="1453" spans="1:5" ht="15.75" customHeight="1" x14ac:dyDescent="0.25">
      <c r="A1453" s="6" t="s">
        <v>1448</v>
      </c>
      <c r="B1453" s="6" t="str">
        <f ca="1">IFERROR(__xludf.DUMMYFUNCTION("GOOGLETRANSLATE(A1453,""bn"",""en"")"),"How could it be so impossible that he was going to go today?")</f>
        <v>How could it be so impossible that he was going to go today?</v>
      </c>
      <c r="C1453" s="7" t="s">
        <v>6</v>
      </c>
      <c r="D1453" s="7" t="s">
        <v>7</v>
      </c>
      <c r="E1453" s="7">
        <v>0</v>
      </c>
    </row>
    <row r="1454" spans="1:5" ht="15.75" customHeight="1" x14ac:dyDescent="0.25">
      <c r="A1454" s="6" t="s">
        <v>1449</v>
      </c>
      <c r="B1454" s="6" t="str">
        <f ca="1">IFERROR(__xludf.DUMMYFUNCTION("GOOGLETRANSLATE(A1454,""bn"",""en"")"),"He heard a muffled cry inside the child's cry.")</f>
        <v>He heard a muffled cry inside the child's cry.</v>
      </c>
      <c r="C1454" s="7" t="s">
        <v>6</v>
      </c>
      <c r="D1454" s="7" t="s">
        <v>7</v>
      </c>
      <c r="E1454" s="7">
        <v>0</v>
      </c>
    </row>
    <row r="1455" spans="1:5" ht="15.75" customHeight="1" x14ac:dyDescent="0.25">
      <c r="A1455" s="6" t="s">
        <v>1450</v>
      </c>
      <c r="B1455" s="6" t="str">
        <f ca="1">IFERROR(__xludf.DUMMYFUNCTION("GOOGLETRANSLATE(A1455,""bn"",""en"")"),"If it falls, Haru's entire body will become mud")</f>
        <v>If it falls, Haru's entire body will become mud</v>
      </c>
      <c r="C1455" s="7" t="s">
        <v>6</v>
      </c>
      <c r="D1455" s="7" t="s">
        <v>7</v>
      </c>
      <c r="E1455" s="7">
        <v>0</v>
      </c>
    </row>
    <row r="1456" spans="1:5" ht="15.75" customHeight="1" x14ac:dyDescent="0.25">
      <c r="A1456" s="6" t="s">
        <v>1451</v>
      </c>
      <c r="B1456" s="6" t="str">
        <f ca="1">IFERROR(__xludf.DUMMYFUNCTION("GOOGLETRANSLATE(A1456,""bn"",""en"")"),"By the end of the night, a dark cloud was covering the horizon")</f>
        <v>By the end of the night, a dark cloud was covering the horizon</v>
      </c>
      <c r="C1456" s="7" t="s">
        <v>6</v>
      </c>
      <c r="D1456" s="7" t="s">
        <v>7</v>
      </c>
      <c r="E1456" s="7">
        <v>0</v>
      </c>
    </row>
    <row r="1457" spans="1:5" ht="15.75" customHeight="1" x14ac:dyDescent="0.25">
      <c r="A1457" s="6" t="s">
        <v>1452</v>
      </c>
      <c r="B1457" s="6" t="str">
        <f ca="1">IFERROR(__xludf.DUMMYFUNCTION("GOOGLETRANSLATE(A1457,""bn"",""en"")"),"Stunned Macbeth falls silent")</f>
        <v>Stunned Macbeth falls silent</v>
      </c>
      <c r="C1457" s="8" t="s">
        <v>13</v>
      </c>
      <c r="D1457" s="8" t="s">
        <v>14</v>
      </c>
      <c r="E1457" s="8">
        <v>1</v>
      </c>
    </row>
    <row r="1458" spans="1:5" ht="15.75" customHeight="1" x14ac:dyDescent="0.25">
      <c r="A1458" s="6" t="s">
        <v>1453</v>
      </c>
      <c r="B1458" s="6" t="str">
        <f ca="1">IFERROR(__xludf.DUMMYFUNCTION("GOOGLETRANSLATE(A1458,""bn"",""en"")"),"I am grateful for the loving support of my family")</f>
        <v>I am grateful for the loving support of my family</v>
      </c>
      <c r="C1458" s="8" t="s">
        <v>13</v>
      </c>
      <c r="D1458" s="8" t="s">
        <v>14</v>
      </c>
      <c r="E1458" s="8">
        <v>1</v>
      </c>
    </row>
    <row r="1459" spans="1:5" ht="15.75" customHeight="1" x14ac:dyDescent="0.25">
      <c r="A1459" s="6" t="s">
        <v>1454</v>
      </c>
      <c r="B1459" s="6" t="str">
        <f ca="1">IFERROR(__xludf.DUMMYFUNCTION("GOOGLETRANSLATE(A1459,""bn"",""en"")"),"I was underwhelmed by the lack of variety on the menu")</f>
        <v>I was underwhelmed by the lack of variety on the menu</v>
      </c>
      <c r="C1459" s="8" t="s">
        <v>13</v>
      </c>
      <c r="D1459" s="8" t="s">
        <v>14</v>
      </c>
      <c r="E1459" s="8">
        <v>1</v>
      </c>
    </row>
    <row r="1460" spans="1:5" ht="15.75" customHeight="1" x14ac:dyDescent="0.25">
      <c r="A1460" s="6" t="s">
        <v>1455</v>
      </c>
      <c r="B1460" s="6" t="str">
        <f ca="1">IFERROR(__xludf.DUMMYFUNCTION("GOOGLETRANSLATE(A1460,""bn"",""en"")"),"Macbeth was initially reluctant to commit murder")</f>
        <v>Macbeth was initially reluctant to commit murder</v>
      </c>
      <c r="C1460" s="8" t="s">
        <v>13</v>
      </c>
      <c r="D1460" s="8" t="s">
        <v>14</v>
      </c>
      <c r="E1460" s="8">
        <v>1</v>
      </c>
    </row>
    <row r="1461" spans="1:5" ht="15.75" customHeight="1" x14ac:dyDescent="0.25">
      <c r="A1461" s="6" t="s">
        <v>1456</v>
      </c>
      <c r="B1461" s="6" t="str">
        <f ca="1">IFERROR(__xludf.DUMMYFUNCTION("GOOGLETRANSLATE(A1461,""bn"",""en"")"),"are you listening to me")</f>
        <v>are you listening to me</v>
      </c>
      <c r="C1461" s="8" t="s">
        <v>13</v>
      </c>
      <c r="D1461" s="8" t="s">
        <v>14</v>
      </c>
      <c r="E1461" s="8">
        <v>1</v>
      </c>
    </row>
    <row r="1462" spans="1:5" ht="15.75" customHeight="1" x14ac:dyDescent="0.25">
      <c r="A1462" s="6" t="s">
        <v>1457</v>
      </c>
      <c r="B1462" s="6" t="str">
        <f ca="1">IFERROR(__xludf.DUMMYFUNCTION("GOOGLETRANSLATE(A1462,""bn"",""en"")"),"Don't waste your heart on imaginary people")</f>
        <v>Don't waste your heart on imaginary people</v>
      </c>
      <c r="C1462" s="7" t="s">
        <v>6</v>
      </c>
      <c r="D1462" s="7" t="s">
        <v>7</v>
      </c>
      <c r="E1462" s="7">
        <v>0</v>
      </c>
    </row>
    <row r="1463" spans="1:5" ht="15.75" customHeight="1" x14ac:dyDescent="0.25">
      <c r="A1463" s="6" t="s">
        <v>1458</v>
      </c>
      <c r="B1463" s="6" t="str">
        <f ca="1">IFERROR(__xludf.DUMMYFUNCTION("GOOGLETRANSLATE(A1463,""bn"",""en"")"),"The doctor made a very serious face and repeated that I would come from him")</f>
        <v>The doctor made a very serious face and repeated that I would come from him</v>
      </c>
      <c r="C1463" s="7" t="s">
        <v>6</v>
      </c>
      <c r="D1463" s="7" t="s">
        <v>7</v>
      </c>
      <c r="E1463" s="7">
        <v>0</v>
      </c>
    </row>
    <row r="1464" spans="1:5" ht="15.75" customHeight="1" x14ac:dyDescent="0.25">
      <c r="A1464" s="6" t="s">
        <v>1459</v>
      </c>
      <c r="B1464" s="6" t="str">
        <f ca="1">IFERROR(__xludf.DUMMYFUNCTION("GOOGLETRANSLATE(A1464,""bn"",""en"")"),"People will hear what will be his way")</f>
        <v>People will hear what will be his way</v>
      </c>
      <c r="C1464" s="7" t="s">
        <v>6</v>
      </c>
      <c r="D1464" s="7" t="s">
        <v>7</v>
      </c>
      <c r="E1464" s="7">
        <v>0</v>
      </c>
    </row>
    <row r="1465" spans="1:5" ht="15.75" customHeight="1" x14ac:dyDescent="0.25">
      <c r="A1465" s="6" t="s">
        <v>1460</v>
      </c>
      <c r="B1465" s="6" t="str">
        <f ca="1">IFERROR(__xludf.DUMMYFUNCTION("GOOGLETRANSLATE(A1465,""bn"",""en"")"),"Hiding a little smile, he went into the house")</f>
        <v>Hiding a little smile, he went into the house</v>
      </c>
      <c r="C1465" s="7" t="s">
        <v>6</v>
      </c>
      <c r="D1465" s="7" t="s">
        <v>7</v>
      </c>
      <c r="E1465" s="7">
        <v>0</v>
      </c>
    </row>
    <row r="1466" spans="1:5" ht="15.75" customHeight="1" x14ac:dyDescent="0.25">
      <c r="A1466" s="6" t="s">
        <v>1461</v>
      </c>
      <c r="B1466" s="6" t="str">
        <f ca="1">IFERROR(__xludf.DUMMYFUNCTION("GOOGLETRANSLATE(A1466,""bn"",""en"")"),"Taking her yawn as a sign of irritation, Govardhan did not dare to say anything")</f>
        <v>Taking her yawn as a sign of irritation, Govardhan did not dare to say anything</v>
      </c>
      <c r="C1466" s="7" t="s">
        <v>6</v>
      </c>
      <c r="D1466" s="7" t="s">
        <v>7</v>
      </c>
      <c r="E1466" s="7">
        <v>0</v>
      </c>
    </row>
    <row r="1467" spans="1:5" ht="15.75" customHeight="1" x14ac:dyDescent="0.25">
      <c r="A1467" s="6" t="s">
        <v>1462</v>
      </c>
      <c r="B1467" s="6" t="str">
        <f ca="1">IFERROR(__xludf.DUMMYFUNCTION("GOOGLETRANSLATE(A1467,""bn"",""en"")"),"This festival of Swadesh culture is still celebrated in Karnataka on the occasion of Navratri")</f>
        <v>This festival of Swadesh culture is still celebrated in Karnataka on the occasion of Navratri</v>
      </c>
      <c r="C1467" s="8" t="s">
        <v>13</v>
      </c>
      <c r="D1467" s="8" t="s">
        <v>14</v>
      </c>
      <c r="E1467" s="8">
        <v>1</v>
      </c>
    </row>
    <row r="1468" spans="1:5" ht="15.75" customHeight="1" x14ac:dyDescent="0.25">
      <c r="A1468" s="6" t="s">
        <v>1463</v>
      </c>
      <c r="B1468" s="6" t="str">
        <f ca="1">IFERROR(__xludf.DUMMYFUNCTION("GOOGLETRANSLATE(A1468,""bn"",""en"")"),"Sujan gave me the bat")</f>
        <v>Sujan gave me the bat</v>
      </c>
      <c r="C1468" s="8" t="s">
        <v>13</v>
      </c>
      <c r="D1468" s="8" t="s">
        <v>14</v>
      </c>
      <c r="E1468" s="8">
        <v>1</v>
      </c>
    </row>
    <row r="1469" spans="1:5" ht="15.75" customHeight="1" x14ac:dyDescent="0.25">
      <c r="A1469" s="6" t="s">
        <v>1464</v>
      </c>
      <c r="B1469" s="6" t="str">
        <f ca="1">IFERROR(__xludf.DUMMYFUNCTION("GOOGLETRANSLATE(A1469,""bn"",""en"")"),"Stakeholder engagement encourages alignment support")</f>
        <v>Stakeholder engagement encourages alignment support</v>
      </c>
      <c r="C1469" s="8" t="s">
        <v>13</v>
      </c>
      <c r="D1469" s="8" t="s">
        <v>14</v>
      </c>
      <c r="E1469" s="8">
        <v>1</v>
      </c>
    </row>
    <row r="1470" spans="1:5" ht="15.75" customHeight="1" x14ac:dyDescent="0.25">
      <c r="A1470" s="6" t="s">
        <v>1465</v>
      </c>
      <c r="B1470" s="6" t="str">
        <f ca="1">IFERROR(__xludf.DUMMYFUNCTION("GOOGLETRANSLATE(A1470,""bn"",""en"")"),"In the end, Karim Rahim got better results")</f>
        <v>In the end, Karim Rahim got better results</v>
      </c>
      <c r="C1470" s="8" t="s">
        <v>13</v>
      </c>
      <c r="D1470" s="8" t="s">
        <v>14</v>
      </c>
      <c r="E1470" s="8">
        <v>1</v>
      </c>
    </row>
    <row r="1471" spans="1:5" ht="15.75" customHeight="1" x14ac:dyDescent="0.25">
      <c r="A1471" s="6" t="s">
        <v>1466</v>
      </c>
      <c r="B1471" s="6" t="str">
        <f ca="1">IFERROR(__xludf.DUMMYFUNCTION("GOOGLETRANSLATE(A1471,""bn"",""en"")"),"Feeling uncertain about the future brings anxiety")</f>
        <v>Feeling uncertain about the future brings anxiety</v>
      </c>
      <c r="C1471" s="8" t="s">
        <v>13</v>
      </c>
      <c r="D1471" s="8" t="s">
        <v>14</v>
      </c>
      <c r="E1471" s="8">
        <v>1</v>
      </c>
    </row>
    <row r="1472" spans="1:5" ht="15.75" customHeight="1" x14ac:dyDescent="0.25">
      <c r="A1472" s="6" t="s">
        <v>1467</v>
      </c>
      <c r="B1472" s="6" t="str">
        <f ca="1">IFERROR(__xludf.DUMMYFUNCTION("GOOGLETRANSLATE(A1472,""bn"",""en"")"),"Sariya came closer and quietly asked if the doctor had gone")</f>
        <v>Sariya came closer and quietly asked if the doctor had gone</v>
      </c>
      <c r="C1472" s="7" t="s">
        <v>6</v>
      </c>
      <c r="D1472" s="7" t="s">
        <v>7</v>
      </c>
      <c r="E1472" s="7">
        <v>0</v>
      </c>
    </row>
    <row r="1473" spans="1:5" ht="15.75" customHeight="1" x14ac:dyDescent="0.25">
      <c r="A1473" s="6" t="s">
        <v>1468</v>
      </c>
      <c r="B1473" s="6" t="str">
        <f ca="1">IFERROR(__xludf.DUMMYFUNCTION("GOOGLETRANSLATE(A1473,""bn"",""en"")"),"Finding Haru in this condition outside the village, he was deeply hurt")</f>
        <v>Finding Haru in this condition outside the village, he was deeply hurt</v>
      </c>
      <c r="C1473" s="7" t="s">
        <v>6</v>
      </c>
      <c r="D1473" s="7" t="s">
        <v>7</v>
      </c>
      <c r="E1473" s="7">
        <v>0</v>
      </c>
    </row>
    <row r="1474" spans="1:5" ht="15.75" customHeight="1" x14ac:dyDescent="0.25">
      <c r="A1474" s="6" t="s">
        <v>1469</v>
      </c>
      <c r="B1474" s="6" t="str">
        <f ca="1">IFERROR(__xludf.DUMMYFUNCTION("GOOGLETRANSLATE(A1474,""bn"",""en"")"),"In the Palamau pargana there are countless hills after hills after hills after hills")</f>
        <v>In the Palamau pargana there are countless hills after hills after hills after hills</v>
      </c>
      <c r="C1474" s="7" t="s">
        <v>6</v>
      </c>
      <c r="D1474" s="7" t="s">
        <v>7</v>
      </c>
      <c r="E1474" s="7">
        <v>0</v>
      </c>
    </row>
    <row r="1475" spans="1:5" ht="15.75" customHeight="1" x14ac:dyDescent="0.25">
      <c r="A1475" s="6" t="s">
        <v>1470</v>
      </c>
      <c r="B1475" s="6" t="str">
        <f ca="1">IFERROR(__xludf.DUMMYFUNCTION("GOOGLETRANSLATE(A1475,""bn"",""en"")"),"Maybe I don't understand your mind")</f>
        <v>Maybe I don't understand your mind</v>
      </c>
      <c r="C1475" s="7" t="s">
        <v>6</v>
      </c>
      <c r="D1475" s="7" t="s">
        <v>7</v>
      </c>
      <c r="E1475" s="7">
        <v>0</v>
      </c>
    </row>
    <row r="1476" spans="1:5" ht="15.75" customHeight="1" x14ac:dyDescent="0.25">
      <c r="A1476" s="6" t="s">
        <v>1471</v>
      </c>
      <c r="B1476" s="6" t="str">
        <f ca="1">IFERROR(__xludf.DUMMYFUNCTION("GOOGLETRANSLATE(A1476,""bn"",""en"")"),"I began to wish that this man would be gone on this auspicious day today")</f>
        <v>I began to wish that this man would be gone on this auspicious day today</v>
      </c>
      <c r="C1476" s="7" t="s">
        <v>6</v>
      </c>
      <c r="D1476" s="7" t="s">
        <v>7</v>
      </c>
      <c r="E1476" s="7">
        <v>0</v>
      </c>
    </row>
    <row r="1477" spans="1:5" ht="15.75" customHeight="1" x14ac:dyDescent="0.25">
      <c r="A1477" s="6" t="s">
        <v>1472</v>
      </c>
      <c r="B1477" s="6" t="str">
        <f ca="1">IFERROR(__xludf.DUMMYFUNCTION("GOOGLETRANSLATE(A1477,""bn"",""en"")"),"Mohammedan again won the league title")</f>
        <v>Mohammedan again won the league title</v>
      </c>
      <c r="C1477" s="8" t="s">
        <v>13</v>
      </c>
      <c r="D1477" s="8" t="s">
        <v>14</v>
      </c>
      <c r="E1477" s="8">
        <v>1</v>
      </c>
    </row>
    <row r="1478" spans="1:5" ht="15.75" customHeight="1" x14ac:dyDescent="0.25">
      <c r="A1478" s="6" t="s">
        <v>1473</v>
      </c>
      <c r="B1478" s="6" t="str">
        <f ca="1">IFERROR(__xludf.DUMMYFUNCTION("GOOGLETRANSLATE(A1478,""bn"",""en"")"),"He was suffering from typhoid pneumonia a few days before his death")</f>
        <v>He was suffering from typhoid pneumonia a few days before his death</v>
      </c>
      <c r="C1478" s="8" t="s">
        <v>13</v>
      </c>
      <c r="D1478" s="8" t="s">
        <v>14</v>
      </c>
      <c r="E1478" s="8">
        <v>1</v>
      </c>
    </row>
    <row r="1479" spans="1:5" ht="15.75" customHeight="1" x14ac:dyDescent="0.25">
      <c r="A1479" s="6" t="s">
        <v>1474</v>
      </c>
      <c r="B1479" s="6" t="str">
        <f ca="1">IFERROR(__xludf.DUMMYFUNCTION("GOOGLETRANSLATE(A1479,""bn"",""en"")"),"At present the lake is heavily polluted")</f>
        <v>At present the lake is heavily polluted</v>
      </c>
      <c r="C1479" s="8" t="s">
        <v>13</v>
      </c>
      <c r="D1479" s="8" t="s">
        <v>14</v>
      </c>
      <c r="E1479" s="8">
        <v>1</v>
      </c>
    </row>
    <row r="1480" spans="1:5" ht="15.75" customHeight="1" x14ac:dyDescent="0.25">
      <c r="A1480" s="6" t="s">
        <v>1475</v>
      </c>
      <c r="B1480" s="6" t="str">
        <f ca="1">IFERROR(__xludf.DUMMYFUNCTION("GOOGLETRANSLATE(A1480,""bn"",""en"")"),"Law enforcement agencies play an important role in crime prevention")</f>
        <v>Law enforcement agencies play an important role in crime prevention</v>
      </c>
      <c r="C1480" s="8" t="s">
        <v>13</v>
      </c>
      <c r="D1480" s="8" t="s">
        <v>14</v>
      </c>
      <c r="E1480" s="8">
        <v>1</v>
      </c>
    </row>
    <row r="1481" spans="1:5" ht="15.75" customHeight="1" x14ac:dyDescent="0.25">
      <c r="A1481" s="6" t="s">
        <v>1476</v>
      </c>
      <c r="B1481" s="6" t="str">
        <f ca="1">IFERROR(__xludf.DUMMYFUNCTION("GOOGLETRANSLATE(A1481,""bn"",""en"")"),"It was raining continuously outside")</f>
        <v>It was raining continuously outside</v>
      </c>
      <c r="C1481" s="8" t="s">
        <v>13</v>
      </c>
      <c r="D1481" s="8" t="s">
        <v>14</v>
      </c>
      <c r="E1481" s="8">
        <v>1</v>
      </c>
    </row>
    <row r="1482" spans="1:5" ht="15.75" customHeight="1" x14ac:dyDescent="0.25">
      <c r="A1482" s="6" t="s">
        <v>1477</v>
      </c>
      <c r="B1482" s="6" t="str">
        <f ca="1">IFERROR(__xludf.DUMMYFUNCTION("GOOGLETRANSLATE(A1482,""bn"",""en"")"),"The tiger forcibly picked him up and took him away, and the tiger thrashed about in futile rage.")</f>
        <v>The tiger forcibly picked him up and took him away, and the tiger thrashed about in futile rage.</v>
      </c>
      <c r="C1482" s="7" t="s">
        <v>6</v>
      </c>
      <c r="D1482" s="7" t="s">
        <v>7</v>
      </c>
      <c r="E1482" s="7">
        <v>0</v>
      </c>
    </row>
    <row r="1483" spans="1:5" ht="15.75" customHeight="1" x14ac:dyDescent="0.25">
      <c r="A1483" s="6" t="s">
        <v>1478</v>
      </c>
      <c r="B1483" s="6" t="str">
        <f ca="1">IFERROR(__xludf.DUMMYFUNCTION("GOOGLETRANSLATE(A1483,""bn"",""en"")"),"Shubo saw me and came to me")</f>
        <v>Shubo saw me and came to me</v>
      </c>
      <c r="C1483" s="7" t="s">
        <v>6</v>
      </c>
      <c r="D1483" s="7" t="s">
        <v>7</v>
      </c>
      <c r="E1483" s="7">
        <v>0</v>
      </c>
    </row>
    <row r="1484" spans="1:5" ht="15.75" customHeight="1" x14ac:dyDescent="0.25">
      <c r="A1484" s="6" t="s">
        <v>1479</v>
      </c>
      <c r="B1484" s="6" t="str">
        <f ca="1">IFERROR(__xludf.DUMMYFUNCTION("GOOGLETRANSLATE(A1484,""bn"",""en"")"),"In this direction, the in-laws are pushing the daughter to sit up")</f>
        <v>In this direction, the in-laws are pushing the daughter to sit up</v>
      </c>
      <c r="C1484" s="7" t="s">
        <v>6</v>
      </c>
      <c r="D1484" s="7" t="s">
        <v>7</v>
      </c>
      <c r="E1484" s="7">
        <v>0</v>
      </c>
    </row>
    <row r="1485" spans="1:5" ht="15.75" customHeight="1" x14ac:dyDescent="0.25">
      <c r="A1485" s="6" t="s">
        <v>1480</v>
      </c>
      <c r="B1485" s="6" t="str">
        <f ca="1">IFERROR(__xludf.DUMMYFUNCTION("GOOGLETRANSLATE(A1485,""bn"",""en"")"),"Today felt very good")</f>
        <v>Today felt very good</v>
      </c>
      <c r="C1485" s="7" t="s">
        <v>6</v>
      </c>
      <c r="D1485" s="7" t="s">
        <v>7</v>
      </c>
      <c r="E1485" s="7">
        <v>0</v>
      </c>
    </row>
    <row r="1486" spans="1:5" ht="15.75" customHeight="1" x14ac:dyDescent="0.25">
      <c r="A1486" s="6" t="s">
        <v>1481</v>
      </c>
      <c r="B1486" s="6" t="str">
        <f ca="1">IFERROR(__xludf.DUMMYFUNCTION("GOOGLETRANSLATE(A1486,""bn"",""en"")"),"The child was sitting alone on the ground playing")</f>
        <v>The child was sitting alone on the ground playing</v>
      </c>
      <c r="C1486" s="7" t="s">
        <v>6</v>
      </c>
      <c r="D1486" s="7" t="s">
        <v>7</v>
      </c>
      <c r="E1486" s="7">
        <v>0</v>
      </c>
    </row>
    <row r="1487" spans="1:5" ht="15.75" customHeight="1" x14ac:dyDescent="0.25">
      <c r="A1487" s="6" t="s">
        <v>1482</v>
      </c>
      <c r="B1487" s="6" t="str">
        <f ca="1">IFERROR(__xludf.DUMMYFUNCTION("GOOGLETRANSLATE(A1487,""bn"",""en"")"),"He looked at me for a while with a bloodless pale face")</f>
        <v>He looked at me for a while with a bloodless pale face</v>
      </c>
      <c r="C1487" s="8" t="s">
        <v>13</v>
      </c>
      <c r="D1487" s="8" t="s">
        <v>14</v>
      </c>
      <c r="E1487" s="8">
        <v>1</v>
      </c>
    </row>
    <row r="1488" spans="1:5" ht="15.75" customHeight="1" x14ac:dyDescent="0.25">
      <c r="A1488" s="6" t="s">
        <v>1483</v>
      </c>
      <c r="B1488" s="6" t="str">
        <f ca="1">IFERROR(__xludf.DUMMYFUNCTION("GOOGLETRANSLATE(A1488,""bn"",""en"")"),"Their mission was successful so their hearts were full of joy")</f>
        <v>Their mission was successful so their hearts were full of joy</v>
      </c>
      <c r="C1488" s="8" t="s">
        <v>13</v>
      </c>
      <c r="D1488" s="8" t="s">
        <v>14</v>
      </c>
      <c r="E1488" s="8">
        <v>1</v>
      </c>
    </row>
    <row r="1489" spans="1:5" ht="15.75" customHeight="1" x14ac:dyDescent="0.25">
      <c r="A1489" s="6" t="s">
        <v>1484</v>
      </c>
      <c r="B1489" s="6" t="str">
        <f ca="1">IFERROR(__xludf.DUMMYFUNCTION("GOOGLETRANSLATE(A1489,""bn"",""en"")"),"The view of the sunset from the window of the train was very beautiful that day")</f>
        <v>The view of the sunset from the window of the train was very beautiful that day</v>
      </c>
      <c r="C1489" s="8" t="s">
        <v>13</v>
      </c>
      <c r="D1489" s="8" t="s">
        <v>14</v>
      </c>
      <c r="E1489" s="8">
        <v>1</v>
      </c>
    </row>
    <row r="1490" spans="1:5" ht="15.75" customHeight="1" x14ac:dyDescent="0.25">
      <c r="A1490" s="6" t="s">
        <v>1485</v>
      </c>
      <c r="B1490" s="6" t="str">
        <f ca="1">IFERROR(__xludf.DUMMYFUNCTION("GOOGLETRANSLATE(A1490,""bn"",""en"")"),"The quality of the product was exceptional I would recommend it to others")</f>
        <v>The quality of the product was exceptional I would recommend it to others</v>
      </c>
      <c r="C1490" s="8" t="s">
        <v>13</v>
      </c>
      <c r="D1490" s="8" t="s">
        <v>14</v>
      </c>
      <c r="E1490" s="8">
        <v>1</v>
      </c>
    </row>
    <row r="1491" spans="1:5" ht="15.75" customHeight="1" x14ac:dyDescent="0.25">
      <c r="A1491" s="6" t="s">
        <v>1486</v>
      </c>
      <c r="B1491" s="6" t="str">
        <f ca="1">IFERROR(__xludf.DUMMYFUNCTION("GOOGLETRANSLATE(A1491,""bn"",""en"")"),"Share your success story")</f>
        <v>Share your success story</v>
      </c>
      <c r="C1491" s="8" t="s">
        <v>13</v>
      </c>
      <c r="D1491" s="8" t="s">
        <v>14</v>
      </c>
      <c r="E1491" s="8">
        <v>1</v>
      </c>
    </row>
    <row r="1492" spans="1:5" ht="15.75" customHeight="1" x14ac:dyDescent="0.25">
      <c r="A1492" s="6" t="s">
        <v>1487</v>
      </c>
      <c r="B1492" s="6" t="str">
        <f ca="1">IFERROR(__xludf.DUMMYFUNCTION("GOOGLETRANSLATE(A1492,""bn"",""en"")"),"I waited for him at the station")</f>
        <v>I waited for him at the station</v>
      </c>
      <c r="C1492" s="7" t="s">
        <v>6</v>
      </c>
      <c r="D1492" s="7" t="s">
        <v>7</v>
      </c>
      <c r="E1492" s="7">
        <v>0</v>
      </c>
    </row>
    <row r="1493" spans="1:5" ht="15.75" customHeight="1" x14ac:dyDescent="0.25">
      <c r="A1493" s="6" t="s">
        <v>1488</v>
      </c>
      <c r="B1493" s="6" t="str">
        <f ca="1">IFERROR(__xludf.DUMMYFUNCTION("GOOGLETRANSLATE(A1493,""bn"",""en"")"),"Does he not know my thoughts whom I think of day and night?")</f>
        <v>Does he not know my thoughts whom I think of day and night?</v>
      </c>
      <c r="C1493" s="7" t="s">
        <v>6</v>
      </c>
      <c r="D1493" s="7" t="s">
        <v>7</v>
      </c>
      <c r="E1493" s="7">
        <v>0</v>
      </c>
    </row>
    <row r="1494" spans="1:5" ht="15.75" customHeight="1" x14ac:dyDescent="0.25">
      <c r="A1494" s="6" t="s">
        <v>1489</v>
      </c>
      <c r="B1494" s="6" t="str">
        <f ca="1">IFERROR(__xludf.DUMMYFUNCTION("GOOGLETRANSLATE(A1494,""bn"",""en"")"),"No one spoke for a long time")</f>
        <v>No one spoke for a long time</v>
      </c>
      <c r="C1494" s="7" t="s">
        <v>6</v>
      </c>
      <c r="D1494" s="7" t="s">
        <v>7</v>
      </c>
      <c r="E1494" s="7">
        <v>0</v>
      </c>
    </row>
    <row r="1495" spans="1:5" ht="15.75" customHeight="1" x14ac:dyDescent="0.25">
      <c r="A1495" s="6" t="s">
        <v>1490</v>
      </c>
      <c r="B1495" s="6" t="str">
        <f ca="1">IFERROR(__xludf.DUMMYFUNCTION("GOOGLETRANSLATE(A1495,""bn"",""en"")"),"I have found it, come soon, the tiger is sleeping")</f>
        <v>I have found it, come soon, the tiger is sleeping</v>
      </c>
      <c r="C1495" s="7" t="s">
        <v>6</v>
      </c>
      <c r="D1495" s="7" t="s">
        <v>7</v>
      </c>
      <c r="E1495" s="7">
        <v>0</v>
      </c>
    </row>
    <row r="1496" spans="1:5" ht="15.75" customHeight="1" x14ac:dyDescent="0.25">
      <c r="A1496" s="6" t="s">
        <v>1491</v>
      </c>
      <c r="B1496" s="6" t="str">
        <f ca="1">IFERROR(__xludf.DUMMYFUNCTION("GOOGLETRANSLATE(A1496,""bn"",""en"")"),"I suddenly started swearing why I should not be such a fool")</f>
        <v>I suddenly started swearing why I should not be such a fool</v>
      </c>
      <c r="C1496" s="7" t="s">
        <v>6</v>
      </c>
      <c r="D1496" s="7" t="s">
        <v>7</v>
      </c>
      <c r="E1496" s="7">
        <v>0</v>
      </c>
    </row>
    <row r="1497" spans="1:5" ht="15.75" customHeight="1" x14ac:dyDescent="0.25">
      <c r="A1497" s="6" t="s">
        <v>1492</v>
      </c>
      <c r="B1497" s="6" t="str">
        <f ca="1">IFERROR(__xludf.DUMMYFUNCTION("GOOGLETRANSLATE(A1497,""bn"",""en"")"),"It is your nature to misunderstand words")</f>
        <v>It is your nature to misunderstand words</v>
      </c>
      <c r="C1497" s="8" t="s">
        <v>13</v>
      </c>
      <c r="D1497" s="8" t="s">
        <v>14</v>
      </c>
      <c r="E1497" s="8">
        <v>1</v>
      </c>
    </row>
    <row r="1498" spans="1:5" ht="15.75" customHeight="1" x14ac:dyDescent="0.25">
      <c r="A1498" s="6" t="s">
        <v>1493</v>
      </c>
      <c r="B1498" s="6" t="str">
        <f ca="1">IFERROR(__xludf.DUMMYFUNCTION("GOOGLETRANSLATE(A1498,""bn"",""en"")"),"I don't have it")</f>
        <v>I don't have it</v>
      </c>
      <c r="C1498" s="8" t="s">
        <v>13</v>
      </c>
      <c r="D1498" s="8" t="s">
        <v>14</v>
      </c>
      <c r="E1498" s="8">
        <v>1</v>
      </c>
    </row>
    <row r="1499" spans="1:5" ht="15.75" customHeight="1" x14ac:dyDescent="0.25">
      <c r="A1499" s="6" t="s">
        <v>1494</v>
      </c>
      <c r="B1499" s="6" t="str">
        <f ca="1">IFERROR(__xludf.DUMMYFUNCTION("GOOGLETRANSLATE(A1499,""bn"",""en"")"),"Inhuman torture was carried out on him")</f>
        <v>Inhuman torture was carried out on him</v>
      </c>
      <c r="C1499" s="8" t="s">
        <v>13</v>
      </c>
      <c r="D1499" s="8" t="s">
        <v>14</v>
      </c>
      <c r="E1499" s="8">
        <v>1</v>
      </c>
    </row>
    <row r="1500" spans="1:5" ht="15.75" customHeight="1" x14ac:dyDescent="0.25">
      <c r="A1500" s="6" t="s">
        <v>1495</v>
      </c>
      <c r="B1500" s="6" t="str">
        <f ca="1">IFERROR(__xludf.DUMMYFUNCTION("GOOGLETRANSLATE(A1500,""bn"",""en"")"),"The police investigated and said that he died due to a tiger attack")</f>
        <v>The police investigated and said that he died due to a tiger attack</v>
      </c>
      <c r="C1500" s="8" t="s">
        <v>13</v>
      </c>
      <c r="D1500" s="8" t="s">
        <v>14</v>
      </c>
      <c r="E1500" s="8">
        <v>1</v>
      </c>
    </row>
    <row r="1501" spans="1:5" ht="15.75" customHeight="1" x14ac:dyDescent="0.25">
      <c r="A1501" s="6" t="s">
        <v>1496</v>
      </c>
      <c r="B1501" s="6" t="str">
        <f ca="1">IFERROR(__xludf.DUMMYFUNCTION("GOOGLETRANSLATE(A1501,""bn"",""en"")"),"Lakshmana Sen was known for his extraordinary qualities of charity")</f>
        <v>Lakshmana Sen was known for his extraordinary qualities of charity</v>
      </c>
      <c r="C1501" s="8" t="s">
        <v>13</v>
      </c>
      <c r="D1501" s="8" t="s">
        <v>14</v>
      </c>
      <c r="E1501" s="8">
        <v>1</v>
      </c>
    </row>
    <row r="1502" spans="1:5" ht="15.75" customHeight="1" x14ac:dyDescent="0.25">
      <c r="A1502" s="6" t="s">
        <v>1497</v>
      </c>
      <c r="B1502" s="6" t="str">
        <f ca="1">IFERROR(__xludf.DUMMYFUNCTION("GOOGLETRANSLATE(A1502,""bn"",""en"")"),"No one seemed to be awake anywhere")</f>
        <v>No one seemed to be awake anywhere</v>
      </c>
      <c r="C1502" s="7" t="s">
        <v>6</v>
      </c>
      <c r="D1502" s="7" t="s">
        <v>7</v>
      </c>
      <c r="E1502" s="7">
        <v>0</v>
      </c>
    </row>
    <row r="1503" spans="1:5" ht="15.75" customHeight="1" x14ac:dyDescent="0.25">
      <c r="A1503" s="6" t="s">
        <v>1498</v>
      </c>
      <c r="B1503" s="6" t="str">
        <f ca="1">IFERROR(__xludf.DUMMYFUNCTION("GOOGLETRANSLATE(A1503,""bn"",""en"")"),"It is necessary to say something like a scholar")</f>
        <v>It is necessary to say something like a scholar</v>
      </c>
      <c r="C1503" s="7" t="s">
        <v>6</v>
      </c>
      <c r="D1503" s="7" t="s">
        <v>7</v>
      </c>
      <c r="E1503" s="7">
        <v>0</v>
      </c>
    </row>
    <row r="1504" spans="1:5" ht="15.75" customHeight="1" x14ac:dyDescent="0.25">
      <c r="A1504" s="6" t="s">
        <v>1499</v>
      </c>
      <c r="B1504" s="6" t="str">
        <f ca="1">IFERROR(__xludf.DUMMYFUNCTION("GOOGLETRANSLATE(A1504,""bn"",""en"")"),"I stood for a long time looking at the beautiful scene")</f>
        <v>I stood for a long time looking at the beautiful scene</v>
      </c>
      <c r="C1504" s="7" t="s">
        <v>6</v>
      </c>
      <c r="D1504" s="7" t="s">
        <v>7</v>
      </c>
      <c r="E1504" s="7">
        <v>0</v>
      </c>
    </row>
    <row r="1505" spans="1:5" ht="15.75" customHeight="1" x14ac:dyDescent="0.25">
      <c r="A1505" s="6" t="s">
        <v>1500</v>
      </c>
      <c r="B1505" s="6" t="str">
        <f ca="1">IFERROR(__xludf.DUMMYFUNCTION("GOOGLETRANSLATE(A1505,""bn"",""en"")"),"Exhausted, they fell asleep in that quiet town")</f>
        <v>Exhausted, they fell asleep in that quiet town</v>
      </c>
      <c r="C1505" s="7" t="s">
        <v>6</v>
      </c>
      <c r="D1505" s="7" t="s">
        <v>7</v>
      </c>
      <c r="E1505" s="7">
        <v>0</v>
      </c>
    </row>
    <row r="1506" spans="1:5" ht="15.75" customHeight="1" x14ac:dyDescent="0.25">
      <c r="A1506" s="6" t="s">
        <v>1501</v>
      </c>
      <c r="B1506" s="6" t="str">
        <f ca="1">IFERROR(__xludf.DUMMYFUNCTION("GOOGLETRANSLATE(A1506,""bn"",""en"")"),"In spite of this abominable desire, the short-spoken doctor's master went on a three-day vacation, but the suffering increased and did not decrease.")</f>
        <v>In spite of this abominable desire, the short-spoken doctor's master went on a three-day vacation, but the suffering increased and did not decrease.</v>
      </c>
      <c r="C1506" s="7" t="s">
        <v>6</v>
      </c>
      <c r="D1506" s="7" t="s">
        <v>7</v>
      </c>
      <c r="E1506" s="7">
        <v>0</v>
      </c>
    </row>
    <row r="1507" spans="1:5" ht="15.75" customHeight="1" x14ac:dyDescent="0.25">
      <c r="A1507" s="6" t="s">
        <v>1502</v>
      </c>
      <c r="B1507" s="6" t="str">
        <f ca="1">IFERROR(__xludf.DUMMYFUNCTION("GOOGLETRANSLATE(A1507,""bn"",""en"")"),"So he was kept in hiding after an attempted kidnapping")</f>
        <v>So he was kept in hiding after an attempted kidnapping</v>
      </c>
      <c r="C1507" s="8" t="s">
        <v>13</v>
      </c>
      <c r="D1507" s="8" t="s">
        <v>14</v>
      </c>
      <c r="E1507" s="8">
        <v>1</v>
      </c>
    </row>
    <row r="1508" spans="1:5" ht="15.75" customHeight="1" x14ac:dyDescent="0.25">
      <c r="A1508" s="6" t="s">
        <v>1503</v>
      </c>
      <c r="B1508" s="6" t="str">
        <f ca="1">IFERROR(__xludf.DUMMYFUNCTION("GOOGLETRANSLATE(A1508,""bn"",""en"")"),"He spoke out against the Vietnam War")</f>
        <v>He spoke out against the Vietnam War</v>
      </c>
      <c r="C1508" s="8" t="s">
        <v>13</v>
      </c>
      <c r="D1508" s="8" t="s">
        <v>14</v>
      </c>
      <c r="E1508" s="8">
        <v>1</v>
      </c>
    </row>
    <row r="1509" spans="1:5" ht="15.75" customHeight="1" x14ac:dyDescent="0.25">
      <c r="A1509" s="6" t="s">
        <v>1504</v>
      </c>
      <c r="B1509" s="6" t="str">
        <f ca="1">IFERROR(__xludf.DUMMYFUNCTION("GOOGLETRANSLATE(A1509,""bn"",""en"")"),"Multicultural education promotes global awareness understanding")</f>
        <v>Multicultural education promotes global awareness understanding</v>
      </c>
      <c r="C1509" s="8" t="s">
        <v>13</v>
      </c>
      <c r="D1509" s="8" t="s">
        <v>14</v>
      </c>
      <c r="E1509" s="8">
        <v>1</v>
      </c>
    </row>
    <row r="1510" spans="1:5" ht="15.75" customHeight="1" x14ac:dyDescent="0.25">
      <c r="A1510" s="6" t="s">
        <v>1505</v>
      </c>
      <c r="B1510" s="6" t="str">
        <f ca="1">IFERROR(__xludf.DUMMYFUNCTION("GOOGLETRANSLATE(A1510,""bn"",""en"")"),"Vandana The first part is the Vandana which consists of worshiping the goddess or the honouree")</f>
        <v>Vandana The first part is the Vandana which consists of worshiping the goddess or the honouree</v>
      </c>
      <c r="C1510" s="8" t="s">
        <v>13</v>
      </c>
      <c r="D1510" s="8" t="s">
        <v>14</v>
      </c>
      <c r="E1510" s="8">
        <v>1</v>
      </c>
    </row>
    <row r="1511" spans="1:5" ht="15.75" customHeight="1" x14ac:dyDescent="0.25">
      <c r="A1511" s="6" t="s">
        <v>1506</v>
      </c>
      <c r="B1511" s="6" t="str">
        <f ca="1">IFERROR(__xludf.DUMMYFUNCTION("GOOGLETRANSLATE(A1511,""bn"",""en"")"),"The editorial section of the newspaper provides insightful commentary on various topics")</f>
        <v>The editorial section of the newspaper provides insightful commentary on various topics</v>
      </c>
      <c r="C1511" s="8" t="s">
        <v>13</v>
      </c>
      <c r="D1511" s="8" t="s">
        <v>14</v>
      </c>
      <c r="E1511" s="8">
        <v>1</v>
      </c>
    </row>
    <row r="1512" spans="1:5" ht="15.75" customHeight="1" x14ac:dyDescent="0.25">
      <c r="A1512" s="6" t="s">
        <v>1507</v>
      </c>
      <c r="B1512" s="6" t="str">
        <f ca="1">IFERROR(__xludf.DUMMYFUNCTION("GOOGLETRANSLATE(A1512,""bn"",""en"")"),"Who knows what Haru was thinking when he died")</f>
        <v>Who knows what Haru was thinking when he died</v>
      </c>
      <c r="C1512" s="7" t="s">
        <v>6</v>
      </c>
      <c r="D1512" s="7" t="s">
        <v>7</v>
      </c>
      <c r="E1512" s="7">
        <v>0</v>
      </c>
    </row>
    <row r="1513" spans="1:5" ht="15.75" customHeight="1" x14ac:dyDescent="0.25">
      <c r="A1513" s="6" t="s">
        <v>1508</v>
      </c>
      <c r="B1513" s="6" t="str">
        <f ca="1">IFERROR(__xludf.DUMMYFUNCTION("GOOGLETRANSLATE(A1513,""bn"",""en"")"),"The inside of the chest trembled and could not enter immediately")</f>
        <v>The inside of the chest trembled and could not enter immediately</v>
      </c>
      <c r="C1513" s="7" t="s">
        <v>6</v>
      </c>
      <c r="D1513" s="7" t="s">
        <v>7</v>
      </c>
      <c r="E1513" s="7">
        <v>0</v>
      </c>
    </row>
    <row r="1514" spans="1:5" ht="15.75" customHeight="1" x14ac:dyDescent="0.25">
      <c r="A1514" s="6" t="s">
        <v>1509</v>
      </c>
      <c r="B1514" s="6" t="str">
        <f ca="1">IFERROR(__xludf.DUMMYFUNCTION("GOOGLETRANSLATE(A1514,""bn"",""en"")"),"Now Rafiq is going to the mosque")</f>
        <v>Now Rafiq is going to the mosque</v>
      </c>
      <c r="C1514" s="7" t="s">
        <v>6</v>
      </c>
      <c r="D1514" s="7" t="s">
        <v>7</v>
      </c>
      <c r="E1514" s="7">
        <v>0</v>
      </c>
    </row>
    <row r="1515" spans="1:5" ht="15.75" customHeight="1" x14ac:dyDescent="0.25">
      <c r="A1515" s="6" t="s">
        <v>1510</v>
      </c>
      <c r="B1515" s="6" t="str">
        <f ca="1">IFERROR(__xludf.DUMMYFUNCTION("GOOGLETRANSLATE(A1515,""bn"",""en"")"),"He was very responsible towards his work")</f>
        <v>He was very responsible towards his work</v>
      </c>
      <c r="C1515" s="7" t="s">
        <v>6</v>
      </c>
      <c r="D1515" s="7" t="s">
        <v>7</v>
      </c>
      <c r="E1515" s="7">
        <v>0</v>
      </c>
    </row>
    <row r="1516" spans="1:5" ht="15.75" customHeight="1" x14ac:dyDescent="0.25">
      <c r="A1516" s="6" t="s">
        <v>1511</v>
      </c>
      <c r="B1516" s="6" t="str">
        <f ca="1">IFERROR(__xludf.DUMMYFUNCTION("GOOGLETRANSLATE(A1516,""bn"",""en"")"),"Rita and Rina entered the house together")</f>
        <v>Rita and Rina entered the house together</v>
      </c>
      <c r="C1516" s="7" t="s">
        <v>6</v>
      </c>
      <c r="D1516" s="7" t="s">
        <v>7</v>
      </c>
      <c r="E1516" s="7">
        <v>0</v>
      </c>
    </row>
    <row r="1517" spans="1:5" ht="15.75" customHeight="1" x14ac:dyDescent="0.25">
      <c r="A1517" s="6" t="s">
        <v>1512</v>
      </c>
      <c r="B1517" s="6" t="str">
        <f ca="1">IFERROR(__xludf.DUMMYFUNCTION("GOOGLETRANSLATE(A1517,""bn"",""en"")"),"The film won the Anime Grand Prix Award")</f>
        <v>The film won the Anime Grand Prix Award</v>
      </c>
      <c r="C1517" s="8" t="s">
        <v>13</v>
      </c>
      <c r="D1517" s="8" t="s">
        <v>14</v>
      </c>
      <c r="E1517" s="8">
        <v>1</v>
      </c>
    </row>
    <row r="1518" spans="1:5" ht="15.75" customHeight="1" x14ac:dyDescent="0.25">
      <c r="A1518" s="6" t="s">
        <v>1513</v>
      </c>
      <c r="B1518" s="6" t="str">
        <f ca="1">IFERROR(__xludf.DUMMYFUNCTION("GOOGLETRANSLATE(A1518,""bn"",""en"")"),"The countrymen welcomed them with joyous festivities.")</f>
        <v>The countrymen welcomed them with joyous festivities.</v>
      </c>
      <c r="C1518" s="8" t="s">
        <v>13</v>
      </c>
      <c r="D1518" s="8" t="s">
        <v>14</v>
      </c>
      <c r="E1518" s="8">
        <v>1</v>
      </c>
    </row>
    <row r="1519" spans="1:5" ht="15.75" customHeight="1" x14ac:dyDescent="0.25">
      <c r="A1519" s="6" t="s">
        <v>1514</v>
      </c>
      <c r="B1519" s="6" t="str">
        <f ca="1">IFERROR(__xludf.DUMMYFUNCTION("GOOGLETRANSLATE(A1519,""bn"",""en"")"),"I am currently enjoying spending time with my family")</f>
        <v>I am currently enjoying spending time with my family</v>
      </c>
      <c r="C1519" s="8" t="s">
        <v>13</v>
      </c>
      <c r="D1519" s="8" t="s">
        <v>14</v>
      </c>
      <c r="E1519" s="8">
        <v>1</v>
      </c>
    </row>
    <row r="1520" spans="1:5" ht="15.75" customHeight="1" x14ac:dyDescent="0.25">
      <c r="A1520" s="6" t="s">
        <v>1515</v>
      </c>
      <c r="B1520" s="6" t="str">
        <f ca="1">IFERROR(__xludf.DUMMYFUNCTION("GOOGLETRANSLATE(A1520,""bn"",""en"")"),"Educational institutions play an important role in shaping society")</f>
        <v>Educational institutions play an important role in shaping society</v>
      </c>
      <c r="C1520" s="8" t="s">
        <v>13</v>
      </c>
      <c r="D1520" s="8" t="s">
        <v>14</v>
      </c>
      <c r="E1520" s="8">
        <v>1</v>
      </c>
    </row>
    <row r="1521" spans="1:5" ht="15.75" customHeight="1" x14ac:dyDescent="0.25">
      <c r="A1521" s="6" t="s">
        <v>1516</v>
      </c>
      <c r="B1521" s="6" t="str">
        <f ca="1">IFERROR(__xludf.DUMMYFUNCTION("GOOGLETRANSLATE(A1521,""bn"",""en"")"),"who did you see")</f>
        <v>who did you see</v>
      </c>
      <c r="C1521" s="8" t="s">
        <v>13</v>
      </c>
      <c r="D1521" s="8" t="s">
        <v>14</v>
      </c>
      <c r="E1521" s="8">
        <v>1</v>
      </c>
    </row>
    <row r="1522" spans="1:5" ht="15.75" customHeight="1" x14ac:dyDescent="0.25">
      <c r="A1522" s="6" t="s">
        <v>1517</v>
      </c>
      <c r="B1522" s="6" t="str">
        <f ca="1">IFERROR(__xludf.DUMMYFUNCTION("GOOGLETRANSLATE(A1522,""bn"",""en"")"),"With Kailasavasini, the joyous fatherland of my house will darken and journey to the courthouse.")</f>
        <v>With Kailasavasini, the joyous fatherland of my house will darken and journey to the courthouse.</v>
      </c>
      <c r="C1522" s="7" t="s">
        <v>6</v>
      </c>
      <c r="D1522" s="7" t="s">
        <v>7</v>
      </c>
      <c r="E1522" s="7">
        <v>0</v>
      </c>
    </row>
    <row r="1523" spans="1:5" ht="15.75" customHeight="1" x14ac:dyDescent="0.25">
      <c r="A1523" s="6" t="s">
        <v>1518</v>
      </c>
      <c r="B1523" s="6" t="str">
        <f ca="1">IFERROR(__xludf.DUMMYFUNCTION("GOOGLETRANSLATE(A1523,""bn"",""en"")"),"One morning, when I woke up from sleep, I couldn't remember what a vague happiness it was when I heard that sound like a dream.")</f>
        <v>One morning, when I woke up from sleep, I couldn't remember what a vague happiness it was when I heard that sound like a dream.</v>
      </c>
      <c r="C1523" s="7" t="s">
        <v>6</v>
      </c>
      <c r="D1523" s="7" t="s">
        <v>7</v>
      </c>
      <c r="E1523" s="7">
        <v>0</v>
      </c>
    </row>
    <row r="1524" spans="1:5" ht="15.75" customHeight="1" x14ac:dyDescent="0.25">
      <c r="A1524" s="6" t="s">
        <v>1519</v>
      </c>
      <c r="B1524" s="6" t="str">
        <f ca="1">IFERROR(__xludf.DUMMYFUNCTION("GOOGLETRANSLATE(A1524,""bn"",""en"")"),"Those who love beauty and beauty in their old age will not be satisfied with the writings of the old man.")</f>
        <v>Those who love beauty and beauty in their old age will not be satisfied with the writings of the old man.</v>
      </c>
      <c r="C1524" s="7" t="s">
        <v>6</v>
      </c>
      <c r="D1524" s="7" t="s">
        <v>7</v>
      </c>
      <c r="E1524" s="7">
        <v>0</v>
      </c>
    </row>
    <row r="1525" spans="1:5" ht="15.75" customHeight="1" x14ac:dyDescent="0.25">
      <c r="A1525" s="6" t="s">
        <v>1520</v>
      </c>
      <c r="B1525" s="6" t="str">
        <f ca="1">IFERROR(__xludf.DUMMYFUNCTION("GOOGLETRANSLATE(A1525,""bn"",""en"")"),"This movie is very fun to watch.")</f>
        <v>This movie is very fun to watch.</v>
      </c>
      <c r="C1525" s="7" t="s">
        <v>6</v>
      </c>
      <c r="D1525" s="7" t="s">
        <v>7</v>
      </c>
      <c r="E1525" s="7">
        <v>0</v>
      </c>
    </row>
    <row r="1526" spans="1:5" ht="15.75" customHeight="1" x14ac:dyDescent="0.25">
      <c r="A1526" s="6" t="s">
        <v>1521</v>
      </c>
      <c r="B1526" s="6" t="str">
        <f ca="1">IFERROR(__xludf.DUMMYFUNCTION("GOOGLETRANSLATE(A1526,""bn"",""en"")"),"did you come to my house")</f>
        <v>did you come to my house</v>
      </c>
      <c r="C1526" s="7" t="s">
        <v>6</v>
      </c>
      <c r="D1526" s="7" t="s">
        <v>7</v>
      </c>
      <c r="E1526" s="7">
        <v>0</v>
      </c>
    </row>
    <row r="1527" spans="1:5" ht="15.75" customHeight="1" x14ac:dyDescent="0.25">
      <c r="A1527" s="6" t="s">
        <v>1522</v>
      </c>
      <c r="B1527" s="6" t="str">
        <f ca="1">IFERROR(__xludf.DUMMYFUNCTION("GOOGLETRANSLATE(A1527,""bn"",""en"")"),"Regularly rebalancing your investment portfolio can help you maintain your desired asset allocation")</f>
        <v>Regularly rebalancing your investment portfolio can help you maintain your desired asset allocation</v>
      </c>
      <c r="C1527" s="8" t="s">
        <v>13</v>
      </c>
      <c r="D1527" s="8" t="s">
        <v>14</v>
      </c>
      <c r="E1527" s="8">
        <v>1</v>
      </c>
    </row>
    <row r="1528" spans="1:5" ht="15.75" customHeight="1" x14ac:dyDescent="0.25">
      <c r="A1528" s="6" t="s">
        <v>1523</v>
      </c>
      <c r="B1528" s="6" t="str">
        <f ca="1">IFERROR(__xludf.DUMMYFUNCTION("GOOGLETRANSLATE(A1528,""bn"",""en"")"),"Be humble and know your worth")</f>
        <v>Be humble and know your worth</v>
      </c>
      <c r="C1528" s="8" t="s">
        <v>13</v>
      </c>
      <c r="D1528" s="8" t="s">
        <v>14</v>
      </c>
      <c r="E1528" s="8">
        <v>1</v>
      </c>
    </row>
    <row r="1529" spans="1:5" ht="15.75" customHeight="1" x14ac:dyDescent="0.25">
      <c r="A1529" s="6" t="s">
        <v>1524</v>
      </c>
      <c r="B1529" s="6" t="str">
        <f ca="1">IFERROR(__xludf.DUMMYFUNCTION("GOOGLETRANSLATE(A1529,""bn"",""en"")"),"Helping animals brings pure joy")</f>
        <v>Helping animals brings pure joy</v>
      </c>
      <c r="C1529" s="8" t="s">
        <v>13</v>
      </c>
      <c r="D1529" s="8" t="s">
        <v>14</v>
      </c>
      <c r="E1529" s="8">
        <v>1</v>
      </c>
    </row>
    <row r="1530" spans="1:5" ht="15.75" customHeight="1" x14ac:dyDescent="0.25">
      <c r="A1530" s="6" t="s">
        <v>1525</v>
      </c>
      <c r="B1530" s="6" t="str">
        <f ca="1">IFERROR(__xludf.DUMMYFUNCTION("GOOGLETRANSLATE(A1530,""bn"",""en"")"),"When the division was over, the distribution work began")</f>
        <v>When the division was over, the distribution work began</v>
      </c>
      <c r="C1530" s="8" t="s">
        <v>13</v>
      </c>
      <c r="D1530" s="8" t="s">
        <v>14</v>
      </c>
      <c r="E1530" s="8">
        <v>1</v>
      </c>
    </row>
    <row r="1531" spans="1:5" ht="15.75" customHeight="1" x14ac:dyDescent="0.25">
      <c r="A1531" s="6" t="s">
        <v>1526</v>
      </c>
      <c r="B1531" s="6" t="str">
        <f ca="1">IFERROR(__xludf.DUMMYFUNCTION("GOOGLETRANSLATE(A1531,""bn"",""en"")"),"He is on trial for life")</f>
        <v>He is on trial for life</v>
      </c>
      <c r="C1531" s="8" t="s">
        <v>13</v>
      </c>
      <c r="D1531" s="8" t="s">
        <v>14</v>
      </c>
      <c r="E1531" s="8">
        <v>1</v>
      </c>
    </row>
    <row r="1532" spans="1:5" ht="15.75" customHeight="1" x14ac:dyDescent="0.25">
      <c r="A1532" s="6" t="s">
        <v>1527</v>
      </c>
      <c r="B1532" s="6" t="str">
        <f ca="1">IFERROR(__xludf.DUMMYFUNCTION("GOOGLETRANSLATE(A1532,""bn"",""en"")"),"He grabbed it and said let's give it to you baby")</f>
        <v>He grabbed it and said let's give it to you baby</v>
      </c>
      <c r="C1532" s="7" t="s">
        <v>6</v>
      </c>
      <c r="D1532" s="7" t="s">
        <v>7</v>
      </c>
      <c r="E1532" s="7">
        <v>0</v>
      </c>
    </row>
    <row r="1533" spans="1:5" ht="15.75" customHeight="1" x14ac:dyDescent="0.25">
      <c r="A1533" s="6" t="s">
        <v>1528</v>
      </c>
      <c r="B1533" s="6" t="str">
        <f ca="1">IFERROR(__xludf.DUMMYFUNCTION("GOOGLETRANSLATE(A1533,""bn"",""en"")"),"I was sitting in my writing room looking at the accounts when Rahmat came and stood up to greet me")</f>
        <v>I was sitting in my writing room looking at the accounts when Rahmat came and stood up to greet me</v>
      </c>
      <c r="C1533" s="7" t="s">
        <v>6</v>
      </c>
      <c r="D1533" s="7" t="s">
        <v>7</v>
      </c>
      <c r="E1533" s="7">
        <v>0</v>
      </c>
    </row>
    <row r="1534" spans="1:5" ht="15.75" customHeight="1" x14ac:dyDescent="0.25">
      <c r="A1534" s="6" t="s">
        <v>1529</v>
      </c>
      <c r="B1534" s="6" t="str">
        <f ca="1">IFERROR(__xludf.DUMMYFUNCTION("GOOGLETRANSLATE(A1534,""bn"",""en"")"),"In the end all the anger fell on the mother")</f>
        <v>In the end all the anger fell on the mother</v>
      </c>
      <c r="C1534" s="7" t="s">
        <v>6</v>
      </c>
      <c r="D1534" s="7" t="s">
        <v>7</v>
      </c>
      <c r="E1534" s="7">
        <v>0</v>
      </c>
    </row>
    <row r="1535" spans="1:5" ht="15.75" customHeight="1" x14ac:dyDescent="0.25">
      <c r="A1535" s="6" t="s">
        <v>1530</v>
      </c>
      <c r="B1535" s="6" t="str">
        <f ca="1">IFERROR(__xludf.DUMMYFUNCTION("GOOGLETRANSLATE(A1535,""bn"",""en"")"),"After listening to the state, the fathers of both sides became cautious")</f>
        <v>After listening to the state, the fathers of both sides became cautious</v>
      </c>
      <c r="C1535" s="7" t="s">
        <v>6</v>
      </c>
      <c r="D1535" s="7" t="s">
        <v>7</v>
      </c>
      <c r="E1535" s="7">
        <v>0</v>
      </c>
    </row>
    <row r="1536" spans="1:5" ht="15.75" customHeight="1" x14ac:dyDescent="0.25">
      <c r="A1536" s="6" t="s">
        <v>1531</v>
      </c>
      <c r="B1536" s="6" t="str">
        <f ca="1">IFERROR(__xludf.DUMMYFUNCTION("GOOGLETRANSLATE(A1536,""bn"",""en"")"),"After a short while a small desert covered with semi-arid grass appeared.")</f>
        <v>After a short while a small desert covered with semi-arid grass appeared.</v>
      </c>
      <c r="C1536" s="7" t="s">
        <v>6</v>
      </c>
      <c r="D1536" s="7" t="s">
        <v>7</v>
      </c>
      <c r="E1536" s="7">
        <v>0</v>
      </c>
    </row>
    <row r="1537" spans="1:5" ht="15.75" customHeight="1" x14ac:dyDescent="0.25">
      <c r="A1537" s="6" t="s">
        <v>1532</v>
      </c>
      <c r="B1537" s="6" t="str">
        <f ca="1">IFERROR(__xludf.DUMMYFUNCTION("GOOGLETRANSLATE(A1537,""bn"",""en"")"),"Rumi told his brother about me")</f>
        <v>Rumi told his brother about me</v>
      </c>
      <c r="C1537" s="8" t="s">
        <v>13</v>
      </c>
      <c r="D1537" s="8" t="s">
        <v>14</v>
      </c>
      <c r="E1537" s="8">
        <v>1</v>
      </c>
    </row>
    <row r="1538" spans="1:5" ht="15.75" customHeight="1" x14ac:dyDescent="0.25">
      <c r="A1538" s="6" t="s">
        <v>1533</v>
      </c>
      <c r="B1538" s="6" t="str">
        <f ca="1">IFERROR(__xludf.DUMMYFUNCTION("GOOGLETRANSLATE(A1538,""bn"",""en"")"),"He won the Nobel Prize in Physics in")</f>
        <v>He won the Nobel Prize in Physics in</v>
      </c>
      <c r="C1538" s="8" t="s">
        <v>13</v>
      </c>
      <c r="D1538" s="8" t="s">
        <v>14</v>
      </c>
      <c r="E1538" s="8">
        <v>1</v>
      </c>
    </row>
    <row r="1539" spans="1:5" ht="15.75" customHeight="1" x14ac:dyDescent="0.25">
      <c r="A1539" s="6" t="s">
        <v>1534</v>
      </c>
      <c r="B1539" s="6" t="str">
        <f ca="1">IFERROR(__xludf.DUMMYFUNCTION("GOOGLETRANSLATE(A1539,""bn"",""en"")"),"Russell's mother works at home")</f>
        <v>Russell's mother works at home</v>
      </c>
      <c r="C1539" s="8" t="s">
        <v>13</v>
      </c>
      <c r="D1539" s="8" t="s">
        <v>14</v>
      </c>
      <c r="E1539" s="8">
        <v>1</v>
      </c>
    </row>
    <row r="1540" spans="1:5" ht="15.75" customHeight="1" x14ac:dyDescent="0.25">
      <c r="A1540" s="6" t="s">
        <v>1535</v>
      </c>
      <c r="B1540" s="6" t="str">
        <f ca="1">IFERROR(__xludf.DUMMYFUNCTION("GOOGLETRANSLATE(A1540,""bn"",""en"")"),"Landlord lives on one floor")</f>
        <v>Landlord lives on one floor</v>
      </c>
      <c r="C1540" s="8" t="s">
        <v>13</v>
      </c>
      <c r="D1540" s="8" t="s">
        <v>14</v>
      </c>
      <c r="E1540" s="8">
        <v>1</v>
      </c>
    </row>
    <row r="1541" spans="1:5" ht="15.75" customHeight="1" x14ac:dyDescent="0.25">
      <c r="A1541" s="6" t="s">
        <v>1536</v>
      </c>
      <c r="B1541" s="6" t="str">
        <f ca="1">IFERROR(__xludf.DUMMYFUNCTION("GOOGLETRANSLATE(A1541,""bn"",""en"")"),"Samurai are killed")</f>
        <v>Samurai are killed</v>
      </c>
      <c r="C1541" s="8" t="s">
        <v>13</v>
      </c>
      <c r="D1541" s="8" t="s">
        <v>14</v>
      </c>
      <c r="E1541" s="8">
        <v>1</v>
      </c>
    </row>
    <row r="1542" spans="1:5" ht="15.75" customHeight="1" x14ac:dyDescent="0.25">
      <c r="A1542" s="6" t="s">
        <v>1537</v>
      </c>
      <c r="B1542" s="6" t="str">
        <f ca="1">IFERROR(__xludf.DUMMYFUNCTION("GOOGLETRANSLATE(A1542,""bn"",""en"")"),"Who did you go to play with?")</f>
        <v>Who did you go to play with?</v>
      </c>
      <c r="C1542" s="7" t="s">
        <v>6</v>
      </c>
      <c r="D1542" s="7" t="s">
        <v>7</v>
      </c>
      <c r="E1542" s="7">
        <v>0</v>
      </c>
    </row>
    <row r="1543" spans="1:5" ht="15.75" customHeight="1" x14ac:dyDescent="0.25">
      <c r="A1543" s="6" t="s">
        <v>1538</v>
      </c>
      <c r="B1543" s="6" t="str">
        <f ca="1">IFERROR(__xludf.DUMMYFUNCTION("GOOGLETRANSLATE(A1543,""bn"",""en"")"),"She was looking at him blankly")</f>
        <v>She was looking at him blankly</v>
      </c>
      <c r="C1543" s="7" t="s">
        <v>6</v>
      </c>
      <c r="D1543" s="7" t="s">
        <v>7</v>
      </c>
      <c r="E1543" s="7">
        <v>0</v>
      </c>
    </row>
    <row r="1544" spans="1:5" ht="15.75" customHeight="1" x14ac:dyDescent="0.25">
      <c r="A1544" s="6" t="s">
        <v>1539</v>
      </c>
      <c r="B1544" s="6" t="str">
        <f ca="1">IFERROR(__xludf.DUMMYFUNCTION("GOOGLETRANSLATE(A1544,""bn"",""en"")"),"I trusted him a lot and he lied to me.")</f>
        <v>I trusted him a lot and he lied to me.</v>
      </c>
      <c r="C1544" s="7" t="s">
        <v>6</v>
      </c>
      <c r="D1544" s="7" t="s">
        <v>7</v>
      </c>
      <c r="E1544" s="7">
        <v>0</v>
      </c>
    </row>
    <row r="1545" spans="1:5" ht="15.75" customHeight="1" x14ac:dyDescent="0.25">
      <c r="A1545" s="6" t="s">
        <v>1540</v>
      </c>
      <c r="B1545" s="6" t="str">
        <f ca="1">IFERROR(__xludf.DUMMYFUNCTION("GOOGLETRANSLATE(A1545,""bn"",""en"")"),"At that time the householder returned from Kachari")</f>
        <v>At that time the householder returned from Kachari</v>
      </c>
      <c r="C1545" s="7" t="s">
        <v>6</v>
      </c>
      <c r="D1545" s="7" t="s">
        <v>7</v>
      </c>
      <c r="E1545" s="7">
        <v>0</v>
      </c>
    </row>
    <row r="1546" spans="1:5" ht="15.75" customHeight="1" x14ac:dyDescent="0.25">
      <c r="A1546" s="6" t="s">
        <v>1541</v>
      </c>
      <c r="B1546" s="6" t="str">
        <f ca="1">IFERROR(__xludf.DUMMYFUNCTION("GOOGLETRANSLATE(A1546,""bn"",""en"")"),"After a long time the sound of shoes stopped at the door")</f>
        <v>After a long time the sound of shoes stopped at the door</v>
      </c>
      <c r="C1546" s="7" t="s">
        <v>6</v>
      </c>
      <c r="D1546" s="7" t="s">
        <v>7</v>
      </c>
      <c r="E1546" s="7">
        <v>0</v>
      </c>
    </row>
    <row r="1547" spans="1:5" ht="15.75" customHeight="1" x14ac:dyDescent="0.25">
      <c r="A1547" s="6" t="s">
        <v>1542</v>
      </c>
      <c r="B1547" s="6" t="str">
        <f ca="1">IFERROR(__xludf.DUMMYFUNCTION("GOOGLETRANSLATE(A1547,""bn"",""en"")"),"He died in an accident")</f>
        <v>He died in an accident</v>
      </c>
      <c r="C1547" s="8" t="s">
        <v>13</v>
      </c>
      <c r="D1547" s="8" t="s">
        <v>14</v>
      </c>
      <c r="E1547" s="8">
        <v>1</v>
      </c>
    </row>
    <row r="1548" spans="1:5" ht="15.75" customHeight="1" x14ac:dyDescent="0.25">
      <c r="A1548" s="6" t="s">
        <v>1543</v>
      </c>
      <c r="B1548" s="6" t="str">
        <f ca="1">IFERROR(__xludf.DUMMYFUNCTION("GOOGLETRANSLATE(A1548,""bn"",""en"")"),"Integrated farming systems combine crop production with livestock or aquaculture for efficiency")</f>
        <v>Integrated farming systems combine crop production with livestock or aquaculture for efficiency</v>
      </c>
      <c r="C1548" s="8" t="s">
        <v>13</v>
      </c>
      <c r="D1548" s="8" t="s">
        <v>14</v>
      </c>
      <c r="E1548" s="8">
        <v>1</v>
      </c>
    </row>
    <row r="1549" spans="1:5" ht="15.75" customHeight="1" x14ac:dyDescent="0.25">
      <c r="A1549" s="6" t="s">
        <v>1544</v>
      </c>
      <c r="B1549" s="6" t="str">
        <f ca="1">IFERROR(__xludf.DUMMYFUNCTION("GOOGLETRANSLATE(A1549,""bn"",""en"")"),"He was looking at the tree in fascination")</f>
        <v>He was looking at the tree in fascination</v>
      </c>
      <c r="C1549" s="8" t="s">
        <v>13</v>
      </c>
      <c r="D1549" s="8" t="s">
        <v>14</v>
      </c>
      <c r="E1549" s="8">
        <v>1</v>
      </c>
    </row>
    <row r="1550" spans="1:5" ht="15.75" customHeight="1" x14ac:dyDescent="0.25">
      <c r="A1550" s="6" t="s">
        <v>1545</v>
      </c>
      <c r="B1550" s="6" t="str">
        <f ca="1">IFERROR(__xludf.DUMMYFUNCTION("GOOGLETRANSLATE(A1550,""bn"",""en"")"),"This condition should be followed for one year")</f>
        <v>This condition should be followed for one year</v>
      </c>
      <c r="C1550" s="8" t="s">
        <v>13</v>
      </c>
      <c r="D1550" s="8" t="s">
        <v>14</v>
      </c>
      <c r="E1550" s="8">
        <v>1</v>
      </c>
    </row>
    <row r="1551" spans="1:5" ht="15.75" customHeight="1" x14ac:dyDescent="0.25">
      <c r="A1551" s="6" t="s">
        <v>1546</v>
      </c>
      <c r="B1551" s="6" t="str">
        <f ca="1">IFERROR(__xludf.DUMMYFUNCTION("GOOGLETRANSLATE(A1551,""bn"",""en"")"),"His house looks very nice")</f>
        <v>His house looks very nice</v>
      </c>
      <c r="C1551" s="8" t="s">
        <v>13</v>
      </c>
      <c r="D1551" s="8" t="s">
        <v>14</v>
      </c>
      <c r="E1551" s="8">
        <v>1</v>
      </c>
    </row>
    <row r="1552" spans="1:5" ht="15.75" customHeight="1" x14ac:dyDescent="0.25">
      <c r="A1552" s="6" t="s">
        <v>1547</v>
      </c>
      <c r="B1552" s="6" t="str">
        <f ca="1">IFERROR(__xludf.DUMMYFUNCTION("GOOGLETRANSLATE(A1552,""bn"",""en"")"),"Green called me to play")</f>
        <v>Green called me to play</v>
      </c>
      <c r="C1552" s="7" t="s">
        <v>6</v>
      </c>
      <c r="D1552" s="7" t="s">
        <v>7</v>
      </c>
      <c r="E1552" s="7">
        <v>0</v>
      </c>
    </row>
    <row r="1553" spans="1:5" ht="15.75" customHeight="1" x14ac:dyDescent="0.25">
      <c r="A1553" s="6" t="s">
        <v>1548</v>
      </c>
      <c r="B1553" s="6" t="str">
        <f ca="1">IFERROR(__xludf.DUMMYFUNCTION("GOOGLETRANSLATE(A1553,""bn"",""en"")"),"I saw it shrink")</f>
        <v>I saw it shrink</v>
      </c>
      <c r="C1553" s="7" t="s">
        <v>6</v>
      </c>
      <c r="D1553" s="7" t="s">
        <v>7</v>
      </c>
      <c r="E1553" s="7">
        <v>0</v>
      </c>
    </row>
    <row r="1554" spans="1:5" ht="15.75" customHeight="1" x14ac:dyDescent="0.25">
      <c r="A1554" s="6" t="s">
        <v>1549</v>
      </c>
      <c r="B1554" s="6" t="str">
        <f ca="1">IFERROR(__xludf.DUMMYFUNCTION("GOOGLETRANSLATE(A1554,""bn"",""en"")"),"The doctor who was treating Haran is giving medicine free of charge")</f>
        <v>The doctor who was treating Haran is giving medicine free of charge</v>
      </c>
      <c r="C1554" s="7" t="s">
        <v>6</v>
      </c>
      <c r="D1554" s="7" t="s">
        <v>7</v>
      </c>
      <c r="E1554" s="7">
        <v>0</v>
      </c>
    </row>
    <row r="1555" spans="1:5" ht="15.75" customHeight="1" x14ac:dyDescent="0.25">
      <c r="A1555" s="6" t="s">
        <v>1550</v>
      </c>
      <c r="B1555" s="6" t="str">
        <f ca="1">IFERROR(__xludf.DUMMYFUNCTION("GOOGLETRANSLATE(A1555,""bn"",""en"")"),"I trusted him so much he lied to me")</f>
        <v>I trusted him so much he lied to me</v>
      </c>
      <c r="C1555" s="7" t="s">
        <v>6</v>
      </c>
      <c r="D1555" s="7" t="s">
        <v>7</v>
      </c>
      <c r="E1555" s="7">
        <v>0</v>
      </c>
    </row>
    <row r="1556" spans="1:5" ht="15.75" customHeight="1" x14ac:dyDescent="0.25">
      <c r="A1556" s="6" t="s">
        <v>1551</v>
      </c>
      <c r="B1556" s="6" t="str">
        <f ca="1">IFERROR(__xludf.DUMMYFUNCTION("GOOGLETRANSLATE(A1556,""bn"",""en"")"),"I accompanied him in his loneliness")</f>
        <v>I accompanied him in his loneliness</v>
      </c>
      <c r="C1556" s="7" t="s">
        <v>6</v>
      </c>
      <c r="D1556" s="7" t="s">
        <v>7</v>
      </c>
      <c r="E1556" s="7">
        <v>0</v>
      </c>
    </row>
    <row r="1557" spans="1:5" ht="15.75" customHeight="1" x14ac:dyDescent="0.25">
      <c r="A1557" s="6" t="s">
        <v>1552</v>
      </c>
      <c r="B1557" s="6" t="str">
        <f ca="1">IFERROR(__xludf.DUMMYFUNCTION("GOOGLETRANSLATE(A1557,""bn"",""en"")"),"I have been noticing something for a long time")</f>
        <v>I have been noticing something for a long time</v>
      </c>
      <c r="C1557" s="8" t="s">
        <v>13</v>
      </c>
      <c r="D1557" s="8" t="s">
        <v>14</v>
      </c>
      <c r="E1557" s="8">
        <v>1</v>
      </c>
    </row>
    <row r="1558" spans="1:5" ht="15.75" customHeight="1" x14ac:dyDescent="0.25">
      <c r="A1558" s="6" t="s">
        <v>471</v>
      </c>
      <c r="B1558" s="6" t="str">
        <f ca="1">IFERROR(__xludf.DUMMYFUNCTION("GOOGLETRANSLATE(A1558,""bn"",""en"")"),"He went to jail smiling")</f>
        <v>He went to jail smiling</v>
      </c>
      <c r="C1558" s="8" t="s">
        <v>13</v>
      </c>
      <c r="D1558" s="8" t="s">
        <v>14</v>
      </c>
      <c r="E1558" s="8">
        <v>1</v>
      </c>
    </row>
    <row r="1559" spans="1:5" ht="15.75" customHeight="1" x14ac:dyDescent="0.25">
      <c r="A1559" s="6" t="s">
        <v>1553</v>
      </c>
      <c r="B1559" s="6" t="str">
        <f ca="1">IFERROR(__xludf.DUMMYFUNCTION("GOOGLETRANSLATE(A1559,""bn"",""en"")"),"I hope to improve more in the future")</f>
        <v>I hope to improve more in the future</v>
      </c>
      <c r="C1559" s="8" t="s">
        <v>13</v>
      </c>
      <c r="D1559" s="8" t="s">
        <v>14</v>
      </c>
      <c r="E1559" s="8">
        <v>1</v>
      </c>
    </row>
    <row r="1560" spans="1:5" ht="15.75" customHeight="1" x14ac:dyDescent="0.25">
      <c r="A1560" s="6" t="s">
        <v>1554</v>
      </c>
      <c r="B1560" s="6" t="str">
        <f ca="1">IFERROR(__xludf.DUMMYFUNCTION("GOOGLETRANSLATE(A1560,""bn"",""en"")"),"Experiencing success after hard work brings fulfillment")</f>
        <v>Experiencing success after hard work brings fulfillment</v>
      </c>
      <c r="C1560" s="8" t="s">
        <v>13</v>
      </c>
      <c r="D1560" s="8" t="s">
        <v>14</v>
      </c>
      <c r="E1560" s="8">
        <v>1</v>
      </c>
    </row>
    <row r="1561" spans="1:5" ht="15.75" customHeight="1" x14ac:dyDescent="0.25">
      <c r="A1561" s="6" t="s">
        <v>1555</v>
      </c>
      <c r="B1561" s="6" t="str">
        <f ca="1">IFERROR(__xludf.DUMMYFUNCTION("GOOGLETRANSLATE(A1561,""bn"",""en"")"),"Rana Sahib asked to do it")</f>
        <v>Rana Sahib asked to do it</v>
      </c>
      <c r="C1561" s="8" t="s">
        <v>13</v>
      </c>
      <c r="D1561" s="8" t="s">
        <v>14</v>
      </c>
      <c r="E1561" s="8">
        <v>1</v>
      </c>
    </row>
    <row r="1562" spans="1:5" ht="15.75" customHeight="1" x14ac:dyDescent="0.25">
      <c r="A1562" s="6" t="s">
        <v>1556</v>
      </c>
      <c r="B1562" s="6" t="str">
        <f ca="1">IFERROR(__xludf.DUMMYFUNCTION("GOOGLETRANSLATE(A1562,""bn"",""en"")"),"Abode has dominion over the mind")</f>
        <v>Abode has dominion over the mind</v>
      </c>
      <c r="C1562" s="7" t="s">
        <v>6</v>
      </c>
      <c r="D1562" s="7" t="s">
        <v>7</v>
      </c>
      <c r="E1562" s="7">
        <v>0</v>
      </c>
    </row>
    <row r="1563" spans="1:5" ht="15.75" customHeight="1" x14ac:dyDescent="0.25">
      <c r="A1563" s="6" t="s">
        <v>1557</v>
      </c>
      <c r="B1563" s="6" t="str">
        <f ca="1">IFERROR(__xludf.DUMMYFUNCTION("GOOGLETRANSLATE(A1563,""bn"",""en"")"),"The president's name was Gaurmohan and his relatives called him Gora")</f>
        <v>The president's name was Gaurmohan and his relatives called him Gora</v>
      </c>
      <c r="C1563" s="7" t="s">
        <v>6</v>
      </c>
      <c r="D1563" s="7" t="s">
        <v>7</v>
      </c>
      <c r="E1563" s="7">
        <v>0</v>
      </c>
    </row>
    <row r="1564" spans="1:5" ht="15.75" customHeight="1" x14ac:dyDescent="0.25">
      <c r="A1564" s="6" t="s">
        <v>1558</v>
      </c>
      <c r="B1564" s="6" t="str">
        <f ca="1">IFERROR(__xludf.DUMMYFUNCTION("GOOGLETRANSLATE(A1564,""bn"",""en"")"),"Rafi Neha went to play football")</f>
        <v>Rafi Neha went to play football</v>
      </c>
      <c r="C1564" s="7" t="s">
        <v>6</v>
      </c>
      <c r="D1564" s="7" t="s">
        <v>7</v>
      </c>
      <c r="E1564" s="7">
        <v>0</v>
      </c>
    </row>
    <row r="1565" spans="1:5" ht="15.75" customHeight="1" x14ac:dyDescent="0.25">
      <c r="A1565" s="6" t="s">
        <v>1559</v>
      </c>
      <c r="B1565" s="6" t="str">
        <f ca="1">IFERROR(__xludf.DUMMYFUNCTION("GOOGLETRANSLATE(A1565,""bn"",""en"")"),"Football is being played in the field")</f>
        <v>Football is being played in the field</v>
      </c>
      <c r="C1565" s="7" t="s">
        <v>6</v>
      </c>
      <c r="D1565" s="7" t="s">
        <v>7</v>
      </c>
      <c r="E1565" s="7">
        <v>0</v>
      </c>
    </row>
    <row r="1566" spans="1:5" ht="15.75" customHeight="1" x14ac:dyDescent="0.25">
      <c r="A1566" s="6" t="s">
        <v>1560</v>
      </c>
      <c r="B1566" s="6" t="str">
        <f ca="1">IFERROR(__xludf.DUMMYFUNCTION("GOOGLETRANSLATE(A1566,""bn"",""en"")"),"He expressed his will in various ways")</f>
        <v>He expressed his will in various ways</v>
      </c>
      <c r="C1566" s="7" t="s">
        <v>6</v>
      </c>
      <c r="D1566" s="7" t="s">
        <v>7</v>
      </c>
      <c r="E1566" s="7">
        <v>0</v>
      </c>
    </row>
    <row r="1567" spans="1:5" ht="15.75" customHeight="1" x14ac:dyDescent="0.25">
      <c r="A1567" s="6" t="s">
        <v>1561</v>
      </c>
      <c r="B1567" s="6" t="str">
        <f ca="1">IFERROR(__xludf.DUMMYFUNCTION("GOOGLETRANSLATE(A1567,""bn"",""en"")"),"It took almost twenty four hours for Irtazuddin Sahib to find out Shahed's address")</f>
        <v>It took almost twenty four hours for Irtazuddin Sahib to find out Shahed's address</v>
      </c>
      <c r="C1567" s="8" t="s">
        <v>13</v>
      </c>
      <c r="D1567" s="8" t="s">
        <v>14</v>
      </c>
      <c r="E1567" s="8">
        <v>1</v>
      </c>
    </row>
    <row r="1568" spans="1:5" ht="15.75" customHeight="1" x14ac:dyDescent="0.25">
      <c r="A1568" s="6" t="s">
        <v>1562</v>
      </c>
      <c r="B1568" s="6" t="str">
        <f ca="1">IFERROR(__xludf.DUMMYFUNCTION("GOOGLETRANSLATE(A1568,""bn"",""en"")"),"They relied on instinct to guide them through the dangerous waters to navigate through the thick fog")</f>
        <v>They relied on instinct to guide them through the dangerous waters to navigate through the thick fog</v>
      </c>
      <c r="C1568" s="8" t="s">
        <v>13</v>
      </c>
      <c r="D1568" s="8" t="s">
        <v>14</v>
      </c>
      <c r="E1568" s="8">
        <v>1</v>
      </c>
    </row>
    <row r="1569" spans="1:5" ht="15.75" customHeight="1" x14ac:dyDescent="0.25">
      <c r="A1569" s="6" t="s">
        <v>1563</v>
      </c>
      <c r="B1569" s="6" t="str">
        <f ca="1">IFERROR(__xludf.DUMMYFUNCTION("GOOGLETRANSLATE(A1569,""bn"",""en"")"),"Multiple sclerosis is a chronic autoimmune disease that affects the central nervous system causing muscle weakness coordination problems")</f>
        <v>Multiple sclerosis is a chronic autoimmune disease that affects the central nervous system causing muscle weakness coordination problems</v>
      </c>
      <c r="C1569" s="8" t="s">
        <v>13</v>
      </c>
      <c r="D1569" s="8" t="s">
        <v>14</v>
      </c>
      <c r="E1569" s="8">
        <v>1</v>
      </c>
    </row>
    <row r="1570" spans="1:5" ht="15.75" customHeight="1" x14ac:dyDescent="0.25">
      <c r="A1570" s="6" t="s">
        <v>1564</v>
      </c>
      <c r="B1570" s="6" t="str">
        <f ca="1">IFERROR(__xludf.DUMMYFUNCTION("GOOGLETRANSLATE(A1570,""bn"",""en"")"),"I asked him what he wanted now")</f>
        <v>I asked him what he wanted now</v>
      </c>
      <c r="C1570" s="8" t="s">
        <v>13</v>
      </c>
      <c r="D1570" s="8" t="s">
        <v>14</v>
      </c>
      <c r="E1570" s="8">
        <v>1</v>
      </c>
    </row>
    <row r="1571" spans="1:5" ht="15.75" customHeight="1" x14ac:dyDescent="0.25">
      <c r="A1571" s="6" t="s">
        <v>1565</v>
      </c>
      <c r="B1571" s="6" t="str">
        <f ca="1">IFERROR(__xludf.DUMMYFUNCTION("GOOGLETRANSLATE(A1571,""bn"",""en"")"),"So my father arranged a separate math teacher for me")</f>
        <v>So my father arranged a separate math teacher for me</v>
      </c>
      <c r="C1571" s="8" t="s">
        <v>13</v>
      </c>
      <c r="D1571" s="8" t="s">
        <v>14</v>
      </c>
      <c r="E1571" s="8">
        <v>1</v>
      </c>
    </row>
    <row r="1572" spans="1:5" ht="15.75" customHeight="1" x14ac:dyDescent="0.25">
      <c r="A1572" s="6" t="s">
        <v>1566</v>
      </c>
      <c r="B1572" s="6" t="str">
        <f ca="1">IFERROR(__xludf.DUMMYFUNCTION("GOOGLETRANSLATE(A1572,""bn"",""en"")"),"Now perhaps the ashwathathagacha is acting as its stand")</f>
        <v>Now perhaps the ashwathathagacha is acting as its stand</v>
      </c>
      <c r="C1572" s="7" t="s">
        <v>6</v>
      </c>
      <c r="D1572" s="7" t="s">
        <v>7</v>
      </c>
      <c r="E1572" s="7">
        <v>0</v>
      </c>
    </row>
    <row r="1573" spans="1:5" ht="15.75" customHeight="1" x14ac:dyDescent="0.25">
      <c r="A1573" s="6" t="s">
        <v>1567</v>
      </c>
      <c r="B1573" s="6" t="str">
        <f ca="1">IFERROR(__xludf.DUMMYFUNCTION("GOOGLETRANSLATE(A1573,""bn"",""en"")"),"The bird did not pronounce the letters, only the rhythm")</f>
        <v>The bird did not pronounce the letters, only the rhythm</v>
      </c>
      <c r="C1573" s="7" t="s">
        <v>6</v>
      </c>
      <c r="D1573" s="7" t="s">
        <v>7</v>
      </c>
      <c r="E1573" s="7">
        <v>0</v>
      </c>
    </row>
    <row r="1574" spans="1:5" ht="15.75" customHeight="1" x14ac:dyDescent="0.25">
      <c r="A1574" s="6" t="s">
        <v>1568</v>
      </c>
      <c r="B1574" s="6" t="str">
        <f ca="1">IFERROR(__xludf.DUMMYFUNCTION("GOOGLETRANSLATE(A1574,""bn"",""en"")"),"They give your daughter-in-law good ornaments")</f>
        <v>They give your daughter-in-law good ornaments</v>
      </c>
      <c r="C1574" s="7" t="s">
        <v>6</v>
      </c>
      <c r="D1574" s="7" t="s">
        <v>7</v>
      </c>
      <c r="E1574" s="7">
        <v>0</v>
      </c>
    </row>
    <row r="1575" spans="1:5" ht="15.75" customHeight="1" x14ac:dyDescent="0.25">
      <c r="A1575" s="6" t="s">
        <v>1569</v>
      </c>
      <c r="B1575" s="6" t="str">
        <f ca="1">IFERROR(__xludf.DUMMYFUNCTION("GOOGLETRANSLATE(A1575,""bn"",""en"")"),"Mr. Biharibabu Sarla cannot see the tears of hope")</f>
        <v>Mr. Biharibabu Sarla cannot see the tears of hope</v>
      </c>
      <c r="C1575" s="7" t="s">
        <v>6</v>
      </c>
      <c r="D1575" s="7" t="s">
        <v>7</v>
      </c>
      <c r="E1575" s="7">
        <v>0</v>
      </c>
    </row>
    <row r="1576" spans="1:5" ht="15.75" customHeight="1" x14ac:dyDescent="0.25">
      <c r="A1576" s="6" t="s">
        <v>1570</v>
      </c>
      <c r="B1576" s="6" t="str">
        <f ca="1">IFERROR(__xludf.DUMMYFUNCTION("GOOGLETRANSLATE(A1576,""bn"",""en"")"),"I found proof of this again and again when I went to Palamau")</f>
        <v>I found proof of this again and again when I went to Palamau</v>
      </c>
      <c r="C1576" s="7" t="s">
        <v>6</v>
      </c>
      <c r="D1576" s="7" t="s">
        <v>7</v>
      </c>
      <c r="E1576" s="7">
        <v>0</v>
      </c>
    </row>
    <row r="1577" spans="1:5" ht="15.75" customHeight="1" x14ac:dyDescent="0.25">
      <c r="A1577" s="6" t="s">
        <v>1571</v>
      </c>
      <c r="B1577" s="6" t="str">
        <f ca="1">IFERROR(__xludf.DUMMYFUNCTION("GOOGLETRANSLATE(A1577,""bn"",""en"")"),"Shahed got typhoid once while studying in class three")</f>
        <v>Shahed got typhoid once while studying in class three</v>
      </c>
      <c r="C1577" s="8" t="s">
        <v>13</v>
      </c>
      <c r="D1577" s="8" t="s">
        <v>14</v>
      </c>
      <c r="E1577" s="8">
        <v>1</v>
      </c>
    </row>
    <row r="1578" spans="1:5" ht="15.75" customHeight="1" x14ac:dyDescent="0.25">
      <c r="A1578" s="6" t="s">
        <v>1572</v>
      </c>
      <c r="B1578" s="6" t="str">
        <f ca="1">IFERROR(__xludf.DUMMYFUNCTION("GOOGLETRANSLATE(A1578,""bn"",""en"")"),"The procession suddenly entered an alley")</f>
        <v>The procession suddenly entered an alley</v>
      </c>
      <c r="C1578" s="8" t="s">
        <v>13</v>
      </c>
      <c r="D1578" s="8" t="s">
        <v>14</v>
      </c>
      <c r="E1578" s="8">
        <v>1</v>
      </c>
    </row>
    <row r="1579" spans="1:5" ht="15.75" customHeight="1" x14ac:dyDescent="0.25">
      <c r="A1579" s="6" t="s">
        <v>1573</v>
      </c>
      <c r="B1579" s="6" t="str">
        <f ca="1">IFERROR(__xludf.DUMMYFUNCTION("GOOGLETRANSLATE(A1579,""bn"",""en"")"),"At one point of waiting, I could see the smoke of the train engine in the distance")</f>
        <v>At one point of waiting, I could see the smoke of the train engine in the distance</v>
      </c>
      <c r="C1579" s="8" t="s">
        <v>13</v>
      </c>
      <c r="D1579" s="8" t="s">
        <v>14</v>
      </c>
      <c r="E1579" s="8">
        <v>1</v>
      </c>
    </row>
    <row r="1580" spans="1:5" ht="15.75" customHeight="1" x14ac:dyDescent="0.25">
      <c r="A1580" s="6" t="s">
        <v>1574</v>
      </c>
      <c r="B1580" s="6" t="str">
        <f ca="1">IFERROR(__xludf.DUMMYFUNCTION("GOOGLETRANSLATE(A1580,""bn"",""en"")"),"Velvety chocolate mousse seduces the taste buds")</f>
        <v>Velvety chocolate mousse seduces the taste buds</v>
      </c>
      <c r="C1580" s="8" t="s">
        <v>13</v>
      </c>
      <c r="D1580" s="8" t="s">
        <v>14</v>
      </c>
      <c r="E1580" s="8">
        <v>1</v>
      </c>
    </row>
    <row r="1581" spans="1:5" ht="15.75" customHeight="1" x14ac:dyDescent="0.25">
      <c r="A1581" s="6" t="s">
        <v>1139</v>
      </c>
      <c r="B1581" s="6" t="str">
        <f ca="1">IFERROR(__xludf.DUMMYFUNCTION("GOOGLETRANSLATE(A1581,""bn"",""en"")"),"Putla Putli Water Thirsty Elbow He is very embarrassed about duck bites.")</f>
        <v>Putla Putli Water Thirsty Elbow He is very embarrassed about duck bites.</v>
      </c>
      <c r="C1581" s="8" t="s">
        <v>13</v>
      </c>
      <c r="D1581" s="8" t="s">
        <v>14</v>
      </c>
      <c r="E1581" s="8">
        <v>1</v>
      </c>
    </row>
    <row r="1582" spans="1:5" ht="15.75" customHeight="1" x14ac:dyDescent="0.25">
      <c r="A1582" s="6" t="s">
        <v>1575</v>
      </c>
      <c r="B1582" s="6" t="str">
        <f ca="1">IFERROR(__xludf.DUMMYFUNCTION("GOOGLETRANSLATE(A1582,""bn"",""en"")"),"The bride was shocked to see her mother-in-law standing")</f>
        <v>The bride was shocked to see her mother-in-law standing</v>
      </c>
      <c r="C1582" s="7" t="s">
        <v>6</v>
      </c>
      <c r="D1582" s="7" t="s">
        <v>7</v>
      </c>
      <c r="E1582" s="7">
        <v>0</v>
      </c>
    </row>
    <row r="1583" spans="1:5" ht="15.75" customHeight="1" x14ac:dyDescent="0.25">
      <c r="A1583" s="6" t="s">
        <v>1576</v>
      </c>
      <c r="B1583" s="6" t="str">
        <f ca="1">IFERROR(__xludf.DUMMYFUNCTION("GOOGLETRANSLATE(A1583,""bn"",""en"")"),"It will not be the same as before")</f>
        <v>It will not be the same as before</v>
      </c>
      <c r="C1583" s="7" t="s">
        <v>6</v>
      </c>
      <c r="D1583" s="7" t="s">
        <v>7</v>
      </c>
      <c r="E1583" s="7">
        <v>0</v>
      </c>
    </row>
    <row r="1584" spans="1:5" ht="15.75" customHeight="1" x14ac:dyDescent="0.25">
      <c r="A1584" s="6" t="s">
        <v>1577</v>
      </c>
      <c r="B1584" s="6" t="str">
        <f ca="1">IFERROR(__xludf.DUMMYFUNCTION("GOOGLETRANSLATE(A1584,""bn"",""en"")"),"Haste marib means that it is possible to kill a tiger with bare hands")</f>
        <v>Haste marib means that it is possible to kill a tiger with bare hands</v>
      </c>
      <c r="C1584" s="7" t="s">
        <v>6</v>
      </c>
      <c r="D1584" s="7" t="s">
        <v>7</v>
      </c>
      <c r="E1584" s="7">
        <v>0</v>
      </c>
    </row>
    <row r="1585" spans="1:5" ht="15.75" customHeight="1" x14ac:dyDescent="0.25">
      <c r="A1585" s="6" t="s">
        <v>1578</v>
      </c>
      <c r="B1585" s="6" t="str">
        <f ca="1">IFERROR(__xludf.DUMMYFUNCTION("GOOGLETRANSLATE(A1585,""bn"",""en"")"),"The evening has come")</f>
        <v>The evening has come</v>
      </c>
      <c r="C1585" s="7" t="s">
        <v>6</v>
      </c>
      <c r="D1585" s="7" t="s">
        <v>7</v>
      </c>
      <c r="E1585" s="7">
        <v>0</v>
      </c>
    </row>
    <row r="1586" spans="1:5" ht="15.75" customHeight="1" x14ac:dyDescent="0.25">
      <c r="A1586" s="6" t="s">
        <v>1579</v>
      </c>
      <c r="B1586" s="6" t="str">
        <f ca="1">IFERROR(__xludf.DUMMYFUNCTION("GOOGLETRANSLATE(A1586,""bn"",""en"")"),"All lived together in unity")</f>
        <v>All lived together in unity</v>
      </c>
      <c r="C1586" s="7" t="s">
        <v>6</v>
      </c>
      <c r="D1586" s="7" t="s">
        <v>7</v>
      </c>
      <c r="E1586" s="7">
        <v>0</v>
      </c>
    </row>
    <row r="1587" spans="1:5" ht="15.75" customHeight="1" x14ac:dyDescent="0.25">
      <c r="A1587" s="6" t="s">
        <v>1580</v>
      </c>
      <c r="B1587" s="6" t="str">
        <f ca="1">IFERROR(__xludf.DUMMYFUNCTION("GOOGLETRANSLATE(A1587,""bn"",""en"")"),"Crop rotation schemes help break the cycle of pests while improving soil structure fertility.")</f>
        <v>Crop rotation schemes help break the cycle of pests while improving soil structure fertility.</v>
      </c>
      <c r="C1587" s="8" t="s">
        <v>13</v>
      </c>
      <c r="D1587" s="8" t="s">
        <v>14</v>
      </c>
      <c r="E1587" s="8">
        <v>1</v>
      </c>
    </row>
    <row r="1588" spans="1:5" ht="15.75" customHeight="1" x14ac:dyDescent="0.25">
      <c r="A1588" s="6" t="s">
        <v>1581</v>
      </c>
      <c r="B1588" s="6" t="str">
        <f ca="1">IFERROR(__xludf.DUMMYFUNCTION("GOOGLETRANSLATE(A1588,""bn"",""en"")"),"Be aware of your thoughts words actions they shape your reality")</f>
        <v>Be aware of your thoughts words actions they shape your reality</v>
      </c>
      <c r="C1588" s="8" t="s">
        <v>13</v>
      </c>
      <c r="D1588" s="8" t="s">
        <v>14</v>
      </c>
      <c r="E1588" s="8">
        <v>1</v>
      </c>
    </row>
    <row r="1589" spans="1:5" ht="15.75" customHeight="1" x14ac:dyDescent="0.25">
      <c r="A1589" s="6" t="s">
        <v>1582</v>
      </c>
      <c r="B1589" s="6" t="str">
        <f ca="1">IFERROR(__xludf.DUMMYFUNCTION("GOOGLETRANSLATE(A1589,""bn"",""en"")"),"I got to see you")</f>
        <v>I got to see you</v>
      </c>
      <c r="C1589" s="8" t="s">
        <v>13</v>
      </c>
      <c r="D1589" s="8" t="s">
        <v>14</v>
      </c>
      <c r="E1589" s="8">
        <v>1</v>
      </c>
    </row>
    <row r="1590" spans="1:5" ht="15.75" customHeight="1" x14ac:dyDescent="0.25">
      <c r="A1590" s="6" t="s">
        <v>1583</v>
      </c>
      <c r="B1590" s="6" t="str">
        <f ca="1">IFERROR(__xludf.DUMMYFUNCTION("GOOGLETRANSLATE(A1590,""bn"",""en"")"),"Transport Railways There are no railways in Bhutan")</f>
        <v>Transport Railways There are no railways in Bhutan</v>
      </c>
      <c r="C1590" s="8" t="s">
        <v>13</v>
      </c>
      <c r="D1590" s="8" t="s">
        <v>14</v>
      </c>
      <c r="E1590" s="8">
        <v>1</v>
      </c>
    </row>
    <row r="1591" spans="1:5" ht="15.75" customHeight="1" x14ac:dyDescent="0.25">
      <c r="A1591" s="6" t="s">
        <v>1584</v>
      </c>
      <c r="B1591" s="6" t="str">
        <f ca="1">IFERROR(__xludf.DUMMYFUNCTION("GOOGLETRANSLATE(A1591,""bn"",""en"")"),"They tracked their quarry across the densely forested plains, hunting elusive prey")</f>
        <v>They tracked their quarry across the densely forested plains, hunting elusive prey</v>
      </c>
      <c r="C1591" s="8" t="s">
        <v>13</v>
      </c>
      <c r="D1591" s="8" t="s">
        <v>14</v>
      </c>
      <c r="E1591" s="8">
        <v>1</v>
      </c>
    </row>
    <row r="1592" spans="1:5" ht="15.75" customHeight="1" x14ac:dyDescent="0.25">
      <c r="A1592" s="6" t="s">
        <v>1585</v>
      </c>
      <c r="B1592" s="6" t="str">
        <f ca="1">IFERROR(__xludf.DUMMYFUNCTION("GOOGLETRANSLATE(A1592,""bn"",""en"")"),"I was amazed to see a mountain")</f>
        <v>I was amazed to see a mountain</v>
      </c>
      <c r="C1592" s="7" t="s">
        <v>6</v>
      </c>
      <c r="D1592" s="7" t="s">
        <v>7</v>
      </c>
      <c r="E1592" s="7">
        <v>0</v>
      </c>
    </row>
    <row r="1593" spans="1:5" ht="15.75" customHeight="1" x14ac:dyDescent="0.25">
      <c r="A1593" s="6" t="s">
        <v>1586</v>
      </c>
      <c r="B1593" s="6" t="str">
        <f ca="1">IFERROR(__xludf.DUMMYFUNCTION("GOOGLETRANSLATE(A1593,""bn"",""en"")"),"Gopal called him and took him to his home and took care of him like a householder")</f>
        <v>Gopal called him and took him to his home and took care of him like a householder</v>
      </c>
      <c r="C1593" s="7" t="s">
        <v>6</v>
      </c>
      <c r="D1593" s="7" t="s">
        <v>7</v>
      </c>
      <c r="E1593" s="7">
        <v>0</v>
      </c>
    </row>
    <row r="1594" spans="1:5" ht="15.75" customHeight="1" x14ac:dyDescent="0.25">
      <c r="A1594" s="6" t="s">
        <v>1587</v>
      </c>
      <c r="B1594" s="6" t="str">
        <f ca="1">IFERROR(__xludf.DUMMYFUNCTION("GOOGLETRANSLATE(A1594,""bn"",""en"")"),"Haru did not travel to the cremation ground and Sashi did not wish to say that he was going home")</f>
        <v>Haru did not travel to the cremation ground and Sashi did not wish to say that he was going home</v>
      </c>
      <c r="C1594" s="7" t="s">
        <v>6</v>
      </c>
      <c r="D1594" s="7" t="s">
        <v>7</v>
      </c>
      <c r="E1594" s="7">
        <v>0</v>
      </c>
    </row>
    <row r="1595" spans="1:5" ht="15.75" customHeight="1" x14ac:dyDescent="0.25">
      <c r="A1595" s="6" t="s">
        <v>1588</v>
      </c>
      <c r="B1595" s="6" t="str">
        <f ca="1">IFERROR(__xludf.DUMMYFUNCTION("GOOGLETRANSLATE(A1595,""bn"",""en"")"),"The broken wall is covered with tin, it is possible that the name of the street was once written on it")</f>
        <v>The broken wall is covered with tin, it is possible that the name of the street was once written on it</v>
      </c>
      <c r="C1595" s="7" t="s">
        <v>6</v>
      </c>
      <c r="D1595" s="7" t="s">
        <v>7</v>
      </c>
      <c r="E1595" s="7">
        <v>0</v>
      </c>
    </row>
    <row r="1596" spans="1:5" ht="15.75" customHeight="1" x14ac:dyDescent="0.25">
      <c r="A1596" s="6" t="s">
        <v>1589</v>
      </c>
      <c r="B1596" s="6" t="str">
        <f ca="1">IFERROR(__xludf.DUMMYFUNCTION("GOOGLETRANSLATE(A1596,""bn"",""en"")"),"He took some rest and went back to playing")</f>
        <v>He took some rest and went back to playing</v>
      </c>
      <c r="C1596" s="7" t="s">
        <v>6</v>
      </c>
      <c r="D1596" s="7" t="s">
        <v>7</v>
      </c>
      <c r="E1596" s="7">
        <v>0</v>
      </c>
    </row>
    <row r="1597" spans="1:5" ht="15.75" customHeight="1" x14ac:dyDescent="0.25">
      <c r="A1597" s="6" t="s">
        <v>1590</v>
      </c>
      <c r="B1597" s="6" t="str">
        <f ca="1">IFERROR(__xludf.DUMMYFUNCTION("GOOGLETRANSLATE(A1597,""bn"",""en"")"),"They were very excited")</f>
        <v>They were very excited</v>
      </c>
      <c r="C1597" s="8" t="s">
        <v>13</v>
      </c>
      <c r="D1597" s="8" t="s">
        <v>14</v>
      </c>
      <c r="E1597" s="8">
        <v>1</v>
      </c>
    </row>
    <row r="1598" spans="1:5" ht="15.75" customHeight="1" x14ac:dyDescent="0.25">
      <c r="A1598" s="6" t="s">
        <v>1591</v>
      </c>
      <c r="B1598" s="6" t="str">
        <f ca="1">IFERROR(__xludf.DUMMYFUNCTION("GOOGLETRANSLATE(A1598,""bn"",""en"")"),"It is important to have a diversified investment portfolio to minimize risk")</f>
        <v>It is important to have a diversified investment portfolio to minimize risk</v>
      </c>
      <c r="C1598" s="8" t="s">
        <v>13</v>
      </c>
      <c r="D1598" s="8" t="s">
        <v>14</v>
      </c>
      <c r="E1598" s="8">
        <v>1</v>
      </c>
    </row>
    <row r="1599" spans="1:5" ht="15.75" customHeight="1" x14ac:dyDescent="0.25">
      <c r="A1599" s="6" t="s">
        <v>1592</v>
      </c>
      <c r="B1599" s="6" t="str">
        <f ca="1">IFERROR(__xludf.DUMMYFUNCTION("GOOGLETRANSLATE(A1599,""bn"",""en"")"),"Crispy bacon complements the brunch menu")</f>
        <v>Crispy bacon complements the brunch menu</v>
      </c>
      <c r="C1599" s="8" t="s">
        <v>13</v>
      </c>
      <c r="D1599" s="8" t="s">
        <v>14</v>
      </c>
      <c r="E1599" s="8">
        <v>1</v>
      </c>
    </row>
    <row r="1600" spans="1:5" ht="15.75" customHeight="1" x14ac:dyDescent="0.25">
      <c r="A1600" s="6" t="s">
        <v>1593</v>
      </c>
      <c r="B1600" s="6" t="str">
        <f ca="1">IFERROR(__xludf.DUMMYFUNCTION("GOOGLETRANSLATE(A1600,""bn"",""en"")"),"Roasted vegetables add healthy flavor")</f>
        <v>Roasted vegetables add healthy flavor</v>
      </c>
      <c r="C1600" s="8" t="s">
        <v>13</v>
      </c>
      <c r="D1600" s="8" t="s">
        <v>14</v>
      </c>
      <c r="E1600" s="8">
        <v>1</v>
      </c>
    </row>
    <row r="1601" spans="1:5" ht="15.75" customHeight="1" x14ac:dyDescent="0.25">
      <c r="A1601" s="6" t="s">
        <v>1594</v>
      </c>
      <c r="B1601" s="6" t="str">
        <f ca="1">IFERROR(__xludf.DUMMYFUNCTION("GOOGLETRANSLATE(A1601,""bn"",""en"")"),"He is best known as the composer of this song")</f>
        <v>He is best known as the composer of this song</v>
      </c>
      <c r="C1601" s="8" t="s">
        <v>13</v>
      </c>
      <c r="D1601" s="8" t="s">
        <v>14</v>
      </c>
      <c r="E1601" s="8">
        <v>1</v>
      </c>
    </row>
    <row r="1602" spans="1:5" ht="15.75" customHeight="1" x14ac:dyDescent="0.25">
      <c r="A1602" s="6" t="s">
        <v>1595</v>
      </c>
      <c r="B1602" s="6" t="str">
        <f ca="1">IFERROR(__xludf.DUMMYFUNCTION("GOOGLETRANSLATE(A1602,""bn"",""en"")"),"A priest prepared champagne from our native jam")</f>
        <v>A priest prepared champagne from our native jam</v>
      </c>
      <c r="C1602" s="7" t="s">
        <v>6</v>
      </c>
      <c r="D1602" s="7" t="s">
        <v>7</v>
      </c>
      <c r="E1602" s="7">
        <v>0</v>
      </c>
    </row>
    <row r="1603" spans="1:5" ht="15.75" customHeight="1" x14ac:dyDescent="0.25">
      <c r="A1603" s="6" t="s">
        <v>1596</v>
      </c>
      <c r="B1603" s="6" t="str">
        <f ca="1">IFERROR(__xludf.DUMMYFUNCTION("GOOGLETRANSLATE(A1603,""bn"",""en"")"),"The bride's transformation is not clear to everyone")</f>
        <v>The bride's transformation is not clear to everyone</v>
      </c>
      <c r="C1603" s="7" t="s">
        <v>6</v>
      </c>
      <c r="D1603" s="7" t="s">
        <v>7</v>
      </c>
      <c r="E1603" s="7">
        <v>0</v>
      </c>
    </row>
    <row r="1604" spans="1:5" ht="15.75" customHeight="1" x14ac:dyDescent="0.25">
      <c r="A1604" s="6" t="s">
        <v>1597</v>
      </c>
      <c r="B1604" s="6" t="str">
        <f ca="1">IFERROR(__xludf.DUMMYFUNCTION("GOOGLETRANSLATE(A1604,""bn"",""en"")"),"I explained it to him")</f>
        <v>I explained it to him</v>
      </c>
      <c r="C1604" s="7" t="s">
        <v>6</v>
      </c>
      <c r="D1604" s="7" t="s">
        <v>7</v>
      </c>
      <c r="E1604" s="7">
        <v>0</v>
      </c>
    </row>
    <row r="1605" spans="1:5" ht="15.75" customHeight="1" x14ac:dyDescent="0.25">
      <c r="A1605" s="6" t="s">
        <v>1598</v>
      </c>
      <c r="B1605" s="6" t="str">
        <f ca="1">IFERROR(__xludf.DUMMYFUNCTION("GOOGLETRANSLATE(A1605,""bn"",""en"")"),"On that day, it rained in torrents since night")</f>
        <v>On that day, it rained in torrents since night</v>
      </c>
      <c r="C1605" s="7" t="s">
        <v>6</v>
      </c>
      <c r="D1605" s="7" t="s">
        <v>7</v>
      </c>
      <c r="E1605" s="7">
        <v>0</v>
      </c>
    </row>
    <row r="1606" spans="1:5" ht="15.75" customHeight="1" x14ac:dyDescent="0.25">
      <c r="A1606" s="6" t="s">
        <v>1599</v>
      </c>
      <c r="B1606" s="6" t="str">
        <f ca="1">IFERROR(__xludf.DUMMYFUNCTION("GOOGLETRANSLATE(A1606,""bn"",""en"")"),"He said that the fever has reduced and he is sleeping now")</f>
        <v>He said that the fever has reduced and he is sleeping now</v>
      </c>
      <c r="C1606" s="7" t="s">
        <v>6</v>
      </c>
      <c r="D1606" s="7" t="s">
        <v>7</v>
      </c>
      <c r="E1606" s="7">
        <v>0</v>
      </c>
    </row>
    <row r="1607" spans="1:5" ht="15.75" customHeight="1" x14ac:dyDescent="0.25">
      <c r="A1607" s="6" t="s">
        <v>1600</v>
      </c>
      <c r="B1607" s="6" t="str">
        <f ca="1">IFERROR(__xludf.DUMMYFUNCTION("GOOGLETRANSLATE(A1607,""bn"",""en"")"),"I always forget where I park my car in this huge lot")</f>
        <v>I always forget where I park my car in this huge lot</v>
      </c>
      <c r="C1607" s="8" t="s">
        <v>13</v>
      </c>
      <c r="D1607" s="8" t="s">
        <v>14</v>
      </c>
      <c r="E1607" s="8">
        <v>1</v>
      </c>
    </row>
    <row r="1608" spans="1:5" ht="15.75" customHeight="1" x14ac:dyDescent="0.25">
      <c r="A1608" s="6" t="s">
        <v>1601</v>
      </c>
      <c r="B1608" s="6" t="str">
        <f ca="1">IFERROR(__xludf.DUMMYFUNCTION("GOOGLETRANSLATE(A1608,""bn"",""en"")"),"I am fully prepared to complete this task properly")</f>
        <v>I am fully prepared to complete this task properly</v>
      </c>
      <c r="C1608" s="8" t="s">
        <v>13</v>
      </c>
      <c r="D1608" s="8" t="s">
        <v>14</v>
      </c>
      <c r="E1608" s="8">
        <v>1</v>
      </c>
    </row>
    <row r="1609" spans="1:5" ht="15.75" customHeight="1" x14ac:dyDescent="0.25">
      <c r="A1609" s="6" t="s">
        <v>1602</v>
      </c>
      <c r="B1609" s="6" t="str">
        <f ca="1">IFERROR(__xludf.DUMMYFUNCTION("GOOGLETRANSLATE(A1609,""bn"",""en"")"),"Mr. Sujan will come to our school")</f>
        <v>Mr. Sujan will come to our school</v>
      </c>
      <c r="C1609" s="8" t="s">
        <v>13</v>
      </c>
      <c r="D1609" s="8" t="s">
        <v>14</v>
      </c>
      <c r="E1609" s="8">
        <v>1</v>
      </c>
    </row>
    <row r="1610" spans="1:5" ht="15.75" customHeight="1" x14ac:dyDescent="0.25">
      <c r="A1610" s="6" t="s">
        <v>1603</v>
      </c>
      <c r="B1610" s="6" t="str">
        <f ca="1">IFERROR(__xludf.DUMMYFUNCTION("GOOGLETRANSLATE(A1610,""bn"",""en"")"),"Chronic bronchitis is a form of COPD characterized by persistent cough mucus production")</f>
        <v>Chronic bronchitis is a form of COPD characterized by persistent cough mucus production</v>
      </c>
      <c r="C1610" s="8" t="s">
        <v>13</v>
      </c>
      <c r="D1610" s="8" t="s">
        <v>14</v>
      </c>
      <c r="E1610" s="8">
        <v>1</v>
      </c>
    </row>
    <row r="1611" spans="1:5" ht="15.75" customHeight="1" x14ac:dyDescent="0.25">
      <c r="A1611" s="6" t="s">
        <v>1604</v>
      </c>
      <c r="B1611" s="6" t="str">
        <f ca="1">IFERROR(__xludf.DUMMYFUNCTION("GOOGLETRANSLATE(A1611,""bn"",""en"")"),"I taught him his reading")</f>
        <v>I taught him his reading</v>
      </c>
      <c r="C1611" s="8" t="s">
        <v>13</v>
      </c>
      <c r="D1611" s="8" t="s">
        <v>14</v>
      </c>
      <c r="E1611" s="8">
        <v>1</v>
      </c>
    </row>
    <row r="1612" spans="1:5" ht="15.75" customHeight="1" x14ac:dyDescent="0.25">
      <c r="A1612" s="6" t="s">
        <v>1605</v>
      </c>
      <c r="B1612" s="6" t="str">
        <f ca="1">IFERROR(__xludf.DUMMYFUNCTION("GOOGLETRANSLATE(A1612,""bn"",""en"")"),"Rafi asked me to go to the field")</f>
        <v>Rafi asked me to go to the field</v>
      </c>
      <c r="C1612" s="7" t="s">
        <v>6</v>
      </c>
      <c r="D1612" s="7" t="s">
        <v>7</v>
      </c>
      <c r="E1612" s="7">
        <v>0</v>
      </c>
    </row>
    <row r="1613" spans="1:5" ht="15.75" customHeight="1" x14ac:dyDescent="0.25">
      <c r="A1613" s="6" t="s">
        <v>1606</v>
      </c>
      <c r="B1613" s="6" t="str">
        <f ca="1">IFERROR(__xludf.DUMMYFUNCTION("GOOGLETRANSLATE(A1613,""bn"",""en"")"),"The pot I am talking about contains all the smell and touch")</f>
        <v>The pot I am talking about contains all the smell and touch</v>
      </c>
      <c r="C1613" s="7" t="s">
        <v>6</v>
      </c>
      <c r="D1613" s="7" t="s">
        <v>7</v>
      </c>
      <c r="E1613" s="7">
        <v>0</v>
      </c>
    </row>
    <row r="1614" spans="1:5" ht="15.75" customHeight="1" x14ac:dyDescent="0.25">
      <c r="A1614" s="6" t="s">
        <v>1607</v>
      </c>
      <c r="B1614" s="6" t="str">
        <f ca="1">IFERROR(__xludf.DUMMYFUNCTION("GOOGLETRANSLATE(A1614,""bn"",""en"")"),"Where the passengers left Navkumar")</f>
        <v>Where the passengers left Navkumar</v>
      </c>
      <c r="C1614" s="7" t="s">
        <v>6</v>
      </c>
      <c r="D1614" s="7" t="s">
        <v>7</v>
      </c>
      <c r="E1614" s="7">
        <v>0</v>
      </c>
    </row>
    <row r="1615" spans="1:5" ht="15.75" customHeight="1" x14ac:dyDescent="0.25">
      <c r="A1615" s="6" t="s">
        <v>1608</v>
      </c>
      <c r="B1615" s="6" t="str">
        <f ca="1">IFERROR(__xludf.DUMMYFUNCTION("GOOGLETRANSLATE(A1615,""bn"",""en"")"),"Little did I know then that one day you would laugh at your arrogance")</f>
        <v>Little did I know then that one day you would laugh at your arrogance</v>
      </c>
      <c r="C1615" s="7" t="s">
        <v>6</v>
      </c>
      <c r="D1615" s="7" t="s">
        <v>7</v>
      </c>
      <c r="E1615" s="7">
        <v>0</v>
      </c>
    </row>
    <row r="1616" spans="1:5" ht="15.75" customHeight="1" x14ac:dyDescent="0.25">
      <c r="A1616" s="6" t="s">
        <v>1609</v>
      </c>
      <c r="B1616" s="6" t="str">
        <f ca="1">IFERROR(__xludf.DUMMYFUNCTION("GOOGLETRANSLATE(A1616,""bn"",""en"")"),"Perhaps that was the first time I saw the old man as beautiful")</f>
        <v>Perhaps that was the first time I saw the old man as beautiful</v>
      </c>
      <c r="C1616" s="7" t="s">
        <v>6</v>
      </c>
      <c r="D1616" s="7" t="s">
        <v>7</v>
      </c>
      <c r="E1616" s="7">
        <v>0</v>
      </c>
    </row>
    <row r="1617" spans="1:5" ht="15.75" customHeight="1" x14ac:dyDescent="0.25">
      <c r="A1617" s="6" t="s">
        <v>1610</v>
      </c>
      <c r="B1617" s="6" t="str">
        <f ca="1">IFERROR(__xludf.DUMMYFUNCTION("GOOGLETRANSLATE(A1617,""bn"",""en"")"),"Set realistic goals and take consistent steps to achieve them")</f>
        <v>Set realistic goals and take consistent steps to achieve them</v>
      </c>
      <c r="C1617" s="8" t="s">
        <v>13</v>
      </c>
      <c r="D1617" s="8" t="s">
        <v>14</v>
      </c>
      <c r="E1617" s="8">
        <v>1</v>
      </c>
    </row>
    <row r="1618" spans="1:5" ht="15.75" customHeight="1" x14ac:dyDescent="0.25">
      <c r="A1618" s="6" t="s">
        <v>1611</v>
      </c>
      <c r="B1618" s="6" t="str">
        <f ca="1">IFERROR(__xludf.DUMMYFUNCTION("GOOGLETRANSLATE(A1618,""bn"",""en"")"),"They soon became influential in rich politics")</f>
        <v>They soon became influential in rich politics</v>
      </c>
      <c r="C1618" s="8" t="s">
        <v>13</v>
      </c>
      <c r="D1618" s="8" t="s">
        <v>14</v>
      </c>
      <c r="E1618" s="8">
        <v>1</v>
      </c>
    </row>
    <row r="1619" spans="1:5" ht="15.75" customHeight="1" x14ac:dyDescent="0.25">
      <c r="A1619" s="6" t="s">
        <v>1612</v>
      </c>
      <c r="B1619" s="6" t="str">
        <f ca="1">IFERROR(__xludf.DUMMYFUNCTION("GOOGLETRANSLATE(A1619,""bn"",""en"")"),"Coronary artery disease is a condition in which plaque builds up in the arteries that restrict blood flow to the heart.")</f>
        <v>Coronary artery disease is a condition in which plaque builds up in the arteries that restrict blood flow to the heart.</v>
      </c>
      <c r="C1619" s="8" t="s">
        <v>13</v>
      </c>
      <c r="D1619" s="8" t="s">
        <v>14</v>
      </c>
      <c r="E1619" s="8">
        <v>1</v>
      </c>
    </row>
    <row r="1620" spans="1:5" ht="15.75" customHeight="1" x14ac:dyDescent="0.25">
      <c r="A1620" s="6" t="s">
        <v>1613</v>
      </c>
      <c r="B1620" s="6" t="str">
        <f ca="1">IFERROR(__xludf.DUMMYFUNCTION("GOOGLETRANSLATE(A1620,""bn"",""en"")"),"Sentencing guidelines ensure consistency in sentencing offenders")</f>
        <v>Sentencing guidelines ensure consistency in sentencing offenders</v>
      </c>
      <c r="C1620" s="8" t="s">
        <v>13</v>
      </c>
      <c r="D1620" s="8" t="s">
        <v>14</v>
      </c>
      <c r="E1620" s="8">
        <v>1</v>
      </c>
    </row>
    <row r="1621" spans="1:5" ht="15.75" customHeight="1" x14ac:dyDescent="0.25">
      <c r="A1621" s="6" t="s">
        <v>1614</v>
      </c>
      <c r="B1621" s="6" t="str">
        <f ca="1">IFERROR(__xludf.DUMMYFUNCTION("GOOGLETRANSLATE(A1621,""bn"",""en"")"),"Marion Crane was murdered by him")</f>
        <v>Marion Crane was murdered by him</v>
      </c>
      <c r="C1621" s="8" t="s">
        <v>13</v>
      </c>
      <c r="D1621" s="8" t="s">
        <v>14</v>
      </c>
      <c r="E1621" s="8">
        <v>1</v>
      </c>
    </row>
    <row r="1622" spans="1:5" ht="15.75" customHeight="1" x14ac:dyDescent="0.25">
      <c r="A1622" s="6" t="s">
        <v>1615</v>
      </c>
      <c r="B1622" s="6" t="str">
        <f ca="1">IFERROR(__xludf.DUMMYFUNCTION("GOOGLETRANSLATE(A1622,""bn"",""en"")"),"Bathing took place in the English manner")</f>
        <v>Bathing took place in the English manner</v>
      </c>
      <c r="C1622" s="7" t="s">
        <v>6</v>
      </c>
      <c r="D1622" s="7" t="s">
        <v>7</v>
      </c>
      <c r="E1622" s="7">
        <v>0</v>
      </c>
    </row>
    <row r="1623" spans="1:5" ht="15.75" customHeight="1" x14ac:dyDescent="0.25">
      <c r="A1623" s="6" t="s">
        <v>1616</v>
      </c>
      <c r="B1623" s="6" t="str">
        <f ca="1">IFERROR(__xludf.DUMMYFUNCTION("GOOGLETRANSLATE(A1623,""bn"",""en"")"),"Sometimes he tries to write a poem or two")</f>
        <v>Sometimes he tries to write a poem or two</v>
      </c>
      <c r="C1623" s="7" t="s">
        <v>6</v>
      </c>
      <c r="D1623" s="7" t="s">
        <v>7</v>
      </c>
      <c r="E1623" s="7">
        <v>0</v>
      </c>
    </row>
    <row r="1624" spans="1:5" ht="15.75" customHeight="1" x14ac:dyDescent="0.25">
      <c r="A1624" s="6" t="s">
        <v>1617</v>
      </c>
      <c r="B1624" s="6" t="str">
        <f ca="1">IFERROR(__xludf.DUMMYFUNCTION("GOOGLETRANSLATE(A1624,""bn"",""en"")"),"This time Harimohan went with his grandfather")</f>
        <v>This time Harimohan went with his grandfather</v>
      </c>
      <c r="C1624" s="7" t="s">
        <v>6</v>
      </c>
      <c r="D1624" s="7" t="s">
        <v>7</v>
      </c>
      <c r="E1624" s="7">
        <v>0</v>
      </c>
    </row>
    <row r="1625" spans="1:5" ht="15.75" customHeight="1" x14ac:dyDescent="0.25">
      <c r="A1625" s="6" t="s">
        <v>1618</v>
      </c>
      <c r="B1625" s="6" t="str">
        <f ca="1">IFERROR(__xludf.DUMMYFUNCTION("GOOGLETRANSLATE(A1625,""bn"",""en"")"),"I don't have it")</f>
        <v>I don't have it</v>
      </c>
      <c r="C1625" s="7" t="s">
        <v>6</v>
      </c>
      <c r="D1625" s="7" t="s">
        <v>7</v>
      </c>
      <c r="E1625" s="7">
        <v>0</v>
      </c>
    </row>
    <row r="1626" spans="1:5" ht="15.75" customHeight="1" x14ac:dyDescent="0.25">
      <c r="A1626" s="6" t="s">
        <v>1619</v>
      </c>
      <c r="B1626" s="6" t="str">
        <f ca="1">IFERROR(__xludf.DUMMYFUNCTION("GOOGLETRANSLATE(A1626,""bn"",""en"")"),"He believed that Mini was like that")</f>
        <v>He believed that Mini was like that</v>
      </c>
      <c r="C1626" s="7" t="s">
        <v>6</v>
      </c>
      <c r="D1626" s="7" t="s">
        <v>7</v>
      </c>
      <c r="E1626" s="7">
        <v>0</v>
      </c>
    </row>
    <row r="1627" spans="1:5" ht="15.75" customHeight="1" x14ac:dyDescent="0.25">
      <c r="A1627" s="6" t="s">
        <v>1620</v>
      </c>
      <c r="B1627" s="6" t="str">
        <f ca="1">IFERROR(__xludf.DUMMYFUNCTION("GOOGLETRANSLATE(A1627,""bn"",""en"")"),"In this incident, Karna became Duryodhana's faithful true friend")</f>
        <v>In this incident, Karna became Duryodhana's faithful true friend</v>
      </c>
      <c r="C1627" s="8" t="s">
        <v>13</v>
      </c>
      <c r="D1627" s="8" t="s">
        <v>14</v>
      </c>
      <c r="E1627" s="8">
        <v>1</v>
      </c>
    </row>
    <row r="1628" spans="1:5" ht="15.75" customHeight="1" x14ac:dyDescent="0.25">
      <c r="A1628" s="6" t="s">
        <v>1621</v>
      </c>
      <c r="B1628" s="6" t="str">
        <f ca="1">IFERROR(__xludf.DUMMYFUNCTION("GOOGLETRANSLATE(A1628,""bn"",""en"")"),"Rana used to call Sujan")</f>
        <v>Rana used to call Sujan</v>
      </c>
      <c r="C1628" s="8" t="s">
        <v>13</v>
      </c>
      <c r="D1628" s="8" t="s">
        <v>14</v>
      </c>
      <c r="E1628" s="8">
        <v>1</v>
      </c>
    </row>
    <row r="1629" spans="1:5" ht="15.75" customHeight="1" x14ac:dyDescent="0.25">
      <c r="A1629" s="6" t="s">
        <v>1622</v>
      </c>
      <c r="B1629" s="6" t="str">
        <f ca="1">IFERROR(__xludf.DUMMYFUNCTION("GOOGLETRANSLATE(A1629,""bn"",""en"")"),"First of all I have to mention Arif Bhai's name")</f>
        <v>First of all I have to mention Arif Bhai's name</v>
      </c>
      <c r="C1629" s="8" t="s">
        <v>13</v>
      </c>
      <c r="D1629" s="8" t="s">
        <v>14</v>
      </c>
      <c r="E1629" s="8">
        <v>1</v>
      </c>
    </row>
    <row r="1630" spans="1:5" ht="15.75" customHeight="1" x14ac:dyDescent="0.25">
      <c r="A1630" s="6" t="s">
        <v>1623</v>
      </c>
      <c r="B1630" s="6" t="str">
        <f ca="1">IFERROR(__xludf.DUMMYFUNCTION("GOOGLETRANSLATE(A1630,""bn"",""en"")"),"Hydrate well before and after running")</f>
        <v>Hydrate well before and after running</v>
      </c>
      <c r="C1630" s="8" t="s">
        <v>13</v>
      </c>
      <c r="D1630" s="8" t="s">
        <v>14</v>
      </c>
      <c r="E1630" s="8">
        <v>1</v>
      </c>
    </row>
    <row r="1631" spans="1:5" ht="15.75" customHeight="1" x14ac:dyDescent="0.25">
      <c r="A1631" s="6" t="s">
        <v>1624</v>
      </c>
      <c r="B1631" s="6" t="str">
        <f ca="1">IFERROR(__xludf.DUMMYFUNCTION("GOOGLETRANSLATE(A1631,""bn"",""en"")"),"We need to reconcile the transactions with our bank statements")</f>
        <v>We need to reconcile the transactions with our bank statements</v>
      </c>
      <c r="C1631" s="8" t="s">
        <v>13</v>
      </c>
      <c r="D1631" s="8" t="s">
        <v>14</v>
      </c>
      <c r="E1631" s="8">
        <v>1</v>
      </c>
    </row>
    <row r="1632" spans="1:5" ht="15.75" customHeight="1" x14ac:dyDescent="0.25">
      <c r="A1632" s="6" t="s">
        <v>1625</v>
      </c>
      <c r="B1632" s="6" t="str">
        <f ca="1">IFERROR(__xludf.DUMMYFUNCTION("GOOGLETRANSLATE(A1632,""bn"",""en"")"),"Later went to lead the Jumma prayer")</f>
        <v>Later went to lead the Jumma prayer</v>
      </c>
      <c r="C1632" s="7" t="s">
        <v>6</v>
      </c>
      <c r="D1632" s="7" t="s">
        <v>7</v>
      </c>
      <c r="E1632" s="7">
        <v>0</v>
      </c>
    </row>
    <row r="1633" spans="1:5" ht="15.75" customHeight="1" x14ac:dyDescent="0.25">
      <c r="A1633" s="6" t="s">
        <v>1626</v>
      </c>
      <c r="B1633" s="6" t="str">
        <f ca="1">IFERROR(__xludf.DUMMYFUNCTION("GOOGLETRANSLATE(A1633,""bn"",""en"")"),"When the maidservants sometimes forgot to bring food, she did not even open her mouth to remind them.")</f>
        <v>When the maidservants sometimes forgot to bring food, she did not even open her mouth to remind them.</v>
      </c>
      <c r="C1633" s="7" t="s">
        <v>6</v>
      </c>
      <c r="D1633" s="7" t="s">
        <v>7</v>
      </c>
      <c r="E1633" s="7">
        <v>0</v>
      </c>
    </row>
    <row r="1634" spans="1:5" ht="15.75" customHeight="1" x14ac:dyDescent="0.25">
      <c r="A1634" s="6" t="s">
        <v>1627</v>
      </c>
      <c r="B1634" s="6" t="str">
        <f ca="1">IFERROR(__xludf.DUMMYFUNCTION("GOOGLETRANSLATE(A1634,""bn"",""en"")"),"He stood aimlessly for a while and suddenly went to his room")</f>
        <v>He stood aimlessly for a while and suddenly went to his room</v>
      </c>
      <c r="C1634" s="7" t="s">
        <v>6</v>
      </c>
      <c r="D1634" s="7" t="s">
        <v>7</v>
      </c>
      <c r="E1634" s="7">
        <v>0</v>
      </c>
    </row>
    <row r="1635" spans="1:5" ht="15.75" customHeight="1" x14ac:dyDescent="0.25">
      <c r="A1635" s="6" t="s">
        <v>1628</v>
      </c>
      <c r="B1635" s="6" t="str">
        <f ca="1">IFERROR(__xludf.DUMMYFUNCTION("GOOGLETRANSLATE(A1635,""bn"",""en"")"),"In the end I scored better than Rahim")</f>
        <v>In the end I scored better than Rahim</v>
      </c>
      <c r="C1635" s="7" t="s">
        <v>6</v>
      </c>
      <c r="D1635" s="7" t="s">
        <v>7</v>
      </c>
      <c r="E1635" s="7">
        <v>0</v>
      </c>
    </row>
    <row r="1636" spans="1:5" ht="15.75" customHeight="1" x14ac:dyDescent="0.25">
      <c r="A1636" s="6" t="s">
        <v>1629</v>
      </c>
      <c r="B1636" s="6" t="str">
        <f ca="1">IFERROR(__xludf.DUMMYFUNCTION("GOOGLETRANSLATE(A1636,""bn"",""en"")"),"What is the fault of this liquor compared to Bilati liquor?")</f>
        <v>What is the fault of this liquor compared to Bilati liquor?</v>
      </c>
      <c r="C1636" s="7" t="s">
        <v>6</v>
      </c>
      <c r="D1636" s="7" t="s">
        <v>7</v>
      </c>
      <c r="E1636" s="7">
        <v>0</v>
      </c>
    </row>
    <row r="1637" spans="1:5" ht="15.75" customHeight="1" x14ac:dyDescent="0.25">
      <c r="A1637" s="6" t="s">
        <v>1630</v>
      </c>
      <c r="B1637" s="6" t="str">
        <f ca="1">IFERROR(__xludf.DUMMYFUNCTION("GOOGLETRANSLATE(A1637,""bn"",""en"")"),"Practice gratitude daily to develop a positive mindset")</f>
        <v>Practice gratitude daily to develop a positive mindset</v>
      </c>
      <c r="C1637" s="8" t="s">
        <v>13</v>
      </c>
      <c r="D1637" s="8" t="s">
        <v>14</v>
      </c>
      <c r="E1637" s="8">
        <v>1</v>
      </c>
    </row>
    <row r="1638" spans="1:5" ht="15.75" customHeight="1" x14ac:dyDescent="0.25">
      <c r="A1638" s="6" t="s">
        <v>1631</v>
      </c>
      <c r="B1638" s="6" t="str">
        <f ca="1">IFERROR(__xludf.DUMMYFUNCTION("GOOGLETRANSLATE(A1638,""bn"",""en"")"),"They like to live in high trees")</f>
        <v>They like to live in high trees</v>
      </c>
      <c r="C1638" s="8" t="s">
        <v>13</v>
      </c>
      <c r="D1638" s="8" t="s">
        <v>14</v>
      </c>
      <c r="E1638" s="8">
        <v>1</v>
      </c>
    </row>
    <row r="1639" spans="1:5" ht="15.75" customHeight="1" x14ac:dyDescent="0.25">
      <c r="A1639" s="6" t="s">
        <v>1632</v>
      </c>
      <c r="B1639" s="6" t="str">
        <f ca="1">IFERROR(__xludf.DUMMYFUNCTION("GOOGLETRANSLATE(A1639,""bn"",""en"")"),"No one can teach anyone")</f>
        <v>No one can teach anyone</v>
      </c>
      <c r="C1639" s="8" t="s">
        <v>13</v>
      </c>
      <c r="D1639" s="8" t="s">
        <v>14</v>
      </c>
      <c r="E1639" s="8">
        <v>1</v>
      </c>
    </row>
    <row r="1640" spans="1:5" ht="15.75" customHeight="1" x14ac:dyDescent="0.25">
      <c r="A1640" s="6" t="s">
        <v>1633</v>
      </c>
      <c r="B1640" s="6" t="str">
        <f ca="1">IFERROR(__xludf.DUMMYFUNCTION("GOOGLETRANSLATE(A1640,""bn"",""en"")"),"It is a gas operated automatic weapon")</f>
        <v>It is a gas operated automatic weapon</v>
      </c>
      <c r="C1640" s="8" t="s">
        <v>13</v>
      </c>
      <c r="D1640" s="8" t="s">
        <v>14</v>
      </c>
      <c r="E1640" s="8">
        <v>1</v>
      </c>
    </row>
    <row r="1641" spans="1:5" ht="15.75" customHeight="1" x14ac:dyDescent="0.25">
      <c r="A1641" s="6" t="s">
        <v>1634</v>
      </c>
      <c r="B1641" s="6" t="str">
        <f ca="1">IFERROR(__xludf.DUMMYFUNCTION("GOOGLETRANSLATE(A1641,""bn"",""en"")"),"Dal with hot steamed rice")</f>
        <v>Dal with hot steamed rice</v>
      </c>
      <c r="C1641" s="8" t="s">
        <v>13</v>
      </c>
      <c r="D1641" s="8" t="s">
        <v>14</v>
      </c>
      <c r="E1641" s="8">
        <v>1</v>
      </c>
    </row>
    <row r="1642" spans="1:5" ht="15.75" customHeight="1" x14ac:dyDescent="0.25">
      <c r="A1642" s="6" t="s">
        <v>1635</v>
      </c>
      <c r="B1642" s="6" t="str">
        <f ca="1">IFERROR(__xludf.DUMMYFUNCTION("GOOGLETRANSLATE(A1642,""bn"",""en"")"),"To whom you give your flag, give him strength")</f>
        <v>To whom you give your flag, give him strength</v>
      </c>
      <c r="C1642" s="7" t="s">
        <v>6</v>
      </c>
      <c r="D1642" s="7" t="s">
        <v>7</v>
      </c>
      <c r="E1642" s="7">
        <v>0</v>
      </c>
    </row>
    <row r="1643" spans="1:5" ht="15.75" customHeight="1" x14ac:dyDescent="0.25">
      <c r="A1643" s="6" t="s">
        <v>1636</v>
      </c>
      <c r="B1643" s="6" t="str">
        <f ca="1">IFERROR(__xludf.DUMMYFUNCTION("GOOGLETRANSLATE(A1643,""bn"",""en"")"),"Raju will not go to school today")</f>
        <v>Raju will not go to school today</v>
      </c>
      <c r="C1643" s="7" t="s">
        <v>6</v>
      </c>
      <c r="D1643" s="7" t="s">
        <v>7</v>
      </c>
      <c r="E1643" s="7">
        <v>0</v>
      </c>
    </row>
    <row r="1644" spans="1:5" ht="15.75" customHeight="1" x14ac:dyDescent="0.25">
      <c r="A1644" s="6" t="s">
        <v>1637</v>
      </c>
      <c r="B1644" s="6" t="str">
        <f ca="1">IFERROR(__xludf.DUMMYFUNCTION("GOOGLETRANSLATE(A1644,""bn"",""en"")"),"Even if I wanted to say something, I could not say it")</f>
        <v>Even if I wanted to say something, I could not say it</v>
      </c>
      <c r="C1644" s="7" t="s">
        <v>6</v>
      </c>
      <c r="D1644" s="7" t="s">
        <v>7</v>
      </c>
      <c r="E1644" s="7">
        <v>0</v>
      </c>
    </row>
    <row r="1645" spans="1:5" ht="15.75" customHeight="1" x14ac:dyDescent="0.25">
      <c r="A1645" s="6" t="s">
        <v>1638</v>
      </c>
      <c r="B1645" s="6" t="str">
        <f ca="1">IFERROR(__xludf.DUMMYFUNCTION("GOOGLETRANSLATE(A1645,""bn"",""en"")"),"I was surprised to see him at first")</f>
        <v>I was surprised to see him at first</v>
      </c>
      <c r="C1645" s="7" t="s">
        <v>6</v>
      </c>
      <c r="D1645" s="7" t="s">
        <v>7</v>
      </c>
      <c r="E1645" s="7">
        <v>0</v>
      </c>
    </row>
    <row r="1646" spans="1:5" ht="15.75" customHeight="1" x14ac:dyDescent="0.25">
      <c r="A1646" s="6" t="s">
        <v>1639</v>
      </c>
      <c r="B1646" s="6" t="str">
        <f ca="1">IFERROR(__xludf.DUMMYFUNCTION("GOOGLETRANSLATE(A1646,""bn"",""en"")"),"Aghormayi came up and called out in a loud voice, ""Where are you? Don't be a bar, old lady.""")</f>
        <v>Aghormayi came up and called out in a loud voice, "Where are you? Don't be a bar, old lady."</v>
      </c>
      <c r="C1646" s="7" t="s">
        <v>6</v>
      </c>
      <c r="D1646" s="7" t="s">
        <v>7</v>
      </c>
      <c r="E1646" s="7">
        <v>0</v>
      </c>
    </row>
    <row r="1647" spans="1:5" ht="15.75" customHeight="1" x14ac:dyDescent="0.25">
      <c r="A1647" s="6" t="s">
        <v>1640</v>
      </c>
      <c r="B1647" s="6" t="str">
        <f ca="1">IFERROR(__xludf.DUMMYFUNCTION("GOOGLETRANSLATE(A1647,""bn"",""en"")"),"Comment your thoughts below")</f>
        <v>Comment your thoughts below</v>
      </c>
      <c r="C1647" s="8" t="s">
        <v>13</v>
      </c>
      <c r="D1647" s="8" t="s">
        <v>14</v>
      </c>
      <c r="E1647" s="8">
        <v>1</v>
      </c>
    </row>
    <row r="1648" spans="1:5" ht="15.75" customHeight="1" x14ac:dyDescent="0.25">
      <c r="A1648" s="6" t="s">
        <v>1641</v>
      </c>
      <c r="B1648" s="6" t="str">
        <f ca="1">IFERROR(__xludf.DUMMYFUNCTION("GOOGLETRANSLATE(A1648,""bn"",""en"")"),"Leadership builds a positive motivating work culture")</f>
        <v>Leadership builds a positive motivating work culture</v>
      </c>
      <c r="C1648" s="8" t="s">
        <v>13</v>
      </c>
      <c r="D1648" s="8" t="s">
        <v>14</v>
      </c>
      <c r="E1648" s="8">
        <v>1</v>
      </c>
    </row>
    <row r="1649" spans="1:5" ht="15.75" customHeight="1" x14ac:dyDescent="0.25">
      <c r="A1649" s="6" t="s">
        <v>1642</v>
      </c>
      <c r="B1649" s="6" t="str">
        <f ca="1">IFERROR(__xludf.DUMMYFUNCTION("GOOGLETRANSLATE(A1649,""bn"",""en"")"),"I was playing in the school field")</f>
        <v>I was playing in the school field</v>
      </c>
      <c r="C1649" s="8" t="s">
        <v>13</v>
      </c>
      <c r="D1649" s="8" t="s">
        <v>14</v>
      </c>
      <c r="E1649" s="8">
        <v>1</v>
      </c>
    </row>
    <row r="1650" spans="1:5" ht="15.75" customHeight="1" x14ac:dyDescent="0.25">
      <c r="A1650" s="6" t="s">
        <v>1643</v>
      </c>
      <c r="B1650" s="6" t="str">
        <f ca="1">IFERROR(__xludf.DUMMYFUNCTION("GOOGLETRANSLATE(A1650,""bn"",""en"")"),"Agritourism activities include farm tours, workshops, farm stays or direct sales of farm products")</f>
        <v>Agritourism activities include farm tours, workshops, farm stays or direct sales of farm products</v>
      </c>
      <c r="C1650" s="8" t="s">
        <v>13</v>
      </c>
      <c r="D1650" s="8" t="s">
        <v>14</v>
      </c>
      <c r="E1650" s="8">
        <v>1</v>
      </c>
    </row>
    <row r="1651" spans="1:5" ht="15.75" customHeight="1" x14ac:dyDescent="0.25">
      <c r="A1651" s="6" t="s">
        <v>1644</v>
      </c>
      <c r="B1651" s="6" t="str">
        <f ca="1">IFERROR(__xludf.DUMMYFUNCTION("GOOGLETRANSLATE(A1651,""bn"",""en"")"),"Being able to express yourself freely is liberating")</f>
        <v>Being able to express yourself freely is liberating</v>
      </c>
      <c r="C1651" s="8" t="s">
        <v>13</v>
      </c>
      <c r="D1651" s="8" t="s">
        <v>14</v>
      </c>
      <c r="E1651" s="8">
        <v>1</v>
      </c>
    </row>
    <row r="1652" spans="1:5" ht="15.75" customHeight="1" x14ac:dyDescent="0.25">
      <c r="A1652" s="6" t="s">
        <v>1645</v>
      </c>
      <c r="B1652" s="6" t="str">
        <f ca="1">IFERROR(__xludf.DUMMYFUNCTION("GOOGLETRANSLATE(A1652,""bn"",""en"")"),"I didn't like sitting alone")</f>
        <v>I didn't like sitting alone</v>
      </c>
      <c r="C1652" s="7" t="s">
        <v>6</v>
      </c>
      <c r="D1652" s="7" t="s">
        <v>7</v>
      </c>
      <c r="E1652" s="7">
        <v>0</v>
      </c>
    </row>
    <row r="1653" spans="1:5" ht="15.75" customHeight="1" x14ac:dyDescent="0.25">
      <c r="A1653" s="6" t="s">
        <v>1646</v>
      </c>
      <c r="B1653" s="6" t="str">
        <f ca="1">IFERROR(__xludf.DUMMYFUNCTION("GOOGLETRANSLATE(A1653,""bn"",""en"")"),"Do not faint from exertion")</f>
        <v>Do not faint from exertion</v>
      </c>
      <c r="C1653" s="7" t="s">
        <v>6</v>
      </c>
      <c r="D1653" s="7" t="s">
        <v>7</v>
      </c>
      <c r="E1653" s="7">
        <v>0</v>
      </c>
    </row>
    <row r="1654" spans="1:5" ht="15.75" customHeight="1" x14ac:dyDescent="0.25">
      <c r="A1654" s="6" t="s">
        <v>1647</v>
      </c>
      <c r="B1654" s="6" t="str">
        <f ca="1">IFERROR(__xludf.DUMMYFUNCTION("GOOGLETRANSLATE(A1654,""bn"",""en"")"),"Mim was listening to us")</f>
        <v>Mim was listening to us</v>
      </c>
      <c r="C1654" s="7" t="s">
        <v>6</v>
      </c>
      <c r="D1654" s="7" t="s">
        <v>7</v>
      </c>
      <c r="E1654" s="7">
        <v>0</v>
      </c>
    </row>
    <row r="1655" spans="1:5" ht="15.75" customHeight="1" x14ac:dyDescent="0.25">
      <c r="A1655" s="6" t="s">
        <v>1648</v>
      </c>
      <c r="B1655" s="6" t="str">
        <f ca="1">IFERROR(__xludf.DUMMYFUNCTION("GOOGLETRANSLATE(A1655,""bn"",""en"")"),"Rickshaws have been plying in Malibag for a long time")</f>
        <v>Rickshaws have been plying in Malibag for a long time</v>
      </c>
      <c r="C1655" s="7" t="s">
        <v>6</v>
      </c>
      <c r="D1655" s="7" t="s">
        <v>7</v>
      </c>
      <c r="E1655" s="7">
        <v>0</v>
      </c>
    </row>
    <row r="1656" spans="1:5" ht="15.75" customHeight="1" x14ac:dyDescent="0.25">
      <c r="A1656" s="6" t="s">
        <v>1649</v>
      </c>
      <c r="B1656" s="6" t="str">
        <f ca="1">IFERROR(__xludf.DUMMYFUNCTION("GOOGLETRANSLATE(A1656,""bn"",""en"")"),"Ritu let me sit")</f>
        <v>Ritu let me sit</v>
      </c>
      <c r="C1656" s="7" t="s">
        <v>6</v>
      </c>
      <c r="D1656" s="7" t="s">
        <v>7</v>
      </c>
      <c r="E1656" s="7">
        <v>0</v>
      </c>
    </row>
    <row r="1657" spans="1:5" ht="15.75" customHeight="1" x14ac:dyDescent="0.25">
      <c r="A1657" s="6" t="s">
        <v>1650</v>
      </c>
      <c r="B1657" s="6" t="str">
        <f ca="1">IFERROR(__xludf.DUMMYFUNCTION("GOOGLETRANSLATE(A1657,""bn"",""en"")"),"I got a rental car for a weekend getaway it was a smooth ride")</f>
        <v>I got a rental car for a weekend getaway it was a smooth ride</v>
      </c>
      <c r="C1657" s="8" t="s">
        <v>13</v>
      </c>
      <c r="D1657" s="8" t="s">
        <v>14</v>
      </c>
      <c r="E1657" s="8">
        <v>1</v>
      </c>
    </row>
    <row r="1658" spans="1:5" ht="15.75" customHeight="1" x14ac:dyDescent="0.25">
      <c r="A1658" s="6" t="s">
        <v>1651</v>
      </c>
      <c r="B1658" s="6" t="str">
        <f ca="1">IFERROR(__xludf.DUMMYFUNCTION("GOOGLETRANSLATE(A1658,""bn"",""en"")"),"Creating a budget and sticking to it is essential to achieving financial goals")</f>
        <v>Creating a budget and sticking to it is essential to achieving financial goals</v>
      </c>
      <c r="C1658" s="8" t="s">
        <v>13</v>
      </c>
      <c r="D1658" s="8" t="s">
        <v>14</v>
      </c>
      <c r="E1658" s="8">
        <v>1</v>
      </c>
    </row>
    <row r="1659" spans="1:5" ht="15.75" customHeight="1" x14ac:dyDescent="0.25">
      <c r="A1659" s="6" t="s">
        <v>1652</v>
      </c>
      <c r="B1659" s="6" t="str">
        <f ca="1">IFERROR(__xludf.DUMMYFUNCTION("GOOGLETRANSLATE(A1659,""bn"",""en"")"),"Anaphylaxis is a serious allergic reaction that requires immediate treatment")</f>
        <v>Anaphylaxis is a serious allergic reaction that requires immediate treatment</v>
      </c>
      <c r="C1659" s="8" t="s">
        <v>13</v>
      </c>
      <c r="D1659" s="8" t="s">
        <v>14</v>
      </c>
      <c r="E1659" s="8">
        <v>1</v>
      </c>
    </row>
    <row r="1660" spans="1:5" ht="15.75" customHeight="1" x14ac:dyDescent="0.25">
      <c r="A1660" s="6" t="s">
        <v>1653</v>
      </c>
      <c r="B1660" s="6" t="str">
        <f ca="1">IFERROR(__xludf.DUMMYFUNCTION("GOOGLETRANSLATE(A1660,""bn"",""en"")"),"Sheila drove Robin to school")</f>
        <v>Sheila drove Robin to school</v>
      </c>
      <c r="C1660" s="8" t="s">
        <v>13</v>
      </c>
      <c r="D1660" s="8" t="s">
        <v>14</v>
      </c>
      <c r="E1660" s="8">
        <v>1</v>
      </c>
    </row>
    <row r="1661" spans="1:5" ht="15.75" customHeight="1" x14ac:dyDescent="0.25">
      <c r="A1661" s="6" t="s">
        <v>1654</v>
      </c>
      <c r="B1661" s="6" t="str">
        <f ca="1">IFERROR(__xludf.DUMMYFUNCTION("GOOGLETRANSLATE(A1661,""bn"",""en"")"),"The number has no exact address")</f>
        <v>The number has no exact address</v>
      </c>
      <c r="C1661" s="8" t="s">
        <v>13</v>
      </c>
      <c r="D1661" s="8" t="s">
        <v>14</v>
      </c>
      <c r="E1661" s="8">
        <v>1</v>
      </c>
    </row>
    <row r="1662" spans="1:5" ht="15.75" customHeight="1" x14ac:dyDescent="0.25">
      <c r="A1662" s="6" t="s">
        <v>1655</v>
      </c>
      <c r="B1662" s="6" t="str">
        <f ca="1">IFERROR(__xludf.DUMMYFUNCTION("GOOGLETRANSLATE(A1662,""bn"",""en"")"),"Even now he is not to be seen even in his father's writing room")</f>
        <v>Even now he is not to be seen even in his father's writing room</v>
      </c>
      <c r="C1662" s="7" t="s">
        <v>6</v>
      </c>
      <c r="D1662" s="7" t="s">
        <v>7</v>
      </c>
      <c r="E1662" s="7">
        <v>0</v>
      </c>
    </row>
    <row r="1663" spans="1:5" ht="15.75" customHeight="1" x14ac:dyDescent="0.25">
      <c r="A1663" s="6" t="s">
        <v>1656</v>
      </c>
      <c r="B1663" s="6" t="str">
        <f ca="1">IFERROR(__xludf.DUMMYFUNCTION("GOOGLETRANSLATE(A1663,""bn"",""en"")"),"He did not like to argue")</f>
        <v>He did not like to argue</v>
      </c>
      <c r="C1663" s="7" t="s">
        <v>6</v>
      </c>
      <c r="D1663" s="7" t="s">
        <v>7</v>
      </c>
      <c r="E1663" s="7">
        <v>0</v>
      </c>
    </row>
    <row r="1664" spans="1:5" ht="15.75" customHeight="1" x14ac:dyDescent="0.25">
      <c r="A1664" s="6" t="s">
        <v>1657</v>
      </c>
      <c r="B1664" s="6" t="str">
        <f ca="1">IFERROR(__xludf.DUMMYFUNCTION("GOOGLETRANSLATE(A1664,""bn"",""en"")"),"By donating this money, two parts of the festival had to be cut from the account")</f>
        <v>By donating this money, two parts of the festival had to be cut from the account</v>
      </c>
      <c r="C1664" s="7" t="s">
        <v>6</v>
      </c>
      <c r="D1664" s="7" t="s">
        <v>7</v>
      </c>
      <c r="E1664" s="7">
        <v>0</v>
      </c>
    </row>
    <row r="1665" spans="1:5" ht="15.75" customHeight="1" x14ac:dyDescent="0.25">
      <c r="A1665" s="6" t="s">
        <v>1658</v>
      </c>
      <c r="B1665" s="6" t="str">
        <f ca="1">IFERROR(__xludf.DUMMYFUNCTION("GOOGLETRANSLATE(A1665,""bn"",""en"")"),"They have used the deep solitude of the dense forest on the other side of the canal outside the village")</f>
        <v>They have used the deep solitude of the dense forest on the other side of the canal outside the village</v>
      </c>
      <c r="C1665" s="7" t="s">
        <v>6</v>
      </c>
      <c r="D1665" s="7" t="s">
        <v>7</v>
      </c>
      <c r="E1665" s="7">
        <v>0</v>
      </c>
    </row>
    <row r="1666" spans="1:5" ht="15.75" customHeight="1" x14ac:dyDescent="0.25">
      <c r="A1666" s="6" t="s">
        <v>1659</v>
      </c>
      <c r="B1666" s="6" t="str">
        <f ca="1">IFERROR(__xludf.DUMMYFUNCTION("GOOGLETRANSLATE(A1666,""bn"",""en"")"),"Sajeev told his father about me")</f>
        <v>Sajeev told his father about me</v>
      </c>
      <c r="C1666" s="7" t="s">
        <v>6</v>
      </c>
      <c r="D1666" s="7" t="s">
        <v>7</v>
      </c>
      <c r="E1666" s="7">
        <v>0</v>
      </c>
    </row>
    <row r="1667" spans="1:5" ht="15.75" customHeight="1" x14ac:dyDescent="0.25">
      <c r="A1667" s="6" t="s">
        <v>1660</v>
      </c>
      <c r="B1667" s="6" t="str">
        <f ca="1">IFERROR(__xludf.DUMMYFUNCTION("GOOGLETRANSLATE(A1667,""bn"",""en"")"),"The people of this region did not know how to resort to false tricks")</f>
        <v>The people of this region did not know how to resort to false tricks</v>
      </c>
      <c r="C1667" s="8" t="s">
        <v>13</v>
      </c>
      <c r="D1667" s="8" t="s">
        <v>14</v>
      </c>
      <c r="E1667" s="8">
        <v>1</v>
      </c>
    </row>
    <row r="1668" spans="1:5" ht="15.75" customHeight="1" x14ac:dyDescent="0.25">
      <c r="A1668" s="6" t="s">
        <v>1661</v>
      </c>
      <c r="B1668" s="6" t="str">
        <f ca="1">IFERROR(__xludf.DUMMYFUNCTION("GOOGLETRANSLATE(A1668,""bn"",""en"")"),"My family's support has played an important role in my success")</f>
        <v>My family's support has played an important role in my success</v>
      </c>
      <c r="C1668" s="8" t="s">
        <v>13</v>
      </c>
      <c r="D1668" s="8" t="s">
        <v>14</v>
      </c>
      <c r="E1668" s="8">
        <v>1</v>
      </c>
    </row>
    <row r="1669" spans="1:5" ht="15.75" customHeight="1" x14ac:dyDescent="0.25">
      <c r="A1669" s="6" t="s">
        <v>1662</v>
      </c>
      <c r="B1669" s="6" t="str">
        <f ca="1">IFERROR(__xludf.DUMMYFUNCTION("GOOGLETRANSLATE(A1669,""bn"",""en"")"),"The bird was chirping on the branch of the tree")</f>
        <v>The bird was chirping on the branch of the tree</v>
      </c>
      <c r="C1669" s="8" t="s">
        <v>13</v>
      </c>
      <c r="D1669" s="8" t="s">
        <v>14</v>
      </c>
      <c r="E1669" s="8">
        <v>1</v>
      </c>
    </row>
    <row r="1670" spans="1:5" ht="15.75" customHeight="1" x14ac:dyDescent="0.25">
      <c r="A1670" s="6" t="s">
        <v>1663</v>
      </c>
      <c r="B1670" s="6" t="str">
        <f ca="1">IFERROR(__xludf.DUMMYFUNCTION("GOOGLETRANSLATE(A1670,""bn"",""en"")"),"You can easily see how coconut plantations have grown all over the city")</f>
        <v>You can easily see how coconut plantations have grown all over the city</v>
      </c>
      <c r="C1670" s="8" t="s">
        <v>13</v>
      </c>
      <c r="D1670" s="8" t="s">
        <v>14</v>
      </c>
      <c r="E1670" s="8">
        <v>1</v>
      </c>
    </row>
    <row r="1671" spans="1:5" ht="15.75" customHeight="1" x14ac:dyDescent="0.25">
      <c r="A1671" s="6" t="s">
        <v>1664</v>
      </c>
      <c r="B1671" s="6" t="str">
        <f ca="1">IFERROR(__xludf.DUMMYFUNCTION("GOOGLETRANSLATE(A1671,""bn"",""en"")"),"We have done better than them")</f>
        <v>We have done better than them</v>
      </c>
      <c r="C1671" s="8" t="s">
        <v>13</v>
      </c>
      <c r="D1671" s="8" t="s">
        <v>14</v>
      </c>
      <c r="E1671" s="8">
        <v>1</v>
      </c>
    </row>
    <row r="1672" spans="1:5" ht="15.75" customHeight="1" x14ac:dyDescent="0.25">
      <c r="A1672" s="6" t="s">
        <v>1665</v>
      </c>
      <c r="B1672" s="6" t="str">
        <f ca="1">IFERROR(__xludf.DUMMYFUNCTION("GOOGLETRANSLATE(A1672,""bn"",""en"")"),"The passengers could not know anything about these things from inside the boat")</f>
        <v>The passengers could not know anything about these things from inside the boat</v>
      </c>
      <c r="C1672" s="7" t="s">
        <v>6</v>
      </c>
      <c r="D1672" s="7" t="s">
        <v>7</v>
      </c>
      <c r="E1672" s="7">
        <v>0</v>
      </c>
    </row>
    <row r="1673" spans="1:5" ht="15.75" customHeight="1" x14ac:dyDescent="0.25">
      <c r="A1673" s="6" t="s">
        <v>1666</v>
      </c>
      <c r="B1673" s="6" t="str">
        <f ca="1">IFERROR(__xludf.DUMMYFUNCTION("GOOGLETRANSLATE(A1673,""bn"",""en"")"),"He has no fever this evening")</f>
        <v>He has no fever this evening</v>
      </c>
      <c r="C1673" s="7" t="s">
        <v>6</v>
      </c>
      <c r="D1673" s="7" t="s">
        <v>7</v>
      </c>
      <c r="E1673" s="7">
        <v>0</v>
      </c>
    </row>
    <row r="1674" spans="1:5" ht="15.75" customHeight="1" x14ac:dyDescent="0.25">
      <c r="A1674" s="6" t="s">
        <v>1667</v>
      </c>
      <c r="B1674" s="6" t="str">
        <f ca="1">IFERROR(__xludf.DUMMYFUNCTION("GOOGLETRANSLATE(A1674,""bn"",""en"")"),"The next day the tiger came to my tent on a carrier")</f>
        <v>The next day the tiger came to my tent on a carrier</v>
      </c>
      <c r="C1674" s="7" t="s">
        <v>6</v>
      </c>
      <c r="D1674" s="7" t="s">
        <v>7</v>
      </c>
      <c r="E1674" s="7">
        <v>0</v>
      </c>
    </row>
    <row r="1675" spans="1:5" ht="15.75" customHeight="1" x14ac:dyDescent="0.25">
      <c r="A1675" s="6" t="s">
        <v>1668</v>
      </c>
      <c r="B1675" s="6" t="str">
        <f ca="1">IFERROR(__xludf.DUMMYFUNCTION("GOOGLETRANSLATE(A1675,""bn"",""en"")"),"Baba very wisely settled the quarrel between the two brothers")</f>
        <v>Baba very wisely settled the quarrel between the two brothers</v>
      </c>
      <c r="C1675" s="7" t="s">
        <v>6</v>
      </c>
      <c r="D1675" s="7" t="s">
        <v>7</v>
      </c>
      <c r="E1675" s="7">
        <v>0</v>
      </c>
    </row>
    <row r="1676" spans="1:5" ht="15.75" customHeight="1" x14ac:dyDescent="0.25">
      <c r="A1676" s="6" t="s">
        <v>1669</v>
      </c>
      <c r="B1676" s="6" t="str">
        <f ca="1">IFERROR(__xludf.DUMMYFUNCTION("GOOGLETRANSLATE(A1676,""bn"",""en"")"),"I can do it very well")</f>
        <v>I can do it very well</v>
      </c>
      <c r="C1676" s="7" t="s">
        <v>6</v>
      </c>
      <c r="D1676" s="7" t="s">
        <v>7</v>
      </c>
      <c r="E1676" s="7">
        <v>0</v>
      </c>
    </row>
    <row r="1677" spans="1:5" ht="15.75" customHeight="1" x14ac:dyDescent="0.25">
      <c r="A1677" s="6" t="s">
        <v>1670</v>
      </c>
      <c r="B1677" s="6" t="str">
        <f ca="1">IFERROR(__xludf.DUMMYFUNCTION("GOOGLETRANSLATE(A1677,""bn"",""en"")"),"This peace has continued for generations")</f>
        <v>This peace has continued for generations</v>
      </c>
      <c r="C1677" s="8" t="s">
        <v>13</v>
      </c>
      <c r="D1677" s="8" t="s">
        <v>14</v>
      </c>
      <c r="E1677" s="8">
        <v>1</v>
      </c>
    </row>
    <row r="1678" spans="1:5" ht="15.75" customHeight="1" x14ac:dyDescent="0.25">
      <c r="A1678" s="6" t="s">
        <v>1671</v>
      </c>
      <c r="B1678" s="6" t="str">
        <f ca="1">IFERROR(__xludf.DUMMYFUNCTION("GOOGLETRANSLATE(A1678,""bn"",""en"")"),"Two of his sons predeceased him")</f>
        <v>Two of his sons predeceased him</v>
      </c>
      <c r="C1678" s="8" t="s">
        <v>13</v>
      </c>
      <c r="D1678" s="8" t="s">
        <v>14</v>
      </c>
      <c r="E1678" s="8">
        <v>1</v>
      </c>
    </row>
    <row r="1679" spans="1:5" ht="15.75" customHeight="1" x14ac:dyDescent="0.25">
      <c r="A1679" s="6" t="s">
        <v>1672</v>
      </c>
      <c r="B1679" s="6" t="str">
        <f ca="1">IFERROR(__xludf.DUMMYFUNCTION("GOOGLETRANSLATE(A1679,""bn"",""en"")"),"The swan is excited to see the procession")</f>
        <v>The swan is excited to see the procession</v>
      </c>
      <c r="C1679" s="8" t="s">
        <v>13</v>
      </c>
      <c r="D1679" s="8" t="s">
        <v>14</v>
      </c>
      <c r="E1679" s="8">
        <v>1</v>
      </c>
    </row>
    <row r="1680" spans="1:5" ht="15.75" customHeight="1" x14ac:dyDescent="0.25">
      <c r="A1680" s="6" t="s">
        <v>1673</v>
      </c>
      <c r="B1680" s="6" t="str">
        <f ca="1">IFERROR(__xludf.DUMMYFUNCTION("GOOGLETRANSLATE(A1680,""bn"",""en"")"),"The transaction was processed securely using encryption technology")</f>
        <v>The transaction was processed securely using encryption technology</v>
      </c>
      <c r="C1680" s="8" t="s">
        <v>13</v>
      </c>
      <c r="D1680" s="8" t="s">
        <v>14</v>
      </c>
      <c r="E1680" s="8">
        <v>1</v>
      </c>
    </row>
    <row r="1681" spans="1:5" ht="15.75" customHeight="1" x14ac:dyDescent="0.25">
      <c r="A1681" s="6" t="s">
        <v>1674</v>
      </c>
      <c r="B1681" s="6" t="str">
        <f ca="1">IFERROR(__xludf.DUMMYFUNCTION("GOOGLETRANSLATE(A1681,""bn"",""en"")"),"I enjoy cycling through the park it's a great way to stay active")</f>
        <v>I enjoy cycling through the park it's a great way to stay active</v>
      </c>
      <c r="C1681" s="8" t="s">
        <v>13</v>
      </c>
      <c r="D1681" s="8" t="s">
        <v>14</v>
      </c>
      <c r="E1681" s="8">
        <v>1</v>
      </c>
    </row>
    <row r="1682" spans="1:5" ht="15.75" customHeight="1" x14ac:dyDescent="0.25">
      <c r="A1682" s="6" t="s">
        <v>1675</v>
      </c>
      <c r="B1682" s="6" t="str">
        <f ca="1">IFERROR(__xludf.DUMMYFUNCTION("GOOGLETRANSLATE(A1682,""bn"",""en"")"),"The gentleman who brought the doctor that day also did not say anything good")</f>
        <v>The gentleman who brought the doctor that day also did not say anything good</v>
      </c>
      <c r="C1682" s="7" t="s">
        <v>6</v>
      </c>
      <c r="D1682" s="7" t="s">
        <v>7</v>
      </c>
      <c r="E1682" s="7">
        <v>0</v>
      </c>
    </row>
    <row r="1683" spans="1:5" ht="15.75" customHeight="1" x14ac:dyDescent="0.25">
      <c r="A1683" s="6" t="s">
        <v>1676</v>
      </c>
      <c r="B1683" s="6" t="str">
        <f ca="1">IFERROR(__xludf.DUMMYFUNCTION("GOOGLETRANSLATE(A1683,""bn"",""en"")"),"I was so busy thinking how soon I will reach")</f>
        <v>I was so busy thinking how soon I will reach</v>
      </c>
      <c r="C1683" s="7" t="s">
        <v>6</v>
      </c>
      <c r="D1683" s="7" t="s">
        <v>7</v>
      </c>
      <c r="E1683" s="7">
        <v>0</v>
      </c>
    </row>
    <row r="1684" spans="1:5" ht="15.75" customHeight="1" x14ac:dyDescent="0.25">
      <c r="A1684" s="6" t="s">
        <v>1677</v>
      </c>
      <c r="B1684" s="6" t="str">
        <f ca="1">IFERROR(__xludf.DUMMYFUNCTION("GOOGLETRANSLATE(A1684,""bn"",""en"")"),"Rahim kept Karim tied up")</f>
        <v>Rahim kept Karim tied up</v>
      </c>
      <c r="C1684" s="7" t="s">
        <v>6</v>
      </c>
      <c r="D1684" s="7" t="s">
        <v>7</v>
      </c>
      <c r="E1684" s="7">
        <v>0</v>
      </c>
    </row>
    <row r="1685" spans="1:5" ht="15.75" customHeight="1" x14ac:dyDescent="0.25">
      <c r="A1685" s="6" t="s">
        <v>1678</v>
      </c>
      <c r="B1685" s="6" t="str">
        <f ca="1">IFERROR(__xludf.DUMMYFUNCTION("GOOGLETRANSLATE(A1685,""bn"",""en"")"),"It seemed as if I saw that all the waves rose from the east, none rose from the east and fell to the west.")</f>
        <v>It seemed as if I saw that all the waves rose from the east, none rose from the east and fell to the west.</v>
      </c>
      <c r="C1685" s="7" t="s">
        <v>6</v>
      </c>
      <c r="D1685" s="7" t="s">
        <v>7</v>
      </c>
      <c r="E1685" s="7">
        <v>0</v>
      </c>
    </row>
    <row r="1686" spans="1:5" ht="15.75" customHeight="1" x14ac:dyDescent="0.25">
      <c r="A1686" s="6" t="s">
        <v>1679</v>
      </c>
      <c r="B1686" s="6" t="str">
        <f ca="1">IFERROR(__xludf.DUMMYFUNCTION("GOOGLETRANSLATE(A1686,""bn"",""en"")"),"Because it's a little more fun than a better game has come to mind")</f>
        <v>Because it's a little more fun than a better game has come to mind</v>
      </c>
      <c r="C1686" s="7" t="s">
        <v>6</v>
      </c>
      <c r="D1686" s="7" t="s">
        <v>7</v>
      </c>
      <c r="E1686" s="7">
        <v>0</v>
      </c>
    </row>
    <row r="1687" spans="1:5" ht="15.75" customHeight="1" x14ac:dyDescent="0.25">
      <c r="A1687" s="6" t="s">
        <v>1680</v>
      </c>
      <c r="B1687" s="6" t="str">
        <f ca="1">IFERROR(__xludf.DUMMYFUNCTION("GOOGLETRANSLATE(A1687,""bn"",""en"")"),"Feeling overwhelmed by expectations leads to stress")</f>
        <v>Feeling overwhelmed by expectations leads to stress</v>
      </c>
      <c r="C1687" s="8" t="s">
        <v>13</v>
      </c>
      <c r="D1687" s="8" t="s">
        <v>14</v>
      </c>
      <c r="E1687" s="8">
        <v>1</v>
      </c>
    </row>
    <row r="1688" spans="1:5" ht="15.75" customHeight="1" x14ac:dyDescent="0.25">
      <c r="A1688" s="6" t="s">
        <v>1681</v>
      </c>
      <c r="B1688" s="6" t="str">
        <f ca="1">IFERROR(__xludf.DUMMYFUNCTION("GOOGLETRANSLATE(A1688,""bn"",""en"")"),"I found the product overpriced for what it offers")</f>
        <v>I found the product overpriced for what it offers</v>
      </c>
      <c r="C1688" s="8" t="s">
        <v>13</v>
      </c>
      <c r="D1688" s="8" t="s">
        <v>14</v>
      </c>
      <c r="E1688" s="8">
        <v>1</v>
      </c>
    </row>
    <row r="1689" spans="1:5" ht="15.75" customHeight="1" x14ac:dyDescent="0.25">
      <c r="A1689" s="6" t="s">
        <v>1682</v>
      </c>
      <c r="B1689" s="6" t="str">
        <f ca="1">IFERROR(__xludf.DUMMYFUNCTION("GOOGLETRANSLATE(A1689,""bn"",""en"")"),"He bought me my favorite book")</f>
        <v>He bought me my favorite book</v>
      </c>
      <c r="C1689" s="8" t="s">
        <v>13</v>
      </c>
      <c r="D1689" s="8" t="s">
        <v>14</v>
      </c>
      <c r="E1689" s="8">
        <v>1</v>
      </c>
    </row>
    <row r="1690" spans="1:5" ht="15.75" customHeight="1" x14ac:dyDescent="0.25">
      <c r="A1690" s="6" t="s">
        <v>1683</v>
      </c>
      <c r="B1690" s="6" t="str">
        <f ca="1">IFERROR(__xludf.DUMMYFUNCTION("GOOGLETRANSLATE(A1690,""bn"",""en"")"),"One could not be caught")</f>
        <v>One could not be caught</v>
      </c>
      <c r="C1690" s="8" t="s">
        <v>13</v>
      </c>
      <c r="D1690" s="8" t="s">
        <v>14</v>
      </c>
      <c r="E1690" s="8">
        <v>1</v>
      </c>
    </row>
    <row r="1691" spans="1:5" ht="15.75" customHeight="1" x14ac:dyDescent="0.25">
      <c r="A1691" s="6" t="s">
        <v>1684</v>
      </c>
      <c r="B1691" s="6" t="str">
        <f ca="1">IFERROR(__xludf.DUMMYFUNCTION("GOOGLETRANSLATE(A1691,""bn"",""en"")"),"The cause of his death is debated whether it was suicide or murder")</f>
        <v>The cause of his death is debated whether it was suicide or murder</v>
      </c>
      <c r="C1691" s="8" t="s">
        <v>13</v>
      </c>
      <c r="D1691" s="8" t="s">
        <v>14</v>
      </c>
      <c r="E1691" s="8">
        <v>1</v>
      </c>
    </row>
    <row r="1692" spans="1:5" ht="15.75" customHeight="1" x14ac:dyDescent="0.25">
      <c r="A1692" s="6" t="s">
        <v>1685</v>
      </c>
      <c r="B1692" s="6" t="str">
        <f ca="1">IFERROR(__xludf.DUMMYFUNCTION("GOOGLETRANSLATE(A1692,""bn"",""en"")"),"At that time, that unripe baby entered the house")</f>
        <v>At that time, that unripe baby entered the house</v>
      </c>
      <c r="C1692" s="7" t="s">
        <v>6</v>
      </c>
      <c r="D1692" s="7" t="s">
        <v>7</v>
      </c>
      <c r="E1692" s="7">
        <v>0</v>
      </c>
    </row>
    <row r="1693" spans="1:5" ht="15.75" customHeight="1" x14ac:dyDescent="0.25">
      <c r="A1693" s="6" t="s">
        <v>1686</v>
      </c>
      <c r="B1693" s="6" t="str">
        <f ca="1">IFERROR(__xludf.DUMMYFUNCTION("GOOGLETRANSLATE(A1693,""bn"",""en"")"),"Why didn't he mix with the soil?")</f>
        <v>Why didn't he mix with the soil?</v>
      </c>
      <c r="C1693" s="7" t="s">
        <v>6</v>
      </c>
      <c r="D1693" s="7" t="s">
        <v>7</v>
      </c>
      <c r="E1693" s="7">
        <v>0</v>
      </c>
    </row>
    <row r="1694" spans="1:5" ht="15.75" customHeight="1" x14ac:dyDescent="0.25">
      <c r="A1694" s="6" t="s">
        <v>1687</v>
      </c>
      <c r="B1694" s="6" t="str">
        <f ca="1">IFERROR(__xludf.DUMMYFUNCTION("GOOGLETRANSLATE(A1694,""bn"",""en"")"),"They quickly crossed the border of the forest and went to the city")</f>
        <v>They quickly crossed the border of the forest and went to the city</v>
      </c>
      <c r="C1694" s="7" t="s">
        <v>6</v>
      </c>
      <c r="D1694" s="7" t="s">
        <v>7</v>
      </c>
      <c r="E1694" s="7">
        <v>0</v>
      </c>
    </row>
    <row r="1695" spans="1:5" ht="15.75" customHeight="1" x14ac:dyDescent="0.25">
      <c r="A1695" s="6" t="s">
        <v>1688</v>
      </c>
      <c r="B1695" s="6" t="str">
        <f ca="1">IFERROR(__xludf.DUMMYFUNCTION("GOOGLETRANSLATE(A1695,""bn"",""en"")"),"I helped my mother in cooking")</f>
        <v>I helped my mother in cooking</v>
      </c>
      <c r="C1695" s="7" t="s">
        <v>6</v>
      </c>
      <c r="D1695" s="7" t="s">
        <v>7</v>
      </c>
      <c r="E1695" s="7">
        <v>0</v>
      </c>
    </row>
    <row r="1696" spans="1:5" ht="15.75" customHeight="1" x14ac:dyDescent="0.25">
      <c r="A1696" s="6" t="s">
        <v>1689</v>
      </c>
      <c r="B1696" s="6" t="str">
        <f ca="1">IFERROR(__xludf.DUMMYFUNCTION("GOOGLETRANSLATE(A1696,""bn"",""en"")"),"Green told me a lot")</f>
        <v>Green told me a lot</v>
      </c>
      <c r="C1696" s="7" t="s">
        <v>6</v>
      </c>
      <c r="D1696" s="7" t="s">
        <v>7</v>
      </c>
      <c r="E1696" s="7">
        <v>0</v>
      </c>
    </row>
    <row r="1697" spans="1:5" ht="15.75" customHeight="1" x14ac:dyDescent="0.25">
      <c r="A1697" s="6" t="s">
        <v>1690</v>
      </c>
      <c r="B1697" s="6" t="str">
        <f ca="1">IFERROR(__xludf.DUMMYFUNCTION("GOOGLETRANSLATE(A1697,""bn"",""en"")"),"The motto should be given when you believe it")</f>
        <v>The motto should be given when you believe it</v>
      </c>
      <c r="C1697" s="8" t="s">
        <v>13</v>
      </c>
      <c r="D1697" s="8" t="s">
        <v>14</v>
      </c>
      <c r="E1697" s="8">
        <v>1</v>
      </c>
    </row>
    <row r="1698" spans="1:5" ht="15.75" customHeight="1" x14ac:dyDescent="0.25">
      <c r="A1698" s="6" t="s">
        <v>1691</v>
      </c>
      <c r="B1698" s="6" t="str">
        <f ca="1">IFERROR(__xludf.DUMMYFUNCTION("GOOGLETRANSLATE(A1698,""bn"",""en"")"),"I used to pick up bundles of newspapers from the platform")</f>
        <v>I used to pick up bundles of newspapers from the platform</v>
      </c>
      <c r="C1698" s="8" t="s">
        <v>13</v>
      </c>
      <c r="D1698" s="8" t="s">
        <v>14</v>
      </c>
      <c r="E1698" s="8">
        <v>1</v>
      </c>
    </row>
    <row r="1699" spans="1:5" ht="15.75" customHeight="1" x14ac:dyDescent="0.25">
      <c r="A1699" s="6" t="s">
        <v>1692</v>
      </c>
      <c r="B1699" s="6" t="str">
        <f ca="1">IFERROR(__xludf.DUMMYFUNCTION("GOOGLETRANSLATE(A1699,""bn"",""en"")"),"Green asked me to sit in his room")</f>
        <v>Green asked me to sit in his room</v>
      </c>
      <c r="C1699" s="8" t="s">
        <v>13</v>
      </c>
      <c r="D1699" s="8" t="s">
        <v>14</v>
      </c>
      <c r="E1699" s="8">
        <v>1</v>
      </c>
    </row>
    <row r="1700" spans="1:5" ht="15.75" customHeight="1" x14ac:dyDescent="0.25">
      <c r="A1700" s="6" t="s">
        <v>1693</v>
      </c>
      <c r="B1700" s="6" t="str">
        <f ca="1">IFERROR(__xludf.DUMMYFUNCTION("GOOGLETRANSLATE(A1700,""bn"",""en"")"),"Come if you want to play football")</f>
        <v>Come if you want to play football</v>
      </c>
      <c r="C1700" s="8" t="s">
        <v>13</v>
      </c>
      <c r="D1700" s="8" t="s">
        <v>14</v>
      </c>
      <c r="E1700" s="8">
        <v>1</v>
      </c>
    </row>
    <row r="1701" spans="1:5" ht="15.75" customHeight="1" x14ac:dyDescent="0.25">
      <c r="A1701" s="6" t="s">
        <v>1694</v>
      </c>
      <c r="B1701" s="6" t="str">
        <f ca="1">IFERROR(__xludf.DUMMYFUNCTION("GOOGLETRANSLATE(A1701,""bn"",""en"")"),"My brother asked me to sit and read")</f>
        <v>My brother asked me to sit and read</v>
      </c>
      <c r="C1701" s="8" t="s">
        <v>13</v>
      </c>
      <c r="D1701" s="8" t="s">
        <v>14</v>
      </c>
      <c r="E1701" s="8">
        <v>1</v>
      </c>
    </row>
    <row r="1702" spans="1:5" ht="15.75" customHeight="1" x14ac:dyDescent="0.25">
      <c r="A1702" s="6" t="s">
        <v>1695</v>
      </c>
      <c r="B1702" s="6" t="str">
        <f ca="1">IFERROR(__xludf.DUMMYFUNCTION("GOOGLETRANSLATE(A1702,""bn"",""en"")"),"Is this your new book?")</f>
        <v>Is this your new book?</v>
      </c>
      <c r="C1702" s="7" t="s">
        <v>6</v>
      </c>
      <c r="D1702" s="7" t="s">
        <v>7</v>
      </c>
      <c r="E1702" s="7">
        <v>0</v>
      </c>
    </row>
    <row r="1703" spans="1:5" ht="15.75" customHeight="1" x14ac:dyDescent="0.25">
      <c r="A1703" s="6" t="s">
        <v>1696</v>
      </c>
      <c r="B1703" s="6" t="str">
        <f ca="1">IFERROR(__xludf.DUMMYFUNCTION("GOOGLETRANSLATE(A1703,""bn"",""en"")"),"I was laughing to see Lata pretending to be so conscious")</f>
        <v>I was laughing to see Lata pretending to be so conscious</v>
      </c>
      <c r="C1703" s="7" t="s">
        <v>6</v>
      </c>
      <c r="D1703" s="7" t="s">
        <v>7</v>
      </c>
      <c r="E1703" s="7">
        <v>0</v>
      </c>
    </row>
    <row r="1704" spans="1:5" ht="15.75" customHeight="1" x14ac:dyDescent="0.25">
      <c r="A1704" s="6" t="s">
        <v>1697</v>
      </c>
      <c r="B1704" s="6" t="str">
        <f ca="1">IFERROR(__xludf.DUMMYFUNCTION("GOOGLETRANSLATE(A1704,""bn"",""en"")"),"The Mughal Empire was influenced by Persian language art culture")</f>
        <v>The Mughal Empire was influenced by Persian language art culture</v>
      </c>
      <c r="C1704" s="7" t="s">
        <v>6</v>
      </c>
      <c r="D1704" s="7" t="s">
        <v>7</v>
      </c>
      <c r="E1704" s="7">
        <v>0</v>
      </c>
    </row>
    <row r="1705" spans="1:5" ht="15.75" customHeight="1" x14ac:dyDescent="0.25">
      <c r="A1705" s="6" t="s">
        <v>619</v>
      </c>
      <c r="B1705" s="6" t="str">
        <f ca="1">IFERROR(__xludf.DUMMYFUNCTION("GOOGLETRANSLATE(A1705,""bn"",""en"")"),"Be that as it may, I was surprised to hear Sanskrit rhymes in the mouth of the bird")</f>
        <v>Be that as it may, I was surprised to hear Sanskrit rhymes in the mouth of the bird</v>
      </c>
      <c r="C1705" s="7" t="s">
        <v>6</v>
      </c>
      <c r="D1705" s="7" t="s">
        <v>7</v>
      </c>
      <c r="E1705" s="7">
        <v>0</v>
      </c>
    </row>
    <row r="1706" spans="1:5" ht="15.75" customHeight="1" x14ac:dyDescent="0.25">
      <c r="A1706" s="6" t="s">
        <v>1698</v>
      </c>
      <c r="B1706" s="6" t="str">
        <f ca="1">IFERROR(__xludf.DUMMYFUNCTION("GOOGLETRANSLATE(A1706,""bn"",""en"")"),"He couldn't bring himself to walk towards Haru's house without hearing from a family that wouldn't burst into tears at his response.")</f>
        <v>He couldn't bring himself to walk towards Haru's house without hearing from a family that wouldn't burst into tears at his response.</v>
      </c>
      <c r="C1706" s="7" t="s">
        <v>6</v>
      </c>
      <c r="D1706" s="7" t="s">
        <v>7</v>
      </c>
      <c r="E1706" s="7">
        <v>0</v>
      </c>
    </row>
    <row r="1707" spans="1:5" ht="15.75" customHeight="1" x14ac:dyDescent="0.25">
      <c r="A1707" s="6" t="s">
        <v>1699</v>
      </c>
      <c r="B1707" s="6" t="str">
        <f ca="1">IFERROR(__xludf.DUMMYFUNCTION("GOOGLETRANSLATE(A1707,""bn"",""en"")"),"Share your travel experience")</f>
        <v>Share your travel experience</v>
      </c>
      <c r="C1707" s="8" t="s">
        <v>13</v>
      </c>
      <c r="D1707" s="8" t="s">
        <v>14</v>
      </c>
      <c r="E1707" s="8">
        <v>1</v>
      </c>
    </row>
    <row r="1708" spans="1:5" ht="15.75" customHeight="1" x14ac:dyDescent="0.25">
      <c r="A1708" s="6" t="s">
        <v>1700</v>
      </c>
      <c r="B1708" s="6" t="str">
        <f ca="1">IFERROR(__xludf.DUMMYFUNCTION("GOOGLETRANSLATE(A1708,""bn"",""en"")"),"Choose kindness even in moments of anger or frustration")</f>
        <v>Choose kindness even in moments of anger or frustration</v>
      </c>
      <c r="C1708" s="8" t="s">
        <v>13</v>
      </c>
      <c r="D1708" s="8" t="s">
        <v>14</v>
      </c>
      <c r="E1708" s="8">
        <v>1</v>
      </c>
    </row>
    <row r="1709" spans="1:5" ht="15.75" customHeight="1" x14ac:dyDescent="0.25">
      <c r="A1709" s="6" t="s">
        <v>1701</v>
      </c>
      <c r="B1709" s="6" t="str">
        <f ca="1">IFERROR(__xludf.DUMMYFUNCTION("GOOGLETRANSLATE(A1709,""bn"",""en"")"),"Criminal profiling is a technique used to identify potential suspects")</f>
        <v>Criminal profiling is a technique used to identify potential suspects</v>
      </c>
      <c r="C1709" s="8" t="s">
        <v>13</v>
      </c>
      <c r="D1709" s="8" t="s">
        <v>14</v>
      </c>
      <c r="E1709" s="8">
        <v>1</v>
      </c>
    </row>
    <row r="1710" spans="1:5" ht="15.75" customHeight="1" x14ac:dyDescent="0.25">
      <c r="A1710" s="6" t="s">
        <v>1702</v>
      </c>
      <c r="B1710" s="6" t="str">
        <f ca="1">IFERROR(__xludf.DUMMYFUNCTION("GOOGLETRANSLATE(A1710,""bn"",""en"")"),"Sajeev asked me for food")</f>
        <v>Sajeev asked me for food</v>
      </c>
      <c r="C1710" s="8" t="s">
        <v>13</v>
      </c>
      <c r="D1710" s="8" t="s">
        <v>14</v>
      </c>
      <c r="E1710" s="8">
        <v>1</v>
      </c>
    </row>
    <row r="1711" spans="1:5" ht="15.75" customHeight="1" x14ac:dyDescent="0.25">
      <c r="A1711" s="6" t="s">
        <v>1703</v>
      </c>
      <c r="B1711" s="6" t="str">
        <f ca="1">IFERROR(__xludf.DUMMYFUNCTION("GOOGLETRANSLATE(A1711,""bn"",""en"")"),"Sajal is coming from school and going to mosque")</f>
        <v>Sajal is coming from school and going to mosque</v>
      </c>
      <c r="C1711" s="8" t="s">
        <v>13</v>
      </c>
      <c r="D1711" s="8" t="s">
        <v>14</v>
      </c>
      <c r="E1711" s="8">
        <v>1</v>
      </c>
    </row>
    <row r="1712" spans="1:5" ht="15.75" customHeight="1" x14ac:dyDescent="0.25">
      <c r="A1712" s="6" t="s">
        <v>1704</v>
      </c>
      <c r="B1712" s="6" t="str">
        <f ca="1">IFERROR(__xludf.DUMMYFUNCTION("GOOGLETRANSLATE(A1712,""bn"",""en"")"),"People all around were busy to welcome the victorious heroes")</f>
        <v>People all around were busy to welcome the victorious heroes</v>
      </c>
      <c r="C1712" s="7" t="s">
        <v>6</v>
      </c>
      <c r="D1712" s="7" t="s">
        <v>7</v>
      </c>
      <c r="E1712" s="7">
        <v>0</v>
      </c>
    </row>
    <row r="1713" spans="1:5" ht="15.75" customHeight="1" x14ac:dyDescent="0.25">
      <c r="A1713" s="6" t="s">
        <v>1705</v>
      </c>
      <c r="B1713" s="6" t="str">
        <f ca="1">IFERROR(__xludf.DUMMYFUNCTION("GOOGLETRANSLATE(A1713,""bn"",""en"")"),"He got to the second topic before I could get around to enlightening him about the diversity of languages ​​in the world")</f>
        <v>He got to the second topic before I could get around to enlightening him about the diversity of languages ​​in the world</v>
      </c>
      <c r="C1713" s="7" t="s">
        <v>6</v>
      </c>
      <c r="D1713" s="7" t="s">
        <v>7</v>
      </c>
      <c r="E1713" s="7">
        <v>0</v>
      </c>
    </row>
    <row r="1714" spans="1:5" ht="15.75" customHeight="1" x14ac:dyDescent="0.25">
      <c r="A1714" s="6" t="s">
        <v>1706</v>
      </c>
      <c r="B1714" s="6" t="str">
        <f ca="1">IFERROR(__xludf.DUMMYFUNCTION("GOOGLETRANSLATE(A1714,""bn"",""en"")"),"Am I crazy to think you don't know how to go?")</f>
        <v>Am I crazy to think you don't know how to go?</v>
      </c>
      <c r="C1714" s="7" t="s">
        <v>6</v>
      </c>
      <c r="D1714" s="7" t="s">
        <v>7</v>
      </c>
      <c r="E1714" s="7">
        <v>0</v>
      </c>
    </row>
    <row r="1715" spans="1:5" ht="15.75" customHeight="1" x14ac:dyDescent="0.25">
      <c r="A1715" s="6" t="s">
        <v>1707</v>
      </c>
      <c r="B1715" s="6" t="str">
        <f ca="1">IFERROR(__xludf.DUMMYFUNCTION("GOOGLETRANSLATE(A1715,""bn"",""en"")"),"Companions of that time")</f>
        <v>Companions of that time</v>
      </c>
      <c r="C1715" s="7" t="s">
        <v>6</v>
      </c>
      <c r="D1715" s="7" t="s">
        <v>7</v>
      </c>
      <c r="E1715" s="7">
        <v>0</v>
      </c>
    </row>
    <row r="1716" spans="1:5" ht="15.75" customHeight="1" x14ac:dyDescent="0.25">
      <c r="A1716" s="6" t="s">
        <v>1708</v>
      </c>
      <c r="B1716" s="6" t="str">
        <f ca="1">IFERROR(__xludf.DUMMYFUNCTION("GOOGLETRANSLATE(A1716,""bn"",""en"")"),"He silently bowed down and dropped some of the ornaments tied to his neck at the doctor's feet and said slowly, 'Here you are.")</f>
        <v>He silently bowed down and dropped some of the ornaments tied to his neck at the doctor's feet and said slowly, 'Here you are.</v>
      </c>
      <c r="C1716" s="7" t="s">
        <v>6</v>
      </c>
      <c r="D1716" s="7" t="s">
        <v>7</v>
      </c>
      <c r="E1716" s="7">
        <v>0</v>
      </c>
    </row>
    <row r="1717" spans="1:5" ht="15.75" customHeight="1" x14ac:dyDescent="0.25">
      <c r="A1717" s="6" t="s">
        <v>1709</v>
      </c>
      <c r="B1717" s="6" t="str">
        <f ca="1">IFERROR(__xludf.DUMMYFUNCTION("GOOGLETRANSLATE(A1717,""bn"",""en"")"),"I want to enter new projects in future")</f>
        <v>I want to enter new projects in future</v>
      </c>
      <c r="C1717" s="8" t="s">
        <v>13</v>
      </c>
      <c r="D1717" s="8" t="s">
        <v>14</v>
      </c>
      <c r="E1717" s="8">
        <v>1</v>
      </c>
    </row>
    <row r="1718" spans="1:5" ht="15.75" customHeight="1" x14ac:dyDescent="0.25">
      <c r="A1718" s="6" t="s">
        <v>1710</v>
      </c>
      <c r="B1718" s="6" t="str">
        <f ca="1">IFERROR(__xludf.DUMMYFUNCTION("GOOGLETRANSLATE(A1718,""bn"",""en"")"),"He currently plays for Manchester United at the club level")</f>
        <v>He currently plays for Manchester United at the club level</v>
      </c>
      <c r="C1718" s="8" t="s">
        <v>13</v>
      </c>
      <c r="D1718" s="8" t="s">
        <v>14</v>
      </c>
      <c r="E1718" s="8">
        <v>1</v>
      </c>
    </row>
    <row r="1719" spans="1:5" ht="15.75" customHeight="1" x14ac:dyDescent="0.25">
      <c r="A1719" s="6" t="s">
        <v>1711</v>
      </c>
      <c r="B1719" s="6" t="str">
        <f ca="1">IFERROR(__xludf.DUMMYFUNCTION("GOOGLETRANSLATE(A1719,""bn"",""en"")"),"At some point, November has been celebrated as a public holiday in Bangladesh")</f>
        <v>At some point, November has been celebrated as a public holiday in Bangladesh</v>
      </c>
      <c r="C1719" s="8" t="s">
        <v>13</v>
      </c>
      <c r="D1719" s="8" t="s">
        <v>14</v>
      </c>
      <c r="E1719" s="8">
        <v>1</v>
      </c>
    </row>
    <row r="1720" spans="1:5" ht="15.75" customHeight="1" x14ac:dyDescent="0.25">
      <c r="A1720" s="6" t="s">
        <v>1712</v>
      </c>
      <c r="B1720" s="6" t="str">
        <f ca="1">IFERROR(__xludf.DUMMYFUNCTION("GOOGLETRANSLATE(A1720,""bn"",""en"")"),"The product exceeded my expectations")</f>
        <v>The product exceeded my expectations</v>
      </c>
      <c r="C1720" s="8" t="s">
        <v>13</v>
      </c>
      <c r="D1720" s="8" t="s">
        <v>14</v>
      </c>
      <c r="E1720" s="8">
        <v>1</v>
      </c>
    </row>
    <row r="1721" spans="1:5" ht="15.75" customHeight="1" x14ac:dyDescent="0.25">
      <c r="A1721" s="6" t="s">
        <v>1713</v>
      </c>
      <c r="B1721" s="6" t="str">
        <f ca="1">IFERROR(__xludf.DUMMYFUNCTION("GOOGLETRANSLATE(A1721,""bn"",""en"")"),"Gourmet burgers redefine casual dining")</f>
        <v>Gourmet burgers redefine casual dining</v>
      </c>
      <c r="C1721" s="8" t="s">
        <v>13</v>
      </c>
      <c r="D1721" s="8" t="s">
        <v>14</v>
      </c>
      <c r="E1721" s="8">
        <v>1</v>
      </c>
    </row>
    <row r="1722" spans="1:5" ht="15.75" customHeight="1" x14ac:dyDescent="0.25">
      <c r="A1722" s="6" t="s">
        <v>1714</v>
      </c>
      <c r="B1722" s="6" t="str">
        <f ca="1">IFERROR(__xludf.DUMMYFUNCTION("GOOGLETRANSLATE(A1722,""bn"",""en"")"),"Hearing the examiner's call, Asha, like a criminal, came to the side of Mahendra's square with a book in fear.")</f>
        <v>Hearing the examiner's call, Asha, like a criminal, came to the side of Mahendra's square with a book in fear.</v>
      </c>
      <c r="C1722" s="7" t="s">
        <v>6</v>
      </c>
      <c r="D1722" s="7" t="s">
        <v>7</v>
      </c>
      <c r="E1722" s="7">
        <v>0</v>
      </c>
    </row>
    <row r="1723" spans="1:5" ht="15.75" customHeight="1" x14ac:dyDescent="0.25">
      <c r="A1723" s="6" t="s">
        <v>1715</v>
      </c>
      <c r="B1723" s="6" t="str">
        <f ca="1">IFERROR(__xludf.DUMMYFUNCTION("GOOGLETRANSLATE(A1723,""bn"",""en"")"),"The bird was chirping on the branch of the tree")</f>
        <v>The bird was chirping on the branch of the tree</v>
      </c>
      <c r="C1723" s="7" t="s">
        <v>6</v>
      </c>
      <c r="D1723" s="7" t="s">
        <v>7</v>
      </c>
      <c r="E1723" s="7">
        <v>0</v>
      </c>
    </row>
    <row r="1724" spans="1:5" ht="15.75" customHeight="1" x14ac:dyDescent="0.25">
      <c r="A1724" s="6" t="s">
        <v>1716</v>
      </c>
      <c r="B1724" s="6" t="str">
        <f ca="1">IFERROR(__xludf.DUMMYFUNCTION("GOOGLETRANSLATE(A1724,""bn"",""en"")"),"I will take a huge kite and fly it with a booming sound")</f>
        <v>I will take a huge kite and fly it with a booming sound</v>
      </c>
      <c r="C1724" s="7" t="s">
        <v>6</v>
      </c>
      <c r="D1724" s="7" t="s">
        <v>7</v>
      </c>
      <c r="E1724" s="7">
        <v>0</v>
      </c>
    </row>
    <row r="1725" spans="1:5" ht="15.75" customHeight="1" x14ac:dyDescent="0.25">
      <c r="A1725" s="6" t="s">
        <v>1717</v>
      </c>
      <c r="B1725" s="6" t="str">
        <f ca="1">IFERROR(__xludf.DUMMYFUNCTION("GOOGLETRANSLATE(A1725,""bn"",""en"")"),"Many people have this type of taste")</f>
        <v>Many people have this type of taste</v>
      </c>
      <c r="C1725" s="7" t="s">
        <v>6</v>
      </c>
      <c r="D1725" s="7" t="s">
        <v>7</v>
      </c>
      <c r="E1725" s="7">
        <v>0</v>
      </c>
    </row>
    <row r="1726" spans="1:5" ht="15.75" customHeight="1" x14ac:dyDescent="0.25">
      <c r="A1726" s="6" t="s">
        <v>1718</v>
      </c>
      <c r="B1726" s="6" t="str">
        <f ca="1">IFERROR(__xludf.DUMMYFUNCTION("GOOGLETRANSLATE(A1726,""bn"",""en"")"),"The medical books were rescued from various impossible places and dusted")</f>
        <v>The medical books were rescued from various impossible places and dusted</v>
      </c>
      <c r="C1726" s="7" t="s">
        <v>6</v>
      </c>
      <c r="D1726" s="7" t="s">
        <v>7</v>
      </c>
      <c r="E1726" s="7">
        <v>0</v>
      </c>
    </row>
    <row r="1727" spans="1:5" ht="15.75" customHeight="1" x14ac:dyDescent="0.25">
      <c r="A1727" s="6" t="s">
        <v>1719</v>
      </c>
      <c r="B1727" s="6" t="str">
        <f ca="1">IFERROR(__xludf.DUMMYFUNCTION("GOOGLETRANSLATE(A1727,""bn"",""en"")"),"Educational reform requires collaboration among stakeholders")</f>
        <v>Educational reform requires collaboration among stakeholders</v>
      </c>
      <c r="C1727" s="8" t="s">
        <v>13</v>
      </c>
      <c r="D1727" s="8" t="s">
        <v>14</v>
      </c>
      <c r="E1727" s="8">
        <v>1</v>
      </c>
    </row>
    <row r="1728" spans="1:5" ht="15.75" customHeight="1" x14ac:dyDescent="0.25">
      <c r="A1728" s="6" t="s">
        <v>1720</v>
      </c>
      <c r="B1728" s="6" t="str">
        <f ca="1">IFERROR(__xludf.DUMMYFUNCTION("GOOGLETRANSLATE(A1728,""bn"",""en"")"),"Jump rope for fast beam")</f>
        <v>Jump rope for fast beam</v>
      </c>
      <c r="C1728" s="8" t="s">
        <v>13</v>
      </c>
      <c r="D1728" s="8" t="s">
        <v>14</v>
      </c>
      <c r="E1728" s="8">
        <v>1</v>
      </c>
    </row>
    <row r="1729" spans="1:5" ht="15.75" customHeight="1" x14ac:dyDescent="0.25">
      <c r="A1729" s="6" t="s">
        <v>1721</v>
      </c>
      <c r="B1729" s="6" t="str">
        <f ca="1">IFERROR(__xludf.DUMMYFUNCTION("GOOGLETRANSLATE(A1729,""bn"",""en"")"),"Sailing through uncharted waters they brave the unknown with unwavering determination")</f>
        <v>Sailing through uncharted waters they brave the unknown with unwavering determination</v>
      </c>
      <c r="C1729" s="8" t="s">
        <v>13</v>
      </c>
      <c r="D1729" s="8" t="s">
        <v>14</v>
      </c>
      <c r="E1729" s="8">
        <v>1</v>
      </c>
    </row>
    <row r="1730" spans="1:5" ht="15.75" customHeight="1" x14ac:dyDescent="0.25">
      <c r="A1730" s="6" t="s">
        <v>1722</v>
      </c>
      <c r="B1730" s="6" t="str">
        <f ca="1">IFERROR(__xludf.DUMMYFUNCTION("GOOGLETRANSLATE(A1730,""bn"",""en"")"),"There's nothing to be uncomfortable about, I'm in danger with the duck")</f>
        <v>There's nothing to be uncomfortable about, I'm in danger with the duck</v>
      </c>
      <c r="C1730" s="8" t="s">
        <v>13</v>
      </c>
      <c r="D1730" s="8" t="s">
        <v>14</v>
      </c>
      <c r="E1730" s="8">
        <v>1</v>
      </c>
    </row>
    <row r="1731" spans="1:5" ht="15.75" customHeight="1" x14ac:dyDescent="0.25">
      <c r="A1731" s="6" t="s">
        <v>1723</v>
      </c>
      <c r="B1731" s="6" t="str">
        <f ca="1">IFERROR(__xludf.DUMMYFUNCTION("GOOGLETRANSLATE(A1731,""bn"",""en"")"),"When Freddie went AWOL the checks stopped being sent")</f>
        <v>When Freddie went AWOL the checks stopped being sent</v>
      </c>
      <c r="C1731" s="8" t="s">
        <v>13</v>
      </c>
      <c r="D1731" s="8" t="s">
        <v>14</v>
      </c>
      <c r="E1731" s="8">
        <v>1</v>
      </c>
    </row>
    <row r="1732" spans="1:5" ht="15.75" customHeight="1" x14ac:dyDescent="0.25">
      <c r="A1732" s="6" t="s">
        <v>1724</v>
      </c>
      <c r="B1732" s="6" t="str">
        <f ca="1">IFERROR(__xludf.DUMMYFUNCTION("GOOGLETRANSLATE(A1732,""bn"",""en"")"),"Cows, goats, people - no one can stop them from using them as they please")</f>
        <v>Cows, goats, people - no one can stop them from using them as they please</v>
      </c>
      <c r="C1732" s="7" t="s">
        <v>6</v>
      </c>
      <c r="D1732" s="7" t="s">
        <v>7</v>
      </c>
      <c r="E1732" s="7">
        <v>0</v>
      </c>
    </row>
    <row r="1733" spans="1:5" ht="15.75" customHeight="1" x14ac:dyDescent="0.25">
      <c r="A1733" s="6" t="s">
        <v>1725</v>
      </c>
      <c r="B1733" s="6" t="str">
        <f ca="1">IFERROR(__xludf.DUMMYFUNCTION("GOOGLETRANSLATE(A1733,""bn"",""en"")"),"Those who did not run away were sold to moneylenders as if they were born")</f>
        <v>Those who did not run away were sold to moneylenders as if they were born</v>
      </c>
      <c r="C1733" s="7" t="s">
        <v>6</v>
      </c>
      <c r="D1733" s="7" t="s">
        <v>7</v>
      </c>
      <c r="E1733" s="7">
        <v>0</v>
      </c>
    </row>
    <row r="1734" spans="1:5" ht="15.75" customHeight="1" x14ac:dyDescent="0.25">
      <c r="A1734" s="6" t="s">
        <v>1726</v>
      </c>
      <c r="B1734" s="6" t="str">
        <f ca="1">IFERROR(__xludf.DUMMYFUNCTION("GOOGLETRANSLATE(A1734,""bn"",""en"")"),"Everyone was talking to me today")</f>
        <v>Everyone was talking to me today</v>
      </c>
      <c r="C1734" s="7" t="s">
        <v>6</v>
      </c>
      <c r="D1734" s="7" t="s">
        <v>7</v>
      </c>
      <c r="E1734" s="7">
        <v>0</v>
      </c>
    </row>
    <row r="1735" spans="1:5" ht="15.75" customHeight="1" x14ac:dyDescent="0.25">
      <c r="A1735" s="6" t="s">
        <v>1727</v>
      </c>
      <c r="B1735" s="6" t="str">
        <f ca="1">IFERROR(__xludf.DUMMYFUNCTION("GOOGLETRANSLATE(A1735,""bn"",""en"")"),"At times the mind is disturbed by remembering aunt's severe rebuke")</f>
        <v>At times the mind is disturbed by remembering aunt's severe rebuke</v>
      </c>
      <c r="C1735" s="7" t="s">
        <v>6</v>
      </c>
      <c r="D1735" s="7" t="s">
        <v>7</v>
      </c>
      <c r="E1735" s="7">
        <v>0</v>
      </c>
    </row>
    <row r="1736" spans="1:5" ht="15.75" customHeight="1" x14ac:dyDescent="0.25">
      <c r="A1736" s="6" t="s">
        <v>1728</v>
      </c>
      <c r="B1736" s="6" t="str">
        <f ca="1">IFERROR(__xludf.DUMMYFUNCTION("GOOGLETRANSLATE(A1736,""bn"",""en"")"),"Phatik, having removed the whole of the kasha, sat on the keel of a half-submerged boat and silently began to chew the root of the kasha.")</f>
        <v>Phatik, having removed the whole of the kasha, sat on the keel of a half-submerged boat and silently began to chew the root of the kasha.</v>
      </c>
      <c r="C1736" s="7" t="s">
        <v>6</v>
      </c>
      <c r="D1736" s="7" t="s">
        <v>7</v>
      </c>
      <c r="E1736" s="7">
        <v>0</v>
      </c>
    </row>
    <row r="1737" spans="1:5" ht="15.75" customHeight="1" x14ac:dyDescent="0.25">
      <c r="A1737" s="6" t="s">
        <v>1729</v>
      </c>
      <c r="B1737" s="6" t="str">
        <f ca="1">IFERROR(__xludf.DUMMYFUNCTION("GOOGLETRANSLATE(A1737,""bn"",""en"")"),"This is where my role begins")</f>
        <v>This is where my role begins</v>
      </c>
      <c r="C1737" s="8" t="s">
        <v>13</v>
      </c>
      <c r="D1737" s="8" t="s">
        <v>14</v>
      </c>
      <c r="E1737" s="8">
        <v>1</v>
      </c>
    </row>
    <row r="1738" spans="1:5" ht="15.75" customHeight="1" x14ac:dyDescent="0.25">
      <c r="A1738" s="6" t="s">
        <v>1730</v>
      </c>
      <c r="B1738" s="6" t="str">
        <f ca="1">IFERROR(__xludf.DUMMYFUNCTION("GOOGLETRANSLATE(A1738,""bn"",""en"")"),"Stay active during work breaks")</f>
        <v>Stay active during work breaks</v>
      </c>
      <c r="C1738" s="8" t="s">
        <v>13</v>
      </c>
      <c r="D1738" s="8" t="s">
        <v>14</v>
      </c>
      <c r="E1738" s="8">
        <v>1</v>
      </c>
    </row>
    <row r="1739" spans="1:5" ht="15.75" customHeight="1" x14ac:dyDescent="0.25">
      <c r="A1739" s="6" t="s">
        <v>1731</v>
      </c>
      <c r="B1739" s="6" t="str">
        <f ca="1">IFERROR(__xludf.DUMMYFUNCTION("GOOGLETRANSLATE(A1739,""bn"",""en"")"),"The hybrid car is great for city driving with its fuel efficiency")</f>
        <v>The hybrid car is great for city driving with its fuel efficiency</v>
      </c>
      <c r="C1739" s="8" t="s">
        <v>13</v>
      </c>
      <c r="D1739" s="8" t="s">
        <v>14</v>
      </c>
      <c r="E1739" s="8">
        <v>1</v>
      </c>
    </row>
    <row r="1740" spans="1:5" ht="15.75" customHeight="1" x14ac:dyDescent="0.25">
      <c r="A1740" s="6" t="s">
        <v>1732</v>
      </c>
      <c r="B1740" s="6" t="str">
        <f ca="1">IFERROR(__xludf.DUMMYFUNCTION("GOOGLETRANSLATE(A1740,""bn"",""en"")"),"Like and comment your favorite book")</f>
        <v>Like and comment your favorite book</v>
      </c>
      <c r="C1740" s="8" t="s">
        <v>13</v>
      </c>
      <c r="D1740" s="8" t="s">
        <v>14</v>
      </c>
      <c r="E1740" s="8">
        <v>1</v>
      </c>
    </row>
    <row r="1741" spans="1:5" ht="15.75" customHeight="1" x14ac:dyDescent="0.25">
      <c r="A1741" s="6" t="s">
        <v>1733</v>
      </c>
      <c r="B1741" s="6" t="str">
        <f ca="1">IFERROR(__xludf.DUMMYFUNCTION("GOOGLETRANSLATE(A1741,""bn"",""en"")"),"Improve range of flexibility exercises")</f>
        <v>Improve range of flexibility exercises</v>
      </c>
      <c r="C1741" s="8" t="s">
        <v>13</v>
      </c>
      <c r="D1741" s="8" t="s">
        <v>14</v>
      </c>
      <c r="E1741" s="8">
        <v>1</v>
      </c>
    </row>
    <row r="1742" spans="1:5" ht="15.75" customHeight="1" x14ac:dyDescent="0.25">
      <c r="A1742" s="6" t="s">
        <v>1734</v>
      </c>
      <c r="B1742" s="6" t="str">
        <f ca="1">IFERROR(__xludf.DUMMYFUNCTION("GOOGLETRANSLATE(A1742,""bn"",""en"")"),"I saw him very beautiful")</f>
        <v>I saw him very beautiful</v>
      </c>
      <c r="C1742" s="7" t="s">
        <v>6</v>
      </c>
      <c r="D1742" s="7" t="s">
        <v>7</v>
      </c>
      <c r="E1742" s="7">
        <v>0</v>
      </c>
    </row>
    <row r="1743" spans="1:5" ht="15.75" customHeight="1" x14ac:dyDescent="0.25">
      <c r="A1743" s="6" t="s">
        <v>1735</v>
      </c>
      <c r="B1743" s="6" t="str">
        <f ca="1">IFERROR(__xludf.DUMMYFUNCTION("GOOGLETRANSLATE(A1743,""bn"",""en"")"),"When Mini left Rahmat sat on the ground with a deep sigh")</f>
        <v>When Mini left Rahmat sat on the ground with a deep sigh</v>
      </c>
      <c r="C1743" s="7" t="s">
        <v>6</v>
      </c>
      <c r="D1743" s="7" t="s">
        <v>7</v>
      </c>
      <c r="E1743" s="7">
        <v>0</v>
      </c>
    </row>
    <row r="1744" spans="1:5" ht="15.75" customHeight="1" x14ac:dyDescent="0.25">
      <c r="A1744" s="6" t="s">
        <v>1736</v>
      </c>
      <c r="B1744" s="6" t="str">
        <f ca="1">IFERROR(__xludf.DUMMYFUNCTION("GOOGLETRANSLATE(A1744,""bn"",""en"")"),"Everyone will like my work")</f>
        <v>Everyone will like my work</v>
      </c>
      <c r="C1744" s="7" t="s">
        <v>6</v>
      </c>
      <c r="D1744" s="7" t="s">
        <v>7</v>
      </c>
      <c r="E1744" s="7">
        <v>0</v>
      </c>
    </row>
    <row r="1745" spans="1:5" ht="15.75" customHeight="1" x14ac:dyDescent="0.25">
      <c r="A1745" s="6" t="s">
        <v>1737</v>
      </c>
      <c r="B1745" s="6" t="str">
        <f ca="1">IFERROR(__xludf.DUMMYFUNCTION("GOOGLETRANSLATE(A1745,""bn"",""en"")"),"His daughter was bought the doll in exchange for an hour's rest in Srinath's shop at the Bajitpur fair in the month of Baishakh.")</f>
        <v>His daughter was bought the doll in exchange for an hour's rest in Srinath's shop at the Bajitpur fair in the month of Baishakh.</v>
      </c>
      <c r="C1745" s="7" t="s">
        <v>6</v>
      </c>
      <c r="D1745" s="7" t="s">
        <v>7</v>
      </c>
      <c r="E1745" s="7">
        <v>0</v>
      </c>
    </row>
    <row r="1746" spans="1:5" ht="15.75" customHeight="1" x14ac:dyDescent="0.25">
      <c r="A1746" s="6" t="s">
        <v>1738</v>
      </c>
      <c r="B1746" s="6" t="str">
        <f ca="1">IFERROR(__xludf.DUMMYFUNCTION("GOOGLETRANSLATE(A1746,""bn"",""en"")"),"Remembering green")</f>
        <v>Remembering green</v>
      </c>
      <c r="C1746" s="7" t="s">
        <v>6</v>
      </c>
      <c r="D1746" s="7" t="s">
        <v>7</v>
      </c>
      <c r="E1746" s="7">
        <v>0</v>
      </c>
    </row>
    <row r="1747" spans="1:5" ht="15.75" customHeight="1" x14ac:dyDescent="0.25">
      <c r="A1747" s="6" t="s">
        <v>1739</v>
      </c>
      <c r="B1747" s="6" t="str">
        <f ca="1">IFERROR(__xludf.DUMMYFUNCTION("GOOGLETRANSLATE(A1747,""bn"",""en"")"),"Nutritious grains contribute to a balanced diet")</f>
        <v>Nutritious grains contribute to a balanced diet</v>
      </c>
      <c r="C1747" s="8" t="s">
        <v>13</v>
      </c>
      <c r="D1747" s="8" t="s">
        <v>14</v>
      </c>
      <c r="E1747" s="8">
        <v>1</v>
      </c>
    </row>
    <row r="1748" spans="1:5" ht="15.75" customHeight="1" x14ac:dyDescent="0.25">
      <c r="A1748" s="6" t="s">
        <v>1740</v>
      </c>
      <c r="B1748" s="6" t="str">
        <f ca="1">IFERROR(__xludf.DUMMYFUNCTION("GOOGLETRANSLATE(A1748,""bn"",""en"")"),"On top of that, due to this state of war, there was an additional danger")</f>
        <v>On top of that, due to this state of war, there was an additional danger</v>
      </c>
      <c r="C1748" s="8" t="s">
        <v>13</v>
      </c>
      <c r="D1748" s="8" t="s">
        <v>14</v>
      </c>
      <c r="E1748" s="8">
        <v>1</v>
      </c>
    </row>
    <row r="1749" spans="1:5" ht="15.75" customHeight="1" x14ac:dyDescent="0.25">
      <c r="A1749" s="6" t="s">
        <v>1741</v>
      </c>
      <c r="B1749" s="6" t="str">
        <f ca="1">IFERROR(__xludf.DUMMYFUNCTION("GOOGLETRANSLATE(A1749,""bn"",""en"")"),"He gave me a piece of advice")</f>
        <v>He gave me a piece of advice</v>
      </c>
      <c r="C1749" s="8" t="s">
        <v>13</v>
      </c>
      <c r="D1749" s="8" t="s">
        <v>14</v>
      </c>
      <c r="E1749" s="8">
        <v>1</v>
      </c>
    </row>
    <row r="1750" spans="1:5" ht="15.75" customHeight="1" x14ac:dyDescent="0.25">
      <c r="A1750" s="6" t="s">
        <v>1742</v>
      </c>
      <c r="B1750" s="6" t="str">
        <f ca="1">IFERROR(__xludf.DUMMYFUNCTION("GOOGLETRANSLATE(A1750,""bn"",""en"")"),"The government imposed a ban on stopping trains at Rameshwaram station")</f>
        <v>The government imposed a ban on stopping trains at Rameshwaram station</v>
      </c>
      <c r="C1750" s="8" t="s">
        <v>13</v>
      </c>
      <c r="D1750" s="8" t="s">
        <v>14</v>
      </c>
      <c r="E1750" s="8">
        <v>1</v>
      </c>
    </row>
    <row r="1751" spans="1:5" ht="15.75" customHeight="1" x14ac:dyDescent="0.25">
      <c r="A1751" s="6" t="s">
        <v>1743</v>
      </c>
      <c r="B1751" s="6" t="str">
        <f ca="1">IFERROR(__xludf.DUMMYFUNCTION("GOOGLETRANSLATE(A1751,""bn"",""en"")"),"Today Sujan Tanu went for a walk")</f>
        <v>Today Sujan Tanu went for a walk</v>
      </c>
      <c r="C1751" s="8" t="s">
        <v>13</v>
      </c>
      <c r="D1751" s="8" t="s">
        <v>14</v>
      </c>
      <c r="E1751" s="8">
        <v>1</v>
      </c>
    </row>
    <row r="1752" spans="1:5" ht="15.75" customHeight="1" x14ac:dyDescent="0.25">
      <c r="A1752" s="6" t="s">
        <v>1744</v>
      </c>
      <c r="B1752" s="6" t="str">
        <f ca="1">IFERROR(__xludf.DUMMYFUNCTION("GOOGLETRANSLATE(A1752,""bn"",""en"")"),"I don't believe you will come")</f>
        <v>I don't believe you will come</v>
      </c>
      <c r="C1752" s="7" t="s">
        <v>6</v>
      </c>
      <c r="D1752" s="7" t="s">
        <v>7</v>
      </c>
      <c r="E1752" s="7">
        <v>0</v>
      </c>
    </row>
    <row r="1753" spans="1:5" ht="15.75" customHeight="1" x14ac:dyDescent="0.25">
      <c r="A1753" s="6" t="s">
        <v>1745</v>
      </c>
      <c r="B1753" s="6" t="str">
        <f ca="1">IFERROR(__xludf.DUMMYFUNCTION("GOOGLETRANSLATE(A1753,""bn"",""en"")"),"All men were brave in the primitive state, they did not know the consequences")</f>
        <v>All men were brave in the primitive state, they did not know the consequences</v>
      </c>
      <c r="C1753" s="7" t="s">
        <v>6</v>
      </c>
      <c r="D1753" s="7" t="s">
        <v>7</v>
      </c>
      <c r="E1753" s="7">
        <v>0</v>
      </c>
    </row>
    <row r="1754" spans="1:5" ht="15.75" customHeight="1" x14ac:dyDescent="0.25">
      <c r="A1754" s="6" t="s">
        <v>1746</v>
      </c>
      <c r="B1754" s="6" t="str">
        <f ca="1">IFERROR(__xludf.DUMMYFUNCTION("GOOGLETRANSLATE(A1754,""bn"",""en"")"),"A mast was stolen from Harekrishna's house and told the details of it")</f>
        <v>A mast was stolen from Harekrishna's house and told the details of it</v>
      </c>
      <c r="C1754" s="7" t="s">
        <v>6</v>
      </c>
      <c r="D1754" s="7" t="s">
        <v>7</v>
      </c>
      <c r="E1754" s="7">
        <v>0</v>
      </c>
    </row>
    <row r="1755" spans="1:5" ht="15.75" customHeight="1" x14ac:dyDescent="0.25">
      <c r="A1755" s="6" t="s">
        <v>1747</v>
      </c>
      <c r="B1755" s="6" t="str">
        <f ca="1">IFERROR(__xludf.DUMMYFUNCTION("GOOGLETRANSLATE(A1755,""bn"",""en"")"),"People usually get the identity of nature as its intellectual restraint")</f>
        <v>People usually get the identity of nature as its intellectual restraint</v>
      </c>
      <c r="C1755" s="7" t="s">
        <v>6</v>
      </c>
      <c r="D1755" s="7" t="s">
        <v>7</v>
      </c>
      <c r="E1755" s="7">
        <v>0</v>
      </c>
    </row>
    <row r="1756" spans="1:5" ht="15.75" customHeight="1" x14ac:dyDescent="0.25">
      <c r="A1756" s="6" t="s">
        <v>1748</v>
      </c>
      <c r="B1756" s="6" t="str">
        <f ca="1">IFERROR(__xludf.DUMMYFUNCTION("GOOGLETRANSLATE(A1756,""bn"",""en"")"),"You stand here while I search")</f>
        <v>You stand here while I search</v>
      </c>
      <c r="C1756" s="7" t="s">
        <v>6</v>
      </c>
      <c r="D1756" s="7" t="s">
        <v>7</v>
      </c>
      <c r="E1756" s="7">
        <v>0</v>
      </c>
    </row>
    <row r="1757" spans="1:5" ht="15.75" customHeight="1" x14ac:dyDescent="0.25">
      <c r="A1757" s="6" t="s">
        <v>1749</v>
      </c>
      <c r="B1757" s="6" t="str">
        <f ca="1">IFERROR(__xludf.DUMMYFUNCTION("GOOGLETRANSLATE(A1757,""bn"",""en"")"),"My mother went to Shawn's house")</f>
        <v>My mother went to Shawn's house</v>
      </c>
      <c r="C1757" s="8" t="s">
        <v>13</v>
      </c>
      <c r="D1757" s="8" t="s">
        <v>14</v>
      </c>
      <c r="E1757" s="8">
        <v>1</v>
      </c>
    </row>
    <row r="1758" spans="1:5" ht="15.75" customHeight="1" x14ac:dyDescent="0.25">
      <c r="A1758" s="6" t="s">
        <v>1750</v>
      </c>
      <c r="B1758" s="6" t="str">
        <f ca="1">IFERROR(__xludf.DUMMYFUNCTION("GOOGLETRANSLATE(A1758,""bn"",""en"")"),"The poor father worked in a tannery there")</f>
        <v>The poor father worked in a tannery there</v>
      </c>
      <c r="C1758" s="8" t="s">
        <v>13</v>
      </c>
      <c r="D1758" s="8" t="s">
        <v>14</v>
      </c>
      <c r="E1758" s="8">
        <v>1</v>
      </c>
    </row>
    <row r="1759" spans="1:5" ht="15.75" customHeight="1" x14ac:dyDescent="0.25">
      <c r="A1759" s="6" t="s">
        <v>1751</v>
      </c>
      <c r="B1759" s="6" t="str">
        <f ca="1">IFERROR(__xludf.DUMMYFUNCTION("GOOGLETRANSLATE(A1759,""bn"",""en"")"),"Played with them")</f>
        <v>Played with them</v>
      </c>
      <c r="C1759" s="8" t="s">
        <v>13</v>
      </c>
      <c r="D1759" s="8" t="s">
        <v>14</v>
      </c>
      <c r="E1759" s="8">
        <v>1</v>
      </c>
    </row>
    <row r="1760" spans="1:5" ht="15.75" customHeight="1" x14ac:dyDescent="0.25">
      <c r="A1760" s="6" t="s">
        <v>1752</v>
      </c>
      <c r="B1760" s="6" t="str">
        <f ca="1">IFERROR(__xludf.DUMMYFUNCTION("GOOGLETRANSLATE(A1760,""bn"",""en"")"),"The country has a very low rate of violent crime")</f>
        <v>The country has a very low rate of violent crime</v>
      </c>
      <c r="C1760" s="8" t="s">
        <v>13</v>
      </c>
      <c r="D1760" s="8" t="s">
        <v>14</v>
      </c>
      <c r="E1760" s="8">
        <v>1</v>
      </c>
    </row>
    <row r="1761" spans="1:5" ht="15.75" customHeight="1" x14ac:dyDescent="0.25">
      <c r="A1761" s="6" t="s">
        <v>1753</v>
      </c>
      <c r="B1761" s="6" t="str">
        <f ca="1">IFERROR(__xludf.DUMMYFUNCTION("GOOGLETRANSLATE(A1761,""bn"",""en"")"),"Two lifeboats returned to the rescue")</f>
        <v>Two lifeboats returned to the rescue</v>
      </c>
      <c r="C1761" s="8" t="s">
        <v>13</v>
      </c>
      <c r="D1761" s="8" t="s">
        <v>14</v>
      </c>
      <c r="E1761" s="8">
        <v>1</v>
      </c>
    </row>
    <row r="1762" spans="1:5" ht="15.75" customHeight="1" x14ac:dyDescent="0.25">
      <c r="A1762" s="6" t="s">
        <v>1754</v>
      </c>
      <c r="B1762" s="6" t="str">
        <f ca="1">IFERROR(__xludf.DUMMYFUNCTION("GOOGLETRANSLATE(A1762,""bn"",""en"")"),"Sujan saw me and called")</f>
        <v>Sujan saw me and called</v>
      </c>
      <c r="C1762" s="7" t="s">
        <v>6</v>
      </c>
      <c r="D1762" s="7" t="s">
        <v>7</v>
      </c>
      <c r="E1762" s="7">
        <v>0</v>
      </c>
    </row>
    <row r="1763" spans="1:5" ht="15.75" customHeight="1" x14ac:dyDescent="0.25">
      <c r="A1763" s="6" t="s">
        <v>1755</v>
      </c>
      <c r="B1763" s="6" t="str">
        <f ca="1">IFERROR(__xludf.DUMMYFUNCTION("GOOGLETRANSLATE(A1763,""bn"",""en"")"),"Russell is going to pray after taking a bath")</f>
        <v>Russell is going to pray after taking a bath</v>
      </c>
      <c r="C1763" s="7" t="s">
        <v>6</v>
      </c>
      <c r="D1763" s="7" t="s">
        <v>7</v>
      </c>
      <c r="E1763" s="7">
        <v>0</v>
      </c>
    </row>
    <row r="1764" spans="1:5" ht="15.75" customHeight="1" x14ac:dyDescent="0.25">
      <c r="A1764" s="6" t="s">
        <v>1756</v>
      </c>
      <c r="B1764" s="6" t="str">
        <f ca="1">IFERROR(__xludf.DUMMYFUNCTION("GOOGLETRANSLATE(A1764,""bn"",""en"")"),"The wild man is more than the aspirant through the soil that is pressing in his arms")</f>
        <v>The wild man is more than the aspirant through the soil that is pressing in his arms</v>
      </c>
      <c r="C1764" s="7" t="s">
        <v>6</v>
      </c>
      <c r="D1764" s="7" t="s">
        <v>7</v>
      </c>
      <c r="E1764" s="7">
        <v>0</v>
      </c>
    </row>
    <row r="1765" spans="1:5" ht="15.75" customHeight="1" x14ac:dyDescent="0.25">
      <c r="A1765" s="6" t="s">
        <v>1757</v>
      </c>
      <c r="B1765" s="6" t="str">
        <f ca="1">IFERROR(__xludf.DUMMYFUNCTION("GOOGLETRANSLATE(A1765,""bn"",""en"")"),"Another letter had already arrived")</f>
        <v>Another letter had already arrived</v>
      </c>
      <c r="C1765" s="7" t="s">
        <v>6</v>
      </c>
      <c r="D1765" s="7" t="s">
        <v>7</v>
      </c>
      <c r="E1765" s="7">
        <v>0</v>
      </c>
    </row>
    <row r="1766" spans="1:5" ht="15.75" customHeight="1" x14ac:dyDescent="0.25">
      <c r="A1766" s="6" t="s">
        <v>1758</v>
      </c>
      <c r="B1766" s="6" t="str">
        <f ca="1">IFERROR(__xludf.DUMMYFUNCTION("GOOGLETRANSLATE(A1766,""bn"",""en"")"),"Roni will go to play in the field with Raju")</f>
        <v>Roni will go to play in the field with Raju</v>
      </c>
      <c r="C1766" s="7" t="s">
        <v>6</v>
      </c>
      <c r="D1766" s="7" t="s">
        <v>7</v>
      </c>
      <c r="E1766" s="7">
        <v>0</v>
      </c>
    </row>
    <row r="1767" spans="1:5" ht="15.75" customHeight="1" x14ac:dyDescent="0.25">
      <c r="A1767" s="6" t="s">
        <v>1759</v>
      </c>
      <c r="B1767" s="6" t="str">
        <f ca="1">IFERROR(__xludf.DUMMYFUNCTION("GOOGLETRANSLATE(A1767,""bn"",""en"")"),"Rumi will come to play in our field")</f>
        <v>Rumi will come to play in our field</v>
      </c>
      <c r="C1767" s="8" t="s">
        <v>13</v>
      </c>
      <c r="D1767" s="8" t="s">
        <v>14</v>
      </c>
      <c r="E1767" s="8">
        <v>1</v>
      </c>
    </row>
    <row r="1768" spans="1:5" ht="15.75" customHeight="1" x14ac:dyDescent="0.25">
      <c r="A1768" s="6" t="s">
        <v>1760</v>
      </c>
      <c r="B1768" s="6" t="str">
        <f ca="1">IFERROR(__xludf.DUMMYFUNCTION("GOOGLETRANSLATE(A1768,""bn"",""en"")"),"According to some he died of famine born of civil war")</f>
        <v>According to some he died of famine born of civil war</v>
      </c>
      <c r="C1768" s="8" t="s">
        <v>13</v>
      </c>
      <c r="D1768" s="8" t="s">
        <v>14</v>
      </c>
      <c r="E1768" s="8">
        <v>1</v>
      </c>
    </row>
    <row r="1769" spans="1:5" ht="15.75" customHeight="1" x14ac:dyDescent="0.25">
      <c r="A1769" s="6" t="s">
        <v>1761</v>
      </c>
      <c r="B1769" s="6" t="str">
        <f ca="1">IFERROR(__xludf.DUMMYFUNCTION("GOOGLETRANSLATE(A1769,""bn"",""en"")"),"Jaya was honored with the All India Best NCC Cadet Award")</f>
        <v>Jaya was honored with the All India Best NCC Cadet Award</v>
      </c>
      <c r="C1769" s="8" t="s">
        <v>13</v>
      </c>
      <c r="D1769" s="8" t="s">
        <v>14</v>
      </c>
      <c r="E1769" s="8">
        <v>1</v>
      </c>
    </row>
    <row r="1770" spans="1:5" ht="15.75" customHeight="1" x14ac:dyDescent="0.25">
      <c r="A1770" s="6" t="s">
        <v>1762</v>
      </c>
      <c r="B1770" s="6" t="str">
        <f ca="1">IFERROR(__xludf.DUMMYFUNCTION("GOOGLETRANSLATE(A1770,""bn"",""en"")"),"Trust the journey Trust that everything will unfold as it should Trust the time of your life")</f>
        <v>Trust the journey Trust that everything will unfold as it should Trust the time of your life</v>
      </c>
      <c r="C1770" s="8" t="s">
        <v>13</v>
      </c>
      <c r="D1770" s="8" t="s">
        <v>14</v>
      </c>
      <c r="E1770" s="8">
        <v>1</v>
      </c>
    </row>
    <row r="1771" spans="1:5" ht="15.75" customHeight="1" x14ac:dyDescent="0.25">
      <c r="A1771" s="6" t="s">
        <v>1763</v>
      </c>
      <c r="B1771" s="6" t="str">
        <f ca="1">IFERROR(__xludf.DUMMYFUNCTION("GOOGLETRANSLATE(A1771,""bn"",""en"")"),"Subscribe for daily news")</f>
        <v>Subscribe for daily news</v>
      </c>
      <c r="C1771" s="8" t="s">
        <v>13</v>
      </c>
      <c r="D1771" s="8" t="s">
        <v>14</v>
      </c>
      <c r="E1771" s="8">
        <v>1</v>
      </c>
    </row>
    <row r="1772" spans="1:5" ht="15.75" customHeight="1" x14ac:dyDescent="0.25">
      <c r="A1772" s="6" t="s">
        <v>1764</v>
      </c>
      <c r="B1772" s="6" t="str">
        <f ca="1">IFERROR(__xludf.DUMMYFUNCTION("GOOGLETRANSLATE(A1772,""bn"",""en"")"),"In my blind spot, gun under arm, boots on, coat, pantaloon, bus tent")</f>
        <v>In my blind spot, gun under arm, boots on, coat, pantaloon, bus tent</v>
      </c>
      <c r="C1772" s="7" t="s">
        <v>6</v>
      </c>
      <c r="D1772" s="7" t="s">
        <v>7</v>
      </c>
      <c r="E1772" s="7">
        <v>0</v>
      </c>
    </row>
    <row r="1773" spans="1:5" ht="15.75" customHeight="1" x14ac:dyDescent="0.25">
      <c r="A1773" s="6" t="s">
        <v>1765</v>
      </c>
      <c r="B1773" s="6" t="str">
        <f ca="1">IFERROR(__xludf.DUMMYFUNCTION("GOOGLETRANSLATE(A1773,""bn"",""en"")"),"Reading story books has become his habit")</f>
        <v>Reading story books has become his habit</v>
      </c>
      <c r="C1773" s="7" t="s">
        <v>6</v>
      </c>
      <c r="D1773" s="7" t="s">
        <v>7</v>
      </c>
      <c r="E1773" s="7">
        <v>0</v>
      </c>
    </row>
    <row r="1774" spans="1:5" ht="15.75" customHeight="1" x14ac:dyDescent="0.25">
      <c r="A1774" s="6" t="s">
        <v>1766</v>
      </c>
      <c r="B1774" s="6" t="str">
        <f ca="1">IFERROR(__xludf.DUMMYFUNCTION("GOOGLETRANSLATE(A1774,""bn"",""en"")"),"The horizon is darkened by trees and bamboo groves")</f>
        <v>The horizon is darkened by trees and bamboo groves</v>
      </c>
      <c r="C1774" s="7" t="s">
        <v>6</v>
      </c>
      <c r="D1774" s="7" t="s">
        <v>7</v>
      </c>
      <c r="E1774" s="7">
        <v>0</v>
      </c>
    </row>
    <row r="1775" spans="1:5" ht="15.75" customHeight="1" x14ac:dyDescent="0.25">
      <c r="A1775" s="6" t="s">
        <v>1767</v>
      </c>
      <c r="B1775" s="6" t="str">
        <f ca="1">IFERROR(__xludf.DUMMYFUNCTION("GOOGLETRANSLATE(A1775,""bn"",""en"")"),"He wanted to walk out without saying a word")</f>
        <v>He wanted to walk out without saying a word</v>
      </c>
      <c r="C1775" s="7" t="s">
        <v>6</v>
      </c>
      <c r="D1775" s="7" t="s">
        <v>7</v>
      </c>
      <c r="E1775" s="7">
        <v>0</v>
      </c>
    </row>
    <row r="1776" spans="1:5" ht="15.75" customHeight="1" x14ac:dyDescent="0.25">
      <c r="A1776" s="6" t="s">
        <v>1768</v>
      </c>
      <c r="B1776" s="6" t="str">
        <f ca="1">IFERROR(__xludf.DUMMYFUNCTION("GOOGLETRANSLATE(A1776,""bn"",""en"")"),"This is why he speaks the truth")</f>
        <v>This is why he speaks the truth</v>
      </c>
      <c r="C1776" s="7" t="s">
        <v>6</v>
      </c>
      <c r="D1776" s="7" t="s">
        <v>7</v>
      </c>
      <c r="E1776" s="7">
        <v>0</v>
      </c>
    </row>
    <row r="1777" spans="1:5" ht="15.75" customHeight="1" x14ac:dyDescent="0.25">
      <c r="A1777" s="6" t="s">
        <v>1769</v>
      </c>
      <c r="B1777" s="6" t="str">
        <f ca="1">IFERROR(__xludf.DUMMYFUNCTION("GOOGLETRANSLATE(A1777,""bn"",""en"")"),"Accusations of the penal process are found in this book")</f>
        <v>Accusations of the penal process are found in this book</v>
      </c>
      <c r="C1777" s="8" t="s">
        <v>13</v>
      </c>
      <c r="D1777" s="8" t="s">
        <v>14</v>
      </c>
      <c r="E1777" s="8">
        <v>1</v>
      </c>
    </row>
    <row r="1778" spans="1:5" ht="15.75" customHeight="1" x14ac:dyDescent="0.25">
      <c r="A1778" s="6" t="s">
        <v>1770</v>
      </c>
      <c r="B1778" s="6" t="str">
        <f ca="1">IFERROR(__xludf.DUMMYFUNCTION("GOOGLETRANSLATE(A1778,""bn"",""en"")"),"Lost in a labyrinthine cave system they relied on their wits to find a way out")</f>
        <v>Lost in a labyrinthine cave system they relied on their wits to find a way out</v>
      </c>
      <c r="C1778" s="8" t="s">
        <v>13</v>
      </c>
      <c r="D1778" s="8" t="s">
        <v>14</v>
      </c>
      <c r="E1778" s="8">
        <v>1</v>
      </c>
    </row>
    <row r="1779" spans="1:5" ht="15.75" customHeight="1" x14ac:dyDescent="0.25">
      <c r="A1779" s="6" t="s">
        <v>1771</v>
      </c>
      <c r="B1779" s="6" t="str">
        <f ca="1">IFERROR(__xludf.DUMMYFUNCTION("GOOGLETRANSLATE(A1779,""bn"",""en"")"),"By morning I would be done delivering newspapers")</f>
        <v>By morning I would be done delivering newspapers</v>
      </c>
      <c r="C1779" s="8" t="s">
        <v>13</v>
      </c>
      <c r="D1779" s="8" t="s">
        <v>14</v>
      </c>
      <c r="E1779" s="8">
        <v>1</v>
      </c>
    </row>
    <row r="1780" spans="1:5" ht="15.75" customHeight="1" x14ac:dyDescent="0.25">
      <c r="A1780" s="6" t="s">
        <v>1772</v>
      </c>
      <c r="B1780" s="6" t="str">
        <f ca="1">IFERROR(__xludf.DUMMYFUNCTION("GOOGLETRANSLATE(A1780,""bn"",""en"")"),"The adrenaline rush from the adventure can be addictive for some")</f>
        <v>The adrenaline rush from the adventure can be addictive for some</v>
      </c>
      <c r="C1780" s="8" t="s">
        <v>13</v>
      </c>
      <c r="D1780" s="8" t="s">
        <v>14</v>
      </c>
      <c r="E1780" s="8">
        <v>1</v>
      </c>
    </row>
    <row r="1781" spans="1:5" ht="15.75" customHeight="1" x14ac:dyDescent="0.25">
      <c r="A1781" s="6" t="s">
        <v>1773</v>
      </c>
      <c r="B1781" s="6" t="str">
        <f ca="1">IFERROR(__xludf.DUMMYFUNCTION("GOOGLETRANSLATE(A1781,""bn"",""en"")"),"The melted cheese pizza is topped with perfection")</f>
        <v>The melted cheese pizza is topped with perfection</v>
      </c>
      <c r="C1781" s="8" t="s">
        <v>13</v>
      </c>
      <c r="D1781" s="8" t="s">
        <v>14</v>
      </c>
      <c r="E1781" s="8">
        <v>1</v>
      </c>
    </row>
    <row r="1782" spans="1:5" ht="15.75" customHeight="1" x14ac:dyDescent="0.25">
      <c r="A1782" s="6" t="s">
        <v>1774</v>
      </c>
      <c r="B1782" s="6" t="str">
        <f ca="1">IFERROR(__xludf.DUMMYFUNCTION("GOOGLETRANSLATE(A1782,""bn"",""en"")"),"came to you for alms")</f>
        <v>came to you for alms</v>
      </c>
      <c r="C1782" s="7" t="s">
        <v>6</v>
      </c>
      <c r="D1782" s="7" t="s">
        <v>7</v>
      </c>
      <c r="E1782" s="7">
        <v>0</v>
      </c>
    </row>
    <row r="1783" spans="1:5" ht="15.75" customHeight="1" x14ac:dyDescent="0.25">
      <c r="A1783" s="6" t="s">
        <v>1775</v>
      </c>
      <c r="B1783" s="6" t="str">
        <f ca="1">IFERROR(__xludf.DUMMYFUNCTION("GOOGLETRANSLATE(A1783,""bn"",""en"")"),"In ancient times, when the Aryans first came to India, the Asuras were very powerful and their numbers were infinite")</f>
        <v>In ancient times, when the Aryans first came to India, the Asuras were very powerful and their numbers were infinite</v>
      </c>
      <c r="C1783" s="7" t="s">
        <v>6</v>
      </c>
      <c r="D1783" s="7" t="s">
        <v>7</v>
      </c>
      <c r="E1783" s="7">
        <v>0</v>
      </c>
    </row>
    <row r="1784" spans="1:5" ht="15.75" customHeight="1" x14ac:dyDescent="0.25">
      <c r="A1784" s="6" t="s">
        <v>1776</v>
      </c>
      <c r="B1784" s="6" t="str">
        <f ca="1">IFERROR(__xludf.DUMMYFUNCTION("GOOGLETRANSLATE(A1784,""bn"",""en"")"),"The rabbi did not return from the madrasah")</f>
        <v>The rabbi did not return from the madrasah</v>
      </c>
      <c r="C1784" s="7" t="s">
        <v>6</v>
      </c>
      <c r="D1784" s="7" t="s">
        <v>7</v>
      </c>
      <c r="E1784" s="7">
        <v>0</v>
      </c>
    </row>
    <row r="1785" spans="1:5" ht="15.75" customHeight="1" x14ac:dyDescent="0.25">
      <c r="A1785" s="6" t="s">
        <v>1351</v>
      </c>
      <c r="B1785" s="6" t="str">
        <f ca="1">IFERROR(__xludf.DUMMYFUNCTION("GOOGLETRANSLATE(A1785,""bn"",""en"")"),"Some are lonely here and there like widows")</f>
        <v>Some are lonely here and there like widows</v>
      </c>
      <c r="C1785" s="7" t="s">
        <v>6</v>
      </c>
      <c r="D1785" s="7" t="s">
        <v>7</v>
      </c>
      <c r="E1785" s="7">
        <v>0</v>
      </c>
    </row>
    <row r="1786" spans="1:5" ht="15.75" customHeight="1" x14ac:dyDescent="0.25">
      <c r="A1786" s="6" t="s">
        <v>1777</v>
      </c>
      <c r="B1786" s="6" t="str">
        <f ca="1">IFERROR(__xludf.DUMMYFUNCTION("GOOGLETRANSLATE(A1786,""bn"",""en"")"),"Finally, I returned home with a soap, a mini shampoo, and a sheet of paper")</f>
        <v>Finally, I returned home with a soap, a mini shampoo, and a sheet of paper</v>
      </c>
      <c r="C1786" s="7" t="s">
        <v>6</v>
      </c>
      <c r="D1786" s="7" t="s">
        <v>7</v>
      </c>
      <c r="E1786" s="7">
        <v>0</v>
      </c>
    </row>
    <row r="1787" spans="1:5" ht="15.75" customHeight="1" x14ac:dyDescent="0.25">
      <c r="A1787" s="6" t="s">
        <v>1778</v>
      </c>
      <c r="B1787" s="6" t="str">
        <f ca="1">IFERROR(__xludf.DUMMYFUNCTION("GOOGLETRANSLATE(A1787,""bn"",""en"")"),"Retweet for a daily dose of positivity")</f>
        <v>Retweet for a daily dose of positivity</v>
      </c>
      <c r="C1787" s="8" t="s">
        <v>13</v>
      </c>
      <c r="D1787" s="8" t="s">
        <v>14</v>
      </c>
      <c r="E1787" s="8">
        <v>1</v>
      </c>
    </row>
    <row r="1788" spans="1:5" ht="15.75" customHeight="1" x14ac:dyDescent="0.25">
      <c r="A1788" s="6" t="s">
        <v>1779</v>
      </c>
      <c r="B1788" s="6" t="str">
        <f ca="1">IFERROR(__xludf.DUMMYFUNCTION("GOOGLETRANSLATE(A1788,""bn"",""en"")"),"Share your thoughts below")</f>
        <v>Share your thoughts below</v>
      </c>
      <c r="C1788" s="8" t="s">
        <v>13</v>
      </c>
      <c r="D1788" s="8" t="s">
        <v>14</v>
      </c>
      <c r="E1788" s="8">
        <v>1</v>
      </c>
    </row>
    <row r="1789" spans="1:5" ht="15.75" customHeight="1" x14ac:dyDescent="0.25">
      <c r="A1789" s="6" t="s">
        <v>1780</v>
      </c>
      <c r="B1789" s="6" t="str">
        <f ca="1">IFERROR(__xludf.DUMMYFUNCTION("GOOGLETRANSLATE(A1789,""bn"",""en"")"),"He rushed to the mosque and told the imam that I have committed a terrible sin in my life")</f>
        <v>He rushed to the mosque and told the imam that I have committed a terrible sin in my life</v>
      </c>
      <c r="C1789" s="8" t="s">
        <v>13</v>
      </c>
      <c r="D1789" s="8" t="s">
        <v>14</v>
      </c>
      <c r="E1789" s="8">
        <v>1</v>
      </c>
    </row>
    <row r="1790" spans="1:5" ht="15.75" customHeight="1" x14ac:dyDescent="0.25">
      <c r="A1790" s="6" t="s">
        <v>1781</v>
      </c>
      <c r="B1790" s="6" t="str">
        <f ca="1">IFERROR(__xludf.DUMMYFUNCTION("GOOGLETRANSLATE(A1790,""bn"",""en"")"),"My niece has the most beautiful smile")</f>
        <v>My niece has the most beautiful smile</v>
      </c>
      <c r="C1790" s="8" t="s">
        <v>13</v>
      </c>
      <c r="D1790" s="8" t="s">
        <v>14</v>
      </c>
      <c r="E1790" s="8">
        <v>1</v>
      </c>
    </row>
    <row r="1791" spans="1:5" ht="15.75" customHeight="1" x14ac:dyDescent="0.25">
      <c r="A1791" s="6" t="s">
        <v>1782</v>
      </c>
      <c r="B1791" s="6" t="str">
        <f ca="1">IFERROR(__xludf.DUMMYFUNCTION("GOOGLETRANSLATE(A1791,""bn"",""en"")"),"Don't forget to see her beautiful face")</f>
        <v>Don't forget to see her beautiful face</v>
      </c>
      <c r="C1791" s="8" t="s">
        <v>13</v>
      </c>
      <c r="D1791" s="8" t="s">
        <v>14</v>
      </c>
      <c r="E1791" s="8">
        <v>1</v>
      </c>
    </row>
    <row r="1792" spans="1:5" ht="15.75" customHeight="1" x14ac:dyDescent="0.25">
      <c r="A1792" s="6" t="s">
        <v>1783</v>
      </c>
      <c r="B1792" s="6" t="str">
        <f ca="1">IFERROR(__xludf.DUMMYFUNCTION("GOOGLETRANSLATE(A1792,""bn"",""en"")"),"I, the child of a Brahmin, will take water from any mouth without killing the tiger")</f>
        <v>I, the child of a Brahmin, will take water from any mouth without killing the tiger</v>
      </c>
      <c r="C1792" s="7" t="s">
        <v>6</v>
      </c>
      <c r="D1792" s="7" t="s">
        <v>7</v>
      </c>
      <c r="E1792" s="7">
        <v>0</v>
      </c>
    </row>
    <row r="1793" spans="1:5" ht="15.75" customHeight="1" x14ac:dyDescent="0.25">
      <c r="A1793" s="6" t="s">
        <v>1784</v>
      </c>
      <c r="B1793" s="6" t="str">
        <f ca="1">IFERROR(__xludf.DUMMYFUNCTION("GOOGLETRANSLATE(A1793,""bn"",""en"")"),"I still don't know your full identity")</f>
        <v>I still don't know your full identity</v>
      </c>
      <c r="C1793" s="7" t="s">
        <v>6</v>
      </c>
      <c r="D1793" s="7" t="s">
        <v>7</v>
      </c>
      <c r="E1793" s="7">
        <v>0</v>
      </c>
    </row>
    <row r="1794" spans="1:5" ht="15.75" customHeight="1" x14ac:dyDescent="0.25">
      <c r="A1794" s="6" t="s">
        <v>1785</v>
      </c>
      <c r="B1794" s="6" t="str">
        <f ca="1">IFERROR(__xludf.DUMMYFUNCTION("GOOGLETRANSLATE(A1794,""bn"",""en"")"),"When he went to that room, he saw that there were several luchi sandesh in front of the mother")</f>
        <v>When he went to that room, he saw that there were several luchi sandesh in front of the mother</v>
      </c>
      <c r="C1794" s="7" t="s">
        <v>6</v>
      </c>
      <c r="D1794" s="7" t="s">
        <v>7</v>
      </c>
      <c r="E1794" s="7">
        <v>0</v>
      </c>
    </row>
    <row r="1795" spans="1:5" ht="15.75" customHeight="1" x14ac:dyDescent="0.25">
      <c r="A1795" s="6" t="s">
        <v>1786</v>
      </c>
      <c r="B1795" s="6" t="str">
        <f ca="1">IFERROR(__xludf.DUMMYFUNCTION("GOOGLETRANSLATE(A1795,""bn"",""en"")"),"If you look at the arms, you don't feel it. Their women are strong and amazingly beautiful")</f>
        <v>If you look at the arms, you don't feel it. Their women are strong and amazingly beautiful</v>
      </c>
      <c r="C1795" s="7" t="s">
        <v>6</v>
      </c>
      <c r="D1795" s="7" t="s">
        <v>7</v>
      </c>
      <c r="E1795" s="7">
        <v>0</v>
      </c>
    </row>
    <row r="1796" spans="1:5" ht="15.75" customHeight="1" x14ac:dyDescent="0.25">
      <c r="A1796" s="6" t="s">
        <v>1787</v>
      </c>
      <c r="B1796" s="6" t="str">
        <f ca="1">IFERROR(__xludf.DUMMYFUNCTION("GOOGLETRANSLATE(A1796,""bn"",""en"")"),"Fahim I went to school")</f>
        <v>Fahim I went to school</v>
      </c>
      <c r="C1796" s="7" t="s">
        <v>6</v>
      </c>
      <c r="D1796" s="7" t="s">
        <v>7</v>
      </c>
      <c r="E1796" s="7">
        <v>0</v>
      </c>
    </row>
    <row r="1797" spans="1:5" ht="15.75" customHeight="1" x14ac:dyDescent="0.25">
      <c r="A1797" s="6" t="s">
        <v>1788</v>
      </c>
      <c r="B1797" s="6" t="str">
        <f ca="1">IFERROR(__xludf.DUMMYFUNCTION("GOOGLETRANSLATE(A1797,""bn"",""en"")"),"The gentleman came out from behind the door")</f>
        <v>The gentleman came out from behind the door</v>
      </c>
      <c r="C1797" s="8" t="s">
        <v>13</v>
      </c>
      <c r="D1797" s="8" t="s">
        <v>14</v>
      </c>
      <c r="E1797" s="8">
        <v>1</v>
      </c>
    </row>
    <row r="1798" spans="1:5" ht="15.75" customHeight="1" x14ac:dyDescent="0.25">
      <c r="A1798" s="6" t="s">
        <v>1789</v>
      </c>
      <c r="B1798" s="6" t="str">
        <f ca="1">IFERROR(__xludf.DUMMYFUNCTION("GOOGLETRANSLATE(A1798,""bn"",""en"")"),"I love you so much")</f>
        <v>I love you so much</v>
      </c>
      <c r="C1798" s="8" t="s">
        <v>13</v>
      </c>
      <c r="D1798" s="8" t="s">
        <v>14</v>
      </c>
      <c r="E1798" s="8">
        <v>1</v>
      </c>
    </row>
    <row r="1799" spans="1:5" ht="15.75" customHeight="1" x14ac:dyDescent="0.25">
      <c r="A1799" s="6" t="s">
        <v>1790</v>
      </c>
      <c r="B1799" s="6" t="str">
        <f ca="1">IFERROR(__xludf.DUMMYFUNCTION("GOOGLETRANSLATE(A1799,""bn"",""en"")"),"Trust in your abilities Be willing to ask for guidance")</f>
        <v>Trust in your abilities Be willing to ask for guidance</v>
      </c>
      <c r="C1799" s="8" t="s">
        <v>13</v>
      </c>
      <c r="D1799" s="8" t="s">
        <v>14</v>
      </c>
      <c r="E1799" s="8">
        <v>1</v>
      </c>
    </row>
    <row r="1800" spans="1:5" ht="15.75" customHeight="1" x14ac:dyDescent="0.25">
      <c r="A1800" s="6" t="s">
        <v>1791</v>
      </c>
      <c r="B1800" s="6" t="str">
        <f ca="1">IFERROR(__xludf.DUMMYFUNCTION("GOOGLETRANSLATE(A1800,""bn"",""en"")"),"He was very talented")</f>
        <v>He was very talented</v>
      </c>
      <c r="C1800" s="8" t="s">
        <v>13</v>
      </c>
      <c r="D1800" s="8" t="s">
        <v>14</v>
      </c>
      <c r="E1800" s="8">
        <v>1</v>
      </c>
    </row>
    <row r="1801" spans="1:5" ht="15.75" customHeight="1" x14ac:dyDescent="0.25">
      <c r="A1801" s="6" t="s">
        <v>1792</v>
      </c>
      <c r="B1801" s="6" t="str">
        <f ca="1">IFERROR(__xludf.DUMMYFUNCTION("GOOGLETRANSLATE(A1801,""bn"",""en"")"),"Nothing can be thought of now")</f>
        <v>Nothing can be thought of now</v>
      </c>
      <c r="C1801" s="8" t="s">
        <v>13</v>
      </c>
      <c r="D1801" s="8" t="s">
        <v>14</v>
      </c>
      <c r="E1801" s="8">
        <v>1</v>
      </c>
    </row>
    <row r="1802" spans="1:5" ht="15.75" customHeight="1" x14ac:dyDescent="0.25">
      <c r="A1802" s="6" t="s">
        <v>1793</v>
      </c>
      <c r="B1802" s="6" t="str">
        <f ca="1">IFERROR(__xludf.DUMMYFUNCTION("GOOGLETRANSLATE(A1802,""bn"",""en"")"),"Sujan called your mother")</f>
        <v>Sujan called your mother</v>
      </c>
      <c r="C1802" s="7" t="s">
        <v>6</v>
      </c>
      <c r="D1802" s="7" t="s">
        <v>7</v>
      </c>
      <c r="E1802" s="7">
        <v>0</v>
      </c>
    </row>
    <row r="1803" spans="1:5" ht="15.75" customHeight="1" x14ac:dyDescent="0.25">
      <c r="A1803" s="6" t="s">
        <v>1794</v>
      </c>
      <c r="B1803" s="6" t="str">
        <f ca="1">IFERROR(__xludf.DUMMYFUNCTION("GOOGLETRANSLATE(A1803,""bn"",""en"")"),"Go home wife will burn rice")</f>
        <v>Go home wife will burn rice</v>
      </c>
      <c r="C1803" s="7" t="s">
        <v>6</v>
      </c>
      <c r="D1803" s="7" t="s">
        <v>7</v>
      </c>
      <c r="E1803" s="7">
        <v>0</v>
      </c>
    </row>
    <row r="1804" spans="1:5" ht="15.75" customHeight="1" x14ac:dyDescent="0.25">
      <c r="A1804" s="6" t="s">
        <v>1795</v>
      </c>
      <c r="B1804" s="6" t="str">
        <f ca="1">IFERROR(__xludf.DUMMYFUNCTION("GOOGLETRANSLATE(A1804,""bn"",""en"")"),"I started imagining it")</f>
        <v>I started imagining it</v>
      </c>
      <c r="C1804" s="7" t="s">
        <v>6</v>
      </c>
      <c r="D1804" s="7" t="s">
        <v>7</v>
      </c>
      <c r="E1804" s="7">
        <v>0</v>
      </c>
    </row>
    <row r="1805" spans="1:5" ht="15.75" customHeight="1" x14ac:dyDescent="0.25">
      <c r="A1805" s="6" t="s">
        <v>1796</v>
      </c>
      <c r="B1805" s="6" t="str">
        <f ca="1">IFERROR(__xludf.DUMMYFUNCTION("GOOGLETRANSLATE(A1805,""bn"",""en"")"),"Cultivation goes with the total flow everywhere")</f>
        <v>Cultivation goes with the total flow everywhere</v>
      </c>
      <c r="C1805" s="7" t="s">
        <v>6</v>
      </c>
      <c r="D1805" s="7" t="s">
        <v>7</v>
      </c>
      <c r="E1805" s="7">
        <v>0</v>
      </c>
    </row>
    <row r="1806" spans="1:5" ht="15.75" customHeight="1" x14ac:dyDescent="0.25">
      <c r="A1806" s="6" t="s">
        <v>1797</v>
      </c>
      <c r="B1806" s="6" t="str">
        <f ca="1">IFERROR(__xludf.DUMMYFUNCTION("GOOGLETRANSLATE(A1806,""bn"",""en"")"),"I read my night work in college")</f>
        <v>I read my night work in college</v>
      </c>
      <c r="C1806" s="7" t="s">
        <v>6</v>
      </c>
      <c r="D1806" s="7" t="s">
        <v>7</v>
      </c>
      <c r="E1806" s="7">
        <v>0</v>
      </c>
    </row>
    <row r="1807" spans="1:5" ht="15.75" customHeight="1" x14ac:dyDescent="0.25">
      <c r="A1807" s="6" t="s">
        <v>1798</v>
      </c>
      <c r="B1807" s="6" t="str">
        <f ca="1">IFERROR(__xludf.DUMMYFUNCTION("GOOGLETRANSLATE(A1807,""bn"",""en"")"),"Saving for a down payment on a home is a common financial goal for many people")</f>
        <v>Saving for a down payment on a home is a common financial goal for many people</v>
      </c>
      <c r="C1807" s="8" t="s">
        <v>13</v>
      </c>
      <c r="D1807" s="8" t="s">
        <v>14</v>
      </c>
      <c r="E1807" s="8">
        <v>1</v>
      </c>
    </row>
    <row r="1808" spans="1:5" ht="15.75" customHeight="1" x14ac:dyDescent="0.25">
      <c r="A1808" s="6" t="s">
        <v>1799</v>
      </c>
      <c r="B1808" s="6" t="str">
        <f ca="1">IFERROR(__xludf.DUMMYFUNCTION("GOOGLETRANSLATE(A1808,""bn"",""en"")"),"That day he completed the last chapter of his life")</f>
        <v>That day he completed the last chapter of his life</v>
      </c>
      <c r="C1808" s="8" t="s">
        <v>13</v>
      </c>
      <c r="D1808" s="8" t="s">
        <v>14</v>
      </c>
      <c r="E1808" s="8">
        <v>1</v>
      </c>
    </row>
    <row r="1809" spans="1:5" ht="15.75" customHeight="1" x14ac:dyDescent="0.25">
      <c r="A1809" s="6" t="s">
        <v>1800</v>
      </c>
      <c r="B1809" s="6" t="str">
        <f ca="1">IFERROR(__xludf.DUMMYFUNCTION("GOOGLETRANSLATE(A1809,""bn"",""en"")"),"Shahed wants to see the fever by touching his brother")</f>
        <v>Shahed wants to see the fever by touching his brother</v>
      </c>
      <c r="C1809" s="8" t="s">
        <v>13</v>
      </c>
      <c r="D1809" s="8" t="s">
        <v>14</v>
      </c>
      <c r="E1809" s="8">
        <v>1</v>
      </c>
    </row>
    <row r="1810" spans="1:5" ht="15.75" customHeight="1" x14ac:dyDescent="0.25">
      <c r="A1810" s="6" t="s">
        <v>1801</v>
      </c>
      <c r="B1810" s="6" t="str">
        <f ca="1">IFERROR(__xludf.DUMMYFUNCTION("GOOGLETRANSLATE(A1810,""bn"",""en"")"),"I asked Suman to eat rice")</f>
        <v>I asked Suman to eat rice</v>
      </c>
      <c r="C1810" s="8" t="s">
        <v>13</v>
      </c>
      <c r="D1810" s="8" t="s">
        <v>14</v>
      </c>
      <c r="E1810" s="8">
        <v>1</v>
      </c>
    </row>
    <row r="1811" spans="1:5" ht="15.75" customHeight="1" x14ac:dyDescent="0.25">
      <c r="A1811" s="6" t="s">
        <v>1802</v>
      </c>
      <c r="B1811" s="6" t="str">
        <f ca="1">IFERROR(__xludf.DUMMYFUNCTION("GOOGLETRANSLATE(A1811,""bn"",""en"")"),"I requested my mother to go on this holiday")</f>
        <v>I requested my mother to go on this holiday</v>
      </c>
      <c r="C1811" s="8" t="s">
        <v>13</v>
      </c>
      <c r="D1811" s="8" t="s">
        <v>14</v>
      </c>
      <c r="E1811" s="8">
        <v>1</v>
      </c>
    </row>
    <row r="1812" spans="1:5" ht="15.75" customHeight="1" x14ac:dyDescent="0.25">
      <c r="A1812" s="6" t="s">
        <v>1803</v>
      </c>
      <c r="B1812" s="6" t="str">
        <f ca="1">IFERROR(__xludf.DUMMYFUNCTION("GOOGLETRANSLATE(A1812,""bn"",""en"")"),"None of them knew anything")</f>
        <v>None of them knew anything</v>
      </c>
      <c r="C1812" s="7" t="s">
        <v>6</v>
      </c>
      <c r="D1812" s="7" t="s">
        <v>7</v>
      </c>
      <c r="E1812" s="7">
        <v>0</v>
      </c>
    </row>
    <row r="1813" spans="1:5" ht="15.75" customHeight="1" x14ac:dyDescent="0.25">
      <c r="A1813" s="6" t="s">
        <v>1804</v>
      </c>
      <c r="B1813" s="6" t="str">
        <f ca="1">IFERROR(__xludf.DUMMYFUNCTION("GOOGLETRANSLATE(A1813,""bn"",""en"")"),"I can't say whether everyone does or not")</f>
        <v>I can't say whether everyone does or not</v>
      </c>
      <c r="C1813" s="7" t="s">
        <v>6</v>
      </c>
      <c r="D1813" s="7" t="s">
        <v>7</v>
      </c>
      <c r="E1813" s="7">
        <v>0</v>
      </c>
    </row>
    <row r="1814" spans="1:5" ht="15.75" customHeight="1" x14ac:dyDescent="0.25">
      <c r="A1814" s="6" t="s">
        <v>1805</v>
      </c>
      <c r="B1814" s="6" t="str">
        <f ca="1">IFERROR(__xludf.DUMMYFUNCTION("GOOGLETRANSLATE(A1814,""bn"",""en"")"),"There is no need to give news, just don't give it")</f>
        <v>There is no need to give news, just don't give it</v>
      </c>
      <c r="C1814" s="7" t="s">
        <v>6</v>
      </c>
      <c r="D1814" s="7" t="s">
        <v>7</v>
      </c>
      <c r="E1814" s="7">
        <v>0</v>
      </c>
    </row>
    <row r="1815" spans="1:5" ht="15.75" customHeight="1" x14ac:dyDescent="0.25">
      <c r="A1815" s="6" t="s">
        <v>1806</v>
      </c>
      <c r="B1815" s="6" t="str">
        <f ca="1">IFERROR(__xludf.DUMMYFUNCTION("GOOGLETRANSLATE(A1815,""bn"",""en"")"),"Shashi knew that Haru had gone to Bajitpur to look for her daughter")</f>
        <v>Shashi knew that Haru had gone to Bajitpur to look for her daughter</v>
      </c>
      <c r="C1815" s="7" t="s">
        <v>6</v>
      </c>
      <c r="D1815" s="7" t="s">
        <v>7</v>
      </c>
      <c r="E1815" s="7">
        <v>0</v>
      </c>
    </row>
    <row r="1816" spans="1:5" ht="15.75" customHeight="1" x14ac:dyDescent="0.25">
      <c r="A1816" s="6" t="s">
        <v>252</v>
      </c>
      <c r="B1816" s="6" t="str">
        <f ca="1">IFERROR(__xludf.DUMMYFUNCTION("GOOGLETRANSLATE(A1816,""bn"",""en"")"),"Because of laziness, men grow old like Bengali women")</f>
        <v>Because of laziness, men grow old like Bengali women</v>
      </c>
      <c r="C1816" s="7" t="s">
        <v>6</v>
      </c>
      <c r="D1816" s="7" t="s">
        <v>7</v>
      </c>
      <c r="E1816" s="7">
        <v>0</v>
      </c>
    </row>
    <row r="1817" spans="1:5" ht="15.75" customHeight="1" x14ac:dyDescent="0.25">
      <c r="A1817" s="6" t="s">
        <v>1807</v>
      </c>
      <c r="B1817" s="6" t="str">
        <f ca="1">IFERROR(__xludf.DUMMYFUNCTION("GOOGLETRANSLATE(A1817,""bn"",""en"")"),"Journalist interviews sources for an upcoming news article")</f>
        <v>Journalist interviews sources for an upcoming news article</v>
      </c>
      <c r="C1817" s="8" t="s">
        <v>13</v>
      </c>
      <c r="D1817" s="8" t="s">
        <v>14</v>
      </c>
      <c r="E1817" s="8">
        <v>1</v>
      </c>
    </row>
    <row r="1818" spans="1:5" ht="15.75" customHeight="1" x14ac:dyDescent="0.25">
      <c r="A1818" s="6" t="s">
        <v>1808</v>
      </c>
      <c r="B1818" s="6" t="str">
        <f ca="1">IFERROR(__xludf.DUMMYFUNCTION("GOOGLETRANSLATE(A1818,""bn"",""en"")"),"Due to this disease he died on March")</f>
        <v>Due to this disease he died on March</v>
      </c>
      <c r="C1818" s="8" t="s">
        <v>13</v>
      </c>
      <c r="D1818" s="8" t="s">
        <v>14</v>
      </c>
      <c r="E1818" s="8">
        <v>1</v>
      </c>
    </row>
    <row r="1819" spans="1:5" ht="15.75" customHeight="1" x14ac:dyDescent="0.25">
      <c r="A1819" s="6" t="s">
        <v>1809</v>
      </c>
      <c r="B1819" s="6" t="str">
        <f ca="1">IFERROR(__xludf.DUMMYFUNCTION("GOOGLETRANSLATE(A1819,""bn"",""en"")"),"In a stern tone he asked me a question I failed to answer")</f>
        <v>In a stern tone he asked me a question I failed to answer</v>
      </c>
      <c r="C1819" s="8" t="s">
        <v>13</v>
      </c>
      <c r="D1819" s="8" t="s">
        <v>14</v>
      </c>
      <c r="E1819" s="8">
        <v>1</v>
      </c>
    </row>
    <row r="1820" spans="1:5" ht="15.75" customHeight="1" x14ac:dyDescent="0.25">
      <c r="A1820" s="6" t="s">
        <v>1810</v>
      </c>
      <c r="B1820" s="6" t="str">
        <f ca="1">IFERROR(__xludf.DUMMYFUNCTION("GOOGLETRANSLATE(A1820,""bn"",""en"")"),"Cousins ​​are like intimate friends")</f>
        <v>Cousins ​​are like intimate friends</v>
      </c>
      <c r="C1820" s="8" t="s">
        <v>13</v>
      </c>
      <c r="D1820" s="8" t="s">
        <v>14</v>
      </c>
      <c r="E1820" s="8">
        <v>1</v>
      </c>
    </row>
    <row r="1821" spans="1:5" ht="15.75" customHeight="1" x14ac:dyDescent="0.25">
      <c r="A1821" s="6" t="s">
        <v>1811</v>
      </c>
      <c r="B1821" s="6" t="str">
        <f ca="1">IFERROR(__xludf.DUMMYFUNCTION("GOOGLETRANSLATE(A1821,""bn"",""en"")"),"Share your story here")</f>
        <v>Share your story here</v>
      </c>
      <c r="C1821" s="8" t="s">
        <v>13</v>
      </c>
      <c r="D1821" s="8" t="s">
        <v>14</v>
      </c>
      <c r="E1821" s="8">
        <v>1</v>
      </c>
    </row>
    <row r="1822" spans="1:5" ht="15.75" customHeight="1" x14ac:dyDescent="0.25">
      <c r="A1822" s="6" t="s">
        <v>1812</v>
      </c>
      <c r="B1822" s="6" t="str">
        <f ca="1">IFERROR(__xludf.DUMMYFUNCTION("GOOGLETRANSLATE(A1822,""bn"",""en"")"),"Tal Pahar is a mystery to many people")</f>
        <v>Tal Pahar is a mystery to many people</v>
      </c>
      <c r="C1822" s="7" t="s">
        <v>6</v>
      </c>
      <c r="D1822" s="7" t="s">
        <v>7</v>
      </c>
      <c r="E1822" s="7">
        <v>0</v>
      </c>
    </row>
    <row r="1823" spans="1:5" ht="15.75" customHeight="1" x14ac:dyDescent="0.25">
      <c r="A1823" s="6" t="s">
        <v>1813</v>
      </c>
      <c r="B1823" s="6" t="str">
        <f ca="1">IFERROR(__xludf.DUMMYFUNCTION("GOOGLETRANSLATE(A1823,""bn"",""en"")"),"The master began to insult him with great beatings every day")</f>
        <v>The master began to insult him with great beatings every day</v>
      </c>
      <c r="C1823" s="7" t="s">
        <v>6</v>
      </c>
      <c r="D1823" s="7" t="s">
        <v>7</v>
      </c>
      <c r="E1823" s="7">
        <v>0</v>
      </c>
    </row>
    <row r="1824" spans="1:5" ht="15.75" customHeight="1" x14ac:dyDescent="0.25">
      <c r="A1824" s="6" t="s">
        <v>1814</v>
      </c>
      <c r="B1824" s="6" t="str">
        <f ca="1">IFERROR(__xludf.DUMMYFUNCTION("GOOGLETRANSLATE(A1824,""bn"",""en"")"),"I have planted a new rose bush in my garden")</f>
        <v>I have planted a new rose bush in my garden</v>
      </c>
      <c r="C1824" s="7" t="s">
        <v>6</v>
      </c>
      <c r="D1824" s="7" t="s">
        <v>7</v>
      </c>
      <c r="E1824" s="7">
        <v>0</v>
      </c>
    </row>
    <row r="1825" spans="1:5" ht="15.75" customHeight="1" x14ac:dyDescent="0.25">
      <c r="A1825" s="6" t="s">
        <v>1815</v>
      </c>
      <c r="B1825" s="6" t="str">
        <f ca="1">IFERROR(__xludf.DUMMYFUNCTION("GOOGLETRANSLATE(A1825,""bn"",""en"")"),"In that bare chest, the satnari of the bride is holding a tiny Arsi")</f>
        <v>In that bare chest, the satnari of the bride is holding a tiny Arsi</v>
      </c>
      <c r="C1825" s="7" t="s">
        <v>6</v>
      </c>
      <c r="D1825" s="7" t="s">
        <v>7</v>
      </c>
      <c r="E1825" s="7">
        <v>0</v>
      </c>
    </row>
    <row r="1826" spans="1:5" ht="15.75" customHeight="1" x14ac:dyDescent="0.25">
      <c r="A1826" s="6" t="s">
        <v>1816</v>
      </c>
      <c r="B1826" s="6" t="str">
        <f ca="1">IFERROR(__xludf.DUMMYFUNCTION("GOOGLETRANSLATE(A1826,""bn"",""en"")"),"I asked Raju to play")</f>
        <v>I asked Raju to play</v>
      </c>
      <c r="C1826" s="7" t="s">
        <v>6</v>
      </c>
      <c r="D1826" s="7" t="s">
        <v>7</v>
      </c>
      <c r="E1826" s="7">
        <v>0</v>
      </c>
    </row>
    <row r="1827" spans="1:5" ht="15.75" customHeight="1" x14ac:dyDescent="0.25">
      <c r="A1827" s="6" t="s">
        <v>1817</v>
      </c>
      <c r="B1827" s="6" t="str">
        <f ca="1">IFERROR(__xludf.DUMMYFUNCTION("GOOGLETRANSLATE(A1827,""bn"",""en"")"),"Adventure can strengthen relationships through shared experiences")</f>
        <v>Adventure can strengthen relationships through shared experiences</v>
      </c>
      <c r="C1827" s="8" t="s">
        <v>13</v>
      </c>
      <c r="D1827" s="8" t="s">
        <v>14</v>
      </c>
      <c r="E1827" s="8">
        <v>1</v>
      </c>
    </row>
    <row r="1828" spans="1:5" ht="15.75" customHeight="1" x14ac:dyDescent="0.25">
      <c r="A1828" s="6" t="s">
        <v>1818</v>
      </c>
      <c r="B1828" s="6" t="str">
        <f ca="1">IFERROR(__xludf.DUMMYFUNCTION("GOOGLETRANSLATE(A1828,""bn"",""en"")"),"The transaction amount has been deducted from my account")</f>
        <v>The transaction amount has been deducted from my account</v>
      </c>
      <c r="C1828" s="8" t="s">
        <v>13</v>
      </c>
      <c r="D1828" s="8" t="s">
        <v>14</v>
      </c>
      <c r="E1828" s="8">
        <v>1</v>
      </c>
    </row>
    <row r="1829" spans="1:5" ht="15.75" customHeight="1" x14ac:dyDescent="0.25">
      <c r="A1829" s="6" t="s">
        <v>1819</v>
      </c>
      <c r="B1829" s="6" t="str">
        <f ca="1">IFERROR(__xludf.DUMMYFUNCTION("GOOGLETRANSLATE(A1829,""bn"",""en"")"),"Buttery popcorn enhances movie night")</f>
        <v>Buttery popcorn enhances movie night</v>
      </c>
      <c r="C1829" s="8" t="s">
        <v>13</v>
      </c>
      <c r="D1829" s="8" t="s">
        <v>14</v>
      </c>
      <c r="E1829" s="8">
        <v>1</v>
      </c>
    </row>
    <row r="1830" spans="1:5" ht="15.75" customHeight="1" x14ac:dyDescent="0.25">
      <c r="A1830" s="6" t="s">
        <v>1820</v>
      </c>
      <c r="B1830" s="6" t="str">
        <f ca="1">IFERROR(__xludf.DUMMYFUNCTION("GOOGLETRANSLATE(A1830,""bn"",""en"")"),"The book was published in the fourteenth century AD")</f>
        <v>The book was published in the fourteenth century AD</v>
      </c>
      <c r="C1830" s="8" t="s">
        <v>13</v>
      </c>
      <c r="D1830" s="8" t="s">
        <v>14</v>
      </c>
      <c r="E1830" s="8">
        <v>1</v>
      </c>
    </row>
    <row r="1831" spans="1:5" ht="15.75" customHeight="1" x14ac:dyDescent="0.25">
      <c r="A1831" s="6" t="s">
        <v>1821</v>
      </c>
      <c r="B1831" s="6" t="str">
        <f ca="1">IFERROR(__xludf.DUMMYFUNCTION("GOOGLETRANSLATE(A1831,""bn"",""en"")"),"Smoke symbolizes the flood")</f>
        <v>Smoke symbolizes the flood</v>
      </c>
      <c r="C1831" s="8" t="s">
        <v>13</v>
      </c>
      <c r="D1831" s="8" t="s">
        <v>14</v>
      </c>
      <c r="E1831" s="8">
        <v>1</v>
      </c>
    </row>
    <row r="1832" spans="1:5" ht="15.75" customHeight="1" x14ac:dyDescent="0.25">
      <c r="A1832" s="6" t="s">
        <v>1822</v>
      </c>
      <c r="B1832" s="6" t="str">
        <f ca="1">IFERROR(__xludf.DUMMYFUNCTION("GOOGLETRANSLATE(A1832,""bn"",""en"")"),"Our house started falling apart")</f>
        <v>Our house started falling apart</v>
      </c>
      <c r="C1832" s="7" t="s">
        <v>6</v>
      </c>
      <c r="D1832" s="7" t="s">
        <v>7</v>
      </c>
      <c r="E1832" s="7">
        <v>0</v>
      </c>
    </row>
    <row r="1833" spans="1:5" ht="15.75" customHeight="1" x14ac:dyDescent="0.25">
      <c r="A1833" s="6" t="s">
        <v>1823</v>
      </c>
      <c r="B1833" s="6" t="str">
        <f ca="1">IFERROR(__xludf.DUMMYFUNCTION("GOOGLETRANSLATE(A1833,""bn"",""en"")"),"When the laughter ended, the dance started")</f>
        <v>When the laughter ended, the dance started</v>
      </c>
      <c r="C1833" s="7" t="s">
        <v>6</v>
      </c>
      <c r="D1833" s="7" t="s">
        <v>7</v>
      </c>
      <c r="E1833" s="7">
        <v>0</v>
      </c>
    </row>
    <row r="1834" spans="1:5" ht="15.75" customHeight="1" x14ac:dyDescent="0.25">
      <c r="A1834" s="6" t="s">
        <v>1824</v>
      </c>
      <c r="B1834" s="6" t="str">
        <f ca="1">IFERROR(__xludf.DUMMYFUNCTION("GOOGLETRANSLATE(A1834,""bn"",""en"")"),"He kept saying who had condemned what in this absence")</f>
        <v>He kept saying who had condemned what in this absence</v>
      </c>
      <c r="C1834" s="7" t="s">
        <v>6</v>
      </c>
      <c r="D1834" s="7" t="s">
        <v>7</v>
      </c>
      <c r="E1834" s="7">
        <v>0</v>
      </c>
    </row>
    <row r="1835" spans="1:5" ht="15.75" customHeight="1" x14ac:dyDescent="0.25">
      <c r="A1835" s="6" t="s">
        <v>1825</v>
      </c>
      <c r="B1835" s="6" t="str">
        <f ca="1">IFERROR(__xludf.DUMMYFUNCTION("GOOGLETRANSLATE(A1835,""bn"",""en"")"),"His eyes always watered for him")</f>
        <v>His eyes always watered for him</v>
      </c>
      <c r="C1835" s="7" t="s">
        <v>6</v>
      </c>
      <c r="D1835" s="7" t="s">
        <v>7</v>
      </c>
      <c r="E1835" s="7">
        <v>0</v>
      </c>
    </row>
    <row r="1836" spans="1:5" ht="15.75" customHeight="1" x14ac:dyDescent="0.25">
      <c r="A1836" s="6" t="s">
        <v>1826</v>
      </c>
      <c r="B1836" s="6" t="str">
        <f ca="1">IFERROR(__xludf.DUMMYFUNCTION("GOOGLETRANSLATE(A1836,""bn"",""en"")"),"Sitting alone, he used to imagine the impossible")</f>
        <v>Sitting alone, he used to imagine the impossible</v>
      </c>
      <c r="C1836" s="7" t="s">
        <v>6</v>
      </c>
      <c r="D1836" s="7" t="s">
        <v>7</v>
      </c>
      <c r="E1836" s="7">
        <v>0</v>
      </c>
    </row>
    <row r="1837" spans="1:5" ht="15.75" customHeight="1" x14ac:dyDescent="0.25">
      <c r="A1837" s="6" t="s">
        <v>1827</v>
      </c>
      <c r="B1837" s="6" t="str">
        <f ca="1">IFERROR(__xludf.DUMMYFUNCTION("GOOGLETRANSLATE(A1837,""bn"",""en"")"),"Woodcraft fulfills me creatively")</f>
        <v>Woodcraft fulfills me creatively</v>
      </c>
      <c r="C1837" s="8" t="s">
        <v>13</v>
      </c>
      <c r="D1837" s="8" t="s">
        <v>14</v>
      </c>
      <c r="E1837" s="8">
        <v>1</v>
      </c>
    </row>
    <row r="1838" spans="1:5" ht="15.75" customHeight="1" x14ac:dyDescent="0.25">
      <c r="A1838" s="6" t="s">
        <v>1828</v>
      </c>
      <c r="B1838" s="6" t="str">
        <f ca="1">IFERROR(__xludf.DUMMYFUNCTION("GOOGLETRANSLATE(A1838,""bn"",""en"")"),"Rumi asked me to read the book")</f>
        <v>Rumi asked me to read the book</v>
      </c>
      <c r="C1838" s="8" t="s">
        <v>13</v>
      </c>
      <c r="D1838" s="8" t="s">
        <v>14</v>
      </c>
      <c r="E1838" s="8">
        <v>1</v>
      </c>
    </row>
    <row r="1839" spans="1:5" ht="15.75" customHeight="1" x14ac:dyDescent="0.25">
      <c r="A1839" s="6" t="s">
        <v>1829</v>
      </c>
      <c r="B1839" s="6" t="str">
        <f ca="1">IFERROR(__xludf.DUMMYFUNCTION("GOOGLETRANSLATE(A1839,""bn"",""en"")"),"Suddenly an enemy mortar shell hit his right shoulder")</f>
        <v>Suddenly an enemy mortar shell hit his right shoulder</v>
      </c>
      <c r="C1839" s="8" t="s">
        <v>13</v>
      </c>
      <c r="D1839" s="8" t="s">
        <v>14</v>
      </c>
      <c r="E1839" s="8">
        <v>1</v>
      </c>
    </row>
    <row r="1840" spans="1:5" ht="15.75" customHeight="1" x14ac:dyDescent="0.25">
      <c r="A1840" s="6" t="s">
        <v>1830</v>
      </c>
      <c r="B1840" s="6" t="str">
        <f ca="1">IFERROR(__xludf.DUMMYFUNCTION("GOOGLETRANSLATE(A1840,""bn"",""en"")"),"Adventure enthusiasts often look for new challenges to conquer")</f>
        <v>Adventure enthusiasts often look for new challenges to conquer</v>
      </c>
      <c r="C1840" s="8" t="s">
        <v>13</v>
      </c>
      <c r="D1840" s="8" t="s">
        <v>14</v>
      </c>
      <c r="E1840" s="8">
        <v>1</v>
      </c>
    </row>
    <row r="1841" spans="1:5" ht="15.75" customHeight="1" x14ac:dyDescent="0.25">
      <c r="A1841" s="6" t="s">
        <v>1831</v>
      </c>
      <c r="B1841" s="6" t="str">
        <f ca="1">IFERROR(__xludf.DUMMYFUNCTION("GOOGLETRANSLATE(A1841,""bn"",""en"")"),"He showed me a beautiful bird")</f>
        <v>He showed me a beautiful bird</v>
      </c>
      <c r="C1841" s="8" t="s">
        <v>13</v>
      </c>
      <c r="D1841" s="8" t="s">
        <v>14</v>
      </c>
      <c r="E1841" s="8">
        <v>1</v>
      </c>
    </row>
    <row r="1842" spans="1:5" ht="15.75" customHeight="1" x14ac:dyDescent="0.25">
      <c r="A1842" s="6" t="s">
        <v>1832</v>
      </c>
      <c r="B1842" s="6" t="str">
        <f ca="1">IFERROR(__xludf.DUMMYFUNCTION("GOOGLETRANSLATE(A1842,""bn"",""en"")"),"Ramsundar decided to pay the money no matter what")</f>
        <v>Ramsundar decided to pay the money no matter what</v>
      </c>
      <c r="C1842" s="7" t="s">
        <v>6</v>
      </c>
      <c r="D1842" s="7" t="s">
        <v>7</v>
      </c>
      <c r="E1842" s="7">
        <v>0</v>
      </c>
    </row>
    <row r="1843" spans="1:5" ht="15.75" customHeight="1" x14ac:dyDescent="0.25">
      <c r="A1843" s="6" t="s">
        <v>1833</v>
      </c>
      <c r="B1843" s="6" t="str">
        <f ca="1">IFERROR(__xludf.DUMMYFUNCTION("GOOGLETRANSLATE(A1843,""bn"",""en"")"),"Harimohan did not object if it was only a matter of belief")</f>
        <v>Harimohan did not object if it was only a matter of belief</v>
      </c>
      <c r="C1843" s="7" t="s">
        <v>6</v>
      </c>
      <c r="D1843" s="7" t="s">
        <v>7</v>
      </c>
      <c r="E1843" s="7">
        <v>0</v>
      </c>
    </row>
    <row r="1844" spans="1:5" ht="15.75" customHeight="1" x14ac:dyDescent="0.25">
      <c r="A1844" s="6" t="s">
        <v>1834</v>
      </c>
      <c r="B1844" s="6" t="str">
        <f ca="1">IFERROR(__xludf.DUMMYFUNCTION("GOOGLETRANSLATE(A1844,""bn"",""en"")"),"That's why I was saying that the words of Vihanga were very beautiful")</f>
        <v>That's why I was saying that the words of Vihanga were very beautiful</v>
      </c>
      <c r="C1844" s="7" t="s">
        <v>6</v>
      </c>
      <c r="D1844" s="7" t="s">
        <v>7</v>
      </c>
      <c r="E1844" s="7">
        <v>0</v>
      </c>
    </row>
    <row r="1845" spans="1:5" ht="15.75" customHeight="1" x14ac:dyDescent="0.25">
      <c r="A1845" s="6" t="s">
        <v>1835</v>
      </c>
      <c r="B1845" s="6" t="str">
        <f ca="1">IFERROR(__xludf.DUMMYFUNCTION("GOOGLETRANSLATE(A1845,""bn"",""en"")"),"I don't have my own capital, no matter who increases capital in my story")</f>
        <v>I don't have my own capital, no matter who increases capital in my story</v>
      </c>
      <c r="C1845" s="7" t="s">
        <v>6</v>
      </c>
      <c r="D1845" s="7" t="s">
        <v>7</v>
      </c>
      <c r="E1845" s="7">
        <v>0</v>
      </c>
    </row>
    <row r="1846" spans="1:5" ht="15.75" customHeight="1" x14ac:dyDescent="0.25">
      <c r="A1846" s="6" t="s">
        <v>1836</v>
      </c>
      <c r="B1846" s="6" t="str">
        <f ca="1">IFERROR(__xludf.DUMMYFUNCTION("GOOGLETRANSLATE(A1846,""bn"",""en"")"),"He was worried about where he would end up in an unfamiliar city")</f>
        <v>He was worried about where he would end up in an unfamiliar city</v>
      </c>
      <c r="C1846" s="7" t="s">
        <v>6</v>
      </c>
      <c r="D1846" s="7" t="s">
        <v>7</v>
      </c>
      <c r="E1846" s="7">
        <v>0</v>
      </c>
    </row>
    <row r="1847" spans="1:5" ht="15.75" customHeight="1" x14ac:dyDescent="0.25">
      <c r="A1847" s="6" t="s">
        <v>1837</v>
      </c>
      <c r="B1847" s="6" t="str">
        <f ca="1">IFERROR(__xludf.DUMMYFUNCTION("GOOGLETRANSLATE(A1847,""bn"",""en"")"),"A popular snack among South Asians")</f>
        <v>A popular snack among South Asians</v>
      </c>
      <c r="C1847" s="8" t="s">
        <v>13</v>
      </c>
      <c r="D1847" s="8" t="s">
        <v>14</v>
      </c>
      <c r="E1847" s="8">
        <v>1</v>
      </c>
    </row>
    <row r="1848" spans="1:5" ht="15.75" customHeight="1" x14ac:dyDescent="0.25">
      <c r="A1848" s="6" t="s">
        <v>1838</v>
      </c>
      <c r="B1848" s="6" t="str">
        <f ca="1">IFERROR(__xludf.DUMMYFUNCTION("GOOGLETRANSLATE(A1848,""bn"",""en"")"),"Seeing injustice in the world fills me with anger")</f>
        <v>Seeing injustice in the world fills me with anger</v>
      </c>
      <c r="C1848" s="8" t="s">
        <v>13</v>
      </c>
      <c r="D1848" s="8" t="s">
        <v>14</v>
      </c>
      <c r="E1848" s="8">
        <v>1</v>
      </c>
    </row>
    <row r="1849" spans="1:5" ht="15.75" customHeight="1" x14ac:dyDescent="0.25">
      <c r="A1849" s="6" t="s">
        <v>1839</v>
      </c>
      <c r="B1849" s="6" t="str">
        <f ca="1">IFERROR(__xludf.DUMMYFUNCTION("GOOGLETRANSLATE(A1849,""bn"",""en"")"),"Food security is a global concern that is addressed through sustainable agricultural practices")</f>
        <v>Food security is a global concern that is addressed through sustainable agricultural practices</v>
      </c>
      <c r="C1849" s="8" t="s">
        <v>13</v>
      </c>
      <c r="D1849" s="8" t="s">
        <v>14</v>
      </c>
      <c r="E1849" s="8">
        <v>1</v>
      </c>
    </row>
    <row r="1850" spans="1:5" ht="15.75" customHeight="1" x14ac:dyDescent="0.25">
      <c r="A1850" s="6" t="s">
        <v>1840</v>
      </c>
      <c r="B1850" s="6" t="str">
        <f ca="1">IFERROR(__xludf.DUMMYFUNCTION("GOOGLETRANSLATE(A1850,""bn"",""en"")"),"He had a keen interest in art since childhood")</f>
        <v>He had a keen interest in art since childhood</v>
      </c>
      <c r="C1850" s="8" t="s">
        <v>13</v>
      </c>
      <c r="D1850" s="8" t="s">
        <v>14</v>
      </c>
      <c r="E1850" s="8">
        <v>1</v>
      </c>
    </row>
    <row r="1851" spans="1:5" ht="15.75" customHeight="1" x14ac:dyDescent="0.25">
      <c r="A1851" s="6" t="s">
        <v>1841</v>
      </c>
      <c r="B1851" s="6" t="str">
        <f ca="1">IFERROR(__xludf.DUMMYFUNCTION("GOOGLETRANSLATE(A1851,""bn"",""en"")"),"Camping under the twinkling aurora, they felt the magic of the desert envelop them.")</f>
        <v>Camping under the twinkling aurora, they felt the magic of the desert envelop them.</v>
      </c>
      <c r="C1851" s="8" t="s">
        <v>13</v>
      </c>
      <c r="D1851" s="8" t="s">
        <v>14</v>
      </c>
      <c r="E1851" s="8">
        <v>1</v>
      </c>
    </row>
    <row r="1852" spans="1:5" ht="15.75" customHeight="1" x14ac:dyDescent="0.25">
      <c r="A1852" s="6" t="s">
        <v>1842</v>
      </c>
      <c r="B1852" s="6" t="str">
        <f ca="1">IFERROR(__xludf.DUMMYFUNCTION("GOOGLETRANSLATE(A1852,""bn"",""en"")"),"Sajeev has not returned from school")</f>
        <v>Sajeev has not returned from school</v>
      </c>
      <c r="C1852" s="7" t="s">
        <v>6</v>
      </c>
      <c r="D1852" s="7" t="s">
        <v>7</v>
      </c>
      <c r="E1852" s="7">
        <v>0</v>
      </c>
    </row>
    <row r="1853" spans="1:5" ht="15.75" customHeight="1" x14ac:dyDescent="0.25">
      <c r="A1853" s="6" t="s">
        <v>1843</v>
      </c>
      <c r="B1853" s="6" t="str">
        <f ca="1">IFERROR(__xludf.DUMMYFUNCTION("GOOGLETRANSLATE(A1853,""bn"",""en"")"),"At that moment he had to get its special reward")</f>
        <v>At that moment he had to get its special reward</v>
      </c>
      <c r="C1853" s="7" t="s">
        <v>6</v>
      </c>
      <c r="D1853" s="7" t="s">
        <v>7</v>
      </c>
      <c r="E1853" s="7">
        <v>0</v>
      </c>
    </row>
    <row r="1854" spans="1:5" ht="15.75" customHeight="1" x14ac:dyDescent="0.25">
      <c r="A1854" s="6" t="s">
        <v>1844</v>
      </c>
      <c r="B1854" s="6" t="str">
        <f ca="1">IFERROR(__xludf.DUMMYFUNCTION("GOOGLETRANSLATE(A1854,""bn"",""en"")"),"I told Rana about you")</f>
        <v>I told Rana about you</v>
      </c>
      <c r="C1854" s="7" t="s">
        <v>6</v>
      </c>
      <c r="D1854" s="7" t="s">
        <v>7</v>
      </c>
      <c r="E1854" s="7">
        <v>0</v>
      </c>
    </row>
    <row r="1855" spans="1:5" ht="15.75" customHeight="1" x14ac:dyDescent="0.25">
      <c r="A1855" s="6" t="s">
        <v>1845</v>
      </c>
      <c r="B1855" s="6" t="str">
        <f ca="1">IFERROR(__xludf.DUMMYFUNCTION("GOOGLETRANSLATE(A1855,""bn"",""en"")"),"There is no shrub or creeper in the desert except for a honey tree or a mulberry tree here and there")</f>
        <v>There is no shrub or creeper in the desert except for a honey tree or a mulberry tree here and there</v>
      </c>
      <c r="C1855" s="7" t="s">
        <v>6</v>
      </c>
      <c r="D1855" s="7" t="s">
        <v>7</v>
      </c>
      <c r="E1855" s="7">
        <v>0</v>
      </c>
    </row>
    <row r="1856" spans="1:5" ht="15.75" customHeight="1" x14ac:dyDescent="0.25">
      <c r="A1856" s="6" t="s">
        <v>1846</v>
      </c>
      <c r="B1856" s="6" t="str">
        <f ca="1">IFERROR(__xludf.DUMMYFUNCTION("GOOGLETRANSLATE(A1856,""bn"",""en"")"),"He forgot about me")</f>
        <v>He forgot about me</v>
      </c>
      <c r="C1856" s="7" t="s">
        <v>6</v>
      </c>
      <c r="D1856" s="7" t="s">
        <v>7</v>
      </c>
      <c r="E1856" s="7">
        <v>0</v>
      </c>
    </row>
    <row r="1857" spans="1:5" ht="15.75" customHeight="1" x14ac:dyDescent="0.25">
      <c r="A1857" s="6" t="s">
        <v>1847</v>
      </c>
      <c r="B1857" s="6" t="str">
        <f ca="1">IFERROR(__xludf.DUMMYFUNCTION("GOOGLETRANSLATE(A1857,""bn"",""en"")"),"Family travel is always filled with laughter and love")</f>
        <v>Family travel is always filled with laughter and love</v>
      </c>
      <c r="C1857" s="8" t="s">
        <v>13</v>
      </c>
      <c r="D1857" s="8" t="s">
        <v>14</v>
      </c>
      <c r="E1857" s="8">
        <v>1</v>
      </c>
    </row>
    <row r="1858" spans="1:5" ht="15.75" customHeight="1" x14ac:dyDescent="0.25">
      <c r="A1858" s="6" t="s">
        <v>1848</v>
      </c>
      <c r="B1858" s="6" t="str">
        <f ca="1">IFERROR(__xludf.DUMMYFUNCTION("GOOGLETRANSLATE(A1858,""bn"",""en"")"),"His favorite category is meter")</f>
        <v>His favorite category is meter</v>
      </c>
      <c r="C1858" s="8" t="s">
        <v>13</v>
      </c>
      <c r="D1858" s="8" t="s">
        <v>14</v>
      </c>
      <c r="E1858" s="8">
        <v>1</v>
      </c>
    </row>
    <row r="1859" spans="1:5" ht="15.75" customHeight="1" x14ac:dyDescent="0.25">
      <c r="A1859" s="6" t="s">
        <v>1849</v>
      </c>
      <c r="B1859" s="6" t="str">
        <f ca="1">IFERROR(__xludf.DUMMYFUNCTION("GOOGLETRANSLATE(A1859,""bn"",""en"")"),"Accepting criticism can make me feel insecure")</f>
        <v>Accepting criticism can make me feel insecure</v>
      </c>
      <c r="C1859" s="8" t="s">
        <v>13</v>
      </c>
      <c r="D1859" s="8" t="s">
        <v>14</v>
      </c>
      <c r="E1859" s="8">
        <v>1</v>
      </c>
    </row>
    <row r="1860" spans="1:5" ht="15.75" customHeight="1" x14ac:dyDescent="0.25">
      <c r="A1860" s="6" t="s">
        <v>1850</v>
      </c>
      <c r="B1860" s="6" t="str">
        <f ca="1">IFERROR(__xludf.DUMMYFUNCTION("GOOGLETRANSLATE(A1860,""bn"",""en"")"),"This movie kept me on the edge of my seat the entire time")</f>
        <v>This movie kept me on the edge of my seat the entire time</v>
      </c>
      <c r="C1860" s="8" t="s">
        <v>13</v>
      </c>
      <c r="D1860" s="8" t="s">
        <v>14</v>
      </c>
      <c r="E1860" s="8">
        <v>1</v>
      </c>
    </row>
    <row r="1861" spans="1:5" ht="15.75" customHeight="1" x14ac:dyDescent="0.25">
      <c r="A1861" s="6" t="s">
        <v>1851</v>
      </c>
      <c r="B1861" s="6" t="str">
        <f ca="1">IFERROR(__xludf.DUMMYFUNCTION("GOOGLETRANSLATE(A1861,""bn"",""en"")"),"Investigative journalism plays an important role in holding those in power accountable")</f>
        <v>Investigative journalism plays an important role in holding those in power accountable</v>
      </c>
      <c r="C1861" s="8" t="s">
        <v>13</v>
      </c>
      <c r="D1861" s="8" t="s">
        <v>14</v>
      </c>
      <c r="E1861" s="8">
        <v>1</v>
      </c>
    </row>
    <row r="1862" spans="1:5" ht="15.75" customHeight="1" x14ac:dyDescent="0.25">
      <c r="A1862" s="6" t="s">
        <v>1852</v>
      </c>
      <c r="B1862" s="6" t="str">
        <f ca="1">IFERROR(__xludf.DUMMYFUNCTION("GOOGLETRANSLATE(A1862,""bn"",""en"")"),"He screamed and sat down in the middle of the road")</f>
        <v>He screamed and sat down in the middle of the road</v>
      </c>
      <c r="C1862" s="7" t="s">
        <v>6</v>
      </c>
      <c r="D1862" s="7" t="s">
        <v>7</v>
      </c>
      <c r="E1862" s="7">
        <v>0</v>
      </c>
    </row>
    <row r="1863" spans="1:5" ht="15.75" customHeight="1" x14ac:dyDescent="0.25">
      <c r="A1863" s="6" t="s">
        <v>1853</v>
      </c>
      <c r="B1863" s="6" t="str">
        <f ca="1">IFERROR(__xludf.DUMMYFUNCTION("GOOGLETRANSLATE(A1863,""bn"",""en"")"),"This is not right")</f>
        <v>This is not right</v>
      </c>
      <c r="C1863" s="7" t="s">
        <v>6</v>
      </c>
      <c r="D1863" s="7" t="s">
        <v>7</v>
      </c>
      <c r="E1863" s="7">
        <v>0</v>
      </c>
    </row>
    <row r="1864" spans="1:5" ht="15.75" customHeight="1" x14ac:dyDescent="0.25">
      <c r="A1864" s="6" t="s">
        <v>1854</v>
      </c>
      <c r="B1864" s="6" t="str">
        <f ca="1">IFERROR(__xludf.DUMMYFUNCTION("GOOGLETRANSLATE(A1864,""bn"",""en"")"),"If you only think about it, you will not have to do it")</f>
        <v>If you only think about it, you will not have to do it</v>
      </c>
      <c r="C1864" s="7" t="s">
        <v>6</v>
      </c>
      <c r="D1864" s="7" t="s">
        <v>7</v>
      </c>
      <c r="E1864" s="7">
        <v>0</v>
      </c>
    </row>
    <row r="1865" spans="1:5" ht="15.75" customHeight="1" x14ac:dyDescent="0.25">
      <c r="A1865" s="6" t="s">
        <v>1855</v>
      </c>
      <c r="B1865" s="6" t="str">
        <f ca="1">IFERROR(__xludf.DUMMYFUNCTION("GOOGLETRANSLATE(A1865,""bn"",""en"")"),"Suman wanted to eat rice")</f>
        <v>Suman wanted to eat rice</v>
      </c>
      <c r="C1865" s="7" t="s">
        <v>6</v>
      </c>
      <c r="D1865" s="7" t="s">
        <v>7</v>
      </c>
      <c r="E1865" s="7">
        <v>0</v>
      </c>
    </row>
    <row r="1866" spans="1:5" ht="15.75" customHeight="1" x14ac:dyDescent="0.25">
      <c r="A1866" s="6" t="s">
        <v>1856</v>
      </c>
      <c r="B1866" s="6" t="str">
        <f ca="1">IFERROR(__xludf.DUMMYFUNCTION("GOOGLETRANSLATE(A1866,""bn"",""en"")"),"So it is not a big fashion among Bengalis to walk fast like it is now.")</f>
        <v>So it is not a big fashion among Bengalis to walk fast like it is now.</v>
      </c>
      <c r="C1866" s="7" t="s">
        <v>6</v>
      </c>
      <c r="D1866" s="7" t="s">
        <v>7</v>
      </c>
      <c r="E1866" s="7">
        <v>0</v>
      </c>
    </row>
    <row r="1867" spans="1:5" ht="15.75" customHeight="1" x14ac:dyDescent="0.25">
      <c r="A1867" s="6" t="s">
        <v>1857</v>
      </c>
      <c r="B1867" s="6" t="str">
        <f ca="1">IFERROR(__xludf.DUMMYFUNCTION("GOOGLETRANSLATE(A1867,""bn"",""en"")"),"Nurses provide compassionate care to patients in hospitals")</f>
        <v>Nurses provide compassionate care to patients in hospitals</v>
      </c>
      <c r="C1867" s="8" t="s">
        <v>13</v>
      </c>
      <c r="D1867" s="8" t="s">
        <v>14</v>
      </c>
      <c r="E1867" s="8">
        <v>1</v>
      </c>
    </row>
    <row r="1868" spans="1:5" ht="15.75" customHeight="1" x14ac:dyDescent="0.25">
      <c r="A1868" s="6" t="s">
        <v>1858</v>
      </c>
      <c r="B1868" s="6" t="str">
        <f ca="1">IFERROR(__xludf.DUMMYFUNCTION("GOOGLETRANSLATE(A1868,""bn"",""en"")"),"Bonsai cultivation is a quiet hobby")</f>
        <v>Bonsai cultivation is a quiet hobby</v>
      </c>
      <c r="C1868" s="8" t="s">
        <v>13</v>
      </c>
      <c r="D1868" s="8" t="s">
        <v>14</v>
      </c>
      <c r="E1868" s="8">
        <v>1</v>
      </c>
    </row>
    <row r="1869" spans="1:5" ht="15.75" customHeight="1" x14ac:dyDescent="0.25">
      <c r="A1869" s="6" t="s">
        <v>1859</v>
      </c>
      <c r="B1869" s="6" t="str">
        <f ca="1">IFERROR(__xludf.DUMMYFUNCTION("GOOGLETRANSLATE(A1869,""bn"",""en"")"),"Agricultural education trains future generations of farmer researchers policy makers")</f>
        <v>Agricultural education trains future generations of farmer researchers policy makers</v>
      </c>
      <c r="C1869" s="8" t="s">
        <v>13</v>
      </c>
      <c r="D1869" s="8" t="s">
        <v>14</v>
      </c>
      <c r="E1869" s="8">
        <v>1</v>
      </c>
    </row>
    <row r="1870" spans="1:5" ht="15.75" customHeight="1" x14ac:dyDescent="0.25">
      <c r="A1870" s="6" t="s">
        <v>1860</v>
      </c>
      <c r="B1870" s="6" t="str">
        <f ca="1">IFERROR(__xludf.DUMMYFUNCTION("GOOGLETRANSLATE(A1870,""bn"",""en"")"),"He managed to collect his favorite book from the book fair")</f>
        <v>He managed to collect his favorite book from the book fair</v>
      </c>
      <c r="C1870" s="8" t="s">
        <v>13</v>
      </c>
      <c r="D1870" s="8" t="s">
        <v>14</v>
      </c>
      <c r="E1870" s="8">
        <v>1</v>
      </c>
    </row>
    <row r="1871" spans="1:5" ht="15.75" customHeight="1" x14ac:dyDescent="0.25">
      <c r="A1871" s="6" t="s">
        <v>1861</v>
      </c>
      <c r="B1871" s="6" t="str">
        <f ca="1">IFERROR(__xludf.DUMMYFUNCTION("GOOGLETRANSLATE(A1871,""bn"",""en"")"),"The chirping of birds fills the air with the melody of their songs")</f>
        <v>The chirping of birds fills the air with the melody of their songs</v>
      </c>
      <c r="C1871" s="8" t="s">
        <v>13</v>
      </c>
      <c r="D1871" s="8" t="s">
        <v>14</v>
      </c>
      <c r="E1871" s="8">
        <v>1</v>
      </c>
    </row>
    <row r="1872" spans="1:5" ht="15.75" customHeight="1" x14ac:dyDescent="0.25">
      <c r="A1872" s="6" t="s">
        <v>1862</v>
      </c>
      <c r="B1872" s="6" t="str">
        <f ca="1">IFERROR(__xludf.DUMMYFUNCTION("GOOGLETRANSLATE(A1872,""bn"",""en"")"),"He is always worried about his future")</f>
        <v>He is always worried about his future</v>
      </c>
      <c r="C1872" s="7" t="s">
        <v>6</v>
      </c>
      <c r="D1872" s="7" t="s">
        <v>7</v>
      </c>
      <c r="E1872" s="7">
        <v>0</v>
      </c>
    </row>
    <row r="1873" spans="1:5" ht="15.75" customHeight="1" x14ac:dyDescent="0.25">
      <c r="A1873" s="6" t="s">
        <v>1863</v>
      </c>
      <c r="B1873" s="6" t="str">
        <f ca="1">IFERROR(__xludf.DUMMYFUNCTION("GOOGLETRANSLATE(A1873,""bn"",""en"")"),"There is no need to learn well in the treatment of Bini Paisa")</f>
        <v>There is no need to learn well in the treatment of Bini Paisa</v>
      </c>
      <c r="C1873" s="7" t="s">
        <v>6</v>
      </c>
      <c r="D1873" s="7" t="s">
        <v>7</v>
      </c>
      <c r="E1873" s="7">
        <v>0</v>
      </c>
    </row>
    <row r="1874" spans="1:5" ht="15.75" customHeight="1" x14ac:dyDescent="0.25">
      <c r="A1874" s="6" t="s">
        <v>1864</v>
      </c>
      <c r="B1874" s="6" t="str">
        <f ca="1">IFERROR(__xludf.DUMMYFUNCTION("GOOGLETRANSLATE(A1874,""bn"",""en"")"),"Her husband died and never met her grandfather")</f>
        <v>Her husband died and never met her grandfather</v>
      </c>
      <c r="C1874" s="7" t="s">
        <v>6</v>
      </c>
      <c r="D1874" s="7" t="s">
        <v>7</v>
      </c>
      <c r="E1874" s="7">
        <v>0</v>
      </c>
    </row>
    <row r="1875" spans="1:5" ht="15.75" customHeight="1" x14ac:dyDescent="0.25">
      <c r="A1875" s="6" t="s">
        <v>1865</v>
      </c>
      <c r="B1875" s="6" t="str">
        <f ca="1">IFERROR(__xludf.DUMMYFUNCTION("GOOGLETRANSLATE(A1875,""bn"",""en"")"),"They do not think that the bullet will enter his body")</f>
        <v>They do not think that the bullet will enter his body</v>
      </c>
      <c r="C1875" s="7" t="s">
        <v>6</v>
      </c>
      <c r="D1875" s="7" t="s">
        <v>7</v>
      </c>
      <c r="E1875" s="7">
        <v>0</v>
      </c>
    </row>
    <row r="1876" spans="1:5" ht="15.75" customHeight="1" x14ac:dyDescent="0.25">
      <c r="A1876" s="6" t="s">
        <v>1866</v>
      </c>
      <c r="B1876" s="6" t="str">
        <f ca="1">IFERROR(__xludf.DUMMYFUNCTION("GOOGLETRANSLATE(A1876,""bn"",""en"")"),"Villagers love to be afraid")</f>
        <v>Villagers love to be afraid</v>
      </c>
      <c r="C1876" s="7" t="s">
        <v>6</v>
      </c>
      <c r="D1876" s="7" t="s">
        <v>7</v>
      </c>
      <c r="E1876" s="7">
        <v>0</v>
      </c>
    </row>
    <row r="1877" spans="1:5" ht="15.75" customHeight="1" x14ac:dyDescent="0.25">
      <c r="A1877" s="6" t="s">
        <v>1867</v>
      </c>
      <c r="B1877" s="6" t="str">
        <f ca="1">IFERROR(__xludf.DUMMYFUNCTION("GOOGLETRANSLATE(A1877,""bn"",""en"")"),"You will be very important to me")</f>
        <v>You will be very important to me</v>
      </c>
      <c r="C1877" s="8" t="s">
        <v>13</v>
      </c>
      <c r="D1877" s="8" t="s">
        <v>14</v>
      </c>
      <c r="E1877" s="8">
        <v>1</v>
      </c>
    </row>
    <row r="1878" spans="1:5" ht="15.75" customHeight="1" x14ac:dyDescent="0.25">
      <c r="A1878" s="6" t="s">
        <v>1868</v>
      </c>
      <c r="B1878" s="6" t="str">
        <f ca="1">IFERROR(__xludf.DUMMYFUNCTION("GOOGLETRANSLATE(A1878,""bn"",""en"")"),"Rental property investment can provide a steady stream of passive income")</f>
        <v>Rental property investment can provide a steady stream of passive income</v>
      </c>
      <c r="C1878" s="8" t="s">
        <v>13</v>
      </c>
      <c r="D1878" s="8" t="s">
        <v>14</v>
      </c>
      <c r="E1878" s="8">
        <v>1</v>
      </c>
    </row>
    <row r="1879" spans="1:5" ht="15.75" customHeight="1" x14ac:dyDescent="0.25">
      <c r="A1879" s="6" t="s">
        <v>1869</v>
      </c>
      <c r="B1879" s="6" t="str">
        <f ca="1">IFERROR(__xludf.DUMMYFUNCTION("GOOGLETRANSLATE(A1879,""bn"",""en"")"),"Later the number of members was increased")</f>
        <v>Later the number of members was increased</v>
      </c>
      <c r="C1879" s="8" t="s">
        <v>13</v>
      </c>
      <c r="D1879" s="8" t="s">
        <v>14</v>
      </c>
      <c r="E1879" s="8">
        <v>1</v>
      </c>
    </row>
    <row r="1880" spans="1:5" ht="15.75" customHeight="1" x14ac:dyDescent="0.25">
      <c r="A1880" s="6" t="s">
        <v>1870</v>
      </c>
      <c r="B1880" s="6" t="str">
        <f ca="1">IFERROR(__xludf.DUMMYFUNCTION("GOOGLETRANSLATE(A1880,""bn"",""en"")"),"Vyatihar Bahubrihi Lathalathi stick to stick fight")</f>
        <v>Vyatihar Bahubrihi Lathalathi stick to stick fight</v>
      </c>
      <c r="C1880" s="8" t="s">
        <v>13</v>
      </c>
      <c r="D1880" s="8" t="s">
        <v>14</v>
      </c>
      <c r="E1880" s="8">
        <v>1</v>
      </c>
    </row>
    <row r="1881" spans="1:5" ht="15.75" customHeight="1" x14ac:dyDescent="0.25">
      <c r="A1881" s="6" t="s">
        <v>1871</v>
      </c>
      <c r="B1881" s="6" t="str">
        <f ca="1">IFERROR(__xludf.DUMMYFUNCTION("GOOGLETRANSLATE(A1881,""bn"",""en"")"),"Click to explore more content")</f>
        <v>Click to explore more content</v>
      </c>
      <c r="C1881" s="8" t="s">
        <v>13</v>
      </c>
      <c r="D1881" s="8" t="s">
        <v>14</v>
      </c>
      <c r="E1881" s="8">
        <v>1</v>
      </c>
    </row>
    <row r="1882" spans="1:5" ht="15.75" customHeight="1" x14ac:dyDescent="0.25">
      <c r="A1882" s="6" t="s">
        <v>1872</v>
      </c>
      <c r="B1882" s="6" t="str">
        <f ca="1">IFERROR(__xludf.DUMMYFUNCTION("GOOGLETRANSLATE(A1882,""bn"",""en"")"),"In this pargana, I have not seen demons living in mountains everywhere")</f>
        <v>In this pargana, I have not seen demons living in mountains everywhere</v>
      </c>
      <c r="C1882" s="7" t="s">
        <v>6</v>
      </c>
      <c r="D1882" s="7" t="s">
        <v>7</v>
      </c>
      <c r="E1882" s="7">
        <v>0</v>
      </c>
    </row>
    <row r="1883" spans="1:5" ht="15.75" customHeight="1" x14ac:dyDescent="0.25">
      <c r="A1883" s="6" t="s">
        <v>1873</v>
      </c>
      <c r="B1883" s="6" t="str">
        <f ca="1">IFERROR(__xludf.DUMMYFUNCTION("GOOGLETRANSLATE(A1883,""bn"",""en"")"),"He was getting anxious thinking about it")</f>
        <v>He was getting anxious thinking about it</v>
      </c>
      <c r="C1883" s="7" t="s">
        <v>6</v>
      </c>
      <c r="D1883" s="7" t="s">
        <v>7</v>
      </c>
      <c r="E1883" s="7">
        <v>0</v>
      </c>
    </row>
    <row r="1884" spans="1:5" ht="15.75" customHeight="1" x14ac:dyDescent="0.25">
      <c r="A1884" s="6" t="s">
        <v>1874</v>
      </c>
      <c r="B1884" s="6" t="str">
        <f ca="1">IFERROR(__xludf.DUMMYFUNCTION("GOOGLETRANSLATE(A1884,""bn"",""en"")"),"The evening came after a while")</f>
        <v>The evening came after a while</v>
      </c>
      <c r="C1884" s="7" t="s">
        <v>6</v>
      </c>
      <c r="D1884" s="7" t="s">
        <v>7</v>
      </c>
      <c r="E1884" s="7">
        <v>0</v>
      </c>
    </row>
    <row r="1885" spans="1:5" ht="15.75" customHeight="1" x14ac:dyDescent="0.25">
      <c r="A1885" s="6" t="s">
        <v>1875</v>
      </c>
      <c r="B1885" s="6" t="str">
        <f ca="1">IFERROR(__xludf.DUMMYFUNCTION("GOOGLETRANSLATE(A1885,""bn"",""en"")"),"Soon the sailors on deck were busily moving about")</f>
        <v>Soon the sailors on deck were busily moving about</v>
      </c>
      <c r="C1885" s="7" t="s">
        <v>6</v>
      </c>
      <c r="D1885" s="7" t="s">
        <v>7</v>
      </c>
      <c r="E1885" s="7">
        <v>0</v>
      </c>
    </row>
    <row r="1886" spans="1:5" ht="15.75" customHeight="1" x14ac:dyDescent="0.25">
      <c r="A1886" s="6" t="s">
        <v>1876</v>
      </c>
      <c r="B1886" s="6" t="str">
        <f ca="1">IFERROR(__xludf.DUMMYFUNCTION("GOOGLETRANSLATE(A1886,""bn"",""en"")"),"Kiranmayi smiled softly")</f>
        <v>Kiranmayi smiled softly</v>
      </c>
      <c r="C1886" s="7" t="s">
        <v>6</v>
      </c>
      <c r="D1886" s="7" t="s">
        <v>7</v>
      </c>
      <c r="E1886" s="7">
        <v>0</v>
      </c>
    </row>
    <row r="1887" spans="1:5" ht="15.75" customHeight="1" x14ac:dyDescent="0.25">
      <c r="A1887" s="6" t="s">
        <v>1877</v>
      </c>
      <c r="B1887" s="6" t="str">
        <f ca="1">IFERROR(__xludf.DUMMYFUNCTION("GOOGLETRANSLATE(A1887,""bn"",""en"")"),"If he sits for a while under the open sky, the sorrows of his mind will be removed")</f>
        <v>If he sits for a while under the open sky, the sorrows of his mind will be removed</v>
      </c>
      <c r="C1887" s="8" t="s">
        <v>13</v>
      </c>
      <c r="D1887" s="8" t="s">
        <v>14</v>
      </c>
      <c r="E1887" s="8">
        <v>1</v>
      </c>
    </row>
    <row r="1888" spans="1:5" ht="15.75" customHeight="1" x14ac:dyDescent="0.25">
      <c r="A1888" s="6" t="s">
        <v>1878</v>
      </c>
      <c r="B1888" s="6" t="str">
        <f ca="1">IFERROR(__xludf.DUMMYFUNCTION("GOOGLETRANSLATE(A1888,""bn"",""en"")"),"Green told me that much")</f>
        <v>Green told me that much</v>
      </c>
      <c r="C1888" s="8" t="s">
        <v>13</v>
      </c>
      <c r="D1888" s="8" t="s">
        <v>14</v>
      </c>
      <c r="E1888" s="8">
        <v>1</v>
      </c>
    </row>
    <row r="1889" spans="1:5" ht="15.75" customHeight="1" x14ac:dyDescent="0.25">
      <c r="A1889" s="6" t="s">
        <v>1879</v>
      </c>
      <c r="B1889" s="6" t="str">
        <f ca="1">IFERROR(__xludf.DUMMYFUNCTION("GOOGLETRANSLATE(A1889,""bn"",""en"")"),"IT specialist solved technical problems of office computers")</f>
        <v>IT specialist solved technical problems of office computers</v>
      </c>
      <c r="C1889" s="8" t="s">
        <v>13</v>
      </c>
      <c r="D1889" s="8" t="s">
        <v>14</v>
      </c>
      <c r="E1889" s="8">
        <v>1</v>
      </c>
    </row>
    <row r="1890" spans="1:5" ht="15.75" customHeight="1" x14ac:dyDescent="0.25">
      <c r="A1890" s="6" t="s">
        <v>1880</v>
      </c>
      <c r="B1890" s="6" t="str">
        <f ca="1">IFERROR(__xludf.DUMMYFUNCTION("GOOGLETRANSLATE(A1890,""bn"",""en"")"),"God's grace is needed to be well, not human company")</f>
        <v>God's grace is needed to be well, not human company</v>
      </c>
      <c r="C1890" s="8" t="s">
        <v>13</v>
      </c>
      <c r="D1890" s="8" t="s">
        <v>14</v>
      </c>
      <c r="E1890" s="8">
        <v>1</v>
      </c>
    </row>
    <row r="1891" spans="1:5" ht="15.75" customHeight="1" x14ac:dyDescent="0.25">
      <c r="A1891" s="6" t="s">
        <v>1881</v>
      </c>
      <c r="B1891" s="6" t="str">
        <f ca="1">IFERROR(__xludf.DUMMYFUNCTION("GOOGLETRANSLATE(A1891,""bn"",""en"")"),"Solving challenging crosswords entertains me")</f>
        <v>Solving challenging crosswords entertains me</v>
      </c>
      <c r="C1891" s="8" t="s">
        <v>13</v>
      </c>
      <c r="D1891" s="8" t="s">
        <v>14</v>
      </c>
      <c r="E1891" s="8">
        <v>1</v>
      </c>
    </row>
    <row r="1892" spans="1:5" ht="15.75" customHeight="1" x14ac:dyDescent="0.25">
      <c r="A1892" s="6" t="s">
        <v>1882</v>
      </c>
      <c r="B1892" s="6" t="str">
        <f ca="1">IFERROR(__xludf.DUMMYFUNCTION("GOOGLETRANSLATE(A1892,""bn"",""en"")"),"Sitting on the other side of the river, she sighs and says that happiness lies beyond")</f>
        <v>Sitting on the other side of the river, she sighs and says that happiness lies beyond</v>
      </c>
      <c r="C1892" s="7" t="s">
        <v>6</v>
      </c>
      <c r="D1892" s="7" t="s">
        <v>7</v>
      </c>
      <c r="E1892" s="7">
        <v>0</v>
      </c>
    </row>
    <row r="1893" spans="1:5" ht="15.75" customHeight="1" x14ac:dyDescent="0.25">
      <c r="A1893" s="6" t="s">
        <v>1883</v>
      </c>
      <c r="B1893" s="6" t="str">
        <f ca="1">IFERROR(__xludf.DUMMYFUNCTION("GOOGLETRANSLATE(A1893,""bn"",""en"")"),"So I could not forbid Rahmat from coming to our house without any fault")</f>
        <v>So I could not forbid Rahmat from coming to our house without any fault</v>
      </c>
      <c r="C1893" s="7" t="s">
        <v>6</v>
      </c>
      <c r="D1893" s="7" t="s">
        <v>7</v>
      </c>
      <c r="E1893" s="7">
        <v>0</v>
      </c>
    </row>
    <row r="1894" spans="1:5" ht="15.75" customHeight="1" x14ac:dyDescent="0.25">
      <c r="A1894" s="6" t="s">
        <v>1884</v>
      </c>
      <c r="B1894" s="6" t="str">
        <f ca="1">IFERROR(__xludf.DUMMYFUNCTION("GOOGLETRANSLATE(A1894,""bn"",""en"")"),"Rumi will go to school with his head")</f>
        <v>Rumi will go to school with his head</v>
      </c>
      <c r="C1894" s="7" t="s">
        <v>6</v>
      </c>
      <c r="D1894" s="7" t="s">
        <v>7</v>
      </c>
      <c r="E1894" s="7">
        <v>0</v>
      </c>
    </row>
    <row r="1895" spans="1:5" ht="15.75" customHeight="1" x14ac:dyDescent="0.25">
      <c r="A1895" s="6" t="s">
        <v>1885</v>
      </c>
      <c r="B1895" s="6" t="str">
        <f ca="1">IFERROR(__xludf.DUMMYFUNCTION("GOOGLETRANSLATE(A1895,""bn"",""en"")"),"An Arab saint once said while lying on the ground at the sea of ​​death")</f>
        <v>An Arab saint once said while lying on the ground at the sea of ​​death</v>
      </c>
      <c r="C1895" s="7" t="s">
        <v>6</v>
      </c>
      <c r="D1895" s="7" t="s">
        <v>7</v>
      </c>
      <c r="E1895" s="7">
        <v>0</v>
      </c>
    </row>
    <row r="1896" spans="1:5" ht="15.75" customHeight="1" x14ac:dyDescent="0.25">
      <c r="A1896" s="6" t="s">
        <v>1886</v>
      </c>
      <c r="B1896" s="6" t="str">
        <f ca="1">IFERROR(__xludf.DUMMYFUNCTION("GOOGLETRANSLATE(A1896,""bn"",""en"")"),"I was standing on the road waiting for him")</f>
        <v>I was standing on the road waiting for him</v>
      </c>
      <c r="C1896" s="7" t="s">
        <v>6</v>
      </c>
      <c r="D1896" s="7" t="s">
        <v>7</v>
      </c>
      <c r="E1896" s="7">
        <v>0</v>
      </c>
    </row>
    <row r="1897" spans="1:5" ht="15.75" customHeight="1" x14ac:dyDescent="0.25">
      <c r="A1897" s="6" t="s">
        <v>1887</v>
      </c>
      <c r="B1897" s="6" t="str">
        <f ca="1">IFERROR(__xludf.DUMMYFUNCTION("GOOGLETRANSLATE(A1897,""bn"",""en"")"),"Rahim will come to the field to play")</f>
        <v>Rahim will come to the field to play</v>
      </c>
      <c r="C1897" s="8" t="s">
        <v>13</v>
      </c>
      <c r="D1897" s="8" t="s">
        <v>14</v>
      </c>
      <c r="E1897" s="8">
        <v>1</v>
      </c>
    </row>
    <row r="1898" spans="1:5" ht="15.75" customHeight="1" x14ac:dyDescent="0.25">
      <c r="A1898" s="6" t="s">
        <v>1888</v>
      </c>
      <c r="B1898" s="6" t="str">
        <f ca="1">IFERROR(__xludf.DUMMYFUNCTION("GOOGLETRANSLATE(A1898,""bn"",""en"")"),"Innovation centers encourage creative thought experiments")</f>
        <v>Innovation centers encourage creative thought experiments</v>
      </c>
      <c r="C1898" s="8" t="s">
        <v>13</v>
      </c>
      <c r="D1898" s="8" t="s">
        <v>14</v>
      </c>
      <c r="E1898" s="8">
        <v>1</v>
      </c>
    </row>
    <row r="1899" spans="1:5" ht="15.75" customHeight="1" x14ac:dyDescent="0.25">
      <c r="A1899" s="6" t="s">
        <v>1889</v>
      </c>
      <c r="B1899" s="6" t="str">
        <f ca="1">IFERROR(__xludf.DUMMYFUNCTION("GOOGLETRANSLATE(A1899,""bn"",""en"")"),"I forbade him to do so")</f>
        <v>I forbade him to do so</v>
      </c>
      <c r="C1899" s="8" t="s">
        <v>13</v>
      </c>
      <c r="D1899" s="8" t="s">
        <v>14</v>
      </c>
      <c r="E1899" s="8">
        <v>1</v>
      </c>
    </row>
    <row r="1900" spans="1:5" ht="15.75" customHeight="1" x14ac:dyDescent="0.25">
      <c r="A1900" s="6" t="s">
        <v>1890</v>
      </c>
      <c r="B1900" s="6" t="str">
        <f ca="1">IFERROR(__xludf.DUMMYFUNCTION("GOOGLETRANSLATE(A1900,""bn"",""en"")"),"Sharing laughter with friends brings joy")</f>
        <v>Sharing laughter with friends brings joy</v>
      </c>
      <c r="C1900" s="8" t="s">
        <v>13</v>
      </c>
      <c r="D1900" s="8" t="s">
        <v>14</v>
      </c>
      <c r="E1900" s="8">
        <v>1</v>
      </c>
    </row>
    <row r="1901" spans="1:5" ht="15.75" customHeight="1" x14ac:dyDescent="0.25">
      <c r="A1901" s="6" t="s">
        <v>1891</v>
      </c>
      <c r="B1901" s="6" t="str">
        <f ca="1">IFERROR(__xludf.DUMMYFUNCTION("GOOGLETRANSLATE(A1901,""bn"",""en"")"),"The drama of Bangladesh is of high standards")</f>
        <v>The drama of Bangladesh is of high standards</v>
      </c>
      <c r="C1901" s="8" t="s">
        <v>13</v>
      </c>
      <c r="D1901" s="8" t="s">
        <v>14</v>
      </c>
      <c r="E1901" s="8">
        <v>1</v>
      </c>
    </row>
    <row r="1902" spans="1:5" ht="15.75" customHeight="1" x14ac:dyDescent="0.25">
      <c r="A1902" s="6" t="s">
        <v>1892</v>
      </c>
      <c r="B1902" s="6" t="str">
        <f ca="1">IFERROR(__xludf.DUMMYFUNCTION("GOOGLETRANSLATE(A1902,""bn"",""en"")"),"Badrul didn't like this happiness either")</f>
        <v>Badrul didn't like this happiness either</v>
      </c>
      <c r="C1902" s="7" t="s">
        <v>6</v>
      </c>
      <c r="D1902" s="7" t="s">
        <v>7</v>
      </c>
      <c r="E1902" s="7">
        <v>0</v>
      </c>
    </row>
    <row r="1903" spans="1:5" ht="15.75" customHeight="1" x14ac:dyDescent="0.25">
      <c r="A1903" s="6" t="s">
        <v>1893</v>
      </c>
      <c r="B1903" s="6" t="str">
        <f ca="1">IFERROR(__xludf.DUMMYFUNCTION("GOOGLETRANSLATE(A1903,""bn"",""en"")"),"Shashi leaves after a while")</f>
        <v>Shashi leaves after a while</v>
      </c>
      <c r="C1903" s="7" t="s">
        <v>6</v>
      </c>
      <c r="D1903" s="7" t="s">
        <v>7</v>
      </c>
      <c r="E1903" s="7">
        <v>0</v>
      </c>
    </row>
    <row r="1904" spans="1:5" ht="15.75" customHeight="1" x14ac:dyDescent="0.25">
      <c r="A1904" s="6" t="s">
        <v>1894</v>
      </c>
      <c r="B1904" s="6" t="str">
        <f ca="1">IFERROR(__xludf.DUMMYFUNCTION("GOOGLETRANSLATE(A1904,""bn"",""en"")"),"Suman could hear us")</f>
        <v>Suman could hear us</v>
      </c>
      <c r="C1904" s="7" t="s">
        <v>6</v>
      </c>
      <c r="D1904" s="7" t="s">
        <v>7</v>
      </c>
      <c r="E1904" s="7">
        <v>0</v>
      </c>
    </row>
    <row r="1905" spans="1:5" ht="15.75" customHeight="1" x14ac:dyDescent="0.25">
      <c r="A1905" s="6" t="s">
        <v>1895</v>
      </c>
      <c r="B1905" s="6" t="str">
        <f ca="1">IFERROR(__xludf.DUMMYFUNCTION("GOOGLETRANSLATE(A1905,""bn"",""en"")"),"Many primitive races have disappeared and are still happening")</f>
        <v>Many primitive races have disappeared and are still happening</v>
      </c>
      <c r="C1905" s="7" t="s">
        <v>6</v>
      </c>
      <c r="D1905" s="7" t="s">
        <v>7</v>
      </c>
      <c r="E1905" s="7">
        <v>0</v>
      </c>
    </row>
    <row r="1906" spans="1:5" ht="15.75" customHeight="1" x14ac:dyDescent="0.25">
      <c r="A1906" s="6" t="s">
        <v>1896</v>
      </c>
      <c r="B1906" s="6" t="str">
        <f ca="1">IFERROR(__xludf.DUMMYFUNCTION("GOOGLETRANSLATE(A1906,""bn"",""en"")"),"I gave him an unexpected gift")</f>
        <v>I gave him an unexpected gift</v>
      </c>
      <c r="C1906" s="7" t="s">
        <v>6</v>
      </c>
      <c r="D1906" s="7" t="s">
        <v>7</v>
      </c>
      <c r="E1906" s="7">
        <v>0</v>
      </c>
    </row>
    <row r="1907" spans="1:5" ht="15.75" customHeight="1" x14ac:dyDescent="0.25">
      <c r="A1907" s="6" t="s">
        <v>1897</v>
      </c>
      <c r="B1907" s="6" t="str">
        <f ca="1">IFERROR(__xludf.DUMMYFUNCTION("GOOGLETRANSLATE(A1907,""bn"",""en"")"),"Peace prevailed among people of all communities in our Rameswaram")</f>
        <v>Peace prevailed among people of all communities in our Rameswaram</v>
      </c>
      <c r="C1907" s="8" t="s">
        <v>13</v>
      </c>
      <c r="D1907" s="8" t="s">
        <v>14</v>
      </c>
      <c r="E1907" s="8">
        <v>1</v>
      </c>
    </row>
    <row r="1908" spans="1:5" ht="15.75" customHeight="1" x14ac:dyDescent="0.25">
      <c r="A1908" s="6" t="s">
        <v>1898</v>
      </c>
      <c r="B1908" s="6" t="str">
        <f ca="1">IFERROR(__xludf.DUMMYFUNCTION("GOOGLETRANSLATE(A1908,""bn"",""en"")"),"Feeling invisible in the crowd leads to isolation")</f>
        <v>Feeling invisible in the crowd leads to isolation</v>
      </c>
      <c r="C1908" s="8" t="s">
        <v>13</v>
      </c>
      <c r="D1908" s="8" t="s">
        <v>14</v>
      </c>
      <c r="E1908" s="8">
        <v>1</v>
      </c>
    </row>
    <row r="1909" spans="1:5" ht="15.75" customHeight="1" x14ac:dyDescent="0.25">
      <c r="A1909" s="6" t="s">
        <v>1899</v>
      </c>
      <c r="B1909" s="6" t="str">
        <f ca="1">IFERROR(__xludf.DUMMYFUNCTION("GOOGLETRANSLATE(A1909,""bn"",""en"")"),"The flipped classroom model encourages active student participation")</f>
        <v>The flipped classroom model encourages active student participation</v>
      </c>
      <c r="C1909" s="8" t="s">
        <v>13</v>
      </c>
      <c r="D1909" s="8" t="s">
        <v>14</v>
      </c>
      <c r="E1909" s="8">
        <v>1</v>
      </c>
    </row>
    <row r="1910" spans="1:5" ht="15.75" customHeight="1" x14ac:dyDescent="0.25">
      <c r="A1910" s="6" t="s">
        <v>1900</v>
      </c>
      <c r="B1910" s="6" t="str">
        <f ca="1">IFERROR(__xludf.DUMMYFUNCTION("GOOGLETRANSLATE(A1910,""bn"",""en"")"),"Every time I think of him, I stop")</f>
        <v>Every time I think of him, I stop</v>
      </c>
      <c r="C1910" s="8" t="s">
        <v>13</v>
      </c>
      <c r="D1910" s="8" t="s">
        <v>14</v>
      </c>
      <c r="E1910" s="8">
        <v>1</v>
      </c>
    </row>
    <row r="1911" spans="1:5" ht="15.75" customHeight="1" x14ac:dyDescent="0.25">
      <c r="A1911" s="6" t="s">
        <v>1901</v>
      </c>
      <c r="B1911" s="6" t="str">
        <f ca="1">IFERROR(__xludf.DUMMYFUNCTION("GOOGLETRANSLATE(A1911,""bn"",""en"")"),"I would highly recommend this product to anyone in need of a reliable solution")</f>
        <v>I would highly recommend this product to anyone in need of a reliable solution</v>
      </c>
      <c r="C1911" s="8" t="s">
        <v>13</v>
      </c>
      <c r="D1911" s="8" t="s">
        <v>14</v>
      </c>
      <c r="E1911" s="8">
        <v>1</v>
      </c>
    </row>
    <row r="1912" spans="1:5" ht="15.75" customHeight="1" x14ac:dyDescent="0.25">
      <c r="A1912" s="6" t="s">
        <v>1902</v>
      </c>
      <c r="B1912" s="6" t="str">
        <f ca="1">IFERROR(__xludf.DUMMYFUNCTION("GOOGLETRANSLATE(A1912,""bn"",""en"")"),"When the shining true man within man breaks through the obscurity and emerges, worship him fervently for no reason.")</f>
        <v>When the shining true man within man breaks through the obscurity and emerges, worship him fervently for no reason.</v>
      </c>
      <c r="C1912" s="7" t="s">
        <v>6</v>
      </c>
      <c r="D1912" s="7" t="s">
        <v>7</v>
      </c>
      <c r="E1912" s="7">
        <v>0</v>
      </c>
    </row>
    <row r="1913" spans="1:5" ht="15.75" customHeight="1" x14ac:dyDescent="0.25">
      <c r="A1913" s="6" t="s">
        <v>1903</v>
      </c>
      <c r="B1913" s="6" t="str">
        <f ca="1">IFERROR(__xludf.DUMMYFUNCTION("GOOGLETRANSLATE(A1913,""bn"",""en"")"),"It's calm when you take it in your arms")</f>
        <v>It's calm when you take it in your arms</v>
      </c>
      <c r="C1913" s="7" t="s">
        <v>6</v>
      </c>
      <c r="D1913" s="7" t="s">
        <v>7</v>
      </c>
      <c r="E1913" s="7">
        <v>0</v>
      </c>
    </row>
    <row r="1914" spans="1:5" ht="15.75" customHeight="1" x14ac:dyDescent="0.25">
      <c r="A1914" s="6" t="s">
        <v>1904</v>
      </c>
      <c r="B1914" s="6" t="str">
        <f ca="1">IFERROR(__xludf.DUMMYFUNCTION("GOOGLETRANSLATE(A1914,""bn"",""en"")"),"Rai Bahadur burst out laughing at the sight of a 3000 taka note")</f>
        <v>Rai Bahadur burst out laughing at the sight of a 3000 taka note</v>
      </c>
      <c r="C1914" s="7" t="s">
        <v>6</v>
      </c>
      <c r="D1914" s="7" t="s">
        <v>7</v>
      </c>
      <c r="E1914" s="7">
        <v>0</v>
      </c>
    </row>
    <row r="1915" spans="1:5" ht="15.75" customHeight="1" x14ac:dyDescent="0.25">
      <c r="A1915" s="6" t="s">
        <v>1905</v>
      </c>
      <c r="B1915" s="6" t="str">
        <f ca="1">IFERROR(__xludf.DUMMYFUNCTION("GOOGLETRANSLATE(A1915,""bn"",""en"")"),"It does not come to his mind that the moneylender will do wrong")</f>
        <v>It does not come to his mind that the moneylender will do wrong</v>
      </c>
      <c r="C1915" s="7" t="s">
        <v>6</v>
      </c>
      <c r="D1915" s="7" t="s">
        <v>7</v>
      </c>
      <c r="E1915" s="7">
        <v>0</v>
      </c>
    </row>
    <row r="1916" spans="1:5" ht="15.75" customHeight="1" x14ac:dyDescent="0.25">
      <c r="A1916" s="6" t="s">
        <v>1906</v>
      </c>
      <c r="B1916" s="6" t="str">
        <f ca="1">IFERROR(__xludf.DUMMYFUNCTION("GOOGLETRANSLATE(A1916,""bn"",""en"")"),"No theory arose in Ratan's mind")</f>
        <v>No theory arose in Ratan's mind</v>
      </c>
      <c r="C1916" s="7" t="s">
        <v>6</v>
      </c>
      <c r="D1916" s="7" t="s">
        <v>7</v>
      </c>
      <c r="E1916" s="7">
        <v>0</v>
      </c>
    </row>
    <row r="1917" spans="1:5" ht="15.75" customHeight="1" x14ac:dyDescent="0.25">
      <c r="A1917" s="6" t="s">
        <v>1907</v>
      </c>
      <c r="B1917" s="6" t="str">
        <f ca="1">IFERROR(__xludf.DUMMYFUNCTION("GOOGLETRANSLATE(A1917,""bn"",""en"")"),"Focus on progress not perfection")</f>
        <v>Focus on progress not perfection</v>
      </c>
      <c r="C1917" s="8" t="s">
        <v>13</v>
      </c>
      <c r="D1917" s="8" t="s">
        <v>14</v>
      </c>
      <c r="E1917" s="8">
        <v>1</v>
      </c>
    </row>
    <row r="1918" spans="1:5" ht="15.75" customHeight="1" x14ac:dyDescent="0.25">
      <c r="A1918" s="6" t="s">
        <v>1908</v>
      </c>
      <c r="B1918" s="6" t="str">
        <f ca="1">IFERROR(__xludf.DUMMYFUNCTION("GOOGLETRANSLATE(A1918,""bn"",""en"")"),"Overcoming challenges during an adventure builds resilience and determination")</f>
        <v>Overcoming challenges during an adventure builds resilience and determination</v>
      </c>
      <c r="C1918" s="8" t="s">
        <v>13</v>
      </c>
      <c r="D1918" s="8" t="s">
        <v>14</v>
      </c>
      <c r="E1918" s="8">
        <v>1</v>
      </c>
    </row>
    <row r="1919" spans="1:5" ht="15.75" customHeight="1" x14ac:dyDescent="0.25">
      <c r="A1919" s="6" t="s">
        <v>1909</v>
      </c>
      <c r="B1919" s="6" t="str">
        <f ca="1">IFERROR(__xludf.DUMMYFUNCTION("GOOGLETRANSLATE(A1919,""bn"",""en"")"),"I need to fill up my car with gas before we go out")</f>
        <v>I need to fill up my car with gas before we go out</v>
      </c>
      <c r="C1919" s="8" t="s">
        <v>13</v>
      </c>
      <c r="D1919" s="8" t="s">
        <v>14</v>
      </c>
      <c r="E1919" s="8">
        <v>1</v>
      </c>
    </row>
    <row r="1920" spans="1:5" ht="15.75" customHeight="1" x14ac:dyDescent="0.25">
      <c r="A1920" s="6" t="s">
        <v>1910</v>
      </c>
      <c r="B1920" s="6" t="str">
        <f ca="1">IFERROR(__xludf.DUMMYFUNCTION("GOOGLETRANSLATE(A1920,""bn"",""en"")"),"Kaptain died in Amsterdam in seventy-two")</f>
        <v>Kaptain died in Amsterdam in seventy-two</v>
      </c>
      <c r="C1920" s="8" t="s">
        <v>13</v>
      </c>
      <c r="D1920" s="8" t="s">
        <v>14</v>
      </c>
      <c r="E1920" s="8">
        <v>1</v>
      </c>
    </row>
    <row r="1921" spans="1:5" ht="15.75" customHeight="1" x14ac:dyDescent="0.25">
      <c r="A1921" s="6" t="s">
        <v>1911</v>
      </c>
      <c r="B1921" s="6" t="str">
        <f ca="1">IFERROR(__xludf.DUMMYFUNCTION("GOOGLETRANSLATE(A1921,""bn"",""en"")"),"I was impressed by his intelligence")</f>
        <v>I was impressed by his intelligence</v>
      </c>
      <c r="C1921" s="8" t="s">
        <v>13</v>
      </c>
      <c r="D1921" s="8" t="s">
        <v>14</v>
      </c>
      <c r="E1921" s="8">
        <v>1</v>
      </c>
    </row>
    <row r="1922" spans="1:5" ht="15.75" customHeight="1" x14ac:dyDescent="0.25">
      <c r="A1922" s="6" t="s">
        <v>1912</v>
      </c>
      <c r="B1922" s="6" t="str">
        <f ca="1">IFERROR(__xludf.DUMMYFUNCTION("GOOGLETRANSLATE(A1922,""bn"",""en"")"),"No delay from evening")</f>
        <v>No delay from evening</v>
      </c>
      <c r="C1922" s="7" t="s">
        <v>6</v>
      </c>
      <c r="D1922" s="7" t="s">
        <v>7</v>
      </c>
      <c r="E1922" s="7">
        <v>0</v>
      </c>
    </row>
    <row r="1923" spans="1:5" ht="15.75" customHeight="1" x14ac:dyDescent="0.25">
      <c r="A1923" s="6" t="s">
        <v>1913</v>
      </c>
      <c r="B1923" s="6" t="str">
        <f ca="1">IFERROR(__xludf.DUMMYFUNCTION("GOOGLETRANSLATE(A1923,""bn"",""en"")"),"When is the gentleman at home in the evening?")</f>
        <v>When is the gentleman at home in the evening?</v>
      </c>
      <c r="C1923" s="7" t="s">
        <v>6</v>
      </c>
      <c r="D1923" s="7" t="s">
        <v>7</v>
      </c>
      <c r="E1923" s="7">
        <v>0</v>
      </c>
    </row>
    <row r="1924" spans="1:5" ht="15.75" customHeight="1" x14ac:dyDescent="0.25">
      <c r="A1924" s="6" t="s">
        <v>1914</v>
      </c>
      <c r="B1924" s="6" t="str">
        <f ca="1">IFERROR(__xludf.DUMMYFUNCTION("GOOGLETRANSLATE(A1924,""bn"",""en"")"),"Ten years from now he will be fondly remembered")</f>
        <v>Ten years from now he will be fondly remembered</v>
      </c>
      <c r="C1924" s="7" t="s">
        <v>6</v>
      </c>
      <c r="D1924" s="7" t="s">
        <v>7</v>
      </c>
      <c r="E1924" s="7">
        <v>0</v>
      </c>
    </row>
    <row r="1925" spans="1:5" ht="15.75" customHeight="1" x14ac:dyDescent="0.25">
      <c r="A1925" s="6" t="s">
        <v>1915</v>
      </c>
      <c r="B1925" s="6" t="str">
        <f ca="1">IFERROR(__xludf.DUMMYFUNCTION("GOOGLETRANSLATE(A1925,""bn"",""en"")"),"At the request of necessity, the sin that has brought it to its own house and raised it")</f>
        <v>At the request of necessity, the sin that has brought it to its own house and raised it</v>
      </c>
      <c r="C1925" s="7" t="s">
        <v>6</v>
      </c>
      <c r="D1925" s="7" t="s">
        <v>7</v>
      </c>
      <c r="E1925" s="7">
        <v>0</v>
      </c>
    </row>
    <row r="1926" spans="1:5" ht="15.75" customHeight="1" x14ac:dyDescent="0.25">
      <c r="A1926" s="6" t="s">
        <v>1916</v>
      </c>
      <c r="B1926" s="6" t="str">
        <f ca="1">IFERROR(__xludf.DUMMYFUNCTION("GOOGLETRANSLATE(A1926,""bn"",""en"")"),"I wanted to say something about Bengali on this occasion")</f>
        <v>I wanted to say something about Bengali on this occasion</v>
      </c>
      <c r="C1926" s="7" t="s">
        <v>6</v>
      </c>
      <c r="D1926" s="7" t="s">
        <v>7</v>
      </c>
      <c r="E1926" s="7">
        <v>0</v>
      </c>
    </row>
    <row r="1927" spans="1:5" ht="15.75" customHeight="1" x14ac:dyDescent="0.25">
      <c r="A1927" s="6" t="s">
        <v>1917</v>
      </c>
      <c r="B1927" s="6" t="str">
        <f ca="1">IFERROR(__xludf.DUMMYFUNCTION("GOOGLETRANSLATE(A1927,""bn"",""en"")"),"I was also doing my duty with a smile on my face without saying anything")</f>
        <v>I was also doing my duty with a smile on my face without saying anything</v>
      </c>
      <c r="C1927" s="8" t="s">
        <v>13</v>
      </c>
      <c r="D1927" s="8" t="s">
        <v>14</v>
      </c>
      <c r="E1927" s="8">
        <v>1</v>
      </c>
    </row>
    <row r="1928" spans="1:5" ht="15.75" customHeight="1" x14ac:dyDescent="0.25">
      <c r="A1928" s="6" t="s">
        <v>1918</v>
      </c>
      <c r="B1928" s="6" t="str">
        <f ca="1">IFERROR(__xludf.DUMMYFUNCTION("GOOGLETRANSLATE(A1928,""bn"",""en"")"),"A distant rumble of thunder echoed on the horizon, a shelter from the impending storm")</f>
        <v>A distant rumble of thunder echoed on the horizon, a shelter from the impending storm</v>
      </c>
      <c r="C1928" s="8" t="s">
        <v>13</v>
      </c>
      <c r="D1928" s="8" t="s">
        <v>14</v>
      </c>
      <c r="E1928" s="8">
        <v>1</v>
      </c>
    </row>
    <row r="1929" spans="1:5" ht="15.75" customHeight="1" x14ac:dyDescent="0.25">
      <c r="A1929" s="6" t="s">
        <v>1919</v>
      </c>
      <c r="B1929" s="6" t="str">
        <f ca="1">IFERROR(__xludf.DUMMYFUNCTION("GOOGLETRANSLATE(A1929,""bn"",""en"")"),"We played better than them")</f>
        <v>We played better than them</v>
      </c>
      <c r="C1929" s="8" t="s">
        <v>13</v>
      </c>
      <c r="D1929" s="8" t="s">
        <v>14</v>
      </c>
      <c r="E1929" s="8">
        <v>1</v>
      </c>
    </row>
    <row r="1930" spans="1:5" ht="15.75" customHeight="1" x14ac:dyDescent="0.25">
      <c r="A1930" s="6" t="s">
        <v>1920</v>
      </c>
      <c r="B1930" s="6" t="str">
        <f ca="1">IFERROR(__xludf.DUMMYFUNCTION("GOOGLETRANSLATE(A1930,""bn"",""en"")"),"Soft pretzels add a twist to snacking")</f>
        <v>Soft pretzels add a twist to snacking</v>
      </c>
      <c r="C1930" s="8" t="s">
        <v>13</v>
      </c>
      <c r="D1930" s="8" t="s">
        <v>14</v>
      </c>
      <c r="E1930" s="8">
        <v>1</v>
      </c>
    </row>
    <row r="1931" spans="1:5" ht="15.75" customHeight="1" x14ac:dyDescent="0.25">
      <c r="A1931" s="6" t="s">
        <v>1921</v>
      </c>
      <c r="B1931" s="6" t="str">
        <f ca="1">IFERROR(__xludf.DUMMYFUNCTION("GOOGLETRANSLATE(A1931,""bn"",""en"")"),"Is this your new book?")</f>
        <v>Is this your new book?</v>
      </c>
      <c r="C1931" s="8" t="s">
        <v>13</v>
      </c>
      <c r="D1931" s="8" t="s">
        <v>14</v>
      </c>
      <c r="E1931" s="8">
        <v>1</v>
      </c>
    </row>
    <row r="1932" spans="1:5" ht="15.75" customHeight="1" x14ac:dyDescent="0.25">
      <c r="A1932" s="6" t="s">
        <v>1922</v>
      </c>
      <c r="B1932" s="6" t="str">
        <f ca="1">IFERROR(__xludf.DUMMYFUNCTION("GOOGLETRANSLATE(A1932,""bn"",""en"")"),"The bride asked mother to take Luchi")</f>
        <v>The bride asked mother to take Luchi</v>
      </c>
      <c r="C1932" s="7" t="s">
        <v>6</v>
      </c>
      <c r="D1932" s="7" t="s">
        <v>7</v>
      </c>
      <c r="E1932" s="7">
        <v>0</v>
      </c>
    </row>
    <row r="1933" spans="1:5" ht="15.75" customHeight="1" x14ac:dyDescent="0.25">
      <c r="A1933" s="6" t="s">
        <v>1923</v>
      </c>
      <c r="B1933" s="6" t="str">
        <f ca="1">IFERROR(__xludf.DUMMYFUNCTION("GOOGLETRANSLATE(A1933,""bn"",""en"")"),"In the kitchen, Shashi heard Kusum singing the songs of the Yatra group in a faint humming tone.")</f>
        <v>In the kitchen, Shashi heard Kusum singing the songs of the Yatra group in a faint humming tone.</v>
      </c>
      <c r="C1933" s="7" t="s">
        <v>6</v>
      </c>
      <c r="D1933" s="7" t="s">
        <v>7</v>
      </c>
      <c r="E1933" s="7">
        <v>0</v>
      </c>
    </row>
    <row r="1934" spans="1:5" ht="15.75" customHeight="1" x14ac:dyDescent="0.25">
      <c r="A1934" s="6" t="s">
        <v>1924</v>
      </c>
      <c r="B1934" s="6" t="str">
        <f ca="1">IFERROR(__xludf.DUMMYFUNCTION("GOOGLETRANSLATE(A1934,""bn"",""en"")"),"I used to make fun of them")</f>
        <v>I used to make fun of them</v>
      </c>
      <c r="C1934" s="7" t="s">
        <v>6</v>
      </c>
      <c r="D1934" s="7" t="s">
        <v>7</v>
      </c>
      <c r="E1934" s="7">
        <v>0</v>
      </c>
    </row>
    <row r="1935" spans="1:5" ht="15.75" customHeight="1" x14ac:dyDescent="0.25">
      <c r="A1935" s="6" t="s">
        <v>1925</v>
      </c>
      <c r="B1935" s="6" t="str">
        <f ca="1">IFERROR(__xludf.DUMMYFUNCTION("GOOGLETRANSLATE(A1935,""bn"",""en"")"),"What a beautiful child playing in his own mind")</f>
        <v>What a beautiful child playing in his own mind</v>
      </c>
      <c r="C1935" s="7" t="s">
        <v>6</v>
      </c>
      <c r="D1935" s="7" t="s">
        <v>7</v>
      </c>
      <c r="E1935" s="7">
        <v>0</v>
      </c>
    </row>
    <row r="1936" spans="1:5" ht="15.75" customHeight="1" x14ac:dyDescent="0.25">
      <c r="A1936" s="6" t="s">
        <v>1926</v>
      </c>
      <c r="B1936" s="6" t="str">
        <f ca="1">IFERROR(__xludf.DUMMYFUNCTION("GOOGLETRANSLATE(A1936,""bn"",""en"")"),"Sunny's mother asked me to stay at home")</f>
        <v>Sunny's mother asked me to stay at home</v>
      </c>
      <c r="C1936" s="7" t="s">
        <v>6</v>
      </c>
      <c r="D1936" s="7" t="s">
        <v>7</v>
      </c>
      <c r="E1936" s="7">
        <v>0</v>
      </c>
    </row>
    <row r="1937" spans="1:5" ht="15.75" customHeight="1" x14ac:dyDescent="0.25">
      <c r="A1937" s="6" t="s">
        <v>1927</v>
      </c>
      <c r="B1937" s="6" t="str">
        <f ca="1">IFERROR(__xludf.DUMMYFUNCTION("GOOGLETRANSLATE(A1937,""bn"",""en"")"),"Feeling disconnected from others leads to loneliness")</f>
        <v>Feeling disconnected from others leads to loneliness</v>
      </c>
      <c r="C1937" s="8" t="s">
        <v>13</v>
      </c>
      <c r="D1937" s="8" t="s">
        <v>14</v>
      </c>
      <c r="E1937" s="8">
        <v>1</v>
      </c>
    </row>
    <row r="1938" spans="1:5" ht="15.75" customHeight="1" x14ac:dyDescent="0.25">
      <c r="A1938" s="6" t="s">
        <v>1928</v>
      </c>
      <c r="B1938" s="6" t="str">
        <f ca="1">IFERROR(__xludf.DUMMYFUNCTION("GOOGLETRANSLATE(A1938,""bn"",""en"")"),"The therapist conducts group therapy sessions for people with similar struggles")</f>
        <v>The therapist conducts group therapy sessions for people with similar struggles</v>
      </c>
      <c r="C1938" s="8" t="s">
        <v>13</v>
      </c>
      <c r="D1938" s="8" t="s">
        <v>14</v>
      </c>
      <c r="E1938" s="8">
        <v>1</v>
      </c>
    </row>
    <row r="1939" spans="1:5" ht="15.75" customHeight="1" x14ac:dyDescent="0.25">
      <c r="A1939" s="6" t="s">
        <v>1929</v>
      </c>
      <c r="B1939" s="6" t="str">
        <f ca="1">IFERROR(__xludf.DUMMYFUNCTION("GOOGLETRANSLATE(A1939,""bn"",""en"")"),"Glaucoma is a group of eye conditions that damage the optic nerve resulting in vision loss")</f>
        <v>Glaucoma is a group of eye conditions that damage the optic nerve resulting in vision loss</v>
      </c>
      <c r="C1939" s="8" t="s">
        <v>13</v>
      </c>
      <c r="D1939" s="8" t="s">
        <v>14</v>
      </c>
      <c r="E1939" s="8">
        <v>1</v>
      </c>
    </row>
    <row r="1940" spans="1:5" ht="15.75" customHeight="1" x14ac:dyDescent="0.25">
      <c r="A1940" s="6" t="s">
        <v>1930</v>
      </c>
      <c r="B1940" s="6" t="str">
        <f ca="1">IFERROR(__xludf.DUMMYFUNCTION("GOOGLETRANSLATE(A1940,""bn"",""en"")"),"Its structure is like a sandwich")</f>
        <v>Its structure is like a sandwich</v>
      </c>
      <c r="C1940" s="8" t="s">
        <v>13</v>
      </c>
      <c r="D1940" s="8" t="s">
        <v>14</v>
      </c>
      <c r="E1940" s="8">
        <v>1</v>
      </c>
    </row>
    <row r="1941" spans="1:5" ht="15.75" customHeight="1" x14ac:dyDescent="0.25">
      <c r="A1941" s="6" t="s">
        <v>1931</v>
      </c>
      <c r="B1941" s="6" t="str">
        <f ca="1">IFERROR(__xludf.DUMMYFUNCTION("GOOGLETRANSLATE(A1941,""bn"",""en"")"),"Shahed is always saying that he will bring it")</f>
        <v>Shahed is always saying that he will bring it</v>
      </c>
      <c r="C1941" s="8" t="s">
        <v>13</v>
      </c>
      <c r="D1941" s="8" t="s">
        <v>14</v>
      </c>
      <c r="E1941" s="8">
        <v>1</v>
      </c>
    </row>
    <row r="1942" spans="1:5" ht="15.75" customHeight="1" x14ac:dyDescent="0.25">
      <c r="A1942" s="6" t="s">
        <v>1932</v>
      </c>
      <c r="B1942" s="6" t="str">
        <f ca="1">IFERROR(__xludf.DUMMYFUNCTION("GOOGLETRANSLATE(A1942,""bn"",""en"")"),"Mini Agdum Bagdum left the game and ran to the window and began to scream and call Kabuliwala Kabuliwala.")</f>
        <v>Mini Agdum Bagdum left the game and ran to the window and began to scream and call Kabuliwala Kabuliwala.</v>
      </c>
      <c r="C1942" s="7" t="s">
        <v>6</v>
      </c>
      <c r="D1942" s="7" t="s">
        <v>7</v>
      </c>
      <c r="E1942" s="7">
        <v>0</v>
      </c>
    </row>
    <row r="1943" spans="1:5" ht="15.75" customHeight="1" x14ac:dyDescent="0.25">
      <c r="A1943" s="6" t="s">
        <v>1933</v>
      </c>
      <c r="B1943" s="6" t="str">
        <f ca="1">IFERROR(__xludf.DUMMYFUNCTION("GOOGLETRANSLATE(A1943,""bn"",""en"")"),"For this reason he does not associate with the local people")</f>
        <v>For this reason he does not associate with the local people</v>
      </c>
      <c r="C1943" s="7" t="s">
        <v>6</v>
      </c>
      <c r="D1943" s="7" t="s">
        <v>7</v>
      </c>
      <c r="E1943" s="7">
        <v>0</v>
      </c>
    </row>
    <row r="1944" spans="1:5" ht="15.75" customHeight="1" x14ac:dyDescent="0.25">
      <c r="A1944" s="6" t="s">
        <v>1934</v>
      </c>
      <c r="B1944" s="6" t="str">
        <f ca="1">IFERROR(__xludf.DUMMYFUNCTION("GOOGLETRANSLATE(A1944,""bn"",""en"")"),"He left the village in ashes with colorful accusations about his grandfather")</f>
        <v>He left the village in ashes with colorful accusations about his grandfather</v>
      </c>
      <c r="C1944" s="7" t="s">
        <v>6</v>
      </c>
      <c r="D1944" s="7" t="s">
        <v>7</v>
      </c>
      <c r="E1944" s="7">
        <v>0</v>
      </c>
    </row>
    <row r="1945" spans="1:5" ht="15.75" customHeight="1" x14ac:dyDescent="0.25">
      <c r="A1945" s="6" t="s">
        <v>1935</v>
      </c>
      <c r="B1945" s="6" t="str">
        <f ca="1">IFERROR(__xludf.DUMMYFUNCTION("GOOGLETRANSLATE(A1945,""bn"",""en"")"),"Even after many attempts to sell it, only 1,670 remained")</f>
        <v>Even after many attempts to sell it, only 1,670 remained</v>
      </c>
      <c r="C1945" s="7" t="s">
        <v>6</v>
      </c>
      <c r="D1945" s="7" t="s">
        <v>7</v>
      </c>
      <c r="E1945" s="7">
        <v>0</v>
      </c>
    </row>
    <row r="1946" spans="1:5" ht="15.75" customHeight="1" x14ac:dyDescent="0.25">
      <c r="A1946" s="6" t="s">
        <v>1936</v>
      </c>
      <c r="B1946" s="6" t="str">
        <f ca="1">IFERROR(__xludf.DUMMYFUNCTION("GOOGLETRANSLATE(A1946,""bn"",""en"")"),"Because there is no sense of result")</f>
        <v>Because there is no sense of result</v>
      </c>
      <c r="C1946" s="7" t="s">
        <v>6</v>
      </c>
      <c r="D1946" s="7" t="s">
        <v>7</v>
      </c>
      <c r="E1946" s="7">
        <v>0</v>
      </c>
    </row>
    <row r="1947" spans="1:5" ht="15.75" customHeight="1" x14ac:dyDescent="0.25">
      <c r="A1947" s="6" t="s">
        <v>1937</v>
      </c>
      <c r="B1947" s="6" t="str">
        <f ca="1">IFERROR(__xludf.DUMMYFUNCTION("GOOGLETRANSLATE(A1947,""bn"",""en"")"),"Ulysses tops the list")</f>
        <v>Ulysses tops the list</v>
      </c>
      <c r="C1947" s="8" t="s">
        <v>13</v>
      </c>
      <c r="D1947" s="8" t="s">
        <v>14</v>
      </c>
      <c r="E1947" s="8">
        <v>1</v>
      </c>
    </row>
    <row r="1948" spans="1:5" ht="15.75" customHeight="1" x14ac:dyDescent="0.25">
      <c r="A1948" s="6" t="s">
        <v>1938</v>
      </c>
      <c r="B1948" s="6" t="str">
        <f ca="1">IFERROR(__xludf.DUMMYFUNCTION("GOOGLETRANSLATE(A1948,""bn"",""en"")"),"My father also used to wake up early in the morning")</f>
        <v>My father also used to wake up early in the morning</v>
      </c>
      <c r="C1948" s="8" t="s">
        <v>13</v>
      </c>
      <c r="D1948" s="8" t="s">
        <v>14</v>
      </c>
      <c r="E1948" s="8">
        <v>1</v>
      </c>
    </row>
    <row r="1949" spans="1:5" ht="15.75" customHeight="1" x14ac:dyDescent="0.25">
      <c r="A1949" s="6" t="s">
        <v>1939</v>
      </c>
      <c r="B1949" s="6" t="str">
        <f ca="1">IFERROR(__xludf.DUMMYFUNCTION("GOOGLETRANSLATE(A1949,""bn"",""en"")"),"After the bath he used to send me to my maths teacher")</f>
        <v>After the bath he used to send me to my maths teacher</v>
      </c>
      <c r="C1949" s="8" t="s">
        <v>13</v>
      </c>
      <c r="D1949" s="8" t="s">
        <v>14</v>
      </c>
      <c r="E1949" s="8">
        <v>1</v>
      </c>
    </row>
    <row r="1950" spans="1:5" ht="15.75" customHeight="1" x14ac:dyDescent="0.25">
      <c r="A1950" s="6" t="s">
        <v>1940</v>
      </c>
      <c r="B1950" s="6" t="str">
        <f ca="1">IFERROR(__xludf.DUMMYFUNCTION("GOOGLETRANSLATE(A1950,""bn"",""en"")"),"I used to come straight home after work")</f>
        <v>I used to come straight home after work</v>
      </c>
      <c r="C1950" s="8" t="s">
        <v>13</v>
      </c>
      <c r="D1950" s="8" t="s">
        <v>14</v>
      </c>
      <c r="E1950" s="8">
        <v>1</v>
      </c>
    </row>
    <row r="1951" spans="1:5" ht="15.75" customHeight="1" x14ac:dyDescent="0.25">
      <c r="A1951" s="6" t="s">
        <v>1941</v>
      </c>
      <c r="B1951" s="6" t="str">
        <f ca="1">IFERROR(__xludf.DUMMYFUNCTION("GOOGLETRANSLATE(A1951,""bn"",""en"")"),"Educational standards set standards for student achievement")</f>
        <v>Educational standards set standards for student achievement</v>
      </c>
      <c r="C1951" s="8" t="s">
        <v>13</v>
      </c>
      <c r="D1951" s="8" t="s">
        <v>14</v>
      </c>
      <c r="E1951" s="8">
        <v>1</v>
      </c>
    </row>
    <row r="1952" spans="1:5" ht="15.75" customHeight="1" x14ac:dyDescent="0.25">
      <c r="A1952" s="6" t="s">
        <v>1942</v>
      </c>
      <c r="B1952" s="6" t="str">
        <f ca="1">IFERROR(__xludf.DUMMYFUNCTION("GOOGLETRANSLATE(A1952,""bn"",""en"")"),"In Ajikar's drink too, a special fresh smell of Kaya Khair was found")</f>
        <v>In Ajikar's drink too, a special fresh smell of Kaya Khair was found</v>
      </c>
      <c r="C1952" s="7" t="s">
        <v>6</v>
      </c>
      <c r="D1952" s="7" t="s">
        <v>7</v>
      </c>
      <c r="E1952" s="7">
        <v>0</v>
      </c>
    </row>
    <row r="1953" spans="1:5" ht="15.75" customHeight="1" x14ac:dyDescent="0.25">
      <c r="A1953" s="6" t="s">
        <v>1943</v>
      </c>
      <c r="B1953" s="6" t="str">
        <f ca="1">IFERROR(__xludf.DUMMYFUNCTION("GOOGLETRANSLATE(A1953,""bn"",""en"")"),"Let all these things be said at once, this will be a song of Shiva to many people")</f>
        <v>Let all these things be said at once, this will be a song of Shiva to many people</v>
      </c>
      <c r="C1953" s="7" t="s">
        <v>6</v>
      </c>
      <c r="D1953" s="7" t="s">
        <v>7</v>
      </c>
      <c r="E1953" s="7">
        <v>0</v>
      </c>
    </row>
    <row r="1954" spans="1:5" ht="15.75" customHeight="1" x14ac:dyDescent="0.25">
      <c r="A1954" s="6" t="s">
        <v>1944</v>
      </c>
      <c r="B1954" s="6" t="str">
        <f ca="1">IFERROR(__xludf.DUMMYFUNCTION("GOOGLETRANSLATE(A1954,""bn"",""en"")"),"He scored well in the exam")</f>
        <v>He scored well in the exam</v>
      </c>
      <c r="C1954" s="7" t="s">
        <v>6</v>
      </c>
      <c r="D1954" s="7" t="s">
        <v>7</v>
      </c>
      <c r="E1954" s="7">
        <v>0</v>
      </c>
    </row>
    <row r="1955" spans="1:5" ht="15.75" customHeight="1" x14ac:dyDescent="0.25">
      <c r="A1955" s="6" t="s">
        <v>1945</v>
      </c>
      <c r="B1955" s="6" t="str">
        <f ca="1">IFERROR(__xludf.DUMMYFUNCTION("GOOGLETRANSLATE(A1955,""bn"",""en"")"),"I don't know why it seems that closed doors will open again")</f>
        <v>I don't know why it seems that closed doors will open again</v>
      </c>
      <c r="C1955" s="7" t="s">
        <v>6</v>
      </c>
      <c r="D1955" s="7" t="s">
        <v>7</v>
      </c>
      <c r="E1955" s="7">
        <v>0</v>
      </c>
    </row>
    <row r="1956" spans="1:5" ht="15.75" customHeight="1" x14ac:dyDescent="0.25">
      <c r="A1956" s="6" t="s">
        <v>1946</v>
      </c>
      <c r="B1956" s="6" t="str">
        <f ca="1">IFERROR(__xludf.DUMMYFUNCTION("GOOGLETRANSLATE(A1956,""bn"",""en"")"),"It is better if the work is done without further discussion")</f>
        <v>It is better if the work is done without further discussion</v>
      </c>
      <c r="C1956" s="7" t="s">
        <v>6</v>
      </c>
      <c r="D1956" s="7" t="s">
        <v>7</v>
      </c>
      <c r="E1956" s="7">
        <v>0</v>
      </c>
    </row>
    <row r="1957" spans="1:5" ht="15.75" customHeight="1" x14ac:dyDescent="0.25">
      <c r="A1957" s="6" t="s">
        <v>1947</v>
      </c>
      <c r="B1957" s="6" t="str">
        <f ca="1">IFERROR(__xludf.DUMMYFUNCTION("GOOGLETRANSLATE(A1957,""bn"",""en"")"),"So that they don't do anything dangerous")</f>
        <v>So that they don't do anything dangerous</v>
      </c>
      <c r="C1957" s="8" t="s">
        <v>13</v>
      </c>
      <c r="D1957" s="8" t="s">
        <v>14</v>
      </c>
      <c r="E1957" s="8">
        <v>1</v>
      </c>
    </row>
    <row r="1958" spans="1:5" ht="15.75" customHeight="1" x14ac:dyDescent="0.25">
      <c r="A1958" s="6" t="s">
        <v>1948</v>
      </c>
      <c r="B1958" s="6" t="str">
        <f ca="1">IFERROR(__xludf.DUMMYFUNCTION("GOOGLETRANSLATE(A1958,""bn"",""en"")"),"Also see the towering Gopuram of the massive Ramnathswamy Temple")</f>
        <v>Also see the towering Gopuram of the massive Ramnathswamy Temple</v>
      </c>
      <c r="C1958" s="8" t="s">
        <v>13</v>
      </c>
      <c r="D1958" s="8" t="s">
        <v>14</v>
      </c>
      <c r="E1958" s="8">
        <v>1</v>
      </c>
    </row>
    <row r="1959" spans="1:5" ht="15.75" customHeight="1" x14ac:dyDescent="0.25">
      <c r="A1959" s="6" t="s">
        <v>1949</v>
      </c>
      <c r="B1959" s="6" t="str">
        <f ca="1">IFERROR(__xludf.DUMMYFUNCTION("GOOGLETRANSLATE(A1959,""bn"",""en"")"),"This restaurant has become one of my go-to places to eat")</f>
        <v>This restaurant has become one of my go-to places to eat</v>
      </c>
      <c r="C1959" s="8" t="s">
        <v>13</v>
      </c>
      <c r="D1959" s="8" t="s">
        <v>14</v>
      </c>
      <c r="E1959" s="8">
        <v>1</v>
      </c>
    </row>
    <row r="1960" spans="1:5" ht="15.75" customHeight="1" x14ac:dyDescent="0.25">
      <c r="A1960" s="6" t="s">
        <v>1950</v>
      </c>
      <c r="B1960" s="6" t="str">
        <f ca="1">IFERROR(__xludf.DUMMYFUNCTION("GOOGLETRANSLATE(A1960,""bn"",""en"")"),"He died in Tegel in April")</f>
        <v>He died in Tegel in April</v>
      </c>
      <c r="C1960" s="8" t="s">
        <v>13</v>
      </c>
      <c r="D1960" s="8" t="s">
        <v>14</v>
      </c>
      <c r="E1960" s="8">
        <v>1</v>
      </c>
    </row>
    <row r="1961" spans="1:5" ht="15.75" customHeight="1" x14ac:dyDescent="0.25">
      <c r="A1961" s="6" t="s">
        <v>1951</v>
      </c>
      <c r="B1961" s="6" t="str">
        <f ca="1">IFERROR(__xludf.DUMMYFUNCTION("GOOGLETRANSLATE(A1961,""bn"",""en"")"),"We went to the field to play football")</f>
        <v>We went to the field to play football</v>
      </c>
      <c r="C1961" s="8" t="s">
        <v>13</v>
      </c>
      <c r="D1961" s="8" t="s">
        <v>14</v>
      </c>
      <c r="E1961" s="8">
        <v>1</v>
      </c>
    </row>
    <row r="1962" spans="1:5" ht="15.75" customHeight="1" x14ac:dyDescent="0.25">
      <c r="A1962" s="6" t="s">
        <v>1952</v>
      </c>
      <c r="B1962" s="6" t="str">
        <f ca="1">IFERROR(__xludf.DUMMYFUNCTION("GOOGLETRANSLATE(A1962,""bn"",""en"")"),"I smiled and agreed")</f>
        <v>I smiled and agreed</v>
      </c>
      <c r="C1962" s="7" t="s">
        <v>6</v>
      </c>
      <c r="D1962" s="7" t="s">
        <v>7</v>
      </c>
      <c r="E1962" s="7">
        <v>0</v>
      </c>
    </row>
    <row r="1963" spans="1:5" ht="15.75" customHeight="1" x14ac:dyDescent="0.25">
      <c r="A1963" s="6" t="s">
        <v>1953</v>
      </c>
      <c r="B1963" s="6" t="str">
        <f ca="1">IFERROR(__xludf.DUMMYFUNCTION("GOOGLETRANSLATE(A1963,""bn"",""en"")"),"Seeing his twin eyebrows, I felt like a big bird in the blue sky above.")</f>
        <v>Seeing his twin eyebrows, I felt like a big bird in the blue sky above.</v>
      </c>
      <c r="C1963" s="7" t="s">
        <v>6</v>
      </c>
      <c r="D1963" s="7" t="s">
        <v>7</v>
      </c>
      <c r="E1963" s="7">
        <v>0</v>
      </c>
    </row>
    <row r="1964" spans="1:5" ht="15.75" customHeight="1" x14ac:dyDescent="0.25">
      <c r="A1964" s="6" t="s">
        <v>1954</v>
      </c>
      <c r="B1964" s="6" t="str">
        <f ca="1">IFERROR(__xludf.DUMMYFUNCTION("GOOGLETRANSLATE(A1964,""bn"",""en"")"),"In his own words, his own eyes became clear, the road is wide, not bad")</f>
        <v>In his own words, his own eyes became clear, the road is wide, not bad</v>
      </c>
      <c r="C1964" s="7" t="s">
        <v>6</v>
      </c>
      <c r="D1964" s="7" t="s">
        <v>7</v>
      </c>
      <c r="E1964" s="7">
        <v>0</v>
      </c>
    </row>
    <row r="1965" spans="1:5" ht="15.75" customHeight="1" x14ac:dyDescent="0.25">
      <c r="A1965" s="6" t="s">
        <v>1955</v>
      </c>
      <c r="B1965" s="6" t="str">
        <f ca="1">IFERROR(__xludf.DUMMYFUNCTION("GOOGLETRANSLATE(A1965,""bn"",""en"")"),"On the way, it seemed that there was a student of Mr. Darwin")</f>
        <v>On the way, it seemed that there was a student of Mr. Darwin</v>
      </c>
      <c r="C1965" s="7" t="s">
        <v>6</v>
      </c>
      <c r="D1965" s="7" t="s">
        <v>7</v>
      </c>
      <c r="E1965" s="7">
        <v>0</v>
      </c>
    </row>
    <row r="1966" spans="1:5" ht="15.75" customHeight="1" x14ac:dyDescent="0.25">
      <c r="A1966" s="6" t="s">
        <v>1956</v>
      </c>
      <c r="B1966" s="6" t="str">
        <f ca="1">IFERROR(__xludf.DUMMYFUNCTION("GOOGLETRANSLATE(A1966,""bn"",""en"")"),"He stood up in shock - why can't he?")</f>
        <v>He stood up in shock - why can't he?</v>
      </c>
      <c r="C1966" s="7" t="s">
        <v>6</v>
      </c>
      <c r="D1966" s="7" t="s">
        <v>7</v>
      </c>
      <c r="E1966" s="7">
        <v>0</v>
      </c>
    </row>
    <row r="1967" spans="1:5" ht="15.75" customHeight="1" x14ac:dyDescent="0.25">
      <c r="A1967" s="6" t="s">
        <v>1957</v>
      </c>
      <c r="B1967" s="6" t="str">
        <f ca="1">IFERROR(__xludf.DUMMYFUNCTION("GOOGLETRANSLATE(A1967,""bn"",""en"")"),"I am currently spending some time with my friends")</f>
        <v>I am currently spending some time with my friends</v>
      </c>
      <c r="C1967" s="8" t="s">
        <v>13</v>
      </c>
      <c r="D1967" s="8" t="s">
        <v>14</v>
      </c>
      <c r="E1967" s="8">
        <v>1</v>
      </c>
    </row>
    <row r="1968" spans="1:5" ht="15.75" customHeight="1" x14ac:dyDescent="0.25">
      <c r="A1968" s="6" t="s">
        <v>1958</v>
      </c>
      <c r="B1968" s="6" t="str">
        <f ca="1">IFERROR(__xludf.DUMMYFUNCTION("GOOGLETRANSLATE(A1968,""bn"",""en"")"),"Sometimes I feel so alone, I'm not alone.")</f>
        <v>Sometimes I feel so alone, I'm not alone.</v>
      </c>
      <c r="C1968" s="8" t="s">
        <v>13</v>
      </c>
      <c r="D1968" s="8" t="s">
        <v>14</v>
      </c>
      <c r="E1968" s="8">
        <v>1</v>
      </c>
    </row>
    <row r="1969" spans="1:5" ht="15.75" customHeight="1" x14ac:dyDescent="0.25">
      <c r="A1969" s="6" t="s">
        <v>1959</v>
      </c>
      <c r="B1969" s="6" t="str">
        <f ca="1">IFERROR(__xludf.DUMMYFUNCTION("GOOGLETRANSLATE(A1969,""bn"",""en"")"),"Retweet what you like on Friday")</f>
        <v>Retweet what you like on Friday</v>
      </c>
      <c r="C1969" s="8" t="s">
        <v>13</v>
      </c>
      <c r="D1969" s="8" t="s">
        <v>14</v>
      </c>
      <c r="E1969" s="8">
        <v>1</v>
      </c>
    </row>
    <row r="1970" spans="1:5" ht="15.75" customHeight="1" x14ac:dyDescent="0.25">
      <c r="A1970" s="6" t="s">
        <v>1960</v>
      </c>
      <c r="B1970" s="6" t="str">
        <f ca="1">IFERROR(__xludf.DUMMYFUNCTION("GOOGLETRANSLATE(A1970,""bn"",""en"")"),"Seeing kindness towards strangers brings hope")</f>
        <v>Seeing kindness towards strangers brings hope</v>
      </c>
      <c r="C1970" s="8" t="s">
        <v>13</v>
      </c>
      <c r="D1970" s="8" t="s">
        <v>14</v>
      </c>
      <c r="E1970" s="8">
        <v>1</v>
      </c>
    </row>
    <row r="1971" spans="1:5" ht="15.75" customHeight="1" x14ac:dyDescent="0.25">
      <c r="A1971" s="6" t="s">
        <v>1961</v>
      </c>
      <c r="B1971" s="6" t="str">
        <f ca="1">IFERROR(__xludf.DUMMYFUNCTION("GOOGLETRANSLATE(A1971,""bn"",""en"")"),"The scent of damp earth mingled with the sweet scent of wildflowers to create a fragrance that filled the air.")</f>
        <v>The scent of damp earth mingled with the sweet scent of wildflowers to create a fragrance that filled the air.</v>
      </c>
      <c r="C1971" s="8" t="s">
        <v>13</v>
      </c>
      <c r="D1971" s="8" t="s">
        <v>14</v>
      </c>
      <c r="E1971" s="8">
        <v>1</v>
      </c>
    </row>
    <row r="1972" spans="1:5" ht="15.75" customHeight="1" x14ac:dyDescent="0.25">
      <c r="A1972" s="6" t="s">
        <v>1962</v>
      </c>
      <c r="B1972" s="6" t="str">
        <f ca="1">IFERROR(__xludf.DUMMYFUNCTION("GOOGLETRANSLATE(A1972,""bn"",""en"")"),"His memory is happy because he doesn't get it now")</f>
        <v>His memory is happy because he doesn't get it now</v>
      </c>
      <c r="C1972" s="7" t="s">
        <v>6</v>
      </c>
      <c r="D1972" s="7" t="s">
        <v>7</v>
      </c>
      <c r="E1972" s="7">
        <v>0</v>
      </c>
    </row>
    <row r="1973" spans="1:5" ht="15.75" customHeight="1" x14ac:dyDescent="0.25">
      <c r="A1973" s="6" t="s">
        <v>1105</v>
      </c>
      <c r="B1973" s="6" t="str">
        <f ca="1">IFERROR(__xludf.DUMMYFUNCTION("GOOGLETRANSLATE(A1973,""bn"",""en"")"),"How many days old hunters have forbidden me to go alone in the mountains")</f>
        <v>How many days old hunters have forbidden me to go alone in the mountains</v>
      </c>
      <c r="C1973" s="7" t="s">
        <v>6</v>
      </c>
      <c r="D1973" s="7" t="s">
        <v>7</v>
      </c>
      <c r="E1973" s="7">
        <v>0</v>
      </c>
    </row>
    <row r="1974" spans="1:5" ht="15.75" customHeight="1" x14ac:dyDescent="0.25">
      <c r="A1974" s="6" t="s">
        <v>1963</v>
      </c>
      <c r="B1974" s="6" t="str">
        <f ca="1">IFERROR(__xludf.DUMMYFUNCTION("GOOGLETRANSLATE(A1974,""bn"",""en"")"),"He left hurt and came back")</f>
        <v>He left hurt and came back</v>
      </c>
      <c r="C1974" s="7" t="s">
        <v>6</v>
      </c>
      <c r="D1974" s="7" t="s">
        <v>7</v>
      </c>
      <c r="E1974" s="7">
        <v>0</v>
      </c>
    </row>
    <row r="1975" spans="1:5" ht="15.75" customHeight="1" x14ac:dyDescent="0.25">
      <c r="A1975" s="6" t="s">
        <v>1964</v>
      </c>
      <c r="B1975" s="6" t="str">
        <f ca="1">IFERROR(__xludf.DUMMYFUNCTION("GOOGLETRANSLATE(A1975,""bn"",""en"")"),"Mahendra opened the fold and read the letter")</f>
        <v>Mahendra opened the fold and read the letter</v>
      </c>
      <c r="C1975" s="7" t="s">
        <v>6</v>
      </c>
      <c r="D1975" s="7" t="s">
        <v>7</v>
      </c>
      <c r="E1975" s="7">
        <v>0</v>
      </c>
    </row>
    <row r="1976" spans="1:5" ht="15.75" customHeight="1" x14ac:dyDescent="0.25">
      <c r="A1976" s="6" t="s">
        <v>1965</v>
      </c>
      <c r="B1976" s="6" t="str">
        <f ca="1">IFERROR(__xludf.DUMMYFUNCTION("GOOGLETRANSLATE(A1976,""bn"",""en"")"),"Mami drew a line of annoyance on both sides of Adhar and said, ""Well done, I can't buy you books five times in a month.""")</f>
        <v>Mami drew a line of annoyance on both sides of Adhar and said, "Well done, I can't buy you books five times in a month."</v>
      </c>
      <c r="C1976" s="7" t="s">
        <v>6</v>
      </c>
      <c r="D1976" s="7" t="s">
        <v>7</v>
      </c>
      <c r="E1976" s="7">
        <v>0</v>
      </c>
    </row>
    <row r="1977" spans="1:5" ht="15.75" customHeight="1" x14ac:dyDescent="0.25">
      <c r="A1977" s="6" t="s">
        <v>1966</v>
      </c>
      <c r="B1977" s="6" t="str">
        <f ca="1">IFERROR(__xludf.DUMMYFUNCTION("GOOGLETRANSLATE(A1977,""bn"",""en"")"),"Continuing education promotes professional growth")</f>
        <v>Continuing education promotes professional growth</v>
      </c>
      <c r="C1977" s="8" t="s">
        <v>13</v>
      </c>
      <c r="D1977" s="8" t="s">
        <v>14</v>
      </c>
      <c r="E1977" s="8">
        <v>1</v>
      </c>
    </row>
    <row r="1978" spans="1:5" ht="15.75" customHeight="1" x14ac:dyDescent="0.25">
      <c r="A1978" s="6" t="s">
        <v>1967</v>
      </c>
      <c r="B1978" s="6" t="str">
        <f ca="1">IFERROR(__xludf.DUMMYFUNCTION("GOOGLETRANSLATE(A1978,""bn"",""en"")"),"Family traditions make holidays special")</f>
        <v>Family traditions make holidays special</v>
      </c>
      <c r="C1978" s="8" t="s">
        <v>13</v>
      </c>
      <c r="D1978" s="8" t="s">
        <v>14</v>
      </c>
      <c r="E1978" s="8">
        <v>1</v>
      </c>
    </row>
    <row r="1979" spans="1:5" ht="15.75" customHeight="1" x14ac:dyDescent="0.25">
      <c r="A1979" s="6" t="s">
        <v>1968</v>
      </c>
      <c r="B1979" s="6" t="str">
        <f ca="1">IFERROR(__xludf.DUMMYFUNCTION("GOOGLETRANSLATE(A1979,""bn"",""en"")"),"An excellent form of fluorine is fluorite")</f>
        <v>An excellent form of fluorine is fluorite</v>
      </c>
      <c r="C1979" s="8" t="s">
        <v>13</v>
      </c>
      <c r="D1979" s="8" t="s">
        <v>14</v>
      </c>
      <c r="E1979" s="8">
        <v>1</v>
      </c>
    </row>
    <row r="1980" spans="1:5" ht="15.75" customHeight="1" x14ac:dyDescent="0.25">
      <c r="A1980" s="6" t="s">
        <v>1969</v>
      </c>
      <c r="B1980" s="6" t="str">
        <f ca="1">IFERROR(__xludf.DUMMYFUNCTION("GOOGLETRANSLATE(A1980,""bn"",""en"")"),"He was surprised to see her variety of clothes")</f>
        <v>He was surprised to see her variety of clothes</v>
      </c>
      <c r="C1980" s="8" t="s">
        <v>13</v>
      </c>
      <c r="D1980" s="8" t="s">
        <v>14</v>
      </c>
      <c r="E1980" s="8">
        <v>1</v>
      </c>
    </row>
    <row r="1981" spans="1:5" ht="15.75" customHeight="1" x14ac:dyDescent="0.25">
      <c r="A1981" s="6" t="s">
        <v>1970</v>
      </c>
      <c r="B1981" s="6" t="str">
        <f ca="1">IFERROR(__xludf.DUMMYFUNCTION("GOOGLETRANSLATE(A1981,""bn"",""en"")"),"May sepoys captured Delhi and killed many Englishmen")</f>
        <v>May sepoys captured Delhi and killed many Englishmen</v>
      </c>
      <c r="C1981" s="8" t="s">
        <v>13</v>
      </c>
      <c r="D1981" s="8" t="s">
        <v>14</v>
      </c>
      <c r="E1981" s="8">
        <v>1</v>
      </c>
    </row>
    <row r="1982" spans="1:5" ht="15.75" customHeight="1" x14ac:dyDescent="0.25">
      <c r="A1982" s="6" t="s">
        <v>1971</v>
      </c>
      <c r="B1982" s="6" t="str">
        <f ca="1">IFERROR(__xludf.DUMMYFUNCTION("GOOGLETRANSLATE(A1982,""bn"",""en"")"),"Maurinamak primitive caste known as strong intelligent workers")</f>
        <v>Maurinamak primitive caste known as strong intelligent workers</v>
      </c>
      <c r="C1982" s="7" t="s">
        <v>6</v>
      </c>
      <c r="D1982" s="7" t="s">
        <v>7</v>
      </c>
      <c r="E1982" s="7">
        <v>0</v>
      </c>
    </row>
    <row r="1983" spans="1:5" ht="15.75" customHeight="1" x14ac:dyDescent="0.25">
      <c r="A1983" s="6" t="s">
        <v>1972</v>
      </c>
      <c r="B1983" s="6" t="str">
        <f ca="1">IFERROR(__xludf.DUMMYFUNCTION("GOOGLETRANSLATE(A1983,""bn"",""en"")"),"Genocide is intermittent")</f>
        <v>Genocide is intermittent</v>
      </c>
      <c r="C1983" s="7" t="s">
        <v>6</v>
      </c>
      <c r="D1983" s="7" t="s">
        <v>7</v>
      </c>
      <c r="E1983" s="7">
        <v>0</v>
      </c>
    </row>
    <row r="1984" spans="1:5" ht="15.75" customHeight="1" x14ac:dyDescent="0.25">
      <c r="A1984" s="6" t="s">
        <v>1973</v>
      </c>
      <c r="B1984" s="6" t="str">
        <f ca="1">IFERROR(__xludf.DUMMYFUNCTION("GOOGLETRANSLATE(A1984,""bn"",""en"")"),"Played with them")</f>
        <v>Played with them</v>
      </c>
      <c r="C1984" s="7" t="s">
        <v>6</v>
      </c>
      <c r="D1984" s="7" t="s">
        <v>7</v>
      </c>
      <c r="E1984" s="7">
        <v>0</v>
      </c>
    </row>
    <row r="1985" spans="1:5" ht="15.75" customHeight="1" x14ac:dyDescent="0.25">
      <c r="A1985" s="6" t="s">
        <v>1974</v>
      </c>
      <c r="B1985" s="6" t="str">
        <f ca="1">IFERROR(__xludf.DUMMYFUNCTION("GOOGLETRANSLATE(A1985,""bn"",""en"")"),"On the way he met a young man")</f>
        <v>On the way he met a young man</v>
      </c>
      <c r="C1985" s="7" t="s">
        <v>6</v>
      </c>
      <c r="D1985" s="7" t="s">
        <v>7</v>
      </c>
      <c r="E1985" s="7">
        <v>0</v>
      </c>
    </row>
    <row r="1986" spans="1:5" ht="15.75" customHeight="1" x14ac:dyDescent="0.25">
      <c r="A1986" s="6" t="s">
        <v>1975</v>
      </c>
      <c r="B1986" s="6" t="str">
        <f ca="1">IFERROR(__xludf.DUMMYFUNCTION("GOOGLETRANSLATE(A1986,""bn"",""en"")"),"Shubo asked me to go to him")</f>
        <v>Shubo asked me to go to him</v>
      </c>
      <c r="C1986" s="7" t="s">
        <v>6</v>
      </c>
      <c r="D1986" s="7" t="s">
        <v>7</v>
      </c>
      <c r="E1986" s="7">
        <v>0</v>
      </c>
    </row>
    <row r="1987" spans="1:5" ht="15.75" customHeight="1" x14ac:dyDescent="0.25">
      <c r="A1987" s="6" t="s">
        <v>1976</v>
      </c>
      <c r="B1987" s="6" t="str">
        <f ca="1">IFERROR(__xludf.DUMMYFUNCTION("GOOGLETRANSLATE(A1987,""bn"",""en"")"),"Transactions were processed using a digital wallet")</f>
        <v>Transactions were processed using a digital wallet</v>
      </c>
      <c r="C1987" s="8" t="s">
        <v>13</v>
      </c>
      <c r="D1987" s="8" t="s">
        <v>14</v>
      </c>
      <c r="E1987" s="8">
        <v>1</v>
      </c>
    </row>
    <row r="1988" spans="1:5" ht="15.75" customHeight="1" x14ac:dyDescent="0.25">
      <c r="A1988" s="6" t="s">
        <v>1977</v>
      </c>
      <c r="B1988" s="6" t="str">
        <f ca="1">IFERROR(__xludf.DUMMYFUNCTION("GOOGLETRANSLATE(A1988,""bn"",""en"")"),"Take care of your physical health to support your mental well-being")</f>
        <v>Take care of your physical health to support your mental well-being</v>
      </c>
      <c r="C1988" s="8" t="s">
        <v>13</v>
      </c>
      <c r="D1988" s="8" t="s">
        <v>14</v>
      </c>
      <c r="E1988" s="8">
        <v>1</v>
      </c>
    </row>
    <row r="1989" spans="1:5" ht="15.75" customHeight="1" x14ac:dyDescent="0.25">
      <c r="A1989" s="6" t="s">
        <v>1978</v>
      </c>
      <c r="B1989" s="6" t="str">
        <f ca="1">IFERROR(__xludf.DUMMYFUNCTION("GOOGLETRANSLATE(A1989,""bn"",""en"")"),"I was impressed by the speed efficiency of the shipping process")</f>
        <v>I was impressed by the speed efficiency of the shipping process</v>
      </c>
      <c r="C1989" s="8" t="s">
        <v>13</v>
      </c>
      <c r="D1989" s="8" t="s">
        <v>14</v>
      </c>
      <c r="E1989" s="8">
        <v>1</v>
      </c>
    </row>
    <row r="1990" spans="1:5" ht="15.75" customHeight="1" x14ac:dyDescent="0.25">
      <c r="A1990" s="6" t="s">
        <v>1979</v>
      </c>
      <c r="B1990" s="6" t="str">
        <f ca="1">IFERROR(__xludf.DUMMYFUNCTION("GOOGLETRANSLATE(A1990,""bn"",""en"")"),"A gentle stream flows through the rocks its thundering waters a soothing lullaby")</f>
        <v>A gentle stream flows through the rocks its thundering waters a soothing lullaby</v>
      </c>
      <c r="C1990" s="8" t="s">
        <v>13</v>
      </c>
      <c r="D1990" s="8" t="s">
        <v>14</v>
      </c>
      <c r="E1990" s="8">
        <v>1</v>
      </c>
    </row>
    <row r="1991" spans="1:5" ht="15.75" customHeight="1" x14ac:dyDescent="0.25">
      <c r="A1991" s="6" t="s">
        <v>1980</v>
      </c>
      <c r="B1991" s="6" t="str">
        <f ca="1">IFERROR(__xludf.DUMMYFUNCTION("GOOGLETRANSLATE(A1991,""bn"",""en"")"),"I don't like black color at all")</f>
        <v>I don't like black color at all</v>
      </c>
      <c r="C1991" s="8" t="s">
        <v>13</v>
      </c>
      <c r="D1991" s="8" t="s">
        <v>14</v>
      </c>
      <c r="E1991" s="8">
        <v>1</v>
      </c>
    </row>
    <row r="1992" spans="1:5" ht="15.75" customHeight="1" x14ac:dyDescent="0.25">
      <c r="A1992" s="6" t="s">
        <v>1981</v>
      </c>
      <c r="B1992" s="6" t="str">
        <f ca="1">IFERROR(__xludf.DUMMYFUNCTION("GOOGLETRANSLATE(A1992,""bn"",""en"")"),"When they come in contact with the main race, the minor races become somewhat discouraged and exhausted")</f>
        <v>When they come in contact with the main race, the minor races become somewhat discouraged and exhausted</v>
      </c>
      <c r="C1992" s="7" t="s">
        <v>6</v>
      </c>
      <c r="D1992" s="7" t="s">
        <v>7</v>
      </c>
      <c r="E1992" s="7">
        <v>0</v>
      </c>
    </row>
    <row r="1993" spans="1:5" ht="15.75" customHeight="1" x14ac:dyDescent="0.25">
      <c r="A1993" s="6" t="s">
        <v>1982</v>
      </c>
      <c r="B1993" s="6" t="str">
        <f ca="1">IFERROR(__xludf.DUMMYFUNCTION("GOOGLETRANSLATE(A1993,""bn"",""en"")"),"I always thought so")</f>
        <v>I always thought so</v>
      </c>
      <c r="C1993" s="7" t="s">
        <v>6</v>
      </c>
      <c r="D1993" s="7" t="s">
        <v>7</v>
      </c>
      <c r="E1993" s="7">
        <v>0</v>
      </c>
    </row>
    <row r="1994" spans="1:5" ht="15.75" customHeight="1" x14ac:dyDescent="0.25">
      <c r="A1994" s="6" t="s">
        <v>1983</v>
      </c>
      <c r="B1994" s="6" t="str">
        <f ca="1">IFERROR(__xludf.DUMMYFUNCTION("GOOGLETRANSLATE(A1994,""bn"",""en"")"),"Finally one day he found his father")</f>
        <v>Finally one day he found his father</v>
      </c>
      <c r="C1994" s="7" t="s">
        <v>6</v>
      </c>
      <c r="D1994" s="7" t="s">
        <v>7</v>
      </c>
      <c r="E1994" s="7">
        <v>0</v>
      </c>
    </row>
    <row r="1995" spans="1:5" ht="15.75" customHeight="1" x14ac:dyDescent="0.25">
      <c r="A1995" s="6" t="s">
        <v>1984</v>
      </c>
      <c r="B1995" s="6" t="str">
        <f ca="1">IFERROR(__xludf.DUMMYFUNCTION("GOOGLETRANSLATE(A1995,""bn"",""en"")"),"If you work with them once, you will not be saved")</f>
        <v>If you work with them once, you will not be saved</v>
      </c>
      <c r="C1995" s="7" t="s">
        <v>6</v>
      </c>
      <c r="D1995" s="7" t="s">
        <v>7</v>
      </c>
      <c r="E1995" s="7">
        <v>0</v>
      </c>
    </row>
    <row r="1996" spans="1:5" ht="15.75" customHeight="1" x14ac:dyDescent="0.25">
      <c r="A1996" s="6" t="s">
        <v>1985</v>
      </c>
      <c r="B1996" s="6" t="str">
        <f ca="1">IFERROR(__xludf.DUMMYFUNCTION("GOOGLETRANSLATE(A1996,""bn"",""en"")"),"He could not see it when he came out")</f>
        <v>He could not see it when he came out</v>
      </c>
      <c r="C1996" s="7" t="s">
        <v>6</v>
      </c>
      <c r="D1996" s="7" t="s">
        <v>7</v>
      </c>
      <c r="E1996" s="7">
        <v>0</v>
      </c>
    </row>
    <row r="1997" spans="1:5" ht="15.75" customHeight="1" x14ac:dyDescent="0.25">
      <c r="A1997" s="6" t="s">
        <v>1986</v>
      </c>
      <c r="B1997" s="6" t="str">
        <f ca="1">IFERROR(__xludf.DUMMYFUNCTION("GOOGLETRANSLATE(A1997,""bn"",""en"")"),"Apart from me, my teacher had four other students")</f>
        <v>Apart from me, my teacher had four other students</v>
      </c>
      <c r="C1997" s="8" t="s">
        <v>13</v>
      </c>
      <c r="D1997" s="8" t="s">
        <v>14</v>
      </c>
      <c r="E1997" s="8">
        <v>1</v>
      </c>
    </row>
    <row r="1998" spans="1:5" ht="15.75" customHeight="1" x14ac:dyDescent="0.25">
      <c r="A1998" s="6" t="s">
        <v>1987</v>
      </c>
      <c r="B1998" s="6" t="str">
        <f ca="1">IFERROR(__xludf.DUMMYFUNCTION("GOOGLETRANSLATE(A1998,""bn"",""en"")"),"Juvenile delinquency involves minors engaging in illegal behavior")</f>
        <v>Juvenile delinquency involves minors engaging in illegal behavior</v>
      </c>
      <c r="C1998" s="8" t="s">
        <v>13</v>
      </c>
      <c r="D1998" s="8" t="s">
        <v>14</v>
      </c>
      <c r="E1998" s="8">
        <v>1</v>
      </c>
    </row>
    <row r="1999" spans="1:5" ht="15.75" customHeight="1" x14ac:dyDescent="0.25">
      <c r="A1999" s="6" t="s">
        <v>1988</v>
      </c>
      <c r="B1999" s="6" t="str">
        <f ca="1">IFERROR(__xludf.DUMMYFUNCTION("GOOGLETRANSLATE(A1999,""bn"",""en"")"),"Racing against rival explorers they wanted to be the first to discover ancient artifacts of immense value")</f>
        <v>Racing against rival explorers they wanted to be the first to discover ancient artifacts of immense value</v>
      </c>
      <c r="C1999" s="8" t="s">
        <v>13</v>
      </c>
      <c r="D1999" s="8" t="s">
        <v>14</v>
      </c>
      <c r="E1999" s="8">
        <v>1</v>
      </c>
    </row>
    <row r="2000" spans="1:5" ht="15.75" customHeight="1" x14ac:dyDescent="0.25">
      <c r="A2000" s="6" t="s">
        <v>1989</v>
      </c>
      <c r="B2000" s="6" t="str">
        <f ca="1">IFERROR(__xludf.DUMMYFUNCTION("GOOGLETRANSLATE(A2000,""bn"",""en"")"),"A touch of truffle enhances the dish")</f>
        <v>A touch of truffle enhances the dish</v>
      </c>
      <c r="C2000" s="8" t="s">
        <v>13</v>
      </c>
      <c r="D2000" s="8" t="s">
        <v>14</v>
      </c>
      <c r="E2000" s="8">
        <v>1</v>
      </c>
    </row>
    <row r="2001" spans="1:5" ht="15.75" customHeight="1" x14ac:dyDescent="0.25">
      <c r="A2001" s="6" t="s">
        <v>1990</v>
      </c>
      <c r="B2001" s="6" t="str">
        <f ca="1">IFERROR(__xludf.DUMMYFUNCTION("GOOGLETRANSLATE(A2001,""bn"",""en"")"),"He has been doing this for the past fifteen years")</f>
        <v>He has been doing this for the past fifteen years</v>
      </c>
      <c r="C2001" s="8" t="s">
        <v>13</v>
      </c>
      <c r="D2001" s="8" t="s">
        <v>14</v>
      </c>
      <c r="E2001" s="8">
        <v>1</v>
      </c>
    </row>
    <row r="2002" spans="1:5" ht="15.75" customHeight="1" x14ac:dyDescent="0.25">
      <c r="A2002" s="6" t="s">
        <v>1991</v>
      </c>
      <c r="B2002" s="6" t="str">
        <f ca="1">IFERROR(__xludf.DUMMYFUNCTION("GOOGLETRANSLATE(A2002,""bn"",""en"")"),"I look at his face and wonder how long Kalika will sit in Albola")</f>
        <v>I look at his face and wonder how long Kalika will sit in Albola</v>
      </c>
      <c r="C2002" s="7" t="s">
        <v>6</v>
      </c>
      <c r="D2002" s="7" t="s">
        <v>7</v>
      </c>
      <c r="E2002" s="7">
        <v>0</v>
      </c>
    </row>
    <row r="2003" spans="1:5" ht="15.75" customHeight="1" x14ac:dyDescent="0.25">
      <c r="A2003" s="6" t="s">
        <v>1992</v>
      </c>
      <c r="B2003" s="6" t="str">
        <f ca="1">IFERROR(__xludf.DUMMYFUNCTION("GOOGLETRANSLATE(A2003,""bn"",""en"")"),"Someone came and pushed him a little in fear, but he was not disturbed at all.")</f>
        <v>Someone came and pushed him a little in fear, but he was not disturbed at all.</v>
      </c>
      <c r="C2003" s="7" t="s">
        <v>6</v>
      </c>
      <c r="D2003" s="7" t="s">
        <v>7</v>
      </c>
      <c r="E2003" s="7">
        <v>0</v>
      </c>
    </row>
    <row r="2004" spans="1:5" ht="15.75" customHeight="1" x14ac:dyDescent="0.25">
      <c r="A2004" s="6" t="s">
        <v>1993</v>
      </c>
      <c r="B2004" s="6" t="str">
        <f ca="1">IFERROR(__xludf.DUMMYFUNCTION("GOOGLETRANSLATE(A2004,""bn"",""en"")"),"What pain would I get if I were in that condition")</f>
        <v>What pain would I get if I were in that condition</v>
      </c>
      <c r="C2004" s="7" t="s">
        <v>6</v>
      </c>
      <c r="D2004" s="7" t="s">
        <v>7</v>
      </c>
      <c r="E2004" s="7">
        <v>0</v>
      </c>
    </row>
    <row r="2005" spans="1:5" ht="15.75" customHeight="1" x14ac:dyDescent="0.25">
      <c r="A2005" s="6" t="s">
        <v>1994</v>
      </c>
      <c r="B2005" s="6" t="str">
        <f ca="1">IFERROR(__xludf.DUMMYFUNCTION("GOOGLETRANSLATE(A2005,""bn"",""en"")"),"Let's talk about it now")</f>
        <v>Let's talk about it now</v>
      </c>
      <c r="C2005" s="7" t="s">
        <v>6</v>
      </c>
      <c r="D2005" s="7" t="s">
        <v>7</v>
      </c>
      <c r="E2005" s="7">
        <v>0</v>
      </c>
    </row>
    <row r="2006" spans="1:5" ht="15.75" customHeight="1" x14ac:dyDescent="0.25">
      <c r="A2006" s="6" t="s">
        <v>1995</v>
      </c>
      <c r="B2006" s="6" t="str">
        <f ca="1">IFERROR(__xludf.DUMMYFUNCTION("GOOGLETRANSLATE(A2006,""bn"",""en"")"),"Shashi went outside and sat for a while")</f>
        <v>Shashi went outside and sat for a while</v>
      </c>
      <c r="C2006" s="7" t="s">
        <v>6</v>
      </c>
      <c r="D2006" s="7" t="s">
        <v>7</v>
      </c>
      <c r="E2006" s="7">
        <v>0</v>
      </c>
    </row>
    <row r="2007" spans="1:5" ht="15.75" customHeight="1" x14ac:dyDescent="0.25">
      <c r="A2007" s="6" t="s">
        <v>1996</v>
      </c>
      <c r="B2007" s="6" t="str">
        <f ca="1">IFERROR(__xludf.DUMMYFUNCTION("GOOGLETRANSLATE(A2007,""bn"",""en"")"),"Dental hygienists perform routine hygiene checks on patients")</f>
        <v>Dental hygienists perform routine hygiene checks on patients</v>
      </c>
      <c r="C2007" s="8" t="s">
        <v>13</v>
      </c>
      <c r="D2007" s="8" t="s">
        <v>14</v>
      </c>
      <c r="E2007" s="8">
        <v>1</v>
      </c>
    </row>
    <row r="2008" spans="1:5" ht="15.75" customHeight="1" x14ac:dyDescent="0.25">
      <c r="A2008" s="6" t="s">
        <v>1997</v>
      </c>
      <c r="B2008" s="6" t="str">
        <f ca="1">IFERROR(__xludf.DUMMYFUNCTION("GOOGLETRANSLATE(A2008,""bn"",""en"")"),"He was absent-mindedly walking down the street")</f>
        <v>He was absent-mindedly walking down the street</v>
      </c>
      <c r="C2008" s="8" t="s">
        <v>13</v>
      </c>
      <c r="D2008" s="8" t="s">
        <v>14</v>
      </c>
      <c r="E2008" s="8">
        <v>1</v>
      </c>
    </row>
    <row r="2009" spans="1:5" ht="15.75" customHeight="1" x14ac:dyDescent="0.25">
      <c r="A2009" s="6" t="s">
        <v>1998</v>
      </c>
      <c r="B2009" s="6" t="str">
        <f ca="1">IFERROR(__xludf.DUMMYFUNCTION("GOOGLETRANSLATE(A2009,""bn"",""en"")"),"Shubo asked me to go to him")</f>
        <v>Shubo asked me to go to him</v>
      </c>
      <c r="C2009" s="8" t="s">
        <v>13</v>
      </c>
      <c r="D2009" s="8" t="s">
        <v>14</v>
      </c>
      <c r="E2009" s="8">
        <v>1</v>
      </c>
    </row>
    <row r="2010" spans="1:5" ht="15.75" customHeight="1" x14ac:dyDescent="0.25">
      <c r="A2010" s="6" t="s">
        <v>1999</v>
      </c>
      <c r="B2010" s="6" t="str">
        <f ca="1">IFERROR(__xludf.DUMMYFUNCTION("GOOGLETRANSLATE(A2010,""bn"",""en"")"),"My parents have always believed in me")</f>
        <v>My parents have always believed in me</v>
      </c>
      <c r="C2010" s="8" t="s">
        <v>13</v>
      </c>
      <c r="D2010" s="8" t="s">
        <v>14</v>
      </c>
      <c r="E2010" s="8">
        <v>1</v>
      </c>
    </row>
    <row r="2011" spans="1:5" ht="15.75" customHeight="1" x14ac:dyDescent="0.25">
      <c r="A2011" s="6" t="s">
        <v>2000</v>
      </c>
      <c r="B2011" s="6" t="str">
        <f ca="1">IFERROR(__xludf.DUMMYFUNCTION("GOOGLETRANSLATE(A2011,""bn"",""en"")"),"Legal compliance protection against potential liability")</f>
        <v>Legal compliance protection against potential liability</v>
      </c>
      <c r="C2011" s="8" t="s">
        <v>13</v>
      </c>
      <c r="D2011" s="8" t="s">
        <v>14</v>
      </c>
      <c r="E2011" s="8">
        <v>1</v>
      </c>
    </row>
    <row r="2012" spans="1:5" ht="15.75" customHeight="1" x14ac:dyDescent="0.25">
      <c r="A2012" s="6" t="s">
        <v>2001</v>
      </c>
      <c r="B2012" s="6" t="str">
        <f ca="1">IFERROR(__xludf.DUMMYFUNCTION("GOOGLETRANSLATE(A2012,""bn"",""en"")"),"How can I believe that she loved a lawless alcoholic like Bipin")</f>
        <v>How can I believe that she loved a lawless alcoholic like Bipin</v>
      </c>
      <c r="C2012" s="7" t="s">
        <v>6</v>
      </c>
      <c r="D2012" s="7" t="s">
        <v>7</v>
      </c>
      <c r="E2012" s="7">
        <v>0</v>
      </c>
    </row>
    <row r="2013" spans="1:5" ht="15.75" customHeight="1" x14ac:dyDescent="0.25">
      <c r="A2013" s="6" t="s">
        <v>2002</v>
      </c>
      <c r="B2013" s="6" t="str">
        <f ca="1">IFERROR(__xludf.DUMMYFUNCTION("GOOGLETRANSLATE(A2013,""bn"",""en"")"),"My head is working at home")</f>
        <v>My head is working at home</v>
      </c>
      <c r="C2013" s="7" t="s">
        <v>6</v>
      </c>
      <c r="D2013" s="7" t="s">
        <v>7</v>
      </c>
      <c r="E2013" s="7">
        <v>0</v>
      </c>
    </row>
    <row r="2014" spans="1:5" ht="15.75" customHeight="1" x14ac:dyDescent="0.25">
      <c r="A2014" s="6" t="s">
        <v>2003</v>
      </c>
      <c r="B2014" s="6" t="str">
        <f ca="1">IFERROR(__xludf.DUMMYFUNCTION("GOOGLETRANSLATE(A2014,""bn"",""en"")"),"Are you not feeling well today?")</f>
        <v>Are you not feeling well today?</v>
      </c>
      <c r="C2014" s="7" t="s">
        <v>6</v>
      </c>
      <c r="D2014" s="7" t="s">
        <v>7</v>
      </c>
      <c r="E2014" s="7">
        <v>0</v>
      </c>
    </row>
    <row r="2015" spans="1:5" ht="15.75" customHeight="1" x14ac:dyDescent="0.25">
      <c r="A2015" s="6" t="s">
        <v>2004</v>
      </c>
      <c r="B2015" s="6" t="str">
        <f ca="1">IFERROR(__xludf.DUMMYFUNCTION("GOOGLETRANSLATE(A2015,""bn"",""en"")"),"Shashi went to see him in the evening")</f>
        <v>Shashi went to see him in the evening</v>
      </c>
      <c r="C2015" s="7" t="s">
        <v>6</v>
      </c>
      <c r="D2015" s="7" t="s">
        <v>7</v>
      </c>
      <c r="E2015" s="7">
        <v>0</v>
      </c>
    </row>
    <row r="2016" spans="1:5" ht="15.75" customHeight="1" x14ac:dyDescent="0.25">
      <c r="A2016" s="6" t="s">
        <v>2005</v>
      </c>
      <c r="B2016" s="6" t="str">
        <f ca="1">IFERROR(__xludf.DUMMYFUNCTION("GOOGLETRANSLATE(A2016,""bn"",""en"")"),"When the maidens started swearing, the maidens got drunk with joy")</f>
        <v>When the maidens started swearing, the maidens got drunk with joy</v>
      </c>
      <c r="C2016" s="7" t="s">
        <v>6</v>
      </c>
      <c r="D2016" s="7" t="s">
        <v>7</v>
      </c>
      <c r="E2016" s="7">
        <v>0</v>
      </c>
    </row>
    <row r="2017" spans="1:5" ht="15.75" customHeight="1" x14ac:dyDescent="0.25">
      <c r="A2017" s="6" t="s">
        <v>2006</v>
      </c>
      <c r="B2017" s="6" t="str">
        <f ca="1">IFERROR(__xludf.DUMMYFUNCTION("GOOGLETRANSLATE(A2017,""bn"",""en"")"),"Cataracts affect vision by causing clouding of the lens of the eye")</f>
        <v>Cataracts affect vision by causing clouding of the lens of the eye</v>
      </c>
      <c r="C2017" s="8" t="s">
        <v>13</v>
      </c>
      <c r="D2017" s="8" t="s">
        <v>14</v>
      </c>
      <c r="E2017" s="8">
        <v>1</v>
      </c>
    </row>
    <row r="2018" spans="1:5" ht="15.75" customHeight="1" x14ac:dyDescent="0.25">
      <c r="A2018" s="6" t="s">
        <v>2007</v>
      </c>
      <c r="B2018" s="6" t="str">
        <f ca="1">IFERROR(__xludf.DUMMYFUNCTION("GOOGLETRANSLATE(A2018,""bn"",""en"")"),"This award was started in")</f>
        <v>This award was started in</v>
      </c>
      <c r="C2018" s="8" t="s">
        <v>13</v>
      </c>
      <c r="D2018" s="8" t="s">
        <v>14</v>
      </c>
      <c r="E2018" s="8">
        <v>1</v>
      </c>
    </row>
    <row r="2019" spans="1:5" ht="15.75" customHeight="1" x14ac:dyDescent="0.25">
      <c r="A2019" s="6" t="s">
        <v>2008</v>
      </c>
      <c r="B2019" s="6" t="str">
        <f ca="1">IFERROR(__xludf.DUMMYFUNCTION("GOOGLETRANSLATE(A2019,""bn"",""en"")"),"Irtazuddin is holding the duck's throat with a frustrated face")</f>
        <v>Irtazuddin is holding the duck's throat with a frustrated face</v>
      </c>
      <c r="C2019" s="8" t="s">
        <v>13</v>
      </c>
      <c r="D2019" s="8" t="s">
        <v>14</v>
      </c>
      <c r="E2019" s="8">
        <v>1</v>
      </c>
    </row>
    <row r="2020" spans="1:5" ht="15.75" customHeight="1" x14ac:dyDescent="0.25">
      <c r="A2020" s="6" t="s">
        <v>2009</v>
      </c>
      <c r="B2020" s="6" t="str">
        <f ca="1">IFERROR(__xludf.DUMMYFUNCTION("GOOGLETRANSLATE(A2020,""bn"",""en"")"),"I hope that new opportunities will come my way in the future")</f>
        <v>I hope that new opportunities will come my way in the future</v>
      </c>
      <c r="C2020" s="8" t="s">
        <v>13</v>
      </c>
      <c r="D2020" s="8" t="s">
        <v>14</v>
      </c>
      <c r="E2020" s="8">
        <v>1</v>
      </c>
    </row>
    <row r="2021" spans="1:5" ht="15.75" customHeight="1" x14ac:dyDescent="0.25">
      <c r="A2021" s="6" t="s">
        <v>2010</v>
      </c>
      <c r="B2021" s="6" t="str">
        <f ca="1">IFERROR(__xludf.DUMMYFUNCTION("GOOGLETRANSLATE(A2021,""bn"",""en"")"),"I asked him to go to market but he didn't go.")</f>
        <v>I asked him to go to market but he didn't go.</v>
      </c>
      <c r="C2021" s="8" t="s">
        <v>13</v>
      </c>
      <c r="D2021" s="8" t="s">
        <v>14</v>
      </c>
      <c r="E2021" s="8">
        <v>1</v>
      </c>
    </row>
    <row r="2022" spans="1:5" ht="15.75" customHeight="1" x14ac:dyDescent="0.25">
      <c r="A2022" s="6" t="s">
        <v>2011</v>
      </c>
      <c r="B2022" s="6" t="str">
        <f ca="1">IFERROR(__xludf.DUMMYFUNCTION("GOOGLETRANSLATE(A2022,""bn"",""en"")"),"I knew only one verse of Mandakrantachhanda")</f>
        <v>I knew only one verse of Mandakrantachhanda</v>
      </c>
      <c r="C2022" s="7" t="s">
        <v>6</v>
      </c>
      <c r="D2022" s="7" t="s">
        <v>7</v>
      </c>
      <c r="E2022" s="7">
        <v>0</v>
      </c>
    </row>
    <row r="2023" spans="1:5" ht="15.75" customHeight="1" x14ac:dyDescent="0.25">
      <c r="A2023" s="6" t="s">
        <v>2012</v>
      </c>
      <c r="B2023" s="6" t="str">
        <f ca="1">IFERROR(__xludf.DUMMYFUNCTION("GOOGLETRANSLATE(A2023,""bn"",""en"")"),"Ronnie was not listening to me")</f>
        <v>Ronnie was not listening to me</v>
      </c>
      <c r="C2023" s="7" t="s">
        <v>6</v>
      </c>
      <c r="D2023" s="7" t="s">
        <v>7</v>
      </c>
      <c r="E2023" s="7">
        <v>0</v>
      </c>
    </row>
    <row r="2024" spans="1:5" ht="15.75" customHeight="1" x14ac:dyDescent="0.25">
      <c r="A2024" s="6" t="s">
        <v>2013</v>
      </c>
      <c r="B2024" s="6" t="str">
        <f ca="1">IFERROR(__xludf.DUMMYFUNCTION("GOOGLETRANSLATE(A2024,""bn"",""en"")"),"I have to go north south east west all directions")</f>
        <v>I have to go north south east west all directions</v>
      </c>
      <c r="C2024" s="7" t="s">
        <v>6</v>
      </c>
      <c r="D2024" s="7" t="s">
        <v>7</v>
      </c>
      <c r="E2024" s="7">
        <v>0</v>
      </c>
    </row>
    <row r="2025" spans="1:5" ht="15.75" customHeight="1" x14ac:dyDescent="0.25">
      <c r="A2025" s="6" t="s">
        <v>2014</v>
      </c>
      <c r="B2025" s="6" t="str">
        <f ca="1">IFERROR(__xludf.DUMMYFUNCTION("GOOGLETRANSLATE(A2025,""bn"",""en"")"),"Many birds can learn rhymes and songs")</f>
        <v>Many birds can learn rhymes and songs</v>
      </c>
      <c r="C2025" s="7" t="s">
        <v>6</v>
      </c>
      <c r="D2025" s="7" t="s">
        <v>7</v>
      </c>
      <c r="E2025" s="7">
        <v>0</v>
      </c>
    </row>
    <row r="2026" spans="1:5" ht="15.75" customHeight="1" x14ac:dyDescent="0.25">
      <c r="A2026" s="6" t="s">
        <v>2015</v>
      </c>
      <c r="B2026" s="6" t="str">
        <f ca="1">IFERROR(__xludf.DUMMYFUNCTION("GOOGLETRANSLATE(A2026,""bn"",""en"")"),"I'm right here baby getting my mat at the door")</f>
        <v>I'm right here baby getting my mat at the door</v>
      </c>
      <c r="C2026" s="7" t="s">
        <v>6</v>
      </c>
      <c r="D2026" s="7" t="s">
        <v>7</v>
      </c>
      <c r="E2026" s="7">
        <v>0</v>
      </c>
    </row>
    <row r="2027" spans="1:5" ht="15.75" customHeight="1" x14ac:dyDescent="0.25">
      <c r="A2027" s="6" t="s">
        <v>2016</v>
      </c>
      <c r="B2027" s="6" t="str">
        <f ca="1">IFERROR(__xludf.DUMMYFUNCTION("GOOGLETRANSLATE(A2027,""bn"",""en"")"),"Sujan's brother came to me")</f>
        <v>Sujan's brother came to me</v>
      </c>
      <c r="C2027" s="8" t="s">
        <v>13</v>
      </c>
      <c r="D2027" s="8" t="s">
        <v>14</v>
      </c>
      <c r="E2027" s="8">
        <v>1</v>
      </c>
    </row>
    <row r="2028" spans="1:5" ht="15.75" customHeight="1" x14ac:dyDescent="0.25">
      <c r="A2028" s="6" t="s">
        <v>2017</v>
      </c>
      <c r="B2028" s="6" t="str">
        <f ca="1">IFERROR(__xludf.DUMMYFUNCTION("GOOGLETRANSLATE(A2028,""bn"",""en"")"),"It looks delicious")</f>
        <v>It looks delicious</v>
      </c>
      <c r="C2028" s="8" t="s">
        <v>13</v>
      </c>
      <c r="D2028" s="8" t="s">
        <v>14</v>
      </c>
      <c r="E2028" s="8">
        <v>1</v>
      </c>
    </row>
    <row r="2029" spans="1:5" ht="15.75" customHeight="1" x14ac:dyDescent="0.25">
      <c r="A2029" s="6" t="s">
        <v>2018</v>
      </c>
      <c r="B2029" s="6" t="str">
        <f ca="1">IFERROR(__xludf.DUMMYFUNCTION("GOOGLETRANSLATE(A2029,""bn"",""en"")"),"I tried to help him in his work")</f>
        <v>I tried to help him in his work</v>
      </c>
      <c r="C2029" s="8" t="s">
        <v>13</v>
      </c>
      <c r="D2029" s="8" t="s">
        <v>14</v>
      </c>
      <c r="E2029" s="8">
        <v>1</v>
      </c>
    </row>
    <row r="2030" spans="1:5" ht="15.75" customHeight="1" x14ac:dyDescent="0.25">
      <c r="A2030" s="6" t="s">
        <v>2019</v>
      </c>
      <c r="B2030" s="6" t="str">
        <f ca="1">IFERROR(__xludf.DUMMYFUNCTION("GOOGLETRANSLATE(A2030,""bn"",""en"")"),"Janga means war Pur means city or town")</f>
        <v>Janga means war Pur means city or town</v>
      </c>
      <c r="C2030" s="8" t="s">
        <v>13</v>
      </c>
      <c r="D2030" s="8" t="s">
        <v>14</v>
      </c>
      <c r="E2030" s="8">
        <v>1</v>
      </c>
    </row>
    <row r="2031" spans="1:5" ht="15.75" customHeight="1" x14ac:dyDescent="0.25">
      <c r="A2031" s="6" t="s">
        <v>2020</v>
      </c>
      <c r="B2031" s="6" t="str">
        <f ca="1">IFERROR(__xludf.DUMMYFUNCTION("GOOGLETRANSLATE(A2031,""bn"",""en"")"),"He was the first American to win the Nobel Prize in Science")</f>
        <v>He was the first American to win the Nobel Prize in Science</v>
      </c>
      <c r="C2031" s="8" t="s">
        <v>13</v>
      </c>
      <c r="D2031" s="8" t="s">
        <v>14</v>
      </c>
      <c r="E2031" s="8">
        <v>1</v>
      </c>
    </row>
    <row r="2032" spans="1:5" ht="15.75" customHeight="1" x14ac:dyDescent="0.25">
      <c r="A2032" s="6" t="s">
        <v>2021</v>
      </c>
      <c r="B2032" s="6" t="str">
        <f ca="1">IFERROR(__xludf.DUMMYFUNCTION("GOOGLETRANSLATE(A2032,""bn"",""en"")"),"The teacher was talking to us in the classroom")</f>
        <v>The teacher was talking to us in the classroom</v>
      </c>
      <c r="C2032" s="7" t="s">
        <v>6</v>
      </c>
      <c r="D2032" s="7" t="s">
        <v>7</v>
      </c>
      <c r="E2032" s="7">
        <v>0</v>
      </c>
    </row>
    <row r="2033" spans="1:5" ht="15.75" customHeight="1" x14ac:dyDescent="0.25">
      <c r="A2033" s="6" t="s">
        <v>2022</v>
      </c>
      <c r="B2033" s="6" t="str">
        <f ca="1">IFERROR(__xludf.DUMMYFUNCTION("GOOGLETRANSLATE(A2033,""bn"",""en"")"),"He said with a smile that there was no need for me to report—he had sent me out to report")</f>
        <v>He said with a smile that there was no need for me to report—he had sent me out to report</v>
      </c>
      <c r="C2033" s="7" t="s">
        <v>6</v>
      </c>
      <c r="D2033" s="7" t="s">
        <v>7</v>
      </c>
      <c r="E2033" s="7">
        <v>0</v>
      </c>
    </row>
    <row r="2034" spans="1:5" ht="15.75" customHeight="1" x14ac:dyDescent="0.25">
      <c r="A2034" s="6" t="s">
        <v>2023</v>
      </c>
      <c r="B2034" s="6" t="str">
        <f ca="1">IFERROR(__xludf.DUMMYFUNCTION("GOOGLETRANSLATE(A2034,""bn"",""en"")"),"He was completely overwhelmed with immense shame")</f>
        <v>He was completely overwhelmed with immense shame</v>
      </c>
      <c r="C2034" s="7" t="s">
        <v>6</v>
      </c>
      <c r="D2034" s="7" t="s">
        <v>7</v>
      </c>
      <c r="E2034" s="7">
        <v>0</v>
      </c>
    </row>
    <row r="2035" spans="1:5" ht="15.75" customHeight="1" x14ac:dyDescent="0.25">
      <c r="A2035" s="6" t="s">
        <v>2024</v>
      </c>
      <c r="B2035" s="6" t="str">
        <f ca="1">IFERROR(__xludf.DUMMYFUNCTION("GOOGLETRANSLATE(A2035,""bn"",""en"")"),"We have done better than them")</f>
        <v>We have done better than them</v>
      </c>
      <c r="C2035" s="7" t="s">
        <v>6</v>
      </c>
      <c r="D2035" s="7" t="s">
        <v>7</v>
      </c>
      <c r="E2035" s="7">
        <v>0</v>
      </c>
    </row>
    <row r="2036" spans="1:5" ht="15.75" customHeight="1" x14ac:dyDescent="0.25">
      <c r="A2036" s="6" t="s">
        <v>2025</v>
      </c>
      <c r="B2036" s="6" t="str">
        <f ca="1">IFERROR(__xludf.DUMMYFUNCTION("GOOGLETRANSLATE(A2036,""bn"",""en"")"),"There is a beautiful flower tree by the river")</f>
        <v>There is a beautiful flower tree by the river</v>
      </c>
      <c r="C2036" s="7" t="s">
        <v>6</v>
      </c>
      <c r="D2036" s="7" t="s">
        <v>7</v>
      </c>
      <c r="E2036" s="7">
        <v>0</v>
      </c>
    </row>
    <row r="2037" spans="1:5" ht="15.75" customHeight="1" x14ac:dyDescent="0.25">
      <c r="A2037" s="6" t="s">
        <v>2026</v>
      </c>
      <c r="B2037" s="6" t="str">
        <f ca="1">IFERROR(__xludf.DUMMYFUNCTION("GOOGLETRANSLATE(A2037,""bn"",""en"")"),"Investing in yourself through education and personal development can lead to greater financial success")</f>
        <v>Investing in yourself through education and personal development can lead to greater financial success</v>
      </c>
      <c r="C2037" s="8" t="s">
        <v>13</v>
      </c>
      <c r="D2037" s="8" t="s">
        <v>14</v>
      </c>
      <c r="E2037" s="8">
        <v>1</v>
      </c>
    </row>
    <row r="2038" spans="1:5" ht="15.75" customHeight="1" x14ac:dyDescent="0.25">
      <c r="A2038" s="6" t="s">
        <v>2027</v>
      </c>
      <c r="B2038" s="6" t="str">
        <f ca="1">IFERROR(__xludf.DUMMYFUNCTION("GOOGLETRANSLATE(A2038,""bn"",""en"")"),"Even then he has to live with people")</f>
        <v>Even then he has to live with people</v>
      </c>
      <c r="C2038" s="8" t="s">
        <v>13</v>
      </c>
      <c r="D2038" s="8" t="s">
        <v>14</v>
      </c>
      <c r="E2038" s="8">
        <v>1</v>
      </c>
    </row>
    <row r="2039" spans="1:5" ht="15.75" customHeight="1" x14ac:dyDescent="0.25">
      <c r="A2039" s="6" t="s">
        <v>2028</v>
      </c>
      <c r="B2039" s="6" t="str">
        <f ca="1">IFERROR(__xludf.DUMMYFUNCTION("GOOGLETRANSLATE(A2039,""bn"",""en"")"),"Death Death means the end of life")</f>
        <v>Death Death means the end of life</v>
      </c>
      <c r="C2039" s="8" t="s">
        <v>13</v>
      </c>
      <c r="D2039" s="8" t="s">
        <v>14</v>
      </c>
      <c r="E2039" s="8">
        <v>1</v>
      </c>
    </row>
    <row r="2040" spans="1:5" ht="15.75" customHeight="1" x14ac:dyDescent="0.25">
      <c r="A2040" s="6" t="s">
        <v>2029</v>
      </c>
      <c r="B2040" s="6" t="str">
        <f ca="1">IFERROR(__xludf.DUMMYFUNCTION("GOOGLETRANSLATE(A2040,""bn"",""en"")"),"The Sorrow of China The Huangho River was called the Sorrow of China")</f>
        <v>The Sorrow of China The Huangho River was called the Sorrow of China</v>
      </c>
      <c r="C2040" s="8" t="s">
        <v>13</v>
      </c>
      <c r="D2040" s="8" t="s">
        <v>14</v>
      </c>
      <c r="E2040" s="8">
        <v>1</v>
      </c>
    </row>
    <row r="2041" spans="1:5" ht="15.75" customHeight="1" x14ac:dyDescent="0.25">
      <c r="A2041" s="6" t="s">
        <v>1096</v>
      </c>
      <c r="B2041" s="6" t="str">
        <f ca="1">IFERROR(__xludf.DUMMYFUNCTION("GOOGLETRANSLATE(A2041,""bn"",""en"")"),"This happens everywhere")</f>
        <v>This happens everywhere</v>
      </c>
      <c r="C2041" s="8" t="s">
        <v>13</v>
      </c>
      <c r="D2041" s="8" t="s">
        <v>14</v>
      </c>
      <c r="E2041" s="8">
        <v>1</v>
      </c>
    </row>
    <row r="2042" spans="1:5" ht="15.75" customHeight="1" x14ac:dyDescent="0.25">
      <c r="A2042" s="6" t="s">
        <v>2030</v>
      </c>
      <c r="B2042" s="6" t="str">
        <f ca="1">IFERROR(__xludf.DUMMYFUNCTION("GOOGLETRANSLATE(A2042,""bn"",""en"")"),"That young age")</f>
        <v>That young age</v>
      </c>
      <c r="C2042" s="7" t="s">
        <v>6</v>
      </c>
      <c r="D2042" s="7" t="s">
        <v>7</v>
      </c>
      <c r="E2042" s="7">
        <v>0</v>
      </c>
    </row>
    <row r="2043" spans="1:5" ht="15.75" customHeight="1" x14ac:dyDescent="0.25">
      <c r="A2043" s="6" t="s">
        <v>2031</v>
      </c>
      <c r="B2043" s="6" t="str">
        <f ca="1">IFERROR(__xludf.DUMMYFUNCTION("GOOGLETRANSLATE(A2043,""bn"",""en"")"),"I like it very much")</f>
        <v>I like it very much</v>
      </c>
      <c r="C2043" s="7" t="s">
        <v>6</v>
      </c>
      <c r="D2043" s="7" t="s">
        <v>7</v>
      </c>
      <c r="E2043" s="7">
        <v>0</v>
      </c>
    </row>
    <row r="2044" spans="1:5" ht="15.75" customHeight="1" x14ac:dyDescent="0.25">
      <c r="A2044" s="6" t="s">
        <v>2032</v>
      </c>
      <c r="B2044" s="6" t="str">
        <f ca="1">IFERROR(__xludf.DUMMYFUNCTION("GOOGLETRANSLATE(A2044,""bn"",""en"")"),"Ronnie will not go to school today")</f>
        <v>Ronnie will not go to school today</v>
      </c>
      <c r="C2044" s="7" t="s">
        <v>6</v>
      </c>
      <c r="D2044" s="7" t="s">
        <v>7</v>
      </c>
      <c r="E2044" s="7">
        <v>0</v>
      </c>
    </row>
    <row r="2045" spans="1:5" ht="15.75" customHeight="1" x14ac:dyDescent="0.25">
      <c r="A2045" s="6" t="s">
        <v>2033</v>
      </c>
      <c r="B2045" s="6" t="str">
        <f ca="1">IFERROR(__xludf.DUMMYFUNCTION("GOOGLETRANSLATE(A2045,""bn"",""en"")"),"I left the room without disturbing him")</f>
        <v>I left the room without disturbing him</v>
      </c>
      <c r="C2045" s="7" t="s">
        <v>6</v>
      </c>
      <c r="D2045" s="7" t="s">
        <v>7</v>
      </c>
      <c r="E2045" s="7">
        <v>0</v>
      </c>
    </row>
    <row r="2046" spans="1:5" ht="15.75" customHeight="1" x14ac:dyDescent="0.25">
      <c r="A2046" s="6" t="s">
        <v>2034</v>
      </c>
      <c r="B2046" s="6" t="str">
        <f ca="1">IFERROR(__xludf.DUMMYFUNCTION("GOOGLETRANSLATE(A2046,""bn"",""en"")"),"Lata Ahlad could not hide it as if she had extended the branch to show to whom")</f>
        <v>Lata Ahlad could not hide it as if she had extended the branch to show to whom</v>
      </c>
      <c r="C2046" s="7" t="s">
        <v>6</v>
      </c>
      <c r="D2046" s="7" t="s">
        <v>7</v>
      </c>
      <c r="E2046" s="7">
        <v>0</v>
      </c>
    </row>
    <row r="2047" spans="1:5" ht="15.75" customHeight="1" x14ac:dyDescent="0.25">
      <c r="A2047" s="6" t="s">
        <v>2035</v>
      </c>
      <c r="B2047" s="6" t="str">
        <f ca="1">IFERROR(__xludf.DUMMYFUNCTION("GOOGLETRANSLATE(A2047,""bn"",""en"")"),"The subsequent history is very tragic and painful")</f>
        <v>The subsequent history is very tragic and painful</v>
      </c>
      <c r="C2047" s="8" t="s">
        <v>13</v>
      </c>
      <c r="D2047" s="8" t="s">
        <v>14</v>
      </c>
      <c r="E2047" s="8">
        <v>1</v>
      </c>
    </row>
    <row r="2048" spans="1:5" ht="15.75" customHeight="1" x14ac:dyDescent="0.25">
      <c r="A2048" s="6" t="s">
        <v>2036</v>
      </c>
      <c r="B2048" s="6" t="str">
        <f ca="1">IFERROR(__xludf.DUMMYFUNCTION("GOOGLETRANSLATE(A2048,""bn"",""en"")"),"I said: You become insulted monkeys")</f>
        <v>I said: You become insulted monkeys</v>
      </c>
      <c r="C2048" s="8" t="s">
        <v>13</v>
      </c>
      <c r="D2048" s="8" t="s">
        <v>14</v>
      </c>
      <c r="E2048" s="8">
        <v>1</v>
      </c>
    </row>
    <row r="2049" spans="1:5" ht="15.75" customHeight="1" x14ac:dyDescent="0.25">
      <c r="A2049" s="6" t="s">
        <v>2037</v>
      </c>
      <c r="B2049" s="6" t="str">
        <f ca="1">IFERROR(__xludf.DUMMYFUNCTION("GOOGLETRANSLATE(A2049,""bn"",""en"")"),"Practice gratitude daily to shift your attitude toward abundance")</f>
        <v>Practice gratitude daily to shift your attitude toward abundance</v>
      </c>
      <c r="C2049" s="8" t="s">
        <v>13</v>
      </c>
      <c r="D2049" s="8" t="s">
        <v>14</v>
      </c>
      <c r="E2049" s="8">
        <v>1</v>
      </c>
    </row>
    <row r="2050" spans="1:5" ht="15.75" customHeight="1" x14ac:dyDescent="0.25">
      <c r="A2050" s="6" t="s">
        <v>2038</v>
      </c>
      <c r="B2050" s="6" t="str">
        <f ca="1">IFERROR(__xludf.DUMMYFUNCTION("GOOGLETRANSLATE(A2050,""bn"",""en"")"),"Stay true to your values ​​even when it's challenging")</f>
        <v>Stay true to your values ​​even when it's challenging</v>
      </c>
      <c r="C2050" s="8" t="s">
        <v>13</v>
      </c>
      <c r="D2050" s="8" t="s">
        <v>14</v>
      </c>
      <c r="E2050" s="8">
        <v>1</v>
      </c>
    </row>
    <row r="2051" spans="1:5" ht="15.75" customHeight="1" x14ac:dyDescent="0.25">
      <c r="A2051" s="6" t="s">
        <v>2039</v>
      </c>
      <c r="B2051" s="6" t="str">
        <f ca="1">IFERROR(__xludf.DUMMYFUNCTION("GOOGLETRANSLATE(A2051,""bn"",""en"")"),"The Red Cross also played an important role in the rescue operation")</f>
        <v>The Red Cross also played an important role in the rescue operation</v>
      </c>
      <c r="C2051" s="8" t="s">
        <v>13</v>
      </c>
      <c r="D2051" s="8" t="s">
        <v>14</v>
      </c>
      <c r="E2051" s="8">
        <v>1</v>
      </c>
    </row>
    <row r="2052" spans="1:5" ht="15.75" customHeight="1" x14ac:dyDescent="0.25">
      <c r="A2052" s="6" t="s">
        <v>2040</v>
      </c>
      <c r="B2052" s="6" t="str">
        <f ca="1">IFERROR(__xludf.DUMMYFUNCTION("GOOGLETRANSLATE(A2052,""bn"",""en"")"),"When the world was beautiful in my youth, when I smelled the fragrance of every flower")</f>
        <v>When the world was beautiful in my youth, when I smelled the fragrance of every flower</v>
      </c>
      <c r="C2052" s="7" t="s">
        <v>6</v>
      </c>
      <c r="D2052" s="7" t="s">
        <v>7</v>
      </c>
      <c r="E2052" s="7">
        <v>0</v>
      </c>
    </row>
    <row r="2053" spans="1:5" ht="15.75" customHeight="1" x14ac:dyDescent="0.25">
      <c r="A2053" s="6" t="s">
        <v>2041</v>
      </c>
      <c r="B2053" s="6" t="str">
        <f ca="1">IFERROR(__xludf.DUMMYFUNCTION("GOOGLETRANSLATE(A2053,""bn"",""en"")"),"A man lies dead on a torn bed")</f>
        <v>A man lies dead on a torn bed</v>
      </c>
      <c r="C2053" s="7" t="s">
        <v>6</v>
      </c>
      <c r="D2053" s="7" t="s">
        <v>7</v>
      </c>
      <c r="E2053" s="7">
        <v>0</v>
      </c>
    </row>
    <row r="2054" spans="1:5" ht="15.75" customHeight="1" x14ac:dyDescent="0.25">
      <c r="A2054" s="6" t="s">
        <v>2042</v>
      </c>
      <c r="B2054" s="6" t="str">
        <f ca="1">IFERROR(__xludf.DUMMYFUNCTION("GOOGLETRANSLATE(A2054,""bn"",""en"")"),"At this accident, a tear fell from the heart")</f>
        <v>At this accident, a tear fell from the heart</v>
      </c>
      <c r="C2054" s="7" t="s">
        <v>6</v>
      </c>
      <c r="D2054" s="7" t="s">
        <v>7</v>
      </c>
      <c r="E2054" s="7">
        <v>0</v>
      </c>
    </row>
    <row r="2055" spans="1:5" ht="15.75" customHeight="1" x14ac:dyDescent="0.25">
      <c r="A2055" s="6" t="s">
        <v>2043</v>
      </c>
      <c r="B2055" s="6" t="str">
        <f ca="1">IFERROR(__xludf.DUMMYFUNCTION("GOOGLETRANSLATE(A2055,""bn"",""en"")"),"Then he stood up and thinking about going away, he picked up the handbag and raised his face.")</f>
        <v>Then he stood up and thinking about going away, he picked up the handbag and raised his face.</v>
      </c>
      <c r="C2055" s="7" t="s">
        <v>6</v>
      </c>
      <c r="D2055" s="7" t="s">
        <v>7</v>
      </c>
      <c r="E2055" s="7">
        <v>0</v>
      </c>
    </row>
    <row r="2056" spans="1:5" ht="15.75" customHeight="1" x14ac:dyDescent="0.25">
      <c r="A2056" s="6" t="s">
        <v>2044</v>
      </c>
      <c r="B2056" s="6" t="str">
        <f ca="1">IFERROR(__xludf.DUMMYFUNCTION("GOOGLETRANSLATE(A2056,""bn"",""en"")"),"He has not been able to speak like he used to for the whole day today")</f>
        <v>He has not been able to speak like he used to for the whole day today</v>
      </c>
      <c r="C2056" s="7" t="s">
        <v>6</v>
      </c>
      <c r="D2056" s="7" t="s">
        <v>7</v>
      </c>
      <c r="E2056" s="7">
        <v>0</v>
      </c>
    </row>
    <row r="2057" spans="1:5" ht="15.75" customHeight="1" x14ac:dyDescent="0.25">
      <c r="A2057" s="6" t="s">
        <v>2045</v>
      </c>
      <c r="B2057" s="6" t="str">
        <f ca="1">IFERROR(__xludf.DUMMYFUNCTION("GOOGLETRANSLATE(A2057,""bn"",""en"")"),"Everyone has the same ailment – ​​cold hands and feet and body convulsions")</f>
        <v>Everyone has the same ailment – ​​cold hands and feet and body convulsions</v>
      </c>
      <c r="C2057" s="8" t="s">
        <v>13</v>
      </c>
      <c r="D2057" s="8" t="s">
        <v>14</v>
      </c>
      <c r="E2057" s="8">
        <v>1</v>
      </c>
    </row>
    <row r="2058" spans="1:5" ht="15.75" customHeight="1" x14ac:dyDescent="0.25">
      <c r="A2058" s="6" t="s">
        <v>2046</v>
      </c>
      <c r="B2058" s="6" t="str">
        <f ca="1">IFERROR(__xludf.DUMMYFUNCTION("GOOGLETRANSLATE(A2058,""bn"",""en"")"),"Who knew Dhaka city doesn't have winter at the beginning of Fayun month")</f>
        <v>Who knew Dhaka city doesn't have winter at the beginning of Fayun month</v>
      </c>
      <c r="C2058" s="8" t="s">
        <v>13</v>
      </c>
      <c r="D2058" s="8" t="s">
        <v>14</v>
      </c>
      <c r="E2058" s="8">
        <v>1</v>
      </c>
    </row>
    <row r="2059" spans="1:5" ht="15.75" customHeight="1" x14ac:dyDescent="0.25">
      <c r="A2059" s="6" t="s">
        <v>2047</v>
      </c>
      <c r="B2059" s="6" t="str">
        <f ca="1">IFERROR(__xludf.DUMMYFUNCTION("GOOGLETRANSLATE(A2059,""bn"",""en"")"),"He wants to discover something new")</f>
        <v>He wants to discover something new</v>
      </c>
      <c r="C2059" s="8" t="s">
        <v>13</v>
      </c>
      <c r="D2059" s="8" t="s">
        <v>14</v>
      </c>
      <c r="E2059" s="8">
        <v>1</v>
      </c>
    </row>
    <row r="2060" spans="1:5" ht="15.75" customHeight="1" x14ac:dyDescent="0.25">
      <c r="A2060" s="6" t="s">
        <v>2048</v>
      </c>
      <c r="B2060" s="6" t="str">
        <f ca="1">IFERROR(__xludf.DUMMYFUNCTION("GOOGLETRANSLATE(A2060,""bn"",""en"")"),"Ronnie will go to buy new clothes")</f>
        <v>Ronnie will go to buy new clothes</v>
      </c>
      <c r="C2060" s="8" t="s">
        <v>13</v>
      </c>
      <c r="D2060" s="8" t="s">
        <v>14</v>
      </c>
      <c r="E2060" s="8">
        <v>1</v>
      </c>
    </row>
    <row r="2061" spans="1:5" ht="15.75" customHeight="1" x14ac:dyDescent="0.25">
      <c r="A2061" s="6" t="s">
        <v>2049</v>
      </c>
      <c r="B2061" s="6" t="str">
        <f ca="1">IFERROR(__xludf.DUMMYFUNCTION("GOOGLETRANSLATE(A2061,""bn"",""en"")"),"This jinn was originally loyal to the creator")</f>
        <v>This jinn was originally loyal to the creator</v>
      </c>
      <c r="C2061" s="8" t="s">
        <v>13</v>
      </c>
      <c r="D2061" s="8" t="s">
        <v>14</v>
      </c>
      <c r="E2061" s="8">
        <v>1</v>
      </c>
    </row>
    <row r="2062" spans="1:5" ht="15.75" customHeight="1" x14ac:dyDescent="0.25">
      <c r="A2062" s="6" t="s">
        <v>2050</v>
      </c>
      <c r="B2062" s="6" t="str">
        <f ca="1">IFERROR(__xludf.DUMMYFUNCTION("GOOGLETRANSLATE(A2062,""bn"",""en"")"),"I have never seen such a black glow that some colbals were grazing buffalo together")</f>
        <v>I have never seen such a black glow that some colbals were grazing buffalo together</v>
      </c>
      <c r="C2062" s="7" t="s">
        <v>6</v>
      </c>
      <c r="D2062" s="7" t="s">
        <v>7</v>
      </c>
      <c r="E2062" s="7">
        <v>0</v>
      </c>
    </row>
    <row r="2063" spans="1:5" ht="15.75" customHeight="1" x14ac:dyDescent="0.25">
      <c r="A2063" s="6" t="s">
        <v>2051</v>
      </c>
      <c r="B2063" s="6" t="str">
        <f ca="1">IFERROR(__xludf.DUMMYFUNCTION("GOOGLETRANSLATE(A2063,""bn"",""en"")"),"There was a lot of talk with him")</f>
        <v>There was a lot of talk with him</v>
      </c>
      <c r="C2063" s="7" t="s">
        <v>6</v>
      </c>
      <c r="D2063" s="7" t="s">
        <v>7</v>
      </c>
      <c r="E2063" s="7">
        <v>0</v>
      </c>
    </row>
    <row r="2064" spans="1:5" ht="15.75" customHeight="1" x14ac:dyDescent="0.25">
      <c r="A2064" s="6" t="s">
        <v>2052</v>
      </c>
      <c r="B2064" s="6" t="str">
        <f ca="1">IFERROR(__xludf.DUMMYFUNCTION("GOOGLETRANSLATE(A2064,""bn"",""en"")"),"Those who have not seen his eyes will not understand what this vision is")</f>
        <v>Those who have not seen his eyes will not understand what this vision is</v>
      </c>
      <c r="C2064" s="7" t="s">
        <v>6</v>
      </c>
      <c r="D2064" s="7" t="s">
        <v>7</v>
      </c>
      <c r="E2064" s="7">
        <v>0</v>
      </c>
    </row>
    <row r="2065" spans="1:5" ht="15.75" customHeight="1" x14ac:dyDescent="0.25">
      <c r="A2065" s="6" t="s">
        <v>2053</v>
      </c>
      <c r="B2065" s="6" t="str">
        <f ca="1">IFERROR(__xludf.DUMMYFUNCTION("GOOGLETRANSLATE(A2065,""bn"",""en"")"),"I forbade him to do so")</f>
        <v>I forbade him to do so</v>
      </c>
      <c r="C2065" s="7" t="s">
        <v>6</v>
      </c>
      <c r="D2065" s="7" t="s">
        <v>7</v>
      </c>
      <c r="E2065" s="7">
        <v>0</v>
      </c>
    </row>
    <row r="2066" spans="1:5" ht="15.75" customHeight="1" x14ac:dyDescent="0.25">
      <c r="A2066" s="6" t="s">
        <v>2054</v>
      </c>
      <c r="B2066" s="6" t="str">
        <f ca="1">IFERROR(__xludf.DUMMYFUNCTION("GOOGLETRANSLATE(A2066,""bn"",""en"")"),"He used almost all the weapons in the salon to kill my hair")</f>
        <v>He used almost all the weapons in the salon to kill my hair</v>
      </c>
      <c r="C2066" s="7" t="s">
        <v>6</v>
      </c>
      <c r="D2066" s="7" t="s">
        <v>7</v>
      </c>
      <c r="E2066" s="7">
        <v>0</v>
      </c>
    </row>
    <row r="2067" spans="1:5" ht="15.75" customHeight="1" x14ac:dyDescent="0.25">
      <c r="A2067" s="6" t="s">
        <v>2055</v>
      </c>
      <c r="B2067" s="6" t="str">
        <f ca="1">IFERROR(__xludf.DUMMYFUNCTION("GOOGLETRANSLATE(A2067,""bn"",""en"")"),"News websites offer real time updates on developing stories from around the world")</f>
        <v>News websites offer real time updates on developing stories from around the world</v>
      </c>
      <c r="C2067" s="8" t="s">
        <v>13</v>
      </c>
      <c r="D2067" s="8" t="s">
        <v>14</v>
      </c>
      <c r="E2067" s="8">
        <v>1</v>
      </c>
    </row>
    <row r="2068" spans="1:5" ht="15.75" customHeight="1" x14ac:dyDescent="0.25">
      <c r="A2068" s="6" t="s">
        <v>2056</v>
      </c>
      <c r="B2068" s="6" t="str">
        <f ca="1">IFERROR(__xludf.DUMMYFUNCTION("GOOGLETRANSLATE(A2068,""bn"",""en"")"),"Freedom of the press is essential to a healthy democratic citizenry")</f>
        <v>Freedom of the press is essential to a healthy democratic citizenry</v>
      </c>
      <c r="C2068" s="8" t="s">
        <v>13</v>
      </c>
      <c r="D2068" s="8" t="s">
        <v>14</v>
      </c>
      <c r="E2068" s="8">
        <v>1</v>
      </c>
    </row>
    <row r="2069" spans="1:5" ht="15.75" customHeight="1" x14ac:dyDescent="0.25">
      <c r="A2069" s="6" t="s">
        <v>2057</v>
      </c>
      <c r="B2069" s="6" t="str">
        <f ca="1">IFERROR(__xludf.DUMMYFUNCTION("GOOGLETRANSLATE(A2069,""bn"",""en"")"),"Agricultural extension programs provide farmers with knowledge about best practices or new technologies")</f>
        <v>Agricultural extension programs provide farmers with knowledge about best practices or new technologies</v>
      </c>
      <c r="C2069" s="8" t="s">
        <v>13</v>
      </c>
      <c r="D2069" s="8" t="s">
        <v>14</v>
      </c>
      <c r="E2069" s="8">
        <v>1</v>
      </c>
    </row>
    <row r="2070" spans="1:5" ht="15.75" customHeight="1" x14ac:dyDescent="0.25">
      <c r="A2070" s="6" t="s">
        <v>2058</v>
      </c>
      <c r="B2070" s="6" t="str">
        <f ca="1">IFERROR(__xludf.DUMMYFUNCTION("GOOGLETRANSLATE(A2070,""bn"",""en"")"),"The forest was alive with the chatter of animals, each species adding its own unique voice to nature's symphony.")</f>
        <v>The forest was alive with the chatter of animals, each species adding its own unique voice to nature's symphony.</v>
      </c>
      <c r="C2070" s="8" t="s">
        <v>13</v>
      </c>
      <c r="D2070" s="8" t="s">
        <v>14</v>
      </c>
      <c r="E2070" s="8">
        <v>1</v>
      </c>
    </row>
    <row r="2071" spans="1:5" ht="15.75" customHeight="1" x14ac:dyDescent="0.25">
      <c r="A2071" s="6" t="s">
        <v>2059</v>
      </c>
      <c r="B2071" s="6" t="str">
        <f ca="1">IFERROR(__xludf.DUMMYFUNCTION("GOOGLETRANSLATE(A2071,""bn"",""en"")"),"The Persian word zari means mourning")</f>
        <v>The Persian word zari means mourning</v>
      </c>
      <c r="C2071" s="8" t="s">
        <v>13</v>
      </c>
      <c r="D2071" s="8" t="s">
        <v>14</v>
      </c>
      <c r="E2071" s="8">
        <v>1</v>
      </c>
    </row>
    <row r="2072" spans="1:5" ht="15.75" customHeight="1" x14ac:dyDescent="0.25">
      <c r="A2072" s="6" t="s">
        <v>2060</v>
      </c>
      <c r="B2072" s="6" t="str">
        <f ca="1">IFERROR(__xludf.DUMMYFUNCTION("GOOGLETRANSLATE(A2072,""bn"",""en"")"),"If there is a difference of opinion, we resort to politeness")</f>
        <v>If there is a difference of opinion, we resort to politeness</v>
      </c>
      <c r="C2072" s="7" t="s">
        <v>6</v>
      </c>
      <c r="D2072" s="7" t="s">
        <v>7</v>
      </c>
      <c r="E2072" s="7">
        <v>0</v>
      </c>
    </row>
    <row r="2073" spans="1:5" ht="15.75" customHeight="1" x14ac:dyDescent="0.25">
      <c r="A2073" s="6" t="s">
        <v>2061</v>
      </c>
      <c r="B2073" s="6" t="str">
        <f ca="1">IFERROR(__xludf.DUMMYFUNCTION("GOOGLETRANSLATE(A2073,""bn"",""en"")"),"We went to the football field")</f>
        <v>We went to the football field</v>
      </c>
      <c r="C2073" s="7" t="s">
        <v>6</v>
      </c>
      <c r="D2073" s="7" t="s">
        <v>7</v>
      </c>
      <c r="E2073" s="7">
        <v>0</v>
      </c>
    </row>
    <row r="2074" spans="1:5" ht="15.75" customHeight="1" x14ac:dyDescent="0.25">
      <c r="A2074" s="6" t="s">
        <v>2062</v>
      </c>
      <c r="B2074" s="6" t="str">
        <f ca="1">IFERROR(__xludf.DUMMYFUNCTION("GOOGLETRANSLATE(A2074,""bn"",""en"")"),"Shashi doesn't like hearing Kusum talk about flattery like a memorized bully.")</f>
        <v>Shashi doesn't like hearing Kusum talk about flattery like a memorized bully.</v>
      </c>
      <c r="C2074" s="7" t="s">
        <v>6</v>
      </c>
      <c r="D2074" s="7" t="s">
        <v>7</v>
      </c>
      <c r="E2074" s="7">
        <v>0</v>
      </c>
    </row>
    <row r="2075" spans="1:5" ht="15.75" customHeight="1" x14ac:dyDescent="0.25">
      <c r="A2075" s="6" t="s">
        <v>2063</v>
      </c>
      <c r="B2075" s="6" t="str">
        <f ca="1">IFERROR(__xludf.DUMMYFUNCTION("GOOGLETRANSLATE(A2075,""bn"",""en"")"),"He was afraid to return home alone in the dark of night")</f>
        <v>He was afraid to return home alone in the dark of night</v>
      </c>
      <c r="C2075" s="7" t="s">
        <v>6</v>
      </c>
      <c r="D2075" s="7" t="s">
        <v>7</v>
      </c>
      <c r="E2075" s="7">
        <v>0</v>
      </c>
    </row>
    <row r="2076" spans="1:5" ht="15.75" customHeight="1" x14ac:dyDescent="0.25">
      <c r="A2076" s="6" t="s">
        <v>2064</v>
      </c>
      <c r="B2076" s="6" t="str">
        <f ca="1">IFERROR(__xludf.DUMMYFUNCTION("GOOGLETRANSLATE(A2076,""bn"",""en"")"),"Suman asked me to go today")</f>
        <v>Suman asked me to go today</v>
      </c>
      <c r="C2076" s="7" t="s">
        <v>6</v>
      </c>
      <c r="D2076" s="7" t="s">
        <v>7</v>
      </c>
      <c r="E2076" s="7">
        <v>0</v>
      </c>
    </row>
    <row r="2077" spans="1:5" ht="15.75" customHeight="1" x14ac:dyDescent="0.25">
      <c r="A2077" s="6" t="s">
        <v>2065</v>
      </c>
      <c r="B2077" s="6" t="str">
        <f ca="1">IFERROR(__xludf.DUMMYFUNCTION("GOOGLETRANSLATE(A2077,""bn"",""en"")"),"You don't have to worry about it")</f>
        <v>You don't have to worry about it</v>
      </c>
      <c r="C2077" s="8" t="s">
        <v>13</v>
      </c>
      <c r="D2077" s="8" t="s">
        <v>14</v>
      </c>
      <c r="E2077" s="8">
        <v>1</v>
      </c>
    </row>
    <row r="2078" spans="1:5" ht="15.75" customHeight="1" x14ac:dyDescent="0.25">
      <c r="A2078" s="6" t="s">
        <v>2066</v>
      </c>
      <c r="B2078" s="6" t="str">
        <f ca="1">IFERROR(__xludf.DUMMYFUNCTION("GOOGLETRANSLATE(A2078,""bn"",""en"")"),"Tag someone who inspires you")</f>
        <v>Tag someone who inspires you</v>
      </c>
      <c r="C2078" s="8" t="s">
        <v>13</v>
      </c>
      <c r="D2078" s="8" t="s">
        <v>14</v>
      </c>
      <c r="E2078" s="8">
        <v>1</v>
      </c>
    </row>
    <row r="2079" spans="1:5" ht="15.75" customHeight="1" x14ac:dyDescent="0.25">
      <c r="A2079" s="6" t="s">
        <v>2067</v>
      </c>
      <c r="B2079" s="6" t="str">
        <f ca="1">IFERROR(__xludf.DUMMYFUNCTION("GOOGLETRANSLATE(A2079,""bn"",""en"")"),"You can't speak pure Bengali, you jump around with English")</f>
        <v>You can't speak pure Bengali, you jump around with English</v>
      </c>
      <c r="C2079" s="8" t="s">
        <v>13</v>
      </c>
      <c r="D2079" s="8" t="s">
        <v>14</v>
      </c>
      <c r="E2079" s="8">
        <v>1</v>
      </c>
    </row>
    <row r="2080" spans="1:5" ht="15.75" customHeight="1" x14ac:dyDescent="0.25">
      <c r="A2080" s="6" t="s">
        <v>2068</v>
      </c>
      <c r="B2080" s="6" t="str">
        <f ca="1">IFERROR(__xludf.DUMMYFUNCTION("GOOGLETRANSLATE(A2080,""bn"",""en"")"),"Talking incessantly was his disease")</f>
        <v>Talking incessantly was his disease</v>
      </c>
      <c r="C2080" s="8" t="s">
        <v>13</v>
      </c>
      <c r="D2080" s="8" t="s">
        <v>14</v>
      </c>
      <c r="E2080" s="8">
        <v>1</v>
      </c>
    </row>
    <row r="2081" spans="1:5" ht="15.75" customHeight="1" x14ac:dyDescent="0.25">
      <c r="A2081" s="6" t="s">
        <v>2069</v>
      </c>
      <c r="B2081" s="6" t="str">
        <f ca="1">IFERROR(__xludf.DUMMYFUNCTION("GOOGLETRANSLATE(A2081,""bn"",""en"")"),"Stay active for overall wellness")</f>
        <v>Stay active for overall wellness</v>
      </c>
      <c r="C2081" s="8" t="s">
        <v>13</v>
      </c>
      <c r="D2081" s="8" t="s">
        <v>14</v>
      </c>
      <c r="E2081" s="8">
        <v>1</v>
      </c>
    </row>
    <row r="2082" spans="1:5" ht="15.75" customHeight="1" x14ac:dyDescent="0.25">
      <c r="A2082" s="6" t="s">
        <v>2070</v>
      </c>
      <c r="B2082" s="6" t="str">
        <f ca="1">IFERROR(__xludf.DUMMYFUNCTION("GOOGLETRANSLATE(A2082,""bn"",""en"")"),"At first, Shashi was a little confused")</f>
        <v>At first, Shashi was a little confused</v>
      </c>
      <c r="C2082" s="7" t="s">
        <v>6</v>
      </c>
      <c r="D2082" s="7" t="s">
        <v>7</v>
      </c>
      <c r="E2082" s="7">
        <v>0</v>
      </c>
    </row>
    <row r="2083" spans="1:5" ht="15.75" customHeight="1" x14ac:dyDescent="0.25">
      <c r="A2083" s="6" t="s">
        <v>2071</v>
      </c>
      <c r="B2083" s="6" t="str">
        <f ca="1">IFERROR(__xludf.DUMMYFUNCTION("GOOGLETRANSLATE(A2083,""bn"",""en"")"),"Dad bought me this pen")</f>
        <v>Dad bought me this pen</v>
      </c>
      <c r="C2083" s="7" t="s">
        <v>6</v>
      </c>
      <c r="D2083" s="7" t="s">
        <v>7</v>
      </c>
      <c r="E2083" s="7">
        <v>0</v>
      </c>
    </row>
    <row r="2084" spans="1:5" ht="15.75" customHeight="1" x14ac:dyDescent="0.25">
      <c r="A2084" s="6" t="s">
        <v>2072</v>
      </c>
      <c r="B2084" s="6" t="str">
        <f ca="1">IFERROR(__xludf.DUMMYFUNCTION("GOOGLETRANSLATE(A2084,""bn"",""en"")"),"Krishnachandra saw Karmakara's mountains surrounded by forests of Śrīgalśrāntisabhāka Bhatveranda.")</f>
        <v>Krishnachandra saw Karmakara's mountains surrounded by forests of Śrīgalśrāntisabhāka Bhatveranda.</v>
      </c>
      <c r="C2084" s="7" t="s">
        <v>6</v>
      </c>
      <c r="D2084" s="7" t="s">
        <v>7</v>
      </c>
      <c r="E2084" s="7">
        <v>0</v>
      </c>
    </row>
    <row r="2085" spans="1:5" ht="15.75" customHeight="1" x14ac:dyDescent="0.25">
      <c r="A2085" s="6" t="s">
        <v>2073</v>
      </c>
      <c r="B2085" s="6" t="str">
        <f ca="1">IFERROR(__xludf.DUMMYFUNCTION("GOOGLETRANSLATE(A2085,""bn"",""en"")"),"The boys of my mess understood that I adore Sachish in my heart")</f>
        <v>The boys of my mess understood that I adore Sachish in my heart</v>
      </c>
      <c r="C2085" s="7" t="s">
        <v>6</v>
      </c>
      <c r="D2085" s="7" t="s">
        <v>7</v>
      </c>
      <c r="E2085" s="7">
        <v>0</v>
      </c>
    </row>
    <row r="2086" spans="1:5" ht="15.75" customHeight="1" x14ac:dyDescent="0.25">
      <c r="A2086" s="6" t="s">
        <v>2074</v>
      </c>
      <c r="B2086" s="6" t="str">
        <f ca="1">IFERROR(__xludf.DUMMYFUNCTION("GOOGLETRANSLATE(A2086,""bn"",""en"")"),"Come if you want to play football")</f>
        <v>Come if you want to play football</v>
      </c>
      <c r="C2086" s="7" t="s">
        <v>6</v>
      </c>
      <c r="D2086" s="7" t="s">
        <v>7</v>
      </c>
      <c r="E2086" s="7">
        <v>0</v>
      </c>
    </row>
    <row r="2087" spans="1:5" ht="15.75" customHeight="1" x14ac:dyDescent="0.25">
      <c r="A2087" s="6" t="s">
        <v>2075</v>
      </c>
      <c r="B2087" s="6" t="str">
        <f ca="1">IFERROR(__xludf.DUMMYFUNCTION("GOOGLETRANSLATE(A2087,""bn"",""en"")"),"I liked it")</f>
        <v>I liked it</v>
      </c>
      <c r="C2087" s="8" t="s">
        <v>13</v>
      </c>
      <c r="D2087" s="8" t="s">
        <v>14</v>
      </c>
      <c r="E2087" s="8">
        <v>1</v>
      </c>
    </row>
    <row r="2088" spans="1:5" ht="15.75" customHeight="1" x14ac:dyDescent="0.25">
      <c r="A2088" s="6" t="s">
        <v>2076</v>
      </c>
      <c r="B2088" s="6" t="str">
        <f ca="1">IFERROR(__xludf.DUMMYFUNCTION("GOOGLETRANSLATE(A2088,""bn"",""en"")"),"Adjust intensity based on fitness")</f>
        <v>Adjust intensity based on fitness</v>
      </c>
      <c r="C2088" s="8" t="s">
        <v>13</v>
      </c>
      <c r="D2088" s="8" t="s">
        <v>14</v>
      </c>
      <c r="E2088" s="8">
        <v>1</v>
      </c>
    </row>
    <row r="2089" spans="1:5" ht="15.75" customHeight="1" x14ac:dyDescent="0.25">
      <c r="A2089" s="6" t="s">
        <v>2077</v>
      </c>
      <c r="B2089" s="6" t="str">
        <f ca="1">IFERROR(__xludf.DUMMYFUNCTION("GOOGLETRANSLATE(A2089,""bn"",""en"")"),"I got out of the car and stood on the balcony when it was raining")</f>
        <v>I got out of the car and stood on the balcony when it was raining</v>
      </c>
      <c r="C2089" s="8" t="s">
        <v>13</v>
      </c>
      <c r="D2089" s="8" t="s">
        <v>14</v>
      </c>
      <c r="E2089" s="8">
        <v>1</v>
      </c>
    </row>
    <row r="2090" spans="1:5" ht="15.75" customHeight="1" x14ac:dyDescent="0.25">
      <c r="A2090" s="6" t="s">
        <v>2078</v>
      </c>
      <c r="B2090" s="6" t="str">
        <f ca="1">IFERROR(__xludf.DUMMYFUNCTION("GOOGLETRANSLATE(A2090,""bn"",""en"")"),"I will eat rice and pray")</f>
        <v>I will eat rice and pray</v>
      </c>
      <c r="C2090" s="8" t="s">
        <v>13</v>
      </c>
      <c r="D2090" s="8" t="s">
        <v>14</v>
      </c>
      <c r="E2090" s="8">
        <v>1</v>
      </c>
    </row>
    <row r="2091" spans="1:5" ht="15.75" customHeight="1" x14ac:dyDescent="0.25">
      <c r="A2091" s="6" t="s">
        <v>2079</v>
      </c>
      <c r="B2091" s="6" t="str">
        <f ca="1">IFERROR(__xludf.DUMMYFUNCTION("GOOGLETRANSLATE(A2091,""bn"",""en"")"),"I was standing on the street waiting for him")</f>
        <v>I was standing on the street waiting for him</v>
      </c>
      <c r="C2091" s="8" t="s">
        <v>13</v>
      </c>
      <c r="D2091" s="8" t="s">
        <v>14</v>
      </c>
      <c r="E2091" s="8">
        <v>1</v>
      </c>
    </row>
    <row r="2092" spans="1:5" ht="15.75" customHeight="1" x14ac:dyDescent="0.25">
      <c r="A2092" s="6" t="s">
        <v>2080</v>
      </c>
      <c r="B2092" s="6" t="str">
        <f ca="1">IFERROR(__xludf.DUMMYFUNCTION("GOOGLETRANSLATE(A2092,""bn"",""en"")"),"I was standing on the road waiting for him")</f>
        <v>I was standing on the road waiting for him</v>
      </c>
      <c r="C2092" s="7" t="s">
        <v>6</v>
      </c>
      <c r="D2092" s="7" t="s">
        <v>7</v>
      </c>
      <c r="E2092" s="7">
        <v>0</v>
      </c>
    </row>
    <row r="2093" spans="1:5" ht="15.75" customHeight="1" x14ac:dyDescent="0.25">
      <c r="A2093" s="6" t="s">
        <v>2081</v>
      </c>
      <c r="B2093" s="6" t="str">
        <f ca="1">IFERROR(__xludf.DUMMYFUNCTION("GOOGLETRANSLATE(A2093,""bn"",""en"")"),"I think about Binodini sometimes")</f>
        <v>I think about Binodini sometimes</v>
      </c>
      <c r="C2093" s="7" t="s">
        <v>6</v>
      </c>
      <c r="D2093" s="7" t="s">
        <v>7</v>
      </c>
      <c r="E2093" s="7">
        <v>0</v>
      </c>
    </row>
    <row r="2094" spans="1:5" ht="15.75" customHeight="1" x14ac:dyDescent="0.25">
      <c r="A2094" s="6" t="s">
        <v>2082</v>
      </c>
      <c r="B2094" s="6" t="str">
        <f ca="1">IFERROR(__xludf.DUMMYFUNCTION("GOOGLETRANSLATE(A2094,""bn"",""en"")"),"That's why his conversation with me goes with some enthusiasm")</f>
        <v>That's why his conversation with me goes with some enthusiasm</v>
      </c>
      <c r="C2094" s="7" t="s">
        <v>6</v>
      </c>
      <c r="D2094" s="7" t="s">
        <v>7</v>
      </c>
      <c r="E2094" s="7">
        <v>0</v>
      </c>
    </row>
    <row r="2095" spans="1:5" ht="15.75" customHeight="1" x14ac:dyDescent="0.25">
      <c r="A2095" s="6" t="s">
        <v>2083</v>
      </c>
      <c r="B2095" s="6" t="str">
        <f ca="1">IFERROR(__xludf.DUMMYFUNCTION("GOOGLETRANSLATE(A2095,""bn"",""en"")"),"Students used to make noise in the classroom for a long time")</f>
        <v>Students used to make noise in the classroom for a long time</v>
      </c>
      <c r="C2095" s="7" t="s">
        <v>6</v>
      </c>
      <c r="D2095" s="7" t="s">
        <v>7</v>
      </c>
      <c r="E2095" s="7">
        <v>0</v>
      </c>
    </row>
    <row r="2096" spans="1:5" ht="15.75" customHeight="1" x14ac:dyDescent="0.25">
      <c r="A2096" s="6" t="s">
        <v>2084</v>
      </c>
      <c r="B2096" s="6" t="str">
        <f ca="1">IFERROR(__xludf.DUMMYFUNCTION("GOOGLETRANSLATE(A2096,""bn"",""en"")"),"I had a distinct feeling that the sound sometimes reached the base of the mountain or the breast of the mountain.")</f>
        <v>I had a distinct feeling that the sound sometimes reached the base of the mountain or the breast of the mountain.</v>
      </c>
      <c r="C2096" s="7" t="s">
        <v>6</v>
      </c>
      <c r="D2096" s="7" t="s">
        <v>7</v>
      </c>
      <c r="E2096" s="7">
        <v>0</v>
      </c>
    </row>
    <row r="2097" spans="1:5" ht="15.75" customHeight="1" x14ac:dyDescent="0.25">
      <c r="A2097" s="6" t="s">
        <v>2085</v>
      </c>
      <c r="B2097" s="6" t="str">
        <f ca="1">IFERROR(__xludf.DUMMYFUNCTION("GOOGLETRANSLATE(A2097,""bn"",""en"")"),"Rahim will go for a walk early today")</f>
        <v>Rahim will go for a walk early today</v>
      </c>
      <c r="C2097" s="8" t="s">
        <v>13</v>
      </c>
      <c r="D2097" s="8" t="s">
        <v>14</v>
      </c>
      <c r="E2097" s="8">
        <v>1</v>
      </c>
    </row>
    <row r="2098" spans="1:5" ht="15.75" customHeight="1" x14ac:dyDescent="0.25">
      <c r="A2098" s="6" t="s">
        <v>2086</v>
      </c>
      <c r="B2098" s="6" t="str">
        <f ca="1">IFERROR(__xludf.DUMMYFUNCTION("GOOGLETRANSLATE(A2098,""bn"",""en"")"),"Adventure is a thrilling pursuit that often involves the excitement of risk")</f>
        <v>Adventure is a thrilling pursuit that often involves the excitement of risk</v>
      </c>
      <c r="C2098" s="8" t="s">
        <v>13</v>
      </c>
      <c r="D2098" s="8" t="s">
        <v>14</v>
      </c>
      <c r="E2098" s="8">
        <v>1</v>
      </c>
    </row>
    <row r="2099" spans="1:5" ht="15.75" customHeight="1" x14ac:dyDescent="0.25">
      <c r="A2099" s="6" t="s">
        <v>2087</v>
      </c>
      <c r="B2099" s="6" t="str">
        <f ca="1">IFERROR(__xludf.DUMMYFUNCTION("GOOGLETRANSLATE(A2099,""bn"",""en"")"),"A family of otters played in the shallows of the river, their sleek bodies moving freely through the water.")</f>
        <v>A family of otters played in the shallows of the river, their sleek bodies moving freely through the water.</v>
      </c>
      <c r="C2099" s="8" t="s">
        <v>13</v>
      </c>
      <c r="D2099" s="8" t="s">
        <v>14</v>
      </c>
      <c r="E2099" s="8">
        <v>1</v>
      </c>
    </row>
    <row r="2100" spans="1:5" ht="15.75" customHeight="1" x14ac:dyDescent="0.25">
      <c r="A2100" s="6" t="s">
        <v>2088</v>
      </c>
      <c r="B2100" s="6" t="str">
        <f ca="1">IFERROR(__xludf.DUMMYFUNCTION("GOOGLETRANSLATE(A2100,""bn"",""en"")"),"I stood under the tree and looked at its branches")</f>
        <v>I stood under the tree and looked at its branches</v>
      </c>
      <c r="C2100" s="8" t="s">
        <v>13</v>
      </c>
      <c r="D2100" s="8" t="s">
        <v>14</v>
      </c>
      <c r="E2100" s="8">
        <v>1</v>
      </c>
    </row>
    <row r="2101" spans="1:5" ht="15.75" customHeight="1" x14ac:dyDescent="0.25">
      <c r="A2101" s="6" t="s">
        <v>2089</v>
      </c>
      <c r="B2101" s="6" t="str">
        <f ca="1">IFERROR(__xludf.DUMMYFUNCTION("GOOGLETRANSLATE(A2101,""bn"",""en"")"),"Finally one day he found his father")</f>
        <v>Finally one day he found his father</v>
      </c>
      <c r="C2101" s="8" t="s">
        <v>13</v>
      </c>
      <c r="D2101" s="8" t="s">
        <v>14</v>
      </c>
      <c r="E2101" s="8">
        <v>1</v>
      </c>
    </row>
    <row r="2102" spans="1:5" ht="15.75" customHeight="1" x14ac:dyDescent="0.25">
      <c r="A2102" s="6" t="s">
        <v>2090</v>
      </c>
      <c r="B2102" s="6" t="str">
        <f ca="1">IFERROR(__xludf.DUMMYFUNCTION("GOOGLETRANSLATE(A2102,""bn"",""en"")"),"Don't smear Haru by throwing it away")</f>
        <v>Don't smear Haru by throwing it away</v>
      </c>
      <c r="C2102" s="7" t="s">
        <v>6</v>
      </c>
      <c r="D2102" s="7" t="s">
        <v>7</v>
      </c>
      <c r="E2102" s="7">
        <v>0</v>
      </c>
    </row>
    <row r="2103" spans="1:5" ht="15.75" customHeight="1" x14ac:dyDescent="0.25">
      <c r="A2103" s="6" t="s">
        <v>2091</v>
      </c>
      <c r="B2103" s="6" t="str">
        <f ca="1">IFERROR(__xludf.DUMMYFUNCTION("GOOGLETRANSLATE(A2103,""bn"",""en"")"),"I went to their house to visit his sick mother.")</f>
        <v>I went to their house to visit his sick mother.</v>
      </c>
      <c r="C2103" s="7" t="s">
        <v>6</v>
      </c>
      <c r="D2103" s="7" t="s">
        <v>7</v>
      </c>
      <c r="E2103" s="7">
        <v>0</v>
      </c>
    </row>
    <row r="2104" spans="1:5" ht="15.75" customHeight="1" x14ac:dyDescent="0.25">
      <c r="A2104" s="6" t="s">
        <v>2092</v>
      </c>
      <c r="B2104" s="6" t="str">
        <f ca="1">IFERROR(__xludf.DUMMYFUNCTION("GOOGLETRANSLATE(A2104,""bn"",""en"")"),"Again the water comes and freezes")</f>
        <v>Again the water comes and freezes</v>
      </c>
      <c r="C2104" s="7" t="s">
        <v>6</v>
      </c>
      <c r="D2104" s="7" t="s">
        <v>7</v>
      </c>
      <c r="E2104" s="7">
        <v>0</v>
      </c>
    </row>
    <row r="2105" spans="1:5" ht="15.75" customHeight="1" x14ac:dyDescent="0.25">
      <c r="A2105" s="6" t="s">
        <v>2093</v>
      </c>
      <c r="B2105" s="6" t="str">
        <f ca="1">IFERROR(__xludf.DUMMYFUNCTION("GOOGLETRANSLATE(A2105,""bn"",""en"")"),"Eight rupees, ten rupees sometimes up to fifteen rupees are spent")</f>
        <v>Eight rupees, ten rupees sometimes up to fifteen rupees are spent</v>
      </c>
      <c r="C2105" s="7" t="s">
        <v>6</v>
      </c>
      <c r="D2105" s="7" t="s">
        <v>7</v>
      </c>
      <c r="E2105" s="7">
        <v>0</v>
      </c>
    </row>
    <row r="2106" spans="1:5" ht="15.75" customHeight="1" x14ac:dyDescent="0.25">
      <c r="A2106" s="6" t="s">
        <v>2094</v>
      </c>
      <c r="B2106" s="6" t="str">
        <f ca="1">IFERROR(__xludf.DUMMYFUNCTION("GOOGLETRANSLATE(A2106,""bn"",""en"")"),"Finally the wedding day arrived")</f>
        <v>Finally the wedding day arrived</v>
      </c>
      <c r="C2106" s="7" t="s">
        <v>6</v>
      </c>
      <c r="D2106" s="7" t="s">
        <v>7</v>
      </c>
      <c r="E2106" s="7">
        <v>0</v>
      </c>
    </row>
    <row r="2107" spans="1:5" ht="15.75" customHeight="1" x14ac:dyDescent="0.25">
      <c r="A2107" s="6" t="s">
        <v>2095</v>
      </c>
      <c r="B2107" s="6" t="str">
        <f ca="1">IFERROR(__xludf.DUMMYFUNCTION("GOOGLETRANSLATE(A2107,""bn"",""en"")"),"After reciting the Qur'an, I hurried to the railway station")</f>
        <v>After reciting the Qur'an, I hurried to the railway station</v>
      </c>
      <c r="C2107" s="8" t="s">
        <v>13</v>
      </c>
      <c r="D2107" s="8" t="s">
        <v>14</v>
      </c>
      <c r="E2107" s="8">
        <v>1</v>
      </c>
    </row>
    <row r="2108" spans="1:5" ht="15.75" customHeight="1" x14ac:dyDescent="0.25">
      <c r="A2108" s="6" t="s">
        <v>2096</v>
      </c>
      <c r="B2108" s="6" t="str">
        <f ca="1">IFERROR(__xludf.DUMMYFUNCTION("GOOGLETRANSLATE(A2108,""bn"",""en"")"),"I bought her a doll for her birthday")</f>
        <v>I bought her a doll for her birthday</v>
      </c>
      <c r="C2108" s="8" t="s">
        <v>13</v>
      </c>
      <c r="D2108" s="8" t="s">
        <v>14</v>
      </c>
      <c r="E2108" s="8">
        <v>1</v>
      </c>
    </row>
    <row r="2109" spans="1:5" ht="15.75" customHeight="1" x14ac:dyDescent="0.25">
      <c r="A2109" s="6" t="s">
        <v>2097</v>
      </c>
      <c r="B2109" s="6" t="str">
        <f ca="1">IFERROR(__xludf.DUMMYFUNCTION("GOOGLETRANSLATE(A2109,""bn"",""en"")"),"Warm up before an intense workout")</f>
        <v>Warm up before an intense workout</v>
      </c>
      <c r="C2109" s="8" t="s">
        <v>13</v>
      </c>
      <c r="D2109" s="8" t="s">
        <v>14</v>
      </c>
      <c r="E2109" s="8">
        <v>1</v>
      </c>
    </row>
    <row r="2110" spans="1:5" ht="15.75" customHeight="1" x14ac:dyDescent="0.25">
      <c r="A2110" s="6" t="s">
        <v>2098</v>
      </c>
      <c r="B2110" s="6" t="str">
        <f ca="1">IFERROR(__xludf.DUMMYFUNCTION("GOOGLETRANSLATE(A2110,""bn"",""en"")"),"Assessment methods should reflect different learning styles")</f>
        <v>Assessment methods should reflect different learning styles</v>
      </c>
      <c r="C2110" s="8" t="s">
        <v>13</v>
      </c>
      <c r="D2110" s="8" t="s">
        <v>14</v>
      </c>
      <c r="E2110" s="8">
        <v>1</v>
      </c>
    </row>
    <row r="2111" spans="1:5" ht="15.75" customHeight="1" x14ac:dyDescent="0.25">
      <c r="A2111" s="6" t="s">
        <v>2099</v>
      </c>
      <c r="B2111" s="6" t="str">
        <f ca="1">IFERROR(__xludf.DUMMYFUNCTION("GOOGLETRANSLATE(A2111,""bn"",""en"")"),"Asthma causes inflammation in the airways which makes it difficult to breathe")</f>
        <v>Asthma causes inflammation in the airways which makes it difficult to breathe</v>
      </c>
      <c r="C2111" s="8" t="s">
        <v>13</v>
      </c>
      <c r="D2111" s="8" t="s">
        <v>14</v>
      </c>
      <c r="E2111" s="8">
        <v>1</v>
      </c>
    </row>
    <row r="2112" spans="1:5" ht="15.75" customHeight="1" x14ac:dyDescent="0.25">
      <c r="A2112" s="6" t="s">
        <v>2100</v>
      </c>
      <c r="B2112" s="6" t="str">
        <f ca="1">IFERROR(__xludf.DUMMYFUNCTION("GOOGLETRANSLATE(A2112,""bn"",""en"")"),"Immediately, the young women took a deep breath")</f>
        <v>Immediately, the young women took a deep breath</v>
      </c>
      <c r="C2112" s="7" t="s">
        <v>6</v>
      </c>
      <c r="D2112" s="7" t="s">
        <v>7</v>
      </c>
      <c r="E2112" s="7">
        <v>0</v>
      </c>
    </row>
    <row r="2113" spans="1:5" ht="15.75" customHeight="1" x14ac:dyDescent="0.25">
      <c r="A2113" s="6" t="s">
        <v>2101</v>
      </c>
      <c r="B2113" s="6" t="str">
        <f ca="1">IFERROR(__xludf.DUMMYFUNCTION("GOOGLETRANSLATE(A2113,""bn"",""en"")"),"Ignorance from them feels very painful")</f>
        <v>Ignorance from them feels very painful</v>
      </c>
      <c r="C2113" s="7" t="s">
        <v>6</v>
      </c>
      <c r="D2113" s="7" t="s">
        <v>7</v>
      </c>
      <c r="E2113" s="7">
        <v>0</v>
      </c>
    </row>
    <row r="2114" spans="1:5" ht="15.75" customHeight="1" x14ac:dyDescent="0.25">
      <c r="A2114" s="6" t="s">
        <v>2102</v>
      </c>
      <c r="B2114" s="6" t="str">
        <f ca="1">IFERROR(__xludf.DUMMYFUNCTION("GOOGLETRANSLATE(A2114,""bn"",""en"")"),"I like doing it")</f>
        <v>I like doing it</v>
      </c>
      <c r="C2114" s="7" t="s">
        <v>6</v>
      </c>
      <c r="D2114" s="7" t="s">
        <v>7</v>
      </c>
      <c r="E2114" s="7">
        <v>0</v>
      </c>
    </row>
    <row r="2115" spans="1:5" ht="15.75" customHeight="1" x14ac:dyDescent="0.25">
      <c r="A2115" s="6" t="s">
        <v>2103</v>
      </c>
      <c r="B2115" s="6" t="str">
        <f ca="1">IFERROR(__xludf.DUMMYFUNCTION("GOOGLETRANSLATE(A2115,""bn"",""en"")"),"Ratan was sitting at the door and waiting for this call, but he did not come home without a single call")</f>
        <v>Ratan was sitting at the door and waiting for this call, but he did not come home without a single call</v>
      </c>
      <c r="C2115" s="7" t="s">
        <v>6</v>
      </c>
      <c r="D2115" s="7" t="s">
        <v>7</v>
      </c>
      <c r="E2115" s="7">
        <v>0</v>
      </c>
    </row>
    <row r="2116" spans="1:5" ht="15.75" customHeight="1" x14ac:dyDescent="0.25">
      <c r="A2116" s="6" t="s">
        <v>2104</v>
      </c>
      <c r="B2116" s="6" t="str">
        <f ca="1">IFERROR(__xludf.DUMMYFUNCTION("GOOGLETRANSLATE(A2116,""bn"",""en"")"),"Bairagi had felt the mountain in his childhood after seeing this hill climb")</f>
        <v>Bairagi had felt the mountain in his childhood after seeing this hill climb</v>
      </c>
      <c r="C2116" s="7" t="s">
        <v>6</v>
      </c>
      <c r="D2116" s="7" t="s">
        <v>7</v>
      </c>
      <c r="E2116" s="7">
        <v>0</v>
      </c>
    </row>
    <row r="2117" spans="1:5" ht="15.75" customHeight="1" x14ac:dyDescent="0.25">
      <c r="A2117" s="6" t="s">
        <v>2105</v>
      </c>
      <c r="B2117" s="6" t="str">
        <f ca="1">IFERROR(__xludf.DUMMYFUNCTION("GOOGLETRANSLATE(A2117,""bn"",""en"")"),"Irritable Bowel Syndrome IBS is a gastrointestinal disorder characterized by abdominal pain and changes in bowel habits.")</f>
        <v>Irritable Bowel Syndrome IBS is a gastrointestinal disorder characterized by abdominal pain and changes in bowel habits.</v>
      </c>
      <c r="C2117" s="8" t="s">
        <v>13</v>
      </c>
      <c r="D2117" s="8" t="s">
        <v>14</v>
      </c>
      <c r="E2117" s="8">
        <v>1</v>
      </c>
    </row>
    <row r="2118" spans="1:5" ht="15.75" customHeight="1" x14ac:dyDescent="0.25">
      <c r="A2118" s="6" t="s">
        <v>2106</v>
      </c>
      <c r="B2118" s="6" t="str">
        <f ca="1">IFERROR(__xludf.DUMMYFUNCTION("GOOGLETRANSLATE(A2118,""bn"",""en"")"),"Thinking about how to tell the story in class tomorrow makes her head spin")</f>
        <v>Thinking about how to tell the story in class tomorrow makes her head spin</v>
      </c>
      <c r="C2118" s="8" t="s">
        <v>13</v>
      </c>
      <c r="D2118" s="8" t="s">
        <v>14</v>
      </c>
      <c r="E2118" s="8">
        <v>1</v>
      </c>
    </row>
    <row r="2119" spans="1:5" ht="15.75" customHeight="1" x14ac:dyDescent="0.25">
      <c r="A2119" s="6" t="s">
        <v>2107</v>
      </c>
      <c r="B2119" s="6" t="str">
        <f ca="1">IFERROR(__xludf.DUMMYFUNCTION("GOOGLETRANSLATE(A2119,""bn"",""en"")"),"Newspaper website headlines are constantly updated to reflect the latest news")</f>
        <v>Newspaper website headlines are constantly updated to reflect the latest news</v>
      </c>
      <c r="C2119" s="8" t="s">
        <v>13</v>
      </c>
      <c r="D2119" s="8" t="s">
        <v>14</v>
      </c>
      <c r="E2119" s="8">
        <v>1</v>
      </c>
    </row>
    <row r="2120" spans="1:5" ht="15.75" customHeight="1" x14ac:dyDescent="0.25">
      <c r="A2120" s="6" t="s">
        <v>2108</v>
      </c>
      <c r="B2120" s="6" t="str">
        <f ca="1">IFERROR(__xludf.DUMMYFUNCTION("GOOGLETRANSLATE(A2120,""bn"",""en"")"),"Karim asked me to go to school")</f>
        <v>Karim asked me to go to school</v>
      </c>
      <c r="C2120" s="8" t="s">
        <v>13</v>
      </c>
      <c r="D2120" s="8" t="s">
        <v>14</v>
      </c>
      <c r="E2120" s="8">
        <v>1</v>
      </c>
    </row>
    <row r="2121" spans="1:5" ht="15.75" customHeight="1" x14ac:dyDescent="0.25">
      <c r="A2121" s="6" t="s">
        <v>2109</v>
      </c>
      <c r="B2121" s="6" t="str">
        <f ca="1">IFERROR(__xludf.DUMMYFUNCTION("GOOGLETRANSLATE(A2121,""bn"",""en"")"),"Safi took me to school")</f>
        <v>Safi took me to school</v>
      </c>
      <c r="C2121" s="8" t="s">
        <v>13</v>
      </c>
      <c r="D2121" s="8" t="s">
        <v>14</v>
      </c>
      <c r="E2121" s="8">
        <v>1</v>
      </c>
    </row>
    <row r="2122" spans="1:5" ht="15.75" customHeight="1" x14ac:dyDescent="0.25">
      <c r="A2122" s="6" t="s">
        <v>2110</v>
      </c>
      <c r="B2122" s="6" t="str">
        <f ca="1">IFERROR(__xludf.DUMMYFUNCTION("GOOGLETRANSLATE(A2122,""bn"",""en"")"),"I can't decide what's ugly to look at")</f>
        <v>I can't decide what's ugly to look at</v>
      </c>
      <c r="C2122" s="7" t="s">
        <v>6</v>
      </c>
      <c r="D2122" s="7" t="s">
        <v>7</v>
      </c>
      <c r="E2122" s="7">
        <v>0</v>
      </c>
    </row>
    <row r="2123" spans="1:5" ht="15.75" customHeight="1" x14ac:dyDescent="0.25">
      <c r="A2123" s="6" t="s">
        <v>2111</v>
      </c>
      <c r="B2123" s="6" t="str">
        <f ca="1">IFERROR(__xludf.DUMMYFUNCTION("GOOGLETRANSLATE(A2123,""bn"",""en"")"),"Seeing him, Kabuliwala was at first stunned, unable to recall their old conversation.")</f>
        <v>Seeing him, Kabuliwala was at first stunned, unable to recall their old conversation.</v>
      </c>
      <c r="C2123" s="7" t="s">
        <v>6</v>
      </c>
      <c r="D2123" s="7" t="s">
        <v>7</v>
      </c>
      <c r="E2123" s="7">
        <v>0</v>
      </c>
    </row>
    <row r="2124" spans="1:5" ht="15.75" customHeight="1" x14ac:dyDescent="0.25">
      <c r="A2124" s="6" t="s">
        <v>2112</v>
      </c>
      <c r="B2124" s="6" t="str">
        <f ca="1">IFERROR(__xludf.DUMMYFUNCTION("GOOGLETRANSLATE(A2124,""bn"",""en"")"),"Biswambharbabu took him almost in his arms and took him to the inner city")</f>
        <v>Biswambharbabu took him almost in his arms and took him to the inner city</v>
      </c>
      <c r="C2124" s="7" t="s">
        <v>6</v>
      </c>
      <c r="D2124" s="7" t="s">
        <v>7</v>
      </c>
      <c r="E2124" s="7">
        <v>0</v>
      </c>
    </row>
    <row r="2125" spans="1:5" ht="15.75" customHeight="1" x14ac:dyDescent="0.25">
      <c r="A2125" s="6" t="s">
        <v>2113</v>
      </c>
      <c r="B2125" s="6" t="str">
        <f ca="1">IFERROR(__xludf.DUMMYFUNCTION("GOOGLETRANSLATE(A2125,""bn"",""en"")"),"I can't see it, so if I have time, I will say two things")</f>
        <v>I can't see it, so if I have time, I will say two things</v>
      </c>
      <c r="C2125" s="7" t="s">
        <v>6</v>
      </c>
      <c r="D2125" s="7" t="s">
        <v>7</v>
      </c>
      <c r="E2125" s="7">
        <v>0</v>
      </c>
    </row>
    <row r="2126" spans="1:5" ht="15.75" customHeight="1" x14ac:dyDescent="0.25">
      <c r="A2126" s="6" t="s">
        <v>2114</v>
      </c>
      <c r="B2126" s="6" t="str">
        <f ca="1">IFERROR(__xludf.DUMMYFUNCTION("GOOGLETRANSLATE(A2126,""bn"",""en"")"),"My mother went to Shawn's house")</f>
        <v>My mother went to Shawn's house</v>
      </c>
      <c r="C2126" s="7" t="s">
        <v>6</v>
      </c>
      <c r="D2126" s="7" t="s">
        <v>7</v>
      </c>
      <c r="E2126" s="7">
        <v>0</v>
      </c>
    </row>
    <row r="2127" spans="1:5" ht="15.75" customHeight="1" x14ac:dyDescent="0.25">
      <c r="A2127" s="6" t="s">
        <v>2115</v>
      </c>
      <c r="B2127" s="6" t="str">
        <f ca="1">IFERROR(__xludf.DUMMYFUNCTION("GOOGLETRANSLATE(A2127,""bn"",""en"")"),"He told me a lie")</f>
        <v>He told me a lie</v>
      </c>
      <c r="C2127" s="8" t="s">
        <v>13</v>
      </c>
      <c r="D2127" s="8" t="s">
        <v>14</v>
      </c>
      <c r="E2127" s="8">
        <v>1</v>
      </c>
    </row>
    <row r="2128" spans="1:5" ht="15.75" customHeight="1" x14ac:dyDescent="0.25">
      <c r="A2128" s="6" t="s">
        <v>2116</v>
      </c>
      <c r="B2128" s="6" t="str">
        <f ca="1">IFERROR(__xludf.DUMMYFUNCTION("GOOGLETRANSLATE(A2128,""bn"",""en"")"),"Effective delegation encourages autonomy by empowering team members")</f>
        <v>Effective delegation encourages autonomy by empowering team members</v>
      </c>
      <c r="C2128" s="8" t="s">
        <v>13</v>
      </c>
      <c r="D2128" s="8" t="s">
        <v>14</v>
      </c>
      <c r="E2128" s="8">
        <v>1</v>
      </c>
    </row>
    <row r="2129" spans="1:5" ht="15.75" customHeight="1" x14ac:dyDescent="0.25">
      <c r="A2129" s="6" t="s">
        <v>2117</v>
      </c>
      <c r="B2129" s="6" t="str">
        <f ca="1">IFERROR(__xludf.DUMMYFUNCTION("GOOGLETRANSLATE(A2129,""bn"",""en"")"),"He took the newspaper from the table and went to the outer room.")</f>
        <v>He took the newspaper from the table and went to the outer room.</v>
      </c>
      <c r="C2129" s="8" t="s">
        <v>13</v>
      </c>
      <c r="D2129" s="8" t="s">
        <v>14</v>
      </c>
      <c r="E2129" s="8">
        <v>1</v>
      </c>
    </row>
    <row r="2130" spans="1:5" ht="15.75" customHeight="1" x14ac:dyDescent="0.25">
      <c r="A2130" s="6" t="s">
        <v>2118</v>
      </c>
      <c r="B2130" s="6" t="str">
        <f ca="1">IFERROR(__xludf.DUMMYFUNCTION("GOOGLETRANSLATE(A2130,""bn"",""en"")"),"While sleeping he had a strange dream")</f>
        <v>While sleeping he had a strange dream</v>
      </c>
      <c r="C2130" s="8" t="s">
        <v>13</v>
      </c>
      <c r="D2130" s="8" t="s">
        <v>14</v>
      </c>
      <c r="E2130" s="8">
        <v>1</v>
      </c>
    </row>
    <row r="2131" spans="1:5" ht="15.75" customHeight="1" x14ac:dyDescent="0.25">
      <c r="A2131" s="6" t="s">
        <v>2119</v>
      </c>
      <c r="B2131" s="6" t="str">
        <f ca="1">IFERROR(__xludf.DUMMYFUNCTION("GOOGLETRANSLATE(A2131,""bn"",""en"")"),"The word Mughal comes from Arabic Persian")</f>
        <v>The word Mughal comes from Arabic Persian</v>
      </c>
      <c r="C2131" s="8" t="s">
        <v>13</v>
      </c>
      <c r="D2131" s="8" t="s">
        <v>14</v>
      </c>
      <c r="E2131" s="8">
        <v>1</v>
      </c>
    </row>
    <row r="2132" spans="1:5" ht="15.75" customHeight="1" x14ac:dyDescent="0.25">
      <c r="A2132" s="6" t="s">
        <v>2120</v>
      </c>
      <c r="B2132" s="6" t="str">
        <f ca="1">IFERROR(__xludf.DUMMYFUNCTION("GOOGLETRANSLATE(A2132,""bn"",""en"")"),"Now I praise the horse whose fortune is hard rock")</f>
        <v>Now I praise the horse whose fortune is hard rock</v>
      </c>
      <c r="C2132" s="7" t="s">
        <v>6</v>
      </c>
      <c r="D2132" s="7" t="s">
        <v>7</v>
      </c>
      <c r="E2132" s="7">
        <v>0</v>
      </c>
    </row>
    <row r="2133" spans="1:5" ht="15.75" customHeight="1" x14ac:dyDescent="0.25">
      <c r="A2133" s="6" t="s">
        <v>2121</v>
      </c>
      <c r="B2133" s="6" t="str">
        <f ca="1">IFERROR(__xludf.DUMMYFUNCTION("GOOGLETRANSLATE(A2133,""bn"",""en"")"),"Hearing the cries of the afflicted household, the old man entered his mansion.")</f>
        <v>Hearing the cries of the afflicted household, the old man entered his mansion.</v>
      </c>
      <c r="C2133" s="7" t="s">
        <v>6</v>
      </c>
      <c r="D2133" s="7" t="s">
        <v>7</v>
      </c>
      <c r="E2133" s="7">
        <v>0</v>
      </c>
    </row>
    <row r="2134" spans="1:5" ht="15.75" customHeight="1" x14ac:dyDescent="0.25">
      <c r="A2134" s="6" t="s">
        <v>2122</v>
      </c>
      <c r="B2134" s="6" t="str">
        <f ca="1">IFERROR(__xludf.DUMMYFUNCTION("GOOGLETRANSLATE(A2134,""bn"",""en"")"),"will you go with me")</f>
        <v>will you go with me</v>
      </c>
      <c r="C2134" s="7" t="s">
        <v>6</v>
      </c>
      <c r="D2134" s="7" t="s">
        <v>7</v>
      </c>
      <c r="E2134" s="7">
        <v>0</v>
      </c>
    </row>
    <row r="2135" spans="1:5" ht="15.75" customHeight="1" x14ac:dyDescent="0.25">
      <c r="A2135" s="6" t="s">
        <v>2123</v>
      </c>
      <c r="B2135" s="6" t="str">
        <f ca="1">IFERROR(__xludf.DUMMYFUNCTION("GOOGLETRANSLATE(A2135,""bn"",""en"")"),"During the month of Phalgun Chaitra, dust blows in the wind and discolors the trees on both sides")</f>
        <v>During the month of Phalgun Chaitra, dust blows in the wind and discolors the trees on both sides</v>
      </c>
      <c r="C2135" s="7" t="s">
        <v>6</v>
      </c>
      <c r="D2135" s="7" t="s">
        <v>7</v>
      </c>
      <c r="E2135" s="7">
        <v>0</v>
      </c>
    </row>
    <row r="2136" spans="1:5" ht="15.75" customHeight="1" x14ac:dyDescent="0.25">
      <c r="A2136" s="6" t="s">
        <v>2124</v>
      </c>
      <c r="B2136" s="6" t="str">
        <f ca="1">IFERROR(__xludf.DUMMYFUNCTION("GOOGLETRANSLATE(A2136,""bn"",""en"")"),"The bad boy won't be walking around dressed up and tipped at the time of his death")</f>
        <v>The bad boy won't be walking around dressed up and tipped at the time of his death</v>
      </c>
      <c r="C2136" s="7" t="s">
        <v>6</v>
      </c>
      <c r="D2136" s="7" t="s">
        <v>7</v>
      </c>
      <c r="E2136" s="7">
        <v>0</v>
      </c>
    </row>
    <row r="2137" spans="1:5" ht="15.75" customHeight="1" x14ac:dyDescent="0.25">
      <c r="A2137" s="6" t="s">
        <v>2125</v>
      </c>
      <c r="B2137" s="6" t="str">
        <f ca="1">IFERROR(__xludf.DUMMYFUNCTION("GOOGLETRANSLATE(A2137,""bn"",""en"")"),"Rana went to play early this morning")</f>
        <v>Rana went to play early this morning</v>
      </c>
      <c r="C2137" s="8" t="s">
        <v>13</v>
      </c>
      <c r="D2137" s="8" t="s">
        <v>14</v>
      </c>
      <c r="E2137" s="8">
        <v>1</v>
      </c>
    </row>
    <row r="2138" spans="1:5" ht="15.75" customHeight="1" x14ac:dyDescent="0.25">
      <c r="A2138" s="6" t="s">
        <v>2126</v>
      </c>
      <c r="B2138" s="6" t="str">
        <f ca="1">IFERROR(__xludf.DUMMYFUNCTION("GOOGLETRANSLATE(A2138,""bn"",""en"")"),"Psoriasis is a chronic skin condition characterized by red scaly patches that itch and can be painful.")</f>
        <v>Psoriasis is a chronic skin condition characterized by red scaly patches that itch and can be painful.</v>
      </c>
      <c r="C2138" s="8" t="s">
        <v>13</v>
      </c>
      <c r="D2138" s="8" t="s">
        <v>14</v>
      </c>
      <c r="E2138" s="8">
        <v>1</v>
      </c>
    </row>
    <row r="2139" spans="1:5" ht="15.75" customHeight="1" x14ac:dyDescent="0.25">
      <c r="A2139" s="6" t="s">
        <v>2127</v>
      </c>
      <c r="B2139" s="6" t="str">
        <f ca="1">IFERROR(__xludf.DUMMYFUNCTION("GOOGLETRANSLATE(A2139,""bn"",""en"")"),"Even then, their territoriality is revealed")</f>
        <v>Even then, their territoriality is revealed</v>
      </c>
      <c r="C2139" s="8" t="s">
        <v>13</v>
      </c>
      <c r="D2139" s="8" t="s">
        <v>14</v>
      </c>
      <c r="E2139" s="8">
        <v>1</v>
      </c>
    </row>
    <row r="2140" spans="1:5" ht="15.75" customHeight="1" x14ac:dyDescent="0.25">
      <c r="A2140" s="6" t="s">
        <v>2128</v>
      </c>
      <c r="B2140" s="6" t="str">
        <f ca="1">IFERROR(__xludf.DUMMYFUNCTION("GOOGLETRANSLATE(A2140,""bn"",""en"")"),"Listening to music is sometimes a pleasure")</f>
        <v>Listening to music is sometimes a pleasure</v>
      </c>
      <c r="C2140" s="8" t="s">
        <v>13</v>
      </c>
      <c r="D2140" s="8" t="s">
        <v>14</v>
      </c>
      <c r="E2140" s="8">
        <v>1</v>
      </c>
    </row>
    <row r="2141" spans="1:5" ht="15.75" customHeight="1" x14ac:dyDescent="0.25">
      <c r="A2141" s="6" t="s">
        <v>2129</v>
      </c>
      <c r="B2141" s="6" t="str">
        <f ca="1">IFERROR(__xludf.DUMMYFUNCTION("GOOGLETRANSLATE(A2141,""bn"",""en"")"),"In 20 years he became an Honorary in Sanskrit")</f>
        <v>In 20 years he became an Honorary in Sanskrit</v>
      </c>
      <c r="C2141" s="8" t="s">
        <v>13</v>
      </c>
      <c r="D2141" s="8" t="s">
        <v>14</v>
      </c>
      <c r="E2141" s="8">
        <v>1</v>
      </c>
    </row>
    <row r="2142" spans="1:5" ht="15.75" customHeight="1" x14ac:dyDescent="0.25">
      <c r="A2142" s="6" t="s">
        <v>2130</v>
      </c>
      <c r="B2142" s="6" t="str">
        <f ca="1">IFERROR(__xludf.DUMMYFUNCTION("GOOGLETRANSLATE(A2142,""bn"",""en"")"),"By overcoming the odds, he has been able to reach the ultimate root of success today")</f>
        <v>By overcoming the odds, he has been able to reach the ultimate root of success today</v>
      </c>
      <c r="C2142" s="7" t="s">
        <v>6</v>
      </c>
      <c r="D2142" s="7" t="s">
        <v>7</v>
      </c>
      <c r="E2142" s="7">
        <v>0</v>
      </c>
    </row>
    <row r="2143" spans="1:5" ht="15.75" customHeight="1" x14ac:dyDescent="0.25">
      <c r="A2143" s="6" t="s">
        <v>2131</v>
      </c>
      <c r="B2143" s="6" t="str">
        <f ca="1">IFERROR(__xludf.DUMMYFUNCTION("GOOGLETRANSLATE(A2143,""bn"",""en"")"),"I got angry not getting any new information about the actions of the rest")</f>
        <v>I got angry not getting any new information about the actions of the rest</v>
      </c>
      <c r="C2143" s="7" t="s">
        <v>6</v>
      </c>
      <c r="D2143" s="7" t="s">
        <v>7</v>
      </c>
      <c r="E2143" s="7">
        <v>0</v>
      </c>
    </row>
    <row r="2144" spans="1:5" ht="15.75" customHeight="1" x14ac:dyDescent="0.25">
      <c r="A2144" s="6" t="s">
        <v>2132</v>
      </c>
      <c r="B2144" s="6" t="str">
        <f ca="1">IFERROR(__xludf.DUMMYFUNCTION("GOOGLETRANSLATE(A2144,""bn"",""en"")"),"He is ready to go home the next day at noon")</f>
        <v>He is ready to go home the next day at noon</v>
      </c>
      <c r="C2144" s="7" t="s">
        <v>6</v>
      </c>
      <c r="D2144" s="7" t="s">
        <v>7</v>
      </c>
      <c r="E2144" s="7">
        <v>0</v>
      </c>
    </row>
    <row r="2145" spans="1:5" ht="15.75" customHeight="1" x14ac:dyDescent="0.25">
      <c r="A2145" s="6" t="s">
        <v>2133</v>
      </c>
      <c r="B2145" s="6" t="str">
        <f ca="1">IFERROR(__xludf.DUMMYFUNCTION("GOOGLETRANSLATE(A2145,""bn"",""en"")"),"I can't say what people feel when they say mountains and forests")</f>
        <v>I can't say what people feel when they say mountains and forests</v>
      </c>
      <c r="C2145" s="7" t="s">
        <v>6</v>
      </c>
      <c r="D2145" s="7" t="s">
        <v>7</v>
      </c>
      <c r="E2145" s="7">
        <v>0</v>
      </c>
    </row>
    <row r="2146" spans="1:5" ht="15.75" customHeight="1" x14ac:dyDescent="0.25">
      <c r="A2146" s="6" t="s">
        <v>2134</v>
      </c>
      <c r="B2146" s="6" t="str">
        <f ca="1">IFERROR(__xludf.DUMMYFUNCTION("GOOGLETRANSLATE(A2146,""bn"",""en"")"),"After many days I saw that beauty in a baby goat and hugged him with joy")</f>
        <v>After many days I saw that beauty in a baby goat and hugged him with joy</v>
      </c>
      <c r="C2146" s="7" t="s">
        <v>6</v>
      </c>
      <c r="D2146" s="7" t="s">
        <v>7</v>
      </c>
      <c r="E2146" s="7">
        <v>0</v>
      </c>
    </row>
    <row r="2147" spans="1:5" ht="15.75" customHeight="1" x14ac:dyDescent="0.25">
      <c r="A2147" s="6" t="s">
        <v>2135</v>
      </c>
      <c r="B2147" s="6" t="str">
        <f ca="1">IFERROR(__xludf.DUMMYFUNCTION("GOOGLETRANSLATE(A2147,""bn"",""en"")"),"Building an emergency fund can help you weather financial storms without going into debt")</f>
        <v>Building an emergency fund can help you weather financial storms without going into debt</v>
      </c>
      <c r="C2147" s="8" t="s">
        <v>13</v>
      </c>
      <c r="D2147" s="8" t="s">
        <v>14</v>
      </c>
      <c r="E2147" s="8">
        <v>1</v>
      </c>
    </row>
    <row r="2148" spans="1:5" ht="15.75" customHeight="1" x14ac:dyDescent="0.25">
      <c r="A2148" s="6" t="s">
        <v>2136</v>
      </c>
      <c r="B2148" s="6" t="str">
        <f ca="1">IFERROR(__xludf.DUMMYFUNCTION("GOOGLETRANSLATE(A2148,""bn"",""en"")"),"The reason for Shahed's quarrel with Asmani is very trivial")</f>
        <v>The reason for Shahed's quarrel with Asmani is very trivial</v>
      </c>
      <c r="C2148" s="8" t="s">
        <v>13</v>
      </c>
      <c r="D2148" s="8" t="s">
        <v>14</v>
      </c>
      <c r="E2148" s="8">
        <v>1</v>
      </c>
    </row>
    <row r="2149" spans="1:5" ht="15.75" customHeight="1" x14ac:dyDescent="0.25">
      <c r="A2149" s="6" t="s">
        <v>2137</v>
      </c>
      <c r="B2149" s="6" t="str">
        <f ca="1">IFERROR(__xludf.DUMMYFUNCTION("GOOGLETRANSLATE(A2149,""bn"",""en"")"),"I have always loved reading books")</f>
        <v>I have always loved reading books</v>
      </c>
      <c r="C2149" s="8" t="s">
        <v>13</v>
      </c>
      <c r="D2149" s="8" t="s">
        <v>14</v>
      </c>
      <c r="E2149" s="8">
        <v>1</v>
      </c>
    </row>
    <row r="2150" spans="1:5" ht="15.75" customHeight="1" x14ac:dyDescent="0.25">
      <c r="A2150" s="6" t="s">
        <v>2138</v>
      </c>
      <c r="B2150" s="6" t="str">
        <f ca="1">IFERROR(__xludf.DUMMYFUNCTION("GOOGLETRANSLATE(A2150,""bn"",""en"")"),"My readers are like the branches of the banyan tree")</f>
        <v>My readers are like the branches of the banyan tree</v>
      </c>
      <c r="C2150" s="8" t="s">
        <v>13</v>
      </c>
      <c r="D2150" s="8" t="s">
        <v>14</v>
      </c>
      <c r="E2150" s="8">
        <v>1</v>
      </c>
    </row>
    <row r="2151" spans="1:5" ht="15.75" customHeight="1" x14ac:dyDescent="0.25">
      <c r="A2151" s="6" t="s">
        <v>1533</v>
      </c>
      <c r="B2151" s="6" t="str">
        <f ca="1">IFERROR(__xludf.DUMMYFUNCTION("GOOGLETRANSLATE(A2151,""bn"",""en"")"),"He won the Nobel Prize in Physics in")</f>
        <v>He won the Nobel Prize in Physics in</v>
      </c>
      <c r="C2151" s="8" t="s">
        <v>13</v>
      </c>
      <c r="D2151" s="8" t="s">
        <v>14</v>
      </c>
      <c r="E2151" s="8">
        <v>1</v>
      </c>
    </row>
    <row r="2152" spans="1:5" ht="15.75" customHeight="1" x14ac:dyDescent="0.25">
      <c r="A2152" s="6" t="s">
        <v>2139</v>
      </c>
      <c r="B2152" s="6" t="str">
        <f ca="1">IFERROR(__xludf.DUMMYFUNCTION("GOOGLETRANSLATE(A2152,""bn"",""en"")"),"I requested him to come to my house")</f>
        <v>I requested him to come to my house</v>
      </c>
      <c r="C2152" s="7" t="s">
        <v>6</v>
      </c>
      <c r="D2152" s="7" t="s">
        <v>7</v>
      </c>
      <c r="E2152" s="7">
        <v>0</v>
      </c>
    </row>
    <row r="2153" spans="1:5" ht="15.75" customHeight="1" x14ac:dyDescent="0.25">
      <c r="A2153" s="6" t="s">
        <v>2140</v>
      </c>
      <c r="B2153" s="6" t="str">
        <f ca="1">IFERROR(__xludf.DUMMYFUNCTION("GOOGLETRANSLATE(A2153,""bn"",""en"")"),"He has complete faith in everyone")</f>
        <v>He has complete faith in everyone</v>
      </c>
      <c r="C2153" s="7" t="s">
        <v>6</v>
      </c>
      <c r="D2153" s="7" t="s">
        <v>7</v>
      </c>
      <c r="E2153" s="7">
        <v>0</v>
      </c>
    </row>
    <row r="2154" spans="1:5" ht="15.75" customHeight="1" x14ac:dyDescent="0.25">
      <c r="A2154" s="6" t="s">
        <v>2141</v>
      </c>
      <c r="B2154" s="6" t="str">
        <f ca="1">IFERROR(__xludf.DUMMYFUNCTION("GOOGLETRANSLATE(A2154,""bn"",""en"")"),"There is no intersection of forest everywhere on the mountain")</f>
        <v>There is no intersection of forest everywhere on the mountain</v>
      </c>
      <c r="C2154" s="7" t="s">
        <v>6</v>
      </c>
      <c r="D2154" s="7" t="s">
        <v>7</v>
      </c>
      <c r="E2154" s="7">
        <v>0</v>
      </c>
    </row>
    <row r="2155" spans="1:5" ht="15.75" customHeight="1" x14ac:dyDescent="0.25">
      <c r="A2155" s="6" t="s">
        <v>2142</v>
      </c>
      <c r="B2155" s="6" t="str">
        <f ca="1">IFERROR(__xludf.DUMMYFUNCTION("GOOGLETRANSLATE(A2155,""bn"",""en"")"),"In the hull of the boat that sway reaches like the restlessness of a living soul")</f>
        <v>In the hull of the boat that sway reaches like the restlessness of a living soul</v>
      </c>
      <c r="C2155" s="7" t="s">
        <v>6</v>
      </c>
      <c r="D2155" s="7" t="s">
        <v>7</v>
      </c>
      <c r="E2155" s="7">
        <v>0</v>
      </c>
    </row>
    <row r="2156" spans="1:5" ht="15.75" customHeight="1" x14ac:dyDescent="0.25">
      <c r="A2156" s="6" t="s">
        <v>2143</v>
      </c>
      <c r="B2156" s="6" t="str">
        <f ca="1">IFERROR(__xludf.DUMMYFUNCTION("GOOGLETRANSLATE(A2156,""bn"",""en"")"),"After five months passed, he made the arrangements so that the debt burden would not increase")</f>
        <v>After five months passed, he made the arrangements so that the debt burden would not increase</v>
      </c>
      <c r="C2156" s="7" t="s">
        <v>6</v>
      </c>
      <c r="D2156" s="7" t="s">
        <v>7</v>
      </c>
      <c r="E2156" s="7">
        <v>0</v>
      </c>
    </row>
    <row r="2157" spans="1:5" ht="15.75" customHeight="1" x14ac:dyDescent="0.25">
      <c r="A2157" s="6" t="s">
        <v>2144</v>
      </c>
      <c r="B2157" s="6" t="str">
        <f ca="1">IFERROR(__xludf.DUMMYFUNCTION("GOOGLETRANSLATE(A2157,""bn"",""en"")"),"They gave me story books")</f>
        <v>They gave me story books</v>
      </c>
      <c r="C2157" s="8" t="s">
        <v>13</v>
      </c>
      <c r="D2157" s="8" t="s">
        <v>14</v>
      </c>
      <c r="E2157" s="8">
        <v>1</v>
      </c>
    </row>
    <row r="2158" spans="1:5" ht="15.75" customHeight="1" x14ac:dyDescent="0.25">
      <c r="A2158" s="6" t="s">
        <v>1741</v>
      </c>
      <c r="B2158" s="6" t="str">
        <f ca="1">IFERROR(__xludf.DUMMYFUNCTION("GOOGLETRANSLATE(A2158,""bn"",""en"")"),"He gave me a piece of advice")</f>
        <v>He gave me a piece of advice</v>
      </c>
      <c r="C2158" s="8" t="s">
        <v>13</v>
      </c>
      <c r="D2158" s="8" t="s">
        <v>14</v>
      </c>
      <c r="E2158" s="8">
        <v>1</v>
      </c>
    </row>
    <row r="2159" spans="1:5" ht="15.75" customHeight="1" x14ac:dyDescent="0.25">
      <c r="A2159" s="6" t="s">
        <v>2145</v>
      </c>
      <c r="B2159" s="6" t="str">
        <f ca="1">IFERROR(__xludf.DUMMYFUNCTION("GOOGLETRANSLATE(A2159,""bn"",""en"")"),"Seeing acts of resilience in others inspires strength in me")</f>
        <v>Seeing acts of resilience in others inspires strength in me</v>
      </c>
      <c r="C2159" s="8" t="s">
        <v>13</v>
      </c>
      <c r="D2159" s="8" t="s">
        <v>14</v>
      </c>
      <c r="E2159" s="8">
        <v>1</v>
      </c>
    </row>
    <row r="2160" spans="1:5" ht="15.75" customHeight="1" x14ac:dyDescent="0.25">
      <c r="A2160" s="6" t="s">
        <v>2146</v>
      </c>
      <c r="B2160" s="6" t="str">
        <f ca="1">IFERROR(__xludf.DUMMYFUNCTION("GOOGLETRANSLATE(A2160,""bn"",""en"")"),"Eczema is a skin condition characterized by itchy redness inflammation")</f>
        <v>Eczema is a skin condition characterized by itchy redness inflammation</v>
      </c>
      <c r="C2160" s="8" t="s">
        <v>13</v>
      </c>
      <c r="D2160" s="8" t="s">
        <v>14</v>
      </c>
      <c r="E2160" s="8">
        <v>1</v>
      </c>
    </row>
    <row r="2161" spans="1:5" ht="15.75" customHeight="1" x14ac:dyDescent="0.25">
      <c r="A2161" s="6" t="s">
        <v>2147</v>
      </c>
      <c r="B2161" s="6" t="str">
        <f ca="1">IFERROR(__xludf.DUMMYFUNCTION("GOOGLETRANSLATE(A2161,""bn"",""en"")"),"Inquiry-based learning encourages curious exploration")</f>
        <v>Inquiry-based learning encourages curious exploration</v>
      </c>
      <c r="C2161" s="8" t="s">
        <v>13</v>
      </c>
      <c r="D2161" s="8" t="s">
        <v>14</v>
      </c>
      <c r="E2161" s="8">
        <v>1</v>
      </c>
    </row>
    <row r="2162" spans="1:5" ht="15.75" customHeight="1" x14ac:dyDescent="0.25">
      <c r="A2162" s="6" t="s">
        <v>2148</v>
      </c>
      <c r="B2162" s="6" t="str">
        <f ca="1">IFERROR(__xludf.DUMMYFUNCTION("GOOGLETRANSLATE(A2162,""bn"",""en"")"),"Don't let me do this")</f>
        <v>Don't let me do this</v>
      </c>
      <c r="C2162" s="7" t="s">
        <v>6</v>
      </c>
      <c r="D2162" s="7" t="s">
        <v>7</v>
      </c>
      <c r="E2162" s="7">
        <v>0</v>
      </c>
    </row>
    <row r="2163" spans="1:5" ht="15.75" customHeight="1" x14ac:dyDescent="0.25">
      <c r="A2163" s="6" t="s">
        <v>2149</v>
      </c>
      <c r="B2163" s="6" t="str">
        <f ca="1">IFERROR(__xludf.DUMMYFUNCTION("GOOGLETRANSLATE(A2163,""bn"",""en"")"),"At this time, a two-year-old child came and stood with his face raised to the sky")</f>
        <v>At this time, a two-year-old child came and stood with his face raised to the sky</v>
      </c>
      <c r="C2163" s="7" t="s">
        <v>6</v>
      </c>
      <c r="D2163" s="7" t="s">
        <v>7</v>
      </c>
      <c r="E2163" s="7">
        <v>0</v>
      </c>
    </row>
    <row r="2164" spans="1:5" ht="15.75" customHeight="1" x14ac:dyDescent="0.25">
      <c r="A2164" s="6" t="s">
        <v>1667</v>
      </c>
      <c r="B2164" s="6" t="str">
        <f ca="1">IFERROR(__xludf.DUMMYFUNCTION("GOOGLETRANSLATE(A2164,""bn"",""en"")"),"The next day the tiger came to my tent on a carrier")</f>
        <v>The next day the tiger came to my tent on a carrier</v>
      </c>
      <c r="C2164" s="7" t="s">
        <v>6</v>
      </c>
      <c r="D2164" s="7" t="s">
        <v>7</v>
      </c>
      <c r="E2164" s="7">
        <v>0</v>
      </c>
    </row>
    <row r="2165" spans="1:5" ht="15.75" customHeight="1" x14ac:dyDescent="0.25">
      <c r="A2165" s="6" t="s">
        <v>2150</v>
      </c>
      <c r="B2165" s="6" t="str">
        <f ca="1">IFERROR(__xludf.DUMMYFUNCTION("GOOGLETRANSLATE(A2165,""bn"",""en"")"),"A change of heart after that one night")</f>
        <v>A change of heart after that one night</v>
      </c>
      <c r="C2165" s="7" t="s">
        <v>6</v>
      </c>
      <c r="D2165" s="7" t="s">
        <v>7</v>
      </c>
      <c r="E2165" s="7">
        <v>0</v>
      </c>
    </row>
    <row r="2166" spans="1:5" ht="15.75" customHeight="1" x14ac:dyDescent="0.25">
      <c r="A2166" s="6" t="s">
        <v>2151</v>
      </c>
      <c r="B2166" s="6" t="str">
        <f ca="1">IFERROR(__xludf.DUMMYFUNCTION("GOOGLETRANSLATE(A2166,""bn"",""en"")"),"Over thousands of years we have changed our clothing")</f>
        <v>Over thousands of years we have changed our clothing</v>
      </c>
      <c r="C2166" s="7" t="s">
        <v>6</v>
      </c>
      <c r="D2166" s="7" t="s">
        <v>7</v>
      </c>
      <c r="E2166" s="7">
        <v>0</v>
      </c>
    </row>
    <row r="2167" spans="1:5" ht="15.75" customHeight="1" x14ac:dyDescent="0.25">
      <c r="A2167" s="6" t="s">
        <v>2152</v>
      </c>
      <c r="B2167" s="6" t="str">
        <f ca="1">IFERROR(__xludf.DUMMYFUNCTION("GOOGLETRANSLATE(A2167,""bn"",""en"")"),"He explained it to me.")</f>
        <v>He explained it to me.</v>
      </c>
      <c r="C2167" s="8" t="s">
        <v>13</v>
      </c>
      <c r="D2167" s="8" t="s">
        <v>14</v>
      </c>
      <c r="E2167" s="8">
        <v>1</v>
      </c>
    </row>
    <row r="2168" spans="1:5" ht="15.75" customHeight="1" x14ac:dyDescent="0.25">
      <c r="A2168" s="6" t="s">
        <v>2153</v>
      </c>
      <c r="B2168" s="6" t="str">
        <f ca="1">IFERROR(__xludf.DUMMYFUNCTION("GOOGLETRANSLATE(A2168,""bn"",""en"")"),"He died in seventy-five years")</f>
        <v>He died in seventy-five years</v>
      </c>
      <c r="C2168" s="8" t="s">
        <v>13</v>
      </c>
      <c r="D2168" s="8" t="s">
        <v>14</v>
      </c>
      <c r="E2168" s="8">
        <v>1</v>
      </c>
    </row>
    <row r="2169" spans="1:5" ht="15.75" customHeight="1" x14ac:dyDescent="0.25">
      <c r="A2169" s="6" t="s">
        <v>2154</v>
      </c>
      <c r="B2169" s="6" t="str">
        <f ca="1">IFERROR(__xludf.DUMMYFUNCTION("GOOGLETRANSLATE(A2169,""bn"",""en"")"),"Educational partnerships strengthen community bonding support networks")</f>
        <v>Educational partnerships strengthen community bonding support networks</v>
      </c>
      <c r="C2169" s="8" t="s">
        <v>13</v>
      </c>
      <c r="D2169" s="8" t="s">
        <v>14</v>
      </c>
      <c r="E2169" s="8">
        <v>1</v>
      </c>
    </row>
    <row r="2170" spans="1:5" ht="15.75" customHeight="1" x14ac:dyDescent="0.25">
      <c r="A2170" s="6" t="s">
        <v>2155</v>
      </c>
      <c r="B2170" s="6" t="str">
        <f ca="1">IFERROR(__xludf.DUMMYFUNCTION("GOOGLETRANSLATE(A2170,""bn"",""en"")"),"He received the Demidov Award in")</f>
        <v>He received the Demidov Award in</v>
      </c>
      <c r="C2170" s="8" t="s">
        <v>13</v>
      </c>
      <c r="D2170" s="8" t="s">
        <v>14</v>
      </c>
      <c r="E2170" s="8">
        <v>1</v>
      </c>
    </row>
    <row r="2171" spans="1:5" ht="15.75" customHeight="1" x14ac:dyDescent="0.25">
      <c r="A2171" s="6" t="s">
        <v>2156</v>
      </c>
      <c r="B2171" s="6" t="str">
        <f ca="1">IFERROR(__xludf.DUMMYFUNCTION("GOOGLETRANSLATE(A2171,""bn"",""en"")"),"The classical era of the Mughal Empire began in")</f>
        <v>The classical era of the Mughal Empire began in</v>
      </c>
      <c r="C2171" s="8" t="s">
        <v>13</v>
      </c>
      <c r="D2171" s="8" t="s">
        <v>14</v>
      </c>
      <c r="E2171" s="8">
        <v>1</v>
      </c>
    </row>
    <row r="2172" spans="1:5" ht="15.75" customHeight="1" x14ac:dyDescent="0.25">
      <c r="A2172" s="6" t="s">
        <v>2157</v>
      </c>
      <c r="B2172" s="6" t="str">
        <f ca="1">IFERROR(__xludf.DUMMYFUNCTION("GOOGLETRANSLATE(A2172,""bn"",""en"")"),"We entered the zoo together")</f>
        <v>We entered the zoo together</v>
      </c>
      <c r="C2172" s="7" t="s">
        <v>6</v>
      </c>
      <c r="D2172" s="7" t="s">
        <v>7</v>
      </c>
      <c r="E2172" s="7">
        <v>0</v>
      </c>
    </row>
    <row r="2173" spans="1:5" ht="15.75" customHeight="1" x14ac:dyDescent="0.25">
      <c r="A2173" s="6" t="s">
        <v>2158</v>
      </c>
      <c r="B2173" s="6" t="str">
        <f ca="1">IFERROR(__xludf.DUMMYFUNCTION("GOOGLETRANSLATE(A2173,""bn"",""en"")"),"Or just the sound of bees is not happiness")</f>
        <v>Or just the sound of bees is not happiness</v>
      </c>
      <c r="C2173" s="7" t="s">
        <v>6</v>
      </c>
      <c r="D2173" s="7" t="s">
        <v>7</v>
      </c>
      <c r="E2173" s="7">
        <v>0</v>
      </c>
    </row>
    <row r="2174" spans="1:5" ht="15.75" customHeight="1" x14ac:dyDescent="0.25">
      <c r="A2174" s="6" t="s">
        <v>2159</v>
      </c>
      <c r="B2174" s="6" t="str">
        <f ca="1">IFERROR(__xludf.DUMMYFUNCTION("GOOGLETRANSLATE(A2174,""bn"",""en"")"),"My uncle said that school should be a holiday")</f>
        <v>My uncle said that school should be a holiday</v>
      </c>
      <c r="C2174" s="7" t="s">
        <v>6</v>
      </c>
      <c r="D2174" s="7" t="s">
        <v>7</v>
      </c>
      <c r="E2174" s="7">
        <v>0</v>
      </c>
    </row>
    <row r="2175" spans="1:5" ht="15.75" customHeight="1" x14ac:dyDescent="0.25">
      <c r="A2175" s="6" t="s">
        <v>2160</v>
      </c>
      <c r="B2175" s="6" t="str">
        <f ca="1">IFERROR(__xludf.DUMMYFUNCTION("GOOGLETRANSLATE(A2175,""bn"",""en"")"),"Later, Bagan Pushkarini began to show me to Samudaya")</f>
        <v>Later, Bagan Pushkarini began to show me to Samudaya</v>
      </c>
      <c r="C2175" s="7" t="s">
        <v>6</v>
      </c>
      <c r="D2175" s="7" t="s">
        <v>7</v>
      </c>
      <c r="E2175" s="7">
        <v>0</v>
      </c>
    </row>
    <row r="2176" spans="1:5" ht="15.75" customHeight="1" x14ac:dyDescent="0.25">
      <c r="A2176" s="6" t="s">
        <v>2161</v>
      </c>
      <c r="B2176" s="6" t="str">
        <f ca="1">IFERROR(__xludf.DUMMYFUNCTION("GOOGLETRANSLATE(A2176,""bn"",""en"")"),"did you hear me")</f>
        <v>did you hear me</v>
      </c>
      <c r="C2176" s="7" t="s">
        <v>6</v>
      </c>
      <c r="D2176" s="7" t="s">
        <v>7</v>
      </c>
      <c r="E2176" s="7">
        <v>0</v>
      </c>
    </row>
    <row r="2177" spans="1:5" ht="15.75" customHeight="1" x14ac:dyDescent="0.25">
      <c r="A2177" s="6" t="s">
        <v>2162</v>
      </c>
      <c r="B2177" s="6" t="str">
        <f ca="1">IFERROR(__xludf.DUMMYFUNCTION("GOOGLETRANSLATE(A2177,""bn"",""en"")"),"These news were also discussed with equal interest")</f>
        <v>These news were also discussed with equal interest</v>
      </c>
      <c r="C2177" s="8" t="s">
        <v>13</v>
      </c>
      <c r="D2177" s="8" t="s">
        <v>14</v>
      </c>
      <c r="E2177" s="8">
        <v>1</v>
      </c>
    </row>
    <row r="2178" spans="1:5" ht="15.75" customHeight="1" x14ac:dyDescent="0.25">
      <c r="A2178" s="6" t="s">
        <v>2163</v>
      </c>
      <c r="B2178" s="6" t="str">
        <f ca="1">IFERROR(__xludf.DUMMYFUNCTION("GOOGLETRANSLATE(A2178,""bn"",""en"")"),"I used to meet him when the bill was over")</f>
        <v>I used to meet him when the bill was over</v>
      </c>
      <c r="C2178" s="8" t="s">
        <v>13</v>
      </c>
      <c r="D2178" s="8" t="s">
        <v>14</v>
      </c>
      <c r="E2178" s="8">
        <v>1</v>
      </c>
    </row>
    <row r="2179" spans="1:5" ht="15.75" customHeight="1" x14ac:dyDescent="0.25">
      <c r="A2179" s="6" t="s">
        <v>2164</v>
      </c>
      <c r="B2179" s="6" t="str">
        <f ca="1">IFERROR(__xludf.DUMMYFUNCTION("GOOGLETRANSLATE(A2179,""bn"",""en"")"),"Ritu asked me to eat at her house")</f>
        <v>Ritu asked me to eat at her house</v>
      </c>
      <c r="C2179" s="8" t="s">
        <v>13</v>
      </c>
      <c r="D2179" s="8" t="s">
        <v>14</v>
      </c>
      <c r="E2179" s="8">
        <v>1</v>
      </c>
    </row>
    <row r="2180" spans="1:5" ht="15.75" customHeight="1" x14ac:dyDescent="0.25">
      <c r="A2180" s="6" t="s">
        <v>2165</v>
      </c>
      <c r="B2180" s="6" t="str">
        <f ca="1">IFERROR(__xludf.DUMMYFUNCTION("GOOGLETRANSLATE(A2180,""bn"",""en"")"),"Passenger comfort Durante has four classes")</f>
        <v>Passenger comfort Durante has four classes</v>
      </c>
      <c r="C2180" s="8" t="s">
        <v>13</v>
      </c>
      <c r="D2180" s="8" t="s">
        <v>14</v>
      </c>
      <c r="E2180" s="8">
        <v>1</v>
      </c>
    </row>
    <row r="2181" spans="1:5" ht="15.75" customHeight="1" x14ac:dyDescent="0.25">
      <c r="A2181" s="6" t="s">
        <v>2166</v>
      </c>
      <c r="B2181" s="6" t="str">
        <f ca="1">IFERROR(__xludf.DUMMYFUNCTION("GOOGLETRANSLATE(A2181,""bn"",""en"")"),"After evening he went for tea")</f>
        <v>After evening he went for tea</v>
      </c>
      <c r="C2181" s="8" t="s">
        <v>13</v>
      </c>
      <c r="D2181" s="8" t="s">
        <v>14</v>
      </c>
      <c r="E2181" s="8">
        <v>1</v>
      </c>
    </row>
    <row r="2182" spans="1:5" ht="15.75" customHeight="1" x14ac:dyDescent="0.25">
      <c r="A2182" s="6" t="s">
        <v>2167</v>
      </c>
      <c r="B2182" s="6" t="str">
        <f ca="1">IFERROR(__xludf.DUMMYFUNCTION("GOOGLETRANSLATE(A2182,""bn"",""en"")"),"He was saddened to hear about the death and said, brother, don't say such things")</f>
        <v>He was saddened to hear about the death and said, brother, don't say such things</v>
      </c>
      <c r="C2182" s="7" t="s">
        <v>6</v>
      </c>
      <c r="D2182" s="7" t="s">
        <v>7</v>
      </c>
      <c r="E2182" s="7">
        <v>0</v>
      </c>
    </row>
    <row r="2183" spans="1:5" ht="15.75" customHeight="1" x14ac:dyDescent="0.25">
      <c r="A2183" s="6" t="s">
        <v>2168</v>
      </c>
      <c r="B2183" s="6" t="str">
        <f ca="1">IFERROR(__xludf.DUMMYFUNCTION("GOOGLETRANSLATE(A2183,""bn"",""en"")"),"On that day such irreligious acts took place")</f>
        <v>On that day such irreligious acts took place</v>
      </c>
      <c r="C2183" s="7" t="s">
        <v>6</v>
      </c>
      <c r="D2183" s="7" t="s">
        <v>7</v>
      </c>
      <c r="E2183" s="7">
        <v>0</v>
      </c>
    </row>
    <row r="2184" spans="1:5" ht="15.75" customHeight="1" x14ac:dyDescent="0.25">
      <c r="A2184" s="6" t="s">
        <v>2169</v>
      </c>
      <c r="B2184" s="6" t="str">
        <f ca="1">IFERROR(__xludf.DUMMYFUNCTION("GOOGLETRANSLATE(A2184,""bn"",""en"")"),"I have never searched the body")</f>
        <v>I have never searched the body</v>
      </c>
      <c r="C2184" s="7" t="s">
        <v>6</v>
      </c>
      <c r="D2184" s="7" t="s">
        <v>7</v>
      </c>
      <c r="E2184" s="7">
        <v>0</v>
      </c>
    </row>
    <row r="2185" spans="1:5" ht="15.75" customHeight="1" x14ac:dyDescent="0.25">
      <c r="A2185" s="6" t="s">
        <v>2170</v>
      </c>
      <c r="B2185" s="6" t="str">
        <f ca="1">IFERROR(__xludf.DUMMYFUNCTION("GOOGLETRANSLATE(A2185,""bn"",""en"")"),"Still looking")</f>
        <v>Still looking</v>
      </c>
      <c r="C2185" s="7" t="s">
        <v>6</v>
      </c>
      <c r="D2185" s="7" t="s">
        <v>7</v>
      </c>
      <c r="E2185" s="7">
        <v>0</v>
      </c>
    </row>
    <row r="2186" spans="1:5" ht="15.75" customHeight="1" x14ac:dyDescent="0.25">
      <c r="A2186" s="6" t="s">
        <v>2171</v>
      </c>
      <c r="B2186" s="6" t="str">
        <f ca="1">IFERROR(__xludf.DUMMYFUNCTION("GOOGLETRANSLATE(A2186,""bn"",""en"")"),"Trapped in the wall, he only remembered that village")</f>
        <v>Trapped in the wall, he only remembered that village</v>
      </c>
      <c r="C2186" s="7" t="s">
        <v>6</v>
      </c>
      <c r="D2186" s="7" t="s">
        <v>7</v>
      </c>
      <c r="E2186" s="7">
        <v>0</v>
      </c>
    </row>
    <row r="2187" spans="1:5" ht="15.75" customHeight="1" x14ac:dyDescent="0.25">
      <c r="A2187" s="6" t="s">
        <v>2172</v>
      </c>
      <c r="B2187" s="6" t="str">
        <f ca="1">IFERROR(__xludf.DUMMYFUNCTION("GOOGLETRANSLATE(A2187,""bn"",""en"")"),"I can't tell my father when I will grow up, father, take rest now, I took the responsibility of the family")</f>
        <v>I can't tell my father when I will grow up, father, take rest now, I took the responsibility of the family</v>
      </c>
      <c r="C2187" s="8" t="s">
        <v>13</v>
      </c>
      <c r="D2187" s="8" t="s">
        <v>14</v>
      </c>
      <c r="E2187" s="8">
        <v>1</v>
      </c>
    </row>
    <row r="2188" spans="1:5" ht="15.75" customHeight="1" x14ac:dyDescent="0.25">
      <c r="A2188" s="6" t="s">
        <v>2173</v>
      </c>
      <c r="B2188" s="6" t="str">
        <f ca="1">IFERROR(__xludf.DUMMYFUNCTION("GOOGLETRANSLATE(A2188,""bn"",""en"")"),"Treat others with kindness and respect regardless of differences")</f>
        <v>Treat others with kindness and respect regardless of differences</v>
      </c>
      <c r="C2188" s="8" t="s">
        <v>13</v>
      </c>
      <c r="D2188" s="8" t="s">
        <v>14</v>
      </c>
      <c r="E2188" s="8">
        <v>1</v>
      </c>
    </row>
    <row r="2189" spans="1:5" ht="15.75" customHeight="1" x14ac:dyDescent="0.25">
      <c r="A2189" s="6" t="s">
        <v>2174</v>
      </c>
      <c r="B2189" s="6" t="str">
        <f ca="1">IFERROR(__xludf.DUMMYFUNCTION("GOOGLETRANSLATE(A2189,""bn"",""en"")"),"The sound of crunching leaves echoing through the forest heralds the arrival of autumn")</f>
        <v>The sound of crunching leaves echoing through the forest heralds the arrival of autumn</v>
      </c>
      <c r="C2189" s="8" t="s">
        <v>13</v>
      </c>
      <c r="D2189" s="8" t="s">
        <v>14</v>
      </c>
      <c r="E2189" s="8">
        <v>1</v>
      </c>
    </row>
    <row r="2190" spans="1:5" ht="15.75" customHeight="1" x14ac:dyDescent="0.25">
      <c r="A2190" s="6" t="s">
        <v>2175</v>
      </c>
      <c r="B2190" s="6" t="str">
        <f ca="1">IFERROR(__xludf.DUMMYFUNCTION("GOOGLETRANSLATE(A2190,""bn"",""en"")"),"Commit to lasting benefits")</f>
        <v>Commit to lasting benefits</v>
      </c>
      <c r="C2190" s="8" t="s">
        <v>13</v>
      </c>
      <c r="D2190" s="8" t="s">
        <v>14</v>
      </c>
      <c r="E2190" s="8">
        <v>1</v>
      </c>
    </row>
    <row r="2191" spans="1:5" ht="15.75" customHeight="1" x14ac:dyDescent="0.25">
      <c r="A2191" s="6" t="s">
        <v>2176</v>
      </c>
      <c r="B2191" s="6" t="str">
        <f ca="1">IFERROR(__xludf.DUMMYFUNCTION("GOOGLETRANSLATE(A2191,""bn"",""en"")"),"Unfortunately they both died suddenly in")</f>
        <v>Unfortunately they both died suddenly in</v>
      </c>
      <c r="C2191" s="8" t="s">
        <v>13</v>
      </c>
      <c r="D2191" s="8" t="s">
        <v>14</v>
      </c>
      <c r="E2191" s="8">
        <v>1</v>
      </c>
    </row>
    <row r="2192" spans="1:5" ht="15.75" customHeight="1" x14ac:dyDescent="0.25">
      <c r="A2192" s="6" t="s">
        <v>2177</v>
      </c>
      <c r="B2192" s="6" t="str">
        <f ca="1">IFERROR(__xludf.DUMMYFUNCTION("GOOGLETRANSLATE(A2192,""bn"",""en"")"),"If the landlord gave money to Shala Majnu, he would bring it")</f>
        <v>If the landlord gave money to Shala Majnu, he would bring it</v>
      </c>
      <c r="C2192" s="7" t="s">
        <v>6</v>
      </c>
      <c r="D2192" s="7" t="s">
        <v>7</v>
      </c>
      <c r="E2192" s="7">
        <v>0</v>
      </c>
    </row>
    <row r="2193" spans="1:5" ht="15.75" customHeight="1" x14ac:dyDescent="0.25">
      <c r="A2193" s="6" t="s">
        <v>2178</v>
      </c>
      <c r="B2193" s="6" t="str">
        <f ca="1">IFERROR(__xludf.DUMMYFUNCTION("GOOGLETRANSLATE(A2193,""bn"",""en"")"),"Shashi said take the boat to Govardhan")</f>
        <v>Shashi said take the boat to Govardhan</v>
      </c>
      <c r="C2193" s="7" t="s">
        <v>6</v>
      </c>
      <c r="D2193" s="7" t="s">
        <v>7</v>
      </c>
      <c r="E2193" s="7">
        <v>0</v>
      </c>
    </row>
    <row r="2194" spans="1:5" ht="15.75" customHeight="1" x14ac:dyDescent="0.25">
      <c r="A2194" s="6" t="s">
        <v>2179</v>
      </c>
      <c r="B2194" s="6" t="str">
        <f ca="1">IFERROR(__xludf.DUMMYFUNCTION("GOOGLETRANSLATE(A2194,""bn"",""en"")"),"Write a card to my school address and drop it off")</f>
        <v>Write a card to my school address and drop it off</v>
      </c>
      <c r="C2194" s="7" t="s">
        <v>6</v>
      </c>
      <c r="D2194" s="7" t="s">
        <v>7</v>
      </c>
      <c r="E2194" s="7">
        <v>0</v>
      </c>
    </row>
    <row r="2195" spans="1:5" ht="15.75" customHeight="1" x14ac:dyDescent="0.25">
      <c r="A2195" s="6" t="s">
        <v>2180</v>
      </c>
      <c r="B2195" s="6" t="str">
        <f ca="1">IFERROR(__xludf.DUMMYFUNCTION("GOOGLETRANSLATE(A2195,""bn"",""en"")"),"Many saints will understand the tree of life")</f>
        <v>Many saints will understand the tree of life</v>
      </c>
      <c r="C2195" s="7" t="s">
        <v>6</v>
      </c>
      <c r="D2195" s="7" t="s">
        <v>7</v>
      </c>
      <c r="E2195" s="7">
        <v>0</v>
      </c>
    </row>
    <row r="2196" spans="1:5" ht="15.75" customHeight="1" x14ac:dyDescent="0.25">
      <c r="A2196" s="6" t="s">
        <v>2181</v>
      </c>
      <c r="B2196" s="6" t="str">
        <f ca="1">IFERROR(__xludf.DUMMYFUNCTION("GOOGLETRANSLATE(A2196,""bn"",""en"")"),"Nirupama's in-laws became a bed")</f>
        <v>Nirupama's in-laws became a bed</v>
      </c>
      <c r="C2196" s="7" t="s">
        <v>6</v>
      </c>
      <c r="D2196" s="7" t="s">
        <v>7</v>
      </c>
      <c r="E2196" s="7">
        <v>0</v>
      </c>
    </row>
    <row r="2197" spans="1:5" ht="15.75" customHeight="1" x14ac:dyDescent="0.25">
      <c r="A2197" s="6" t="s">
        <v>2182</v>
      </c>
      <c r="B2197" s="6" t="str">
        <f ca="1">IFERROR(__xludf.DUMMYFUNCTION("GOOGLETRANSLATE(A2197,""bn"",""en"")"),"Like and comment on your dream destination")</f>
        <v>Like and comment on your dream destination</v>
      </c>
      <c r="C2197" s="8" t="s">
        <v>13</v>
      </c>
      <c r="D2197" s="8" t="s">
        <v>14</v>
      </c>
      <c r="E2197" s="8">
        <v>1</v>
      </c>
    </row>
    <row r="2198" spans="1:5" ht="15.75" customHeight="1" x14ac:dyDescent="0.25">
      <c r="A2198" s="6" t="s">
        <v>2183</v>
      </c>
      <c r="B2198" s="6" t="str">
        <f ca="1">IFERROR(__xludf.DUMMYFUNCTION("GOOGLETRANSLATE(A2198,""bn"",""en"")"),"Entering the mysterious cave they discovered some relics that defied explanation")</f>
        <v>Entering the mysterious cave they discovered some relics that defied explanation</v>
      </c>
      <c r="C2198" s="8" t="s">
        <v>13</v>
      </c>
      <c r="D2198" s="8" t="s">
        <v>14</v>
      </c>
      <c r="E2198" s="8">
        <v>1</v>
      </c>
    </row>
    <row r="2199" spans="1:5" ht="15.75" customHeight="1" x14ac:dyDescent="0.25">
      <c r="A2199" s="6" t="s">
        <v>2184</v>
      </c>
      <c r="B2199" s="6" t="str">
        <f ca="1">IFERROR(__xludf.DUMMYFUNCTION("GOOGLETRANSLATE(A2199,""bn"",""en"")"),"He wanted to come to my house but could not come for the exam")</f>
        <v>He wanted to come to my house but could not come for the exam</v>
      </c>
      <c r="C2199" s="8" t="s">
        <v>13</v>
      </c>
      <c r="D2199" s="8" t="s">
        <v>14</v>
      </c>
      <c r="E2199" s="8">
        <v>1</v>
      </c>
    </row>
    <row r="2200" spans="1:5" ht="15.75" customHeight="1" x14ac:dyDescent="0.25">
      <c r="A2200" s="6" t="s">
        <v>2185</v>
      </c>
      <c r="B2200" s="6" t="str">
        <f ca="1">IFERROR(__xludf.DUMMYFUNCTION("GOOGLETRANSLATE(A2200,""bn"",""en"")"),"The publication of the fifth volume was delayed due to Mahendranath's illness")</f>
        <v>The publication of the fifth volume was delayed due to Mahendranath's illness</v>
      </c>
      <c r="C2200" s="8" t="s">
        <v>13</v>
      </c>
      <c r="D2200" s="8" t="s">
        <v>14</v>
      </c>
      <c r="E2200" s="8">
        <v>1</v>
      </c>
    </row>
    <row r="2201" spans="1:5" ht="15.75" customHeight="1" x14ac:dyDescent="0.25">
      <c r="A2201" s="6" t="s">
        <v>2186</v>
      </c>
      <c r="B2201" s="6" t="str">
        <f ca="1">IFERROR(__xludf.DUMMYFUNCTION("GOOGLETRANSLATE(A2201,""bn"",""en"")"),"Set boundaries Assert your needs It's okay to say no when necessary")</f>
        <v>Set boundaries Assert your needs It's okay to say no when necessary</v>
      </c>
      <c r="C2201" s="8" t="s">
        <v>13</v>
      </c>
      <c r="D2201" s="8" t="s">
        <v>14</v>
      </c>
      <c r="E2201" s="8">
        <v>1</v>
      </c>
    </row>
    <row r="2202" spans="1:5" ht="15.75" customHeight="1" x14ac:dyDescent="0.25">
      <c r="A2202" s="6" t="s">
        <v>2187</v>
      </c>
      <c r="B2202" s="6" t="str">
        <f ca="1">IFERROR(__xludf.DUMMYFUNCTION("GOOGLETRANSLATE(A2202,""bn"",""en"")"),"Rahim will travel to Dhaka today")</f>
        <v>Rahim will travel to Dhaka today</v>
      </c>
      <c r="C2202" s="7" t="s">
        <v>6</v>
      </c>
      <c r="D2202" s="7" t="s">
        <v>7</v>
      </c>
      <c r="E2202" s="7">
        <v>0</v>
      </c>
    </row>
    <row r="2203" spans="1:5" ht="15.75" customHeight="1" x14ac:dyDescent="0.25">
      <c r="A2203" s="6" t="s">
        <v>2188</v>
      </c>
      <c r="B2203" s="6" t="str">
        <f ca="1">IFERROR(__xludf.DUMMYFUNCTION("GOOGLETRANSLATE(A2203,""bn"",""en"")"),"Vinay was ready to get into that car and go to their house")</f>
        <v>Vinay was ready to get into that car and go to their house</v>
      </c>
      <c r="C2203" s="7" t="s">
        <v>6</v>
      </c>
      <c r="D2203" s="7" t="s">
        <v>7</v>
      </c>
      <c r="E2203" s="7">
        <v>0</v>
      </c>
    </row>
    <row r="2204" spans="1:5" ht="15.75" customHeight="1" x14ac:dyDescent="0.25">
      <c r="A2204" s="6" t="s">
        <v>2189</v>
      </c>
      <c r="B2204" s="6" t="str">
        <f ca="1">IFERROR(__xludf.DUMMYFUNCTION("GOOGLETRANSLATE(A2204,""bn"",""en"")"),"After doing this, he cut the Geno canal and brought the crocodile")</f>
        <v>After doing this, he cut the Geno canal and brought the crocodile</v>
      </c>
      <c r="C2204" s="7" t="s">
        <v>6</v>
      </c>
      <c r="D2204" s="7" t="s">
        <v>7</v>
      </c>
      <c r="E2204" s="7">
        <v>0</v>
      </c>
    </row>
    <row r="2205" spans="1:5" ht="15.75" customHeight="1" x14ac:dyDescent="0.25">
      <c r="A2205" s="6" t="s">
        <v>2190</v>
      </c>
      <c r="B2205" s="6" t="str">
        <f ca="1">IFERROR(__xludf.DUMMYFUNCTION("GOOGLETRANSLATE(A2205,""bn"",""en"")"),"There was a play in our school")</f>
        <v>There was a play in our school</v>
      </c>
      <c r="C2205" s="7" t="s">
        <v>6</v>
      </c>
      <c r="D2205" s="7" t="s">
        <v>7</v>
      </c>
      <c r="E2205" s="7">
        <v>0</v>
      </c>
    </row>
    <row r="2206" spans="1:5" ht="15.75" customHeight="1" x14ac:dyDescent="0.25">
      <c r="A2206" s="6" t="s">
        <v>2191</v>
      </c>
      <c r="B2206" s="6" t="str">
        <f ca="1">IFERROR(__xludf.DUMMYFUNCTION("GOOGLETRANSLATE(A2206,""bn"",""en"")"),"Maybe not loved then")</f>
        <v>Maybe not loved then</v>
      </c>
      <c r="C2206" s="7" t="s">
        <v>6</v>
      </c>
      <c r="D2206" s="7" t="s">
        <v>7</v>
      </c>
      <c r="E2206" s="7">
        <v>0</v>
      </c>
    </row>
    <row r="2207" spans="1:5" ht="15.75" customHeight="1" x14ac:dyDescent="0.25">
      <c r="A2207" s="6" t="s">
        <v>2192</v>
      </c>
      <c r="B2207" s="6" t="str">
        <f ca="1">IFERROR(__xludf.DUMMYFUNCTION("GOOGLETRANSLATE(A2207,""bn"",""en"")"),"Fresh popcorn is the symbol of summer")</f>
        <v>Fresh popcorn is the symbol of summer</v>
      </c>
      <c r="C2207" s="8" t="s">
        <v>13</v>
      </c>
      <c r="D2207" s="8" t="s">
        <v>14</v>
      </c>
      <c r="E2207" s="8">
        <v>1</v>
      </c>
    </row>
    <row r="2208" spans="1:5" ht="15.75" customHeight="1" x14ac:dyDescent="0.25">
      <c r="A2208" s="6" t="s">
        <v>2193</v>
      </c>
      <c r="B2208" s="6" t="str">
        <f ca="1">IFERROR(__xludf.DUMMYFUNCTION("GOOGLETRANSLATE(A2208,""bn"",""en"")"),"The instructions provided with the product were clear and easy to follow")</f>
        <v>The instructions provided with the product were clear and easy to follow</v>
      </c>
      <c r="C2208" s="8" t="s">
        <v>13</v>
      </c>
      <c r="D2208" s="8" t="s">
        <v>14</v>
      </c>
      <c r="E2208" s="8">
        <v>1</v>
      </c>
    </row>
    <row r="2209" spans="1:5" ht="15.75" customHeight="1" x14ac:dyDescent="0.25">
      <c r="A2209" s="6" t="s">
        <v>2194</v>
      </c>
      <c r="B2209" s="6" t="str">
        <f ca="1">IFERROR(__xludf.DUMMYFUNCTION("GOOGLETRANSLATE(A2209,""bn"",""en"")"),"You will get countless information in just one click")</f>
        <v>You will get countless information in just one click</v>
      </c>
      <c r="C2209" s="8" t="s">
        <v>13</v>
      </c>
      <c r="D2209" s="8" t="s">
        <v>14</v>
      </c>
      <c r="E2209" s="8">
        <v>1</v>
      </c>
    </row>
    <row r="2210" spans="1:5" ht="15.75" customHeight="1" x14ac:dyDescent="0.25">
      <c r="A2210" s="6" t="s">
        <v>2195</v>
      </c>
      <c r="B2210" s="6" t="str">
        <f ca="1">IFERROR(__xludf.DUMMYFUNCTION("GOOGLETRANSLATE(A2210,""bn"",""en"")"),"Feeling understood by someone brings immense relief")</f>
        <v>Feeling understood by someone brings immense relief</v>
      </c>
      <c r="C2210" s="8" t="s">
        <v>13</v>
      </c>
      <c r="D2210" s="8" t="s">
        <v>14</v>
      </c>
      <c r="E2210" s="8">
        <v>1</v>
      </c>
    </row>
    <row r="2211" spans="1:5" ht="15.75" customHeight="1" x14ac:dyDescent="0.25">
      <c r="A2211" s="6" t="s">
        <v>2196</v>
      </c>
      <c r="B2211" s="6" t="str">
        <f ca="1">IFERROR(__xludf.DUMMYFUNCTION("GOOGLETRANSLATE(A2211,""bn"",""en"")"),"So it is the baby giraffe who is relatively weak and dies in the attack of the lion")</f>
        <v>So it is the baby giraffe who is relatively weak and dies in the attack of the lion</v>
      </c>
      <c r="C2211" s="8" t="s">
        <v>13</v>
      </c>
      <c r="D2211" s="8" t="s">
        <v>14</v>
      </c>
      <c r="E2211" s="8">
        <v>1</v>
      </c>
    </row>
    <row r="2212" spans="1:5" ht="15.75" customHeight="1" x14ac:dyDescent="0.25">
      <c r="A2212" s="6" t="s">
        <v>2197</v>
      </c>
      <c r="B2212" s="6" t="str">
        <f ca="1">IFERROR(__xludf.DUMMYFUNCTION("GOOGLETRANSLATE(A2212,""bn"",""en"")"),"He turned his face and said in a tone of pride, I went to learn")</f>
        <v>He turned his face and said in a tone of pride, I went to learn</v>
      </c>
      <c r="C2212" s="7" t="s">
        <v>6</v>
      </c>
      <c r="D2212" s="7" t="s">
        <v>7</v>
      </c>
      <c r="E2212" s="7">
        <v>0</v>
      </c>
    </row>
    <row r="2213" spans="1:5" ht="15.75" customHeight="1" x14ac:dyDescent="0.25">
      <c r="A2213" s="6" t="s">
        <v>2198</v>
      </c>
      <c r="B2213" s="6" t="str">
        <f ca="1">IFERROR(__xludf.DUMMYFUNCTION("GOOGLETRANSLATE(A2213,""bn"",""en"")"),"I went to buy new clothes")</f>
        <v>I went to buy new clothes</v>
      </c>
      <c r="C2213" s="7" t="s">
        <v>6</v>
      </c>
      <c r="D2213" s="7" t="s">
        <v>7</v>
      </c>
      <c r="E2213" s="7">
        <v>0</v>
      </c>
    </row>
    <row r="2214" spans="1:5" ht="15.75" customHeight="1" x14ac:dyDescent="0.25">
      <c r="A2214" s="6" t="s">
        <v>2199</v>
      </c>
      <c r="B2214" s="6" t="str">
        <f ca="1">IFERROR(__xludf.DUMMYFUNCTION("GOOGLETRANSLATE(A2214,""bn"",""en"")"),"At that time Harmohan, the eldest son of Ramsundar, entered the house with his two younger sons.")</f>
        <v>At that time Harmohan, the eldest son of Ramsundar, entered the house with his two younger sons.</v>
      </c>
      <c r="C2214" s="7" t="s">
        <v>6</v>
      </c>
      <c r="D2214" s="7" t="s">
        <v>7</v>
      </c>
      <c r="E2214" s="7">
        <v>0</v>
      </c>
    </row>
    <row r="2215" spans="1:5" ht="15.75" customHeight="1" x14ac:dyDescent="0.25">
      <c r="A2215" s="6" t="s">
        <v>2200</v>
      </c>
      <c r="B2215" s="6" t="str">
        <f ca="1">IFERROR(__xludf.DUMMYFUNCTION("GOOGLETRANSLATE(A2215,""bn"",""en"")"),"The level where the sound rises or falls also rises and falls")</f>
        <v>The level where the sound rises or falls also rises and falls</v>
      </c>
      <c r="C2215" s="7" t="s">
        <v>6</v>
      </c>
      <c r="D2215" s="7" t="s">
        <v>7</v>
      </c>
      <c r="E2215" s="7">
        <v>0</v>
      </c>
    </row>
    <row r="2216" spans="1:5" ht="15.75" customHeight="1" x14ac:dyDescent="0.25">
      <c r="A2216" s="6" t="s">
        <v>2201</v>
      </c>
      <c r="B2216" s="6" t="str">
        <f ca="1">IFERROR(__xludf.DUMMYFUNCTION("GOOGLETRANSLATE(A2216,""bn"",""en"")"),"It is not right that I said Abol Tabol Key to him anonymously")</f>
        <v>It is not right that I said Abol Tabol Key to him anonymously</v>
      </c>
      <c r="C2216" s="7" t="s">
        <v>6</v>
      </c>
      <c r="D2216" s="7" t="s">
        <v>7</v>
      </c>
      <c r="E2216" s="7">
        <v>0</v>
      </c>
    </row>
    <row r="2217" spans="1:5" ht="15.75" customHeight="1" x14ac:dyDescent="0.25">
      <c r="A2217" s="6" t="s">
        <v>2202</v>
      </c>
      <c r="B2217" s="6" t="str">
        <f ca="1">IFERROR(__xludf.DUMMYFUNCTION("GOOGLETRANSLATE(A2217,""bn"",""en"")"),"The thought that people might be afraid of him is bothering Irtajuddin")</f>
        <v>The thought that people might be afraid of him is bothering Irtajuddin</v>
      </c>
      <c r="C2217" s="8" t="s">
        <v>13</v>
      </c>
      <c r="D2217" s="8" t="s">
        <v>14</v>
      </c>
      <c r="E2217" s="8">
        <v>1</v>
      </c>
    </row>
    <row r="2218" spans="1:5" ht="15.75" customHeight="1" x14ac:dyDescent="0.25">
      <c r="A2218" s="6" t="s">
        <v>2203</v>
      </c>
      <c r="B2218" s="6" t="str">
        <f ca="1">IFERROR(__xludf.DUMMYFUNCTION("GOOGLETRANSLATE(A2218,""bn"",""en"")"),"He was very worried about the danger")</f>
        <v>He was very worried about the danger</v>
      </c>
      <c r="C2218" s="8" t="s">
        <v>13</v>
      </c>
      <c r="D2218" s="8" t="s">
        <v>14</v>
      </c>
      <c r="E2218" s="8">
        <v>1</v>
      </c>
    </row>
    <row r="2219" spans="1:5" ht="15.75" customHeight="1" x14ac:dyDescent="0.25">
      <c r="A2219" s="6" t="s">
        <v>2204</v>
      </c>
      <c r="B2219" s="6" t="str">
        <f ca="1">IFERROR(__xludf.DUMMYFUNCTION("GOOGLETRANSLATE(A2219,""bn"",""en"")"),"The sound of waves crashing on the shore was a constant reminder of the power of the sea")</f>
        <v>The sound of waves crashing on the shore was a constant reminder of the power of the sea</v>
      </c>
      <c r="C2219" s="8" t="s">
        <v>13</v>
      </c>
      <c r="D2219" s="8" t="s">
        <v>14</v>
      </c>
      <c r="E2219" s="8">
        <v>1</v>
      </c>
    </row>
    <row r="2220" spans="1:5" ht="15.75" customHeight="1" x14ac:dyDescent="0.25">
      <c r="A2220" s="6" t="s">
        <v>2205</v>
      </c>
      <c r="B2220" s="6" t="str">
        <f ca="1">IFERROR(__xludf.DUMMYFUNCTION("GOOGLETRANSLATE(A2220,""bn"",""en"")"),"While working, Sujan fainted")</f>
        <v>While working, Sujan fainted</v>
      </c>
      <c r="C2220" s="8" t="s">
        <v>13</v>
      </c>
      <c r="D2220" s="8" t="s">
        <v>14</v>
      </c>
      <c r="E2220" s="8">
        <v>1</v>
      </c>
    </row>
    <row r="2221" spans="1:5" ht="15.75" customHeight="1" x14ac:dyDescent="0.25">
      <c r="A2221" s="6" t="s">
        <v>2206</v>
      </c>
      <c r="B2221" s="6" t="str">
        <f ca="1">IFERROR(__xludf.DUMMYFUNCTION("GOOGLETRANSLATE(A2221,""bn"",""en"")"),"After the death of Salle Jones, his vacancy was filled by Mike Taylor")</f>
        <v>After the death of Salle Jones, his vacancy was filled by Mike Taylor</v>
      </c>
      <c r="C2221" s="8" t="s">
        <v>13</v>
      </c>
      <c r="D2221" s="8" t="s">
        <v>14</v>
      </c>
      <c r="E2221" s="8">
        <v>1</v>
      </c>
    </row>
    <row r="2222" spans="1:5" ht="15.75" customHeight="1" x14ac:dyDescent="0.25">
      <c r="A2222" s="6" t="s">
        <v>2207</v>
      </c>
      <c r="B2222" s="6" t="str">
        <f ca="1">IFERROR(__xludf.DUMMYFUNCTION("GOOGLETRANSLATE(A2222,""bn"",""en"")"),"Harinam Misiya, with the sound of different voices of different ages, how a solemn tone is always in the air.")</f>
        <v>Harinam Misiya, with the sound of different voices of different ages, how a solemn tone is always in the air.</v>
      </c>
      <c r="C2222" s="7" t="s">
        <v>6</v>
      </c>
      <c r="D2222" s="7" t="s">
        <v>7</v>
      </c>
      <c r="E2222" s="7">
        <v>0</v>
      </c>
    </row>
    <row r="2223" spans="1:5" ht="15.75" customHeight="1" x14ac:dyDescent="0.25">
      <c r="A2223" s="6" t="s">
        <v>2208</v>
      </c>
      <c r="B2223" s="6" t="str">
        <f ca="1">IFERROR(__xludf.DUMMYFUNCTION("GOOGLETRANSLATE(A2223,""bn"",""en"")"),"He will return after gaining the wealth of knowledge")</f>
        <v>He will return after gaining the wealth of knowledge</v>
      </c>
      <c r="C2223" s="7" t="s">
        <v>6</v>
      </c>
      <c r="D2223" s="7" t="s">
        <v>7</v>
      </c>
      <c r="E2223" s="7">
        <v>0</v>
      </c>
    </row>
    <row r="2224" spans="1:5" ht="15.75" customHeight="1" x14ac:dyDescent="0.25">
      <c r="A2224" s="6" t="s">
        <v>2209</v>
      </c>
      <c r="B2224" s="6" t="str">
        <f ca="1">IFERROR(__xludf.DUMMYFUNCTION("GOOGLETRANSLATE(A2224,""bn"",""en"")"),"There is one such half-hill near Latehar village, I used to go there almost every day and sit there.")</f>
        <v>There is one such half-hill near Latehar village, I used to go there almost every day and sit there.</v>
      </c>
      <c r="C2224" s="7" t="s">
        <v>6</v>
      </c>
      <c r="D2224" s="7" t="s">
        <v>7</v>
      </c>
      <c r="E2224" s="7">
        <v>0</v>
      </c>
    </row>
    <row r="2225" spans="1:5" ht="15.75" customHeight="1" x14ac:dyDescent="0.25">
      <c r="A2225" s="6" t="s">
        <v>2210</v>
      </c>
      <c r="B2225" s="6" t="str">
        <f ca="1">IFERROR(__xludf.DUMMYFUNCTION("GOOGLETRANSLATE(A2225,""bn"",""en"")"),"can you do it")</f>
        <v>can you do it</v>
      </c>
      <c r="C2225" s="7" t="s">
        <v>6</v>
      </c>
      <c r="D2225" s="7" t="s">
        <v>7</v>
      </c>
      <c r="E2225" s="7">
        <v>0</v>
      </c>
    </row>
    <row r="2226" spans="1:5" ht="15.75" customHeight="1" x14ac:dyDescent="0.25">
      <c r="A2226" s="6" t="s">
        <v>2211</v>
      </c>
      <c r="B2226" s="6" t="str">
        <f ca="1">IFERROR(__xludf.DUMMYFUNCTION("GOOGLETRANSLATE(A2226,""bn"",""en"")"),"The shy, scared, thin, long, ugly boy was only stirred in his heart")</f>
        <v>The shy, scared, thin, long, ugly boy was only stirred in his heart</v>
      </c>
      <c r="C2226" s="7" t="s">
        <v>6</v>
      </c>
      <c r="D2226" s="7" t="s">
        <v>7</v>
      </c>
      <c r="E2226" s="7">
        <v>0</v>
      </c>
    </row>
    <row r="2227" spans="1:5" ht="15.75" customHeight="1" x14ac:dyDescent="0.25">
      <c r="A2227" s="6" t="s">
        <v>2212</v>
      </c>
      <c r="B2227" s="6" t="str">
        <f ca="1">IFERROR(__xludf.DUMMYFUNCTION("GOOGLETRANSLATE(A2227,""bn"",""en"")"),"Importance Bhagavata Purana is the best known most influential Purana")</f>
        <v>Importance Bhagavata Purana is the best known most influential Purana</v>
      </c>
      <c r="C2227" s="8" t="s">
        <v>13</v>
      </c>
      <c r="D2227" s="8" t="s">
        <v>14</v>
      </c>
      <c r="E2227" s="8">
        <v>1</v>
      </c>
    </row>
    <row r="2228" spans="1:5" ht="15.75" customHeight="1" x14ac:dyDescent="0.25">
      <c r="A2228" s="6" t="s">
        <v>2213</v>
      </c>
      <c r="B2228" s="6" t="str">
        <f ca="1">IFERROR(__xludf.DUMMYFUNCTION("GOOGLETRANSLATE(A2228,""bn"",""en"")"),"Be responsible for your action decisions")</f>
        <v>Be responsible for your action decisions</v>
      </c>
      <c r="C2228" s="8" t="s">
        <v>13</v>
      </c>
      <c r="D2228" s="8" t="s">
        <v>14</v>
      </c>
      <c r="E2228" s="8">
        <v>1</v>
      </c>
    </row>
    <row r="2229" spans="1:5" ht="15.75" customHeight="1" x14ac:dyDescent="0.25">
      <c r="A2229" s="6" t="s">
        <v>1533</v>
      </c>
      <c r="B2229" s="6" t="str">
        <f ca="1">IFERROR(__xludf.DUMMYFUNCTION("GOOGLETRANSLATE(A2229,""bn"",""en"")"),"He won the Nobel Prize in Physics in")</f>
        <v>He won the Nobel Prize in Physics in</v>
      </c>
      <c r="C2229" s="8" t="s">
        <v>13</v>
      </c>
      <c r="D2229" s="8" t="s">
        <v>14</v>
      </c>
      <c r="E2229" s="8">
        <v>1</v>
      </c>
    </row>
    <row r="2230" spans="1:5" ht="15.75" customHeight="1" x14ac:dyDescent="0.25">
      <c r="A2230" s="6" t="s">
        <v>2214</v>
      </c>
      <c r="B2230" s="6" t="str">
        <f ca="1">IFERROR(__xludf.DUMMYFUNCTION("GOOGLETRANSLATE(A2230,""bn"",""en"")"),"Sumi will go with me today")</f>
        <v>Sumi will go with me today</v>
      </c>
      <c r="C2230" s="8" t="s">
        <v>13</v>
      </c>
      <c r="D2230" s="8" t="s">
        <v>14</v>
      </c>
      <c r="E2230" s="8">
        <v>1</v>
      </c>
    </row>
    <row r="2231" spans="1:5" ht="15.75" customHeight="1" x14ac:dyDescent="0.25">
      <c r="A2231" s="6" t="s">
        <v>2215</v>
      </c>
      <c r="B2231" s="6" t="str">
        <f ca="1">IFERROR(__xludf.DUMMYFUNCTION("GOOGLETRANSLATE(A2231,""bn"",""en"")"),"Critical thinking skills are fundamental to educational development")</f>
        <v>Critical thinking skills are fundamental to educational development</v>
      </c>
      <c r="C2231" s="8" t="s">
        <v>13</v>
      </c>
      <c r="D2231" s="8" t="s">
        <v>14</v>
      </c>
      <c r="E2231" s="8">
        <v>1</v>
      </c>
    </row>
    <row r="2232" spans="1:5" ht="15.75" customHeight="1" x14ac:dyDescent="0.25">
      <c r="A2232" s="6" t="s">
        <v>2216</v>
      </c>
      <c r="B2232" s="6" t="str">
        <f ca="1">IFERROR(__xludf.DUMMYFUNCTION("GOOGLETRANSLATE(A2232,""bn"",""en"")"),"Sunny has been expelled for excessive mischief in the classroom")</f>
        <v>Sunny has been expelled for excessive mischief in the classroom</v>
      </c>
      <c r="C2232" s="7" t="s">
        <v>6</v>
      </c>
      <c r="D2232" s="7" t="s">
        <v>7</v>
      </c>
      <c r="E2232" s="7">
        <v>0</v>
      </c>
    </row>
    <row r="2233" spans="1:5" ht="15.75" customHeight="1" x14ac:dyDescent="0.25">
      <c r="A2233" s="6" t="s">
        <v>2217</v>
      </c>
      <c r="B2233" s="6" t="str">
        <f ca="1">IFERROR(__xludf.DUMMYFUNCTION("GOOGLETRANSLATE(A2233,""bn"",""en"")"),"Where do I go home, you have to go to me")</f>
        <v>Where do I go home, you have to go to me</v>
      </c>
      <c r="C2233" s="7" t="s">
        <v>6</v>
      </c>
      <c r="D2233" s="7" t="s">
        <v>7</v>
      </c>
      <c r="E2233" s="7">
        <v>0</v>
      </c>
    </row>
    <row r="2234" spans="1:5" ht="15.75" customHeight="1" x14ac:dyDescent="0.25">
      <c r="A2234" s="6" t="s">
        <v>2218</v>
      </c>
      <c r="B2234" s="6" t="str">
        <f ca="1">IFERROR(__xludf.DUMMYFUNCTION("GOOGLETRANSLATE(A2234,""bn"",""en"")"),"He sat for a while and talked with his master")</f>
        <v>He sat for a while and talked with his master</v>
      </c>
      <c r="C2234" s="7" t="s">
        <v>6</v>
      </c>
      <c r="D2234" s="7" t="s">
        <v>7</v>
      </c>
      <c r="E2234" s="7">
        <v>0</v>
      </c>
    </row>
    <row r="2235" spans="1:5" ht="15.75" customHeight="1" x14ac:dyDescent="0.25">
      <c r="A2235" s="6" t="s">
        <v>2219</v>
      </c>
      <c r="B2235" s="6" t="str">
        <f ca="1">IFERROR(__xludf.DUMMYFUNCTION("GOOGLETRANSLATE(A2235,""bn"",""en"")"),"I was walking beside the field")</f>
        <v>I was walking beside the field</v>
      </c>
      <c r="C2235" s="7" t="s">
        <v>6</v>
      </c>
      <c r="D2235" s="7" t="s">
        <v>7</v>
      </c>
      <c r="E2235" s="7">
        <v>0</v>
      </c>
    </row>
    <row r="2236" spans="1:5" ht="15.75" customHeight="1" x14ac:dyDescent="0.25">
      <c r="A2236" s="6" t="s">
        <v>2220</v>
      </c>
      <c r="B2236" s="6" t="str">
        <f ca="1">IFERROR(__xludf.DUMMYFUNCTION("GOOGLETRANSLATE(A2236,""bn"",""en"")"),"Then he went to Calcutta with his wife - had no relation with Gaudiya")</f>
        <v>Then he went to Calcutta with his wife - had no relation with Gaudiya</v>
      </c>
      <c r="C2236" s="7" t="s">
        <v>6</v>
      </c>
      <c r="D2236" s="7" t="s">
        <v>7</v>
      </c>
      <c r="E2236" s="7">
        <v>0</v>
      </c>
    </row>
    <row r="2237" spans="1:5" ht="15.75" customHeight="1" x14ac:dyDescent="0.25">
      <c r="A2237" s="6" t="s">
        <v>2221</v>
      </c>
      <c r="B2237" s="6" t="str">
        <f ca="1">IFERROR(__xludf.DUMMYFUNCTION("GOOGLETRANSLATE(A2237,""bn"",""en"")"),"A lone buck stood still in the shallows, ready for the perfect moment to strike his long neck")</f>
        <v>A lone buck stood still in the shallows, ready for the perfect moment to strike his long neck</v>
      </c>
      <c r="C2237" s="8" t="s">
        <v>13</v>
      </c>
      <c r="D2237" s="8" t="s">
        <v>14</v>
      </c>
      <c r="E2237" s="8">
        <v>1</v>
      </c>
    </row>
    <row r="2238" spans="1:5" ht="15.75" customHeight="1" x14ac:dyDescent="0.25">
      <c r="A2238" s="6" t="s">
        <v>2222</v>
      </c>
      <c r="B2238" s="6" t="str">
        <f ca="1">IFERROR(__xludf.DUMMYFUNCTION("GOOGLETRANSLATE(A2238,""bn"",""en"")"),"Sharif called me today")</f>
        <v>Sharif called me today</v>
      </c>
      <c r="C2238" s="8" t="s">
        <v>13</v>
      </c>
      <c r="D2238" s="8" t="s">
        <v>14</v>
      </c>
      <c r="E2238" s="8">
        <v>1</v>
      </c>
    </row>
    <row r="2239" spans="1:5" ht="15.75" customHeight="1" x14ac:dyDescent="0.25">
      <c r="A2239" s="6" t="s">
        <v>2223</v>
      </c>
      <c r="B2239" s="6" t="str">
        <f ca="1">IFERROR(__xludf.DUMMYFUNCTION("GOOGLETRANSLATE(A2239,""bn"",""en"")"),"Rafiq Shaon went to play volleyball")</f>
        <v>Rafiq Shaon went to play volleyball</v>
      </c>
      <c r="C2239" s="8" t="s">
        <v>13</v>
      </c>
      <c r="D2239" s="8" t="s">
        <v>14</v>
      </c>
      <c r="E2239" s="8">
        <v>1</v>
      </c>
    </row>
    <row r="2240" spans="1:5" ht="15.75" customHeight="1" x14ac:dyDescent="0.25">
      <c r="A2240" s="6" t="s">
        <v>2224</v>
      </c>
      <c r="B2240" s="6" t="str">
        <f ca="1">IFERROR(__xludf.DUMMYFUNCTION("GOOGLETRANSLATE(A2240,""bn"",""en"")"),"As a nation, Bengalis have a reputation for wisdom")</f>
        <v>As a nation, Bengalis have a reputation for wisdom</v>
      </c>
      <c r="C2240" s="8" t="s">
        <v>13</v>
      </c>
      <c r="D2240" s="8" t="s">
        <v>14</v>
      </c>
      <c r="E2240" s="8">
        <v>1</v>
      </c>
    </row>
    <row r="2241" spans="1:5" ht="15.75" customHeight="1" x14ac:dyDescent="0.25">
      <c r="A2241" s="6" t="s">
        <v>2225</v>
      </c>
      <c r="B2241" s="6" t="str">
        <f ca="1">IFERROR(__xludf.DUMMYFUNCTION("GOOGLETRANSLATE(A2241,""bn"",""en"")"),"He is also a freedom fighter")</f>
        <v>He is also a freedom fighter</v>
      </c>
      <c r="C2241" s="8" t="s">
        <v>13</v>
      </c>
      <c r="D2241" s="8" t="s">
        <v>14</v>
      </c>
      <c r="E2241" s="8">
        <v>1</v>
      </c>
    </row>
    <row r="2242" spans="1:5" ht="15.75" customHeight="1" x14ac:dyDescent="0.25">
      <c r="A2242" s="6" t="s">
        <v>2226</v>
      </c>
      <c r="B2242" s="6" t="str">
        <f ca="1">IFERROR(__xludf.DUMMYFUNCTION("GOOGLETRANSLATE(A2242,""bn"",""en"")"),"I cried while lying in bed at night")</f>
        <v>I cried while lying in bed at night</v>
      </c>
      <c r="C2242" s="7" t="s">
        <v>6</v>
      </c>
      <c r="D2242" s="7" t="s">
        <v>7</v>
      </c>
      <c r="E2242" s="7">
        <v>0</v>
      </c>
    </row>
    <row r="2243" spans="1:5" ht="15.75" customHeight="1" x14ac:dyDescent="0.25">
      <c r="A2243" s="6" t="s">
        <v>2227</v>
      </c>
      <c r="B2243" s="6" t="str">
        <f ca="1">IFERROR(__xludf.DUMMYFUNCTION("GOOGLETRANSLATE(A2243,""bn"",""en"")"),"Sifat was listening to them")</f>
        <v>Sifat was listening to them</v>
      </c>
      <c r="C2243" s="7" t="s">
        <v>6</v>
      </c>
      <c r="D2243" s="7" t="s">
        <v>7</v>
      </c>
      <c r="E2243" s="7">
        <v>0</v>
      </c>
    </row>
    <row r="2244" spans="1:5" ht="15.75" customHeight="1" x14ac:dyDescent="0.25">
      <c r="A2244" s="6" t="s">
        <v>2228</v>
      </c>
      <c r="B2244" s="6" t="str">
        <f ca="1">IFERROR(__xludf.DUMMYFUNCTION("GOOGLETRANSLATE(A2244,""bn"",""en"")"),"The darkness of his own heart went down and scratched and scratched to find a jewel.")</f>
        <v>The darkness of his own heart went down and scratched and scratched to find a jewel.</v>
      </c>
      <c r="C2244" s="7" t="s">
        <v>6</v>
      </c>
      <c r="D2244" s="7" t="s">
        <v>7</v>
      </c>
      <c r="E2244" s="7">
        <v>0</v>
      </c>
    </row>
    <row r="2245" spans="1:5" ht="15.75" customHeight="1" x14ac:dyDescent="0.25">
      <c r="A2245" s="6" t="s">
        <v>1499</v>
      </c>
      <c r="B2245" s="6" t="str">
        <f ca="1">IFERROR(__xludf.DUMMYFUNCTION("GOOGLETRANSLATE(A2245,""bn"",""en"")"),"I stood for a long time looking at the beautiful scene")</f>
        <v>I stood for a long time looking at the beautiful scene</v>
      </c>
      <c r="C2245" s="7" t="s">
        <v>6</v>
      </c>
      <c r="D2245" s="7" t="s">
        <v>7</v>
      </c>
      <c r="E2245" s="7">
        <v>0</v>
      </c>
    </row>
    <row r="2246" spans="1:5" ht="15.75" customHeight="1" x14ac:dyDescent="0.25">
      <c r="A2246" s="6" t="s">
        <v>2229</v>
      </c>
      <c r="B2246" s="6" t="str">
        <f ca="1">IFERROR(__xludf.DUMMYFUNCTION("GOOGLETRANSLATE(A2246,""bn"",""en"")"),"Again, one sees what the growth looks like on the other's body")</f>
        <v>Again, one sees what the growth looks like on the other's body</v>
      </c>
      <c r="C2246" s="7" t="s">
        <v>6</v>
      </c>
      <c r="D2246" s="7" t="s">
        <v>7</v>
      </c>
      <c r="E2246" s="7">
        <v>0</v>
      </c>
    </row>
    <row r="2247" spans="1:5" ht="15.75" customHeight="1" x14ac:dyDescent="0.25">
      <c r="A2247" s="6" t="s">
        <v>2230</v>
      </c>
      <c r="B2247" s="6" t="str">
        <f ca="1">IFERROR(__xludf.DUMMYFUNCTION("GOOGLETRANSLATE(A2247,""bn"",""en"")"),"He stood aimlessly for a while and suddenly went to his room")</f>
        <v>He stood aimlessly for a while and suddenly went to his room</v>
      </c>
      <c r="C2247" s="8" t="s">
        <v>13</v>
      </c>
      <c r="D2247" s="8" t="s">
        <v>14</v>
      </c>
      <c r="E2247" s="8">
        <v>1</v>
      </c>
    </row>
    <row r="2248" spans="1:5" ht="15.75" customHeight="1" x14ac:dyDescent="0.25">
      <c r="A2248" s="6" t="s">
        <v>2231</v>
      </c>
      <c r="B2248" s="6" t="str">
        <f ca="1">IFERROR(__xludf.DUMMYFUNCTION("GOOGLETRANSLATE(A2248,""bn"",""en"")"),"Shakib Sajib is walking together")</f>
        <v>Shakib Sajib is walking together</v>
      </c>
      <c r="C2248" s="8" t="s">
        <v>13</v>
      </c>
      <c r="D2248" s="8" t="s">
        <v>14</v>
      </c>
      <c r="E2248" s="8">
        <v>1</v>
      </c>
    </row>
    <row r="2249" spans="1:5" ht="15.75" customHeight="1" x14ac:dyDescent="0.25">
      <c r="A2249" s="6" t="s">
        <v>2232</v>
      </c>
      <c r="B2249" s="6" t="str">
        <f ca="1">IFERROR(__xludf.DUMMYFUNCTION("GOOGLETRANSLATE(A2249,""bn"",""en"")"),"I got a speeding ticket last week I need to be more careful")</f>
        <v>I got a speeding ticket last week I need to be more careful</v>
      </c>
      <c r="C2249" s="8" t="s">
        <v>13</v>
      </c>
      <c r="D2249" s="8" t="s">
        <v>14</v>
      </c>
      <c r="E2249" s="8">
        <v>1</v>
      </c>
    </row>
    <row r="2250" spans="1:5" ht="15.75" customHeight="1" x14ac:dyDescent="0.25">
      <c r="A2250" s="6" t="s">
        <v>2233</v>
      </c>
      <c r="B2250" s="6" t="str">
        <f ca="1">IFERROR(__xludf.DUMMYFUNCTION("GOOGLETRANSLATE(A2250,""bn"",""en"")"),"Diversity inclusion initiatives promote a dynamic workplace")</f>
        <v>Diversity inclusion initiatives promote a dynamic workplace</v>
      </c>
      <c r="C2250" s="8" t="s">
        <v>13</v>
      </c>
      <c r="D2250" s="8" t="s">
        <v>14</v>
      </c>
      <c r="E2250" s="8">
        <v>1</v>
      </c>
    </row>
    <row r="2251" spans="1:5" ht="15.75" customHeight="1" x14ac:dyDescent="0.25">
      <c r="A2251" s="6" t="s">
        <v>2234</v>
      </c>
      <c r="B2251" s="6" t="str">
        <f ca="1">IFERROR(__xludf.DUMMYFUNCTION("GOOGLETRANSLATE(A2251,""bn"",""en"")"),"Most of these newspapers are in English Tamil")</f>
        <v>Most of these newspapers are in English Tamil</v>
      </c>
      <c r="C2251" s="8" t="s">
        <v>13</v>
      </c>
      <c r="D2251" s="8" t="s">
        <v>14</v>
      </c>
      <c r="E2251" s="8">
        <v>1</v>
      </c>
    </row>
    <row r="2252" spans="1:5" ht="15.75" customHeight="1" x14ac:dyDescent="0.25">
      <c r="A2252" s="6" t="s">
        <v>2235</v>
      </c>
      <c r="B2252" s="6" t="str">
        <f ca="1">IFERROR(__xludf.DUMMYFUNCTION("GOOGLETRANSLATE(A2252,""bn"",""en"")"),"He went to the mobile shop and talked about four more rupees")</f>
        <v>He went to the mobile shop and talked about four more rupees</v>
      </c>
      <c r="C2252" s="7" t="s">
        <v>6</v>
      </c>
      <c r="D2252" s="7" t="s">
        <v>7</v>
      </c>
      <c r="E2252" s="7">
        <v>0</v>
      </c>
    </row>
    <row r="2253" spans="1:5" ht="15.75" customHeight="1" x14ac:dyDescent="0.25">
      <c r="A2253" s="6" t="s">
        <v>2236</v>
      </c>
      <c r="B2253" s="6" t="str">
        <f ca="1">IFERROR(__xludf.DUMMYFUNCTION("GOOGLETRANSLATE(A2253,""bn"",""en"")"),"I was playing in the school field")</f>
        <v>I was playing in the school field</v>
      </c>
      <c r="C2253" s="7" t="s">
        <v>6</v>
      </c>
      <c r="D2253" s="7" t="s">
        <v>7</v>
      </c>
      <c r="E2253" s="7">
        <v>0</v>
      </c>
    </row>
    <row r="2254" spans="1:5" ht="15.75" customHeight="1" x14ac:dyDescent="0.25">
      <c r="A2254" s="6" t="s">
        <v>2237</v>
      </c>
      <c r="B2254" s="6" t="str">
        <f ca="1">IFERROR(__xludf.DUMMYFUNCTION("GOOGLETRANSLATE(A2254,""bn"",""en"")"),"Jagmohan is unfit to serve because he is a heretic")</f>
        <v>Jagmohan is unfit to serve because he is a heretic</v>
      </c>
      <c r="C2254" s="7" t="s">
        <v>6</v>
      </c>
      <c r="D2254" s="7" t="s">
        <v>7</v>
      </c>
      <c r="E2254" s="7">
        <v>0</v>
      </c>
    </row>
    <row r="2255" spans="1:5" ht="15.75" customHeight="1" x14ac:dyDescent="0.25">
      <c r="A2255" s="6" t="s">
        <v>2238</v>
      </c>
      <c r="B2255" s="6" t="str">
        <f ca="1">IFERROR(__xludf.DUMMYFUNCTION("GOOGLETRANSLATE(A2255,""bn"",""en"")"),"Asuras live in the mountains of this pargana")</f>
        <v>Asuras live in the mountains of this pargana</v>
      </c>
      <c r="C2255" s="7" t="s">
        <v>6</v>
      </c>
      <c r="D2255" s="7" t="s">
        <v>7</v>
      </c>
      <c r="E2255" s="7">
        <v>0</v>
      </c>
    </row>
    <row r="2256" spans="1:5" ht="15.75" customHeight="1" x14ac:dyDescent="0.25">
      <c r="A2256" s="6" t="s">
        <v>2239</v>
      </c>
      <c r="B2256" s="6" t="str">
        <f ca="1">IFERROR(__xludf.DUMMYFUNCTION("GOOGLETRANSLATE(A2256,""bn"",""en"")"),"Rafi came to me and talked")</f>
        <v>Rafi came to me and talked</v>
      </c>
      <c r="C2256" s="7" t="s">
        <v>6</v>
      </c>
      <c r="D2256" s="7" t="s">
        <v>7</v>
      </c>
      <c r="E2256" s="7">
        <v>0</v>
      </c>
    </row>
    <row r="2257" spans="1:5" ht="15.75" customHeight="1" x14ac:dyDescent="0.25">
      <c r="A2257" s="6" t="s">
        <v>2240</v>
      </c>
      <c r="B2257" s="6" t="str">
        <f ca="1">IFERROR(__xludf.DUMMYFUNCTION("GOOGLETRANSLATE(A2257,""bn"",""en"")"),"I can't stop you from playing even if I ban you a hundred times")</f>
        <v>I can't stop you from playing even if I ban you a hundred times</v>
      </c>
      <c r="C2257" s="8" t="s">
        <v>13</v>
      </c>
      <c r="D2257" s="8" t="s">
        <v>14</v>
      </c>
      <c r="E2257" s="8">
        <v>1</v>
      </c>
    </row>
    <row r="2258" spans="1:5" ht="15.75" customHeight="1" x14ac:dyDescent="0.25">
      <c r="A2258" s="6" t="s">
        <v>2241</v>
      </c>
      <c r="B2258" s="6" t="str">
        <f ca="1">IFERROR(__xludf.DUMMYFUNCTION("GOOGLETRANSLATE(A2258,""bn"",""en"")"),"This war lasted from April 13th to June 7th")</f>
        <v>This war lasted from April 13th to June 7th</v>
      </c>
      <c r="C2258" s="8" t="s">
        <v>13</v>
      </c>
      <c r="D2258" s="8" t="s">
        <v>14</v>
      </c>
      <c r="E2258" s="8">
        <v>1</v>
      </c>
    </row>
    <row r="2259" spans="1:5" ht="15.75" customHeight="1" x14ac:dyDescent="0.25">
      <c r="A2259" s="6" t="s">
        <v>2242</v>
      </c>
      <c r="B2259" s="6" t="str">
        <f ca="1">IFERROR(__xludf.DUMMYFUNCTION("GOOGLETRANSLATE(A2259,""bn"",""en"")"),"A related reason is the interest of the people of the plains in the ritual culture of the tribals")</f>
        <v>A related reason is the interest of the people of the plains in the ritual culture of the tribals</v>
      </c>
      <c r="C2259" s="8" t="s">
        <v>13</v>
      </c>
      <c r="D2259" s="8" t="s">
        <v>14</v>
      </c>
      <c r="E2259" s="8">
        <v>1</v>
      </c>
    </row>
    <row r="2260" spans="1:5" ht="15.75" customHeight="1" x14ac:dyDescent="0.25">
      <c r="A2260" s="6" t="s">
        <v>2243</v>
      </c>
      <c r="B2260" s="6" t="str">
        <f ca="1">IFERROR(__xludf.DUMMYFUNCTION("GOOGLETRANSLATE(A2260,""bn"",""en"")"),"Online comment sections allow readers to engage in discussions with news articles")</f>
        <v>Online comment sections allow readers to engage in discussions with news articles</v>
      </c>
      <c r="C2260" s="8" t="s">
        <v>13</v>
      </c>
      <c r="D2260" s="8" t="s">
        <v>14</v>
      </c>
      <c r="E2260" s="8">
        <v>1</v>
      </c>
    </row>
    <row r="2261" spans="1:5" ht="15.75" customHeight="1" x14ac:dyDescent="0.25">
      <c r="A2261" s="6" t="s">
        <v>2244</v>
      </c>
      <c r="B2261" s="6" t="str">
        <f ca="1">IFERROR(__xludf.DUMMYFUNCTION("GOOGLETRANSLATE(A2261,""bn"",""en"")"),"Chronic kidney disease is a gradual decline in kidney function over time leading to complications such as fluid retention and electrolyte imbalance")</f>
        <v>Chronic kidney disease is a gradual decline in kidney function over time leading to complications such as fluid retention and electrolyte imbalance</v>
      </c>
      <c r="C2261" s="8" t="s">
        <v>13</v>
      </c>
      <c r="D2261" s="8" t="s">
        <v>14</v>
      </c>
      <c r="E2261" s="8">
        <v>1</v>
      </c>
    </row>
    <row r="2262" spans="1:5" ht="15.75" customHeight="1" x14ac:dyDescent="0.25">
      <c r="A2262" s="6" t="s">
        <v>2245</v>
      </c>
      <c r="B2262" s="6" t="str">
        <f ca="1">IFERROR(__xludf.DUMMYFUNCTION("GOOGLETRANSLATE(A2262,""bn"",""en"")"),"It is the month of language exchange, the month of spring and the month of love")</f>
        <v>It is the month of language exchange, the month of spring and the month of love</v>
      </c>
      <c r="C2262" s="7" t="s">
        <v>6</v>
      </c>
      <c r="D2262" s="7" t="s">
        <v>7</v>
      </c>
      <c r="E2262" s="7">
        <v>0</v>
      </c>
    </row>
    <row r="2263" spans="1:5" ht="15.75" customHeight="1" x14ac:dyDescent="0.25">
      <c r="A2263" s="6" t="s">
        <v>2246</v>
      </c>
      <c r="B2263" s="6" t="str">
        <f ca="1">IFERROR(__xludf.DUMMYFUNCTION("GOOGLETRANSLATE(A2263,""bn"",""en"")"),"Her dress is decorated with wild flowers")</f>
        <v>Her dress is decorated with wild flowers</v>
      </c>
      <c r="C2263" s="7" t="s">
        <v>6</v>
      </c>
      <c r="D2263" s="7" t="s">
        <v>7</v>
      </c>
      <c r="E2263" s="7">
        <v>0</v>
      </c>
    </row>
    <row r="2264" spans="1:5" ht="15.75" customHeight="1" x14ac:dyDescent="0.25">
      <c r="A2264" s="6" t="s">
        <v>2247</v>
      </c>
      <c r="B2264" s="6" t="str">
        <f ca="1">IFERROR(__xludf.DUMMYFUNCTION("GOOGLETRANSLATE(A2264,""bn"",""en"")"),"Twenty years later it was a thousand")</f>
        <v>Twenty years later it was a thousand</v>
      </c>
      <c r="C2264" s="7" t="s">
        <v>6</v>
      </c>
      <c r="D2264" s="7" t="s">
        <v>7</v>
      </c>
      <c r="E2264" s="7">
        <v>0</v>
      </c>
    </row>
    <row r="2265" spans="1:5" ht="15.75" customHeight="1" x14ac:dyDescent="0.25">
      <c r="A2265" s="6" t="s">
        <v>2248</v>
      </c>
      <c r="B2265" s="6" t="str">
        <f ca="1">IFERROR(__xludf.DUMMYFUNCTION("GOOGLETRANSLATE(A2265,""bn"",""en"")"),"When happiness is in your hands, enjoy it in such a way that you do not envy the next")</f>
        <v>When happiness is in your hands, enjoy it in such a way that you do not envy the next</v>
      </c>
      <c r="C2265" s="7" t="s">
        <v>6</v>
      </c>
      <c r="D2265" s="7" t="s">
        <v>7</v>
      </c>
      <c r="E2265" s="7">
        <v>0</v>
      </c>
    </row>
    <row r="2266" spans="1:5" ht="15.75" customHeight="1" x14ac:dyDescent="0.25">
      <c r="A2266" s="6" t="s">
        <v>2249</v>
      </c>
      <c r="B2266" s="6" t="str">
        <f ca="1">IFERROR(__xludf.DUMMYFUNCTION("GOOGLETRANSLATE(A2266,""bn"",""en"")"),"I kept Shawn close to me")</f>
        <v>I kept Shawn close to me</v>
      </c>
      <c r="C2266" s="7" t="s">
        <v>6</v>
      </c>
      <c r="D2266" s="7" t="s">
        <v>7</v>
      </c>
      <c r="E2266" s="7">
        <v>0</v>
      </c>
    </row>
    <row r="2267" spans="1:5" ht="15.75" customHeight="1" x14ac:dyDescent="0.25">
      <c r="A2267" s="6" t="s">
        <v>2250</v>
      </c>
      <c r="B2267" s="6" t="str">
        <f ca="1">IFERROR(__xludf.DUMMYFUNCTION("GOOGLETRANSLATE(A2267,""bn"",""en"")"),"He looked at the crowd and said that this is not the case")</f>
        <v>He looked at the crowd and said that this is not the case</v>
      </c>
      <c r="C2267" s="8" t="s">
        <v>13</v>
      </c>
      <c r="D2267" s="8" t="s">
        <v>14</v>
      </c>
      <c r="E2267" s="8">
        <v>1</v>
      </c>
    </row>
    <row r="2268" spans="1:5" ht="15.75" customHeight="1" x14ac:dyDescent="0.25">
      <c r="A2268" s="6" t="s">
        <v>2251</v>
      </c>
      <c r="B2268" s="6" t="str">
        <f ca="1">IFERROR(__xludf.DUMMYFUNCTION("GOOGLETRANSLATE(A2268,""bn"",""en"")"),"It is a special method of prayer")</f>
        <v>It is a special method of prayer</v>
      </c>
      <c r="C2268" s="8" t="s">
        <v>13</v>
      </c>
      <c r="D2268" s="8" t="s">
        <v>14</v>
      </c>
      <c r="E2268" s="8">
        <v>1</v>
      </c>
    </row>
    <row r="2269" spans="1:5" ht="15.75" customHeight="1" x14ac:dyDescent="0.25">
      <c r="A2269" s="6" t="s">
        <v>2252</v>
      </c>
      <c r="B2269" s="6" t="str">
        <f ca="1">IFERROR(__xludf.DUMMYFUNCTION("GOOGLETRANSLATE(A2269,""bn"",""en"")"),"Canada has a free market economy")</f>
        <v>Canada has a free market economy</v>
      </c>
      <c r="C2269" s="8" t="s">
        <v>13</v>
      </c>
      <c r="D2269" s="8" t="s">
        <v>14</v>
      </c>
      <c r="E2269" s="8">
        <v>1</v>
      </c>
    </row>
    <row r="2270" spans="1:5" ht="15.75" customHeight="1" x14ac:dyDescent="0.25">
      <c r="A2270" s="6" t="s">
        <v>2253</v>
      </c>
      <c r="B2270" s="6" t="str">
        <f ca="1">IFERROR(__xludf.DUMMYFUNCTION("GOOGLETRANSLATE(A2270,""bn"",""en"")"),"Those who want to know me")</f>
        <v>Those who want to know me</v>
      </c>
      <c r="C2270" s="8" t="s">
        <v>13</v>
      </c>
      <c r="D2270" s="8" t="s">
        <v>14</v>
      </c>
      <c r="E2270" s="8">
        <v>1</v>
      </c>
    </row>
    <row r="2271" spans="1:5" ht="15.75" customHeight="1" x14ac:dyDescent="0.25">
      <c r="A2271" s="6" t="s">
        <v>2254</v>
      </c>
      <c r="B2271" s="6" t="str">
        <f ca="1">IFERROR(__xludf.DUMMYFUNCTION("GOOGLETRANSLATE(A2271,""bn"",""en"")"),"The canopy provides shelter from the scorching sun overhead and creates a cool oasis below")</f>
        <v>The canopy provides shelter from the scorching sun overhead and creates a cool oasis below</v>
      </c>
      <c r="C2271" s="8" t="s">
        <v>13</v>
      </c>
      <c r="D2271" s="8" t="s">
        <v>14</v>
      </c>
      <c r="E2271" s="8">
        <v>1</v>
      </c>
    </row>
    <row r="2272" spans="1:5" ht="15.75" customHeight="1" x14ac:dyDescent="0.25">
      <c r="A2272" s="6" t="s">
        <v>2255</v>
      </c>
      <c r="B2272" s="6" t="str">
        <f ca="1">IFERROR(__xludf.DUMMYFUNCTION("GOOGLETRANSLATE(A2272,""bn"",""en"")"),"He had crossed that path to shorten the path")</f>
        <v>He had crossed that path to shorten the path</v>
      </c>
      <c r="C2272" s="7" t="s">
        <v>6</v>
      </c>
      <c r="D2272" s="7" t="s">
        <v>7</v>
      </c>
      <c r="E2272" s="7">
        <v>0</v>
      </c>
    </row>
    <row r="2273" spans="1:5" ht="15.75" customHeight="1" x14ac:dyDescent="0.25">
      <c r="A2273" s="6" t="s">
        <v>2256</v>
      </c>
      <c r="B2273" s="6" t="str">
        <f ca="1">IFERROR(__xludf.DUMMYFUNCTION("GOOGLETRANSLATE(A2273,""bn"",""en"")"),"The ghat of the village at the mouth of the bend")</f>
        <v>The ghat of the village at the mouth of the bend</v>
      </c>
      <c r="C2273" s="7" t="s">
        <v>6</v>
      </c>
      <c r="D2273" s="7" t="s">
        <v>7</v>
      </c>
      <c r="E2273" s="7">
        <v>0</v>
      </c>
    </row>
    <row r="2274" spans="1:5" ht="15.75" customHeight="1" x14ac:dyDescent="0.25">
      <c r="A2274" s="6" t="s">
        <v>2257</v>
      </c>
      <c r="B2274" s="6" t="str">
        <f ca="1">IFERROR(__xludf.DUMMYFUNCTION("GOOGLETRANSLATE(A2274,""bn"",""en"")"),"I went to the store to buy a book with a heavy heart")</f>
        <v>I went to the store to buy a book with a heavy heart</v>
      </c>
      <c r="C2274" s="7" t="s">
        <v>6</v>
      </c>
      <c r="D2274" s="7" t="s">
        <v>7</v>
      </c>
      <c r="E2274" s="7">
        <v>0</v>
      </c>
    </row>
    <row r="2275" spans="1:5" ht="15.75" customHeight="1" x14ac:dyDescent="0.25">
      <c r="A2275" s="6" t="s">
        <v>490</v>
      </c>
      <c r="B2275" s="6" t="str">
        <f ca="1">IFERROR(__xludf.DUMMYFUNCTION("GOOGLETRANSLATE(A2275,""bn"",""en"")"),"Even if there were hundreds of things in the tent, I would throw it away")</f>
        <v>Even if there were hundreds of things in the tent, I would throw it away</v>
      </c>
      <c r="C2275" s="7" t="s">
        <v>6</v>
      </c>
      <c r="D2275" s="7" t="s">
        <v>7</v>
      </c>
      <c r="E2275" s="7">
        <v>0</v>
      </c>
    </row>
    <row r="2276" spans="1:5" ht="15.75" customHeight="1" x14ac:dyDescent="0.25">
      <c r="A2276" s="6" t="s">
        <v>2258</v>
      </c>
      <c r="B2276" s="6" t="str">
        <f ca="1">IFERROR(__xludf.DUMMYFUNCTION("GOOGLETRANSLATE(A2276,""bn"",""en"")"),"I decided only by feeling that the young people had gone astray")</f>
        <v>I decided only by feeling that the young people had gone astray</v>
      </c>
      <c r="C2276" s="7" t="s">
        <v>6</v>
      </c>
      <c r="D2276" s="7" t="s">
        <v>7</v>
      </c>
      <c r="E2276" s="7">
        <v>0</v>
      </c>
    </row>
    <row r="2277" spans="1:5" ht="15.75" customHeight="1" x14ac:dyDescent="0.25">
      <c r="A2277" s="6" t="s">
        <v>2259</v>
      </c>
      <c r="B2277" s="6" t="str">
        <f ca="1">IFERROR(__xludf.DUMMYFUNCTION("GOOGLETRANSLATE(A2277,""bn"",""en"")"),"They were sharing their essential nutrients with us")</f>
        <v>They were sharing their essential nutrients with us</v>
      </c>
      <c r="C2277" s="8" t="s">
        <v>13</v>
      </c>
      <c r="D2277" s="8" t="s">
        <v>14</v>
      </c>
      <c r="E2277" s="8">
        <v>1</v>
      </c>
    </row>
    <row r="2278" spans="1:5" ht="15.75" customHeight="1" x14ac:dyDescent="0.25">
      <c r="A2278" s="6" t="s">
        <v>2260</v>
      </c>
      <c r="B2278" s="6" t="str">
        <f ca="1">IFERROR(__xludf.DUMMYFUNCTION("GOOGLETRANSLATE(A2278,""bn"",""en"")"),"I gave him a complete tour of my new home")</f>
        <v>I gave him a complete tour of my new home</v>
      </c>
      <c r="C2278" s="8" t="s">
        <v>13</v>
      </c>
      <c r="D2278" s="8" t="s">
        <v>14</v>
      </c>
      <c r="E2278" s="8">
        <v>1</v>
      </c>
    </row>
    <row r="2279" spans="1:5" ht="15.75" customHeight="1" x14ac:dyDescent="0.25">
      <c r="A2279" s="6" t="s">
        <v>2261</v>
      </c>
      <c r="B2279" s="6" t="str">
        <f ca="1">IFERROR(__xludf.DUMMYFUNCTION("GOOGLETRANSLATE(A2279,""bn"",""en"")"),"Racketeering involves illegal business practices carried out by organized groups")</f>
        <v>Racketeering involves illegal business practices carried out by organized groups</v>
      </c>
      <c r="C2279" s="8" t="s">
        <v>13</v>
      </c>
      <c r="D2279" s="8" t="s">
        <v>14</v>
      </c>
      <c r="E2279" s="8">
        <v>1</v>
      </c>
    </row>
    <row r="2280" spans="1:5" ht="15.75" customHeight="1" x14ac:dyDescent="0.25">
      <c r="A2280" s="6" t="s">
        <v>2262</v>
      </c>
      <c r="B2280" s="6" t="str">
        <f ca="1">IFERROR(__xludf.DUMMYFUNCTION("GOOGLETRANSLATE(A2280,""bn"",""en"")"),"I was very dissatisfied with his work")</f>
        <v>I was very dissatisfied with his work</v>
      </c>
      <c r="C2280" s="8" t="s">
        <v>13</v>
      </c>
      <c r="D2280" s="8" t="s">
        <v>14</v>
      </c>
      <c r="E2280" s="8">
        <v>1</v>
      </c>
    </row>
    <row r="2281" spans="1:5" ht="15.75" customHeight="1" x14ac:dyDescent="0.25">
      <c r="A2281" s="6" t="s">
        <v>2263</v>
      </c>
      <c r="B2281" s="6" t="str">
        <f ca="1">IFERROR(__xludf.DUMMYFUNCTION("GOOGLETRANSLATE(A2281,""bn"",""en"")"),"He gave me false hope")</f>
        <v>He gave me false hope</v>
      </c>
      <c r="C2281" s="8" t="s">
        <v>13</v>
      </c>
      <c r="D2281" s="8" t="s">
        <v>14</v>
      </c>
      <c r="E2281" s="8">
        <v>1</v>
      </c>
    </row>
    <row r="2282" spans="1:5" ht="15.75" customHeight="1" x14ac:dyDescent="0.25">
      <c r="A2282" s="6" t="s">
        <v>2264</v>
      </c>
      <c r="B2282" s="6" t="str">
        <f ca="1">IFERROR(__xludf.DUMMYFUNCTION("GOOGLETRANSLATE(A2282,""bn"",""en"")"),"Why is our ritual behavior in the civilized age")</f>
        <v>Why is our ritual behavior in the civilized age</v>
      </c>
      <c r="C2282" s="7" t="s">
        <v>6</v>
      </c>
      <c r="D2282" s="7" t="s">
        <v>7</v>
      </c>
      <c r="E2282" s="7">
        <v>0</v>
      </c>
    </row>
    <row r="2283" spans="1:5" ht="15.75" customHeight="1" x14ac:dyDescent="0.25">
      <c r="A2283" s="6" t="s">
        <v>2265</v>
      </c>
      <c r="B2283" s="6" t="str">
        <f ca="1">IFERROR(__xludf.DUMMYFUNCTION("GOOGLETRANSLATE(A2283,""bn"",""en"")"),"It would not harm itself")</f>
        <v>It would not harm itself</v>
      </c>
      <c r="C2283" s="7" t="s">
        <v>6</v>
      </c>
      <c r="D2283" s="7" t="s">
        <v>7</v>
      </c>
      <c r="E2283" s="7">
        <v>0</v>
      </c>
    </row>
    <row r="2284" spans="1:5" ht="15.75" customHeight="1" x14ac:dyDescent="0.25">
      <c r="A2284" s="6" t="s">
        <v>2266</v>
      </c>
      <c r="B2284" s="6" t="str">
        <f ca="1">IFERROR(__xludf.DUMMYFUNCTION("GOOGLETRANSLATE(A2284,""bn"",""en"")"),"Ronnie will go to buy new clothes")</f>
        <v>Ronnie will go to buy new clothes</v>
      </c>
      <c r="C2284" s="7" t="s">
        <v>6</v>
      </c>
      <c r="D2284" s="7" t="s">
        <v>7</v>
      </c>
      <c r="E2284" s="7">
        <v>0</v>
      </c>
    </row>
    <row r="2285" spans="1:5" ht="15.75" customHeight="1" x14ac:dyDescent="0.25">
      <c r="A2285" s="6" t="s">
        <v>2267</v>
      </c>
      <c r="B2285" s="6" t="str">
        <f ca="1">IFERROR(__xludf.DUMMYFUNCTION("GOOGLETRANSLATE(A2285,""bn"",""en"")"),"He fainted after overexerting himself")</f>
        <v>He fainted after overexerting himself</v>
      </c>
      <c r="C2285" s="7" t="s">
        <v>6</v>
      </c>
      <c r="D2285" s="7" t="s">
        <v>7</v>
      </c>
      <c r="E2285" s="7">
        <v>0</v>
      </c>
    </row>
    <row r="2286" spans="1:5" ht="15.75" customHeight="1" x14ac:dyDescent="0.25">
      <c r="A2286" s="6" t="s">
        <v>2268</v>
      </c>
      <c r="B2286" s="6" t="str">
        <f ca="1">IFERROR(__xludf.DUMMYFUNCTION("GOOGLETRANSLATE(A2286,""bn"",""en"")"),"Suman is not at home today")</f>
        <v>Suman is not at home today</v>
      </c>
      <c r="C2286" s="7" t="s">
        <v>6</v>
      </c>
      <c r="D2286" s="7" t="s">
        <v>7</v>
      </c>
      <c r="E2286" s="7">
        <v>0</v>
      </c>
    </row>
    <row r="2287" spans="1:5" ht="15.75" customHeight="1" x14ac:dyDescent="0.25">
      <c r="A2287" s="6" t="s">
        <v>2269</v>
      </c>
      <c r="B2287" s="6" t="str">
        <f ca="1">IFERROR(__xludf.DUMMYFUNCTION("GOOGLETRANSLATE(A2287,""bn"",""en"")"),"He saw a crimson glow of sunset all over his face")</f>
        <v>He saw a crimson glow of sunset all over his face</v>
      </c>
      <c r="C2287" s="8" t="s">
        <v>13</v>
      </c>
      <c r="D2287" s="8" t="s">
        <v>14</v>
      </c>
      <c r="E2287" s="8">
        <v>1</v>
      </c>
    </row>
    <row r="2288" spans="1:5" ht="15.75" customHeight="1" x14ac:dyDescent="0.25">
      <c r="A2288" s="6" t="s">
        <v>2270</v>
      </c>
      <c r="B2288" s="6" t="str">
        <f ca="1">IFERROR(__xludf.DUMMYFUNCTION("GOOGLETRANSLATE(A2288,""bn"",""en"")"),"I found the instructions vague and difficult to follow")</f>
        <v>I found the instructions vague and difficult to follow</v>
      </c>
      <c r="C2288" s="8" t="s">
        <v>13</v>
      </c>
      <c r="D2288" s="8" t="s">
        <v>14</v>
      </c>
      <c r="E2288" s="8">
        <v>1</v>
      </c>
    </row>
    <row r="2289" spans="1:5" ht="15.75" customHeight="1" x14ac:dyDescent="0.25">
      <c r="A2289" s="6" t="s">
        <v>2271</v>
      </c>
      <c r="B2289" s="6" t="str">
        <f ca="1">IFERROR(__xludf.DUMMYFUNCTION("GOOGLETRANSLATE(A2289,""bn"",""en"")"),"There were more than a thousand educated people in the city")</f>
        <v>There were more than a thousand educated people in the city</v>
      </c>
      <c r="C2289" s="8" t="s">
        <v>13</v>
      </c>
      <c r="D2289" s="8" t="s">
        <v>14</v>
      </c>
      <c r="E2289" s="8">
        <v>1</v>
      </c>
    </row>
    <row r="2290" spans="1:5" ht="15.75" customHeight="1" x14ac:dyDescent="0.25">
      <c r="A2290" s="6" t="s">
        <v>2272</v>
      </c>
      <c r="B2290" s="6" t="str">
        <f ca="1">IFERROR(__xludf.DUMMYFUNCTION("GOOGLETRANSLATE(A2290,""bn"",""en"")"),"History and art Tagore was very attracted by Ashaishab")</f>
        <v>History and art Tagore was very attracted by Ashaishab</v>
      </c>
      <c r="C2290" s="8" t="s">
        <v>13</v>
      </c>
      <c r="D2290" s="8" t="s">
        <v>14</v>
      </c>
      <c r="E2290" s="8">
        <v>1</v>
      </c>
    </row>
    <row r="2291" spans="1:5" ht="15.75" customHeight="1" x14ac:dyDescent="0.25">
      <c r="A2291" s="6" t="s">
        <v>2273</v>
      </c>
      <c r="B2291" s="6" t="str">
        <f ca="1">IFERROR(__xludf.DUMMYFUNCTION("GOOGLETRANSLATE(A2291,""bn"",""en"")"),"I also remembered that no customer ever paid")</f>
        <v>I also remembered that no customer ever paid</v>
      </c>
      <c r="C2291" s="8" t="s">
        <v>13</v>
      </c>
      <c r="D2291" s="8" t="s">
        <v>14</v>
      </c>
      <c r="E2291" s="8">
        <v>1</v>
      </c>
    </row>
    <row r="2292" spans="1:5" ht="15.75" customHeight="1" x14ac:dyDescent="0.25">
      <c r="A2292" s="6" t="s">
        <v>2274</v>
      </c>
      <c r="B2292" s="6" t="str">
        <f ca="1">IFERROR(__xludf.DUMMYFUNCTION("GOOGLETRANSLATE(A2292,""bn"",""en"")"),"Their hearts are full of joy as their expedition has been successful")</f>
        <v>Their hearts are full of joy as their expedition has been successful</v>
      </c>
      <c r="C2292" s="7" t="s">
        <v>6</v>
      </c>
      <c r="D2292" s="7" t="s">
        <v>7</v>
      </c>
      <c r="E2292" s="7">
        <v>0</v>
      </c>
    </row>
    <row r="2293" spans="1:5" ht="15.75" customHeight="1" x14ac:dyDescent="0.25">
      <c r="A2293" s="6" t="s">
        <v>2275</v>
      </c>
      <c r="B2293" s="6" t="str">
        <f ca="1">IFERROR(__xludf.DUMMYFUNCTION("GOOGLETRANSLATE(A2293,""bn"",""en"")"),"The boy's fever was very high")</f>
        <v>The boy's fever was very high</v>
      </c>
      <c r="C2293" s="7" t="s">
        <v>6</v>
      </c>
      <c r="D2293" s="7" t="s">
        <v>7</v>
      </c>
      <c r="E2293" s="7">
        <v>0</v>
      </c>
    </row>
    <row r="2294" spans="1:5" ht="15.75" customHeight="1" x14ac:dyDescent="0.25">
      <c r="A2294" s="6" t="s">
        <v>2276</v>
      </c>
      <c r="B2294" s="6" t="str">
        <f ca="1">IFERROR(__xludf.DUMMYFUNCTION("GOOGLETRANSLATE(A2294,""bn"",""en"")"),"Binay called him and sent Behara to fetch him")</f>
        <v>Binay called him and sent Behara to fetch him</v>
      </c>
      <c r="C2294" s="7" t="s">
        <v>6</v>
      </c>
      <c r="D2294" s="7" t="s">
        <v>7</v>
      </c>
      <c r="E2294" s="7">
        <v>0</v>
      </c>
    </row>
    <row r="2295" spans="1:5" ht="15.75" customHeight="1" x14ac:dyDescent="0.25">
      <c r="A2295" s="6" t="s">
        <v>2277</v>
      </c>
      <c r="B2295" s="6" t="str">
        <f ca="1">IFERROR(__xludf.DUMMYFUNCTION("GOOGLETRANSLATE(A2295,""bn"",""en"")"),"I endured a lot in these two days and thought a lot")</f>
        <v>I endured a lot in these two days and thought a lot</v>
      </c>
      <c r="C2295" s="7" t="s">
        <v>6</v>
      </c>
      <c r="D2295" s="7" t="s">
        <v>7</v>
      </c>
      <c r="E2295" s="7">
        <v>0</v>
      </c>
    </row>
    <row r="2296" spans="1:5" ht="15.75" customHeight="1" x14ac:dyDescent="0.25">
      <c r="A2296" s="6" t="s">
        <v>2278</v>
      </c>
      <c r="B2296" s="6" t="str">
        <f ca="1">IFERROR(__xludf.DUMMYFUNCTION("GOOGLETRANSLATE(A2296,""bn"",""en"")"),"I will eat rice and go to play")</f>
        <v>I will eat rice and go to play</v>
      </c>
      <c r="C2296" s="7" t="s">
        <v>6</v>
      </c>
      <c r="D2296" s="7" t="s">
        <v>7</v>
      </c>
      <c r="E2296" s="7">
        <v>0</v>
      </c>
    </row>
    <row r="2297" spans="1:5" ht="15.75" customHeight="1" x14ac:dyDescent="0.25">
      <c r="A2297" s="6" t="s">
        <v>2279</v>
      </c>
      <c r="B2297" s="6" t="str">
        <f ca="1">IFERROR(__xludf.DUMMYFUNCTION("GOOGLETRANSLATE(A2297,""bn"",""en"")"),"I couldn't believe him")</f>
        <v>I couldn't believe him</v>
      </c>
      <c r="C2297" s="8" t="s">
        <v>13</v>
      </c>
      <c r="D2297" s="8" t="s">
        <v>14</v>
      </c>
      <c r="E2297" s="8">
        <v>1</v>
      </c>
    </row>
    <row r="2298" spans="1:5" ht="15.75" customHeight="1" x14ac:dyDescent="0.25">
      <c r="A2298" s="6" t="s">
        <v>2280</v>
      </c>
      <c r="B2298" s="6" t="str">
        <f ca="1">IFERROR(__xludf.DUMMYFUNCTION("GOOGLETRANSLATE(A2298,""bn"",""en"")"),"He was forced to return to his village")</f>
        <v>He was forced to return to his village</v>
      </c>
      <c r="C2298" s="8" t="s">
        <v>13</v>
      </c>
      <c r="D2298" s="8" t="s">
        <v>14</v>
      </c>
      <c r="E2298" s="8">
        <v>1</v>
      </c>
    </row>
    <row r="2299" spans="1:5" ht="15.75" customHeight="1" x14ac:dyDescent="0.25">
      <c r="A2299" s="6" t="s">
        <v>2281</v>
      </c>
      <c r="B2299" s="6" t="str">
        <f ca="1">IFERROR(__xludf.DUMMYFUNCTION("GOOGLETRANSLATE(A2299,""bn"",""en"")"),"Prioritize good posture during exercise")</f>
        <v>Prioritize good posture during exercise</v>
      </c>
      <c r="C2299" s="8" t="s">
        <v>13</v>
      </c>
      <c r="D2299" s="8" t="s">
        <v>14</v>
      </c>
      <c r="E2299" s="8">
        <v>1</v>
      </c>
    </row>
    <row r="2300" spans="1:5" ht="15.75" customHeight="1" x14ac:dyDescent="0.25">
      <c r="A2300" s="6" t="s">
        <v>2282</v>
      </c>
      <c r="B2300" s="6" t="str">
        <f ca="1">IFERROR(__xludf.DUMMYFUNCTION("GOOGLETRANSLATE(A2300,""bn"",""en"")"),"Freshly squeezed juice rejuvenates in the morning")</f>
        <v>Freshly squeezed juice rejuvenates in the morning</v>
      </c>
      <c r="C2300" s="8" t="s">
        <v>13</v>
      </c>
      <c r="D2300" s="8" t="s">
        <v>14</v>
      </c>
      <c r="E2300" s="8">
        <v>1</v>
      </c>
    </row>
    <row r="2301" spans="1:5" ht="15.75" customHeight="1" x14ac:dyDescent="0.25">
      <c r="A2301" s="6" t="s">
        <v>2283</v>
      </c>
      <c r="B2301" s="6" t="str">
        <f ca="1">IFERROR(__xludf.DUMMYFUNCTION("GOOGLETRANSLATE(A2301,""bn"",""en"")"),"Effective communication is paramount to achieving business goals")</f>
        <v>Effective communication is paramount to achieving business goals</v>
      </c>
      <c r="C2301" s="8" t="s">
        <v>13</v>
      </c>
      <c r="D2301" s="8" t="s">
        <v>14</v>
      </c>
      <c r="E2301" s="8">
        <v>1</v>
      </c>
    </row>
    <row r="2302" spans="1:5" ht="15.75" customHeight="1" x14ac:dyDescent="0.25">
      <c r="A2302" s="6" t="s">
        <v>2284</v>
      </c>
      <c r="B2302" s="6" t="str">
        <f ca="1">IFERROR(__xludf.DUMMYFUNCTION("GOOGLETRANSLATE(A2302,""bn"",""en"")"),"Everyone understood and stood on the side")</f>
        <v>Everyone understood and stood on the side</v>
      </c>
      <c r="C2302" s="7" t="s">
        <v>6</v>
      </c>
      <c r="D2302" s="7" t="s">
        <v>7</v>
      </c>
      <c r="E2302" s="7">
        <v>0</v>
      </c>
    </row>
    <row r="2303" spans="1:5" ht="15.75" customHeight="1" x14ac:dyDescent="0.25">
      <c r="A2303" s="6" t="s">
        <v>2285</v>
      </c>
      <c r="B2303" s="6" t="str">
        <f ca="1">IFERROR(__xludf.DUMMYFUNCTION("GOOGLETRANSLATE(A2303,""bn"",""en"")"),"They took off their shoes and entered the house")</f>
        <v>They took off their shoes and entered the house</v>
      </c>
      <c r="C2303" s="7" t="s">
        <v>6</v>
      </c>
      <c r="D2303" s="7" t="s">
        <v>7</v>
      </c>
      <c r="E2303" s="7">
        <v>0</v>
      </c>
    </row>
    <row r="2304" spans="1:5" ht="15.75" customHeight="1" x14ac:dyDescent="0.25">
      <c r="A2304" s="6" t="s">
        <v>2286</v>
      </c>
      <c r="B2304" s="6" t="str">
        <f ca="1">IFERROR(__xludf.DUMMYFUNCTION("GOOGLETRANSLATE(A2304,""bn"",""en"")"),"Govardhan took the light and left")</f>
        <v>Govardhan took the light and left</v>
      </c>
      <c r="C2304" s="7" t="s">
        <v>6</v>
      </c>
      <c r="D2304" s="7" t="s">
        <v>7</v>
      </c>
      <c r="E2304" s="7">
        <v>0</v>
      </c>
    </row>
    <row r="2305" spans="1:5" ht="15.75" customHeight="1" x14ac:dyDescent="0.25">
      <c r="A2305" s="6" t="s">
        <v>2287</v>
      </c>
      <c r="B2305" s="6" t="str">
        <f ca="1">IFERROR(__xludf.DUMMYFUNCTION("GOOGLETRANSLATE(A2305,""bn"",""en"")"),"After a while I saw the groom coming in the palanquin")</f>
        <v>After a while I saw the groom coming in the palanquin</v>
      </c>
      <c r="C2305" s="7" t="s">
        <v>6</v>
      </c>
      <c r="D2305" s="7" t="s">
        <v>7</v>
      </c>
      <c r="E2305" s="7">
        <v>0</v>
      </c>
    </row>
    <row r="2306" spans="1:5" ht="15.75" customHeight="1" x14ac:dyDescent="0.25">
      <c r="A2306" s="6" t="s">
        <v>2288</v>
      </c>
      <c r="B2306" s="6" t="str">
        <f ca="1">IFERROR(__xludf.DUMMYFUNCTION("GOOGLETRANSLATE(A2306,""bn"",""en"")"),"Then he called the servant and fined him for the theft")</f>
        <v>Then he called the servant and fined him for the theft</v>
      </c>
      <c r="C2306" s="7" t="s">
        <v>6</v>
      </c>
      <c r="D2306" s="7" t="s">
        <v>7</v>
      </c>
      <c r="E2306" s="7">
        <v>0</v>
      </c>
    </row>
    <row r="2307" spans="1:5" ht="15.75" customHeight="1" x14ac:dyDescent="0.25">
      <c r="A2307" s="6" t="s">
        <v>2289</v>
      </c>
      <c r="B2307" s="6" t="str">
        <f ca="1">IFERROR(__xludf.DUMMYFUNCTION("GOOGLETRANSLATE(A2307,""bn"",""en"")"),"We have a number of spaces suitable for van family travel")</f>
        <v>We have a number of spaces suitable for van family travel</v>
      </c>
      <c r="C2307" s="8" t="s">
        <v>13</v>
      </c>
      <c r="D2307" s="8" t="s">
        <v>14</v>
      </c>
      <c r="E2307" s="8">
        <v>1</v>
      </c>
    </row>
    <row r="2308" spans="1:5" ht="15.75" customHeight="1" x14ac:dyDescent="0.25">
      <c r="A2308" s="6" t="s">
        <v>2290</v>
      </c>
      <c r="B2308" s="6" t="str">
        <f ca="1">IFERROR(__xludf.DUMMYFUNCTION("GOOGLETRANSLATE(A2308,""bn"",""en"")"),"The sun sank below the horizon casting long shadows across the landscape as the world settled into darkness")</f>
        <v>The sun sank below the horizon casting long shadows across the landscape as the world settled into darkness</v>
      </c>
      <c r="C2308" s="8" t="s">
        <v>13</v>
      </c>
      <c r="D2308" s="8" t="s">
        <v>14</v>
      </c>
      <c r="E2308" s="8">
        <v>1</v>
      </c>
    </row>
    <row r="2309" spans="1:5" ht="15.75" customHeight="1" x14ac:dyDescent="0.25">
      <c r="A2309" s="6" t="s">
        <v>2291</v>
      </c>
      <c r="B2309" s="6" t="str">
        <f ca="1">IFERROR(__xludf.DUMMYFUNCTION("GOOGLETRANSLATE(A2309,""bn"",""en"")"),"I feel very helpless right now.")</f>
        <v>I feel very helpless right now.</v>
      </c>
      <c r="C2309" s="8" t="s">
        <v>13</v>
      </c>
      <c r="D2309" s="8" t="s">
        <v>14</v>
      </c>
      <c r="E2309" s="8">
        <v>1</v>
      </c>
    </row>
    <row r="2310" spans="1:5" ht="15.75" customHeight="1" x14ac:dyDescent="0.25">
      <c r="A2310" s="6" t="s">
        <v>2292</v>
      </c>
      <c r="B2310" s="6" t="str">
        <f ca="1">IFERROR(__xludf.DUMMYFUNCTION("GOOGLETRANSLATE(A2310,""bn"",""en"")"),"The garden was damaged in a fire in the city of Uppsala in 1990")</f>
        <v>The garden was damaged in a fire in the city of Uppsala in 1990</v>
      </c>
      <c r="C2310" s="8" t="s">
        <v>13</v>
      </c>
      <c r="D2310" s="8" t="s">
        <v>14</v>
      </c>
      <c r="E2310" s="8">
        <v>1</v>
      </c>
    </row>
    <row r="2311" spans="1:5" ht="15.75" customHeight="1" x14ac:dyDescent="0.25">
      <c r="A2311" s="6" t="s">
        <v>2293</v>
      </c>
      <c r="B2311" s="6" t="str">
        <f ca="1">IFERROR(__xludf.DUMMYFUNCTION("GOOGLETRANSLATE(A2311,""bn"",""en"")"),"Layali Majnu love story is known all over the world")</f>
        <v>Layali Majnu love story is known all over the world</v>
      </c>
      <c r="C2311" s="8" t="s">
        <v>13</v>
      </c>
      <c r="D2311" s="8" t="s">
        <v>14</v>
      </c>
      <c r="E2311" s="8">
        <v>1</v>
      </c>
    </row>
    <row r="2312" spans="1:5" ht="15.75" customHeight="1" x14ac:dyDescent="0.25">
      <c r="A2312" s="6" t="s">
        <v>2294</v>
      </c>
      <c r="B2312" s="6" t="str">
        <f ca="1">IFERROR(__xludf.DUMMYFUNCTION("GOOGLETRANSLATE(A2312,""bn"",""en"")"),"When I returned, I saw that the daughter of such a member of the General Counsel of the Government was coming alone")</f>
        <v>When I returned, I saw that the daughter of such a member of the General Counsel of the Government was coming alone</v>
      </c>
      <c r="C2312" s="7" t="s">
        <v>6</v>
      </c>
      <c r="D2312" s="7" t="s">
        <v>7</v>
      </c>
      <c r="E2312" s="7">
        <v>0</v>
      </c>
    </row>
    <row r="2313" spans="1:5" ht="15.75" customHeight="1" x14ac:dyDescent="0.25">
      <c r="A2313" s="6" t="s">
        <v>2295</v>
      </c>
      <c r="B2313" s="6" t="str">
        <f ca="1">IFERROR(__xludf.DUMMYFUNCTION("GOOGLETRANSLATE(A2313,""bn"",""en"")"),"The said Rai Bahadur's paternal line, though much reduced, is the Banedi house")</f>
        <v>The said Rai Bahadur's paternal line, though much reduced, is the Banedi house</v>
      </c>
      <c r="C2313" s="7" t="s">
        <v>6</v>
      </c>
      <c r="D2313" s="7" t="s">
        <v>7</v>
      </c>
      <c r="E2313" s="7">
        <v>0</v>
      </c>
    </row>
    <row r="2314" spans="1:5" ht="15.75" customHeight="1" x14ac:dyDescent="0.25">
      <c r="A2314" s="6" t="s">
        <v>2296</v>
      </c>
      <c r="B2314" s="6" t="str">
        <f ca="1">IFERROR(__xludf.DUMMYFUNCTION("GOOGLETRANSLATE(A2314,""bn"",""en"")"),"America and other countries where the Companions have gone and established kingdoms")</f>
        <v>America and other countries where the Companions have gone and established kingdoms</v>
      </c>
      <c r="C2314" s="7" t="s">
        <v>6</v>
      </c>
      <c r="D2314" s="7" t="s">
        <v>7</v>
      </c>
      <c r="E2314" s="7">
        <v>0</v>
      </c>
    </row>
    <row r="2315" spans="1:5" ht="15.75" customHeight="1" x14ac:dyDescent="0.25">
      <c r="A2315" s="6" t="s">
        <v>2297</v>
      </c>
      <c r="B2315" s="6" t="str">
        <f ca="1">IFERROR(__xludf.DUMMYFUNCTION("GOOGLETRANSLATE(A2315,""bn"",""en"")"),"As soon as he heard, the anger roared like before")</f>
        <v>As soon as he heard, the anger roared like before</v>
      </c>
      <c r="C2315" s="7" t="s">
        <v>6</v>
      </c>
      <c r="D2315" s="7" t="s">
        <v>7</v>
      </c>
      <c r="E2315" s="7">
        <v>0</v>
      </c>
    </row>
    <row r="2316" spans="1:5" ht="15.75" customHeight="1" x14ac:dyDescent="0.25">
      <c r="A2316" s="6" t="s">
        <v>2298</v>
      </c>
      <c r="B2316" s="6" t="str">
        <f ca="1">IFERROR(__xludf.DUMMYFUNCTION("GOOGLETRANSLATE(A2316,""bn"",""en"")"),"It is a great pleasure to tell old stories, and a special pleasure is that I have an audience")</f>
        <v>It is a great pleasure to tell old stories, and a special pleasure is that I have an audience</v>
      </c>
      <c r="C2316" s="7" t="s">
        <v>6</v>
      </c>
      <c r="D2316" s="7" t="s">
        <v>7</v>
      </c>
      <c r="E2316" s="7">
        <v>0</v>
      </c>
    </row>
    <row r="2317" spans="1:5" ht="15.75" customHeight="1" x14ac:dyDescent="0.25">
      <c r="A2317" s="6" t="s">
        <v>2299</v>
      </c>
      <c r="B2317" s="6" t="str">
        <f ca="1">IFERROR(__xludf.DUMMYFUNCTION("GOOGLETRANSLATE(A2317,""bn"",""en"")"),"I feel happy when I achieve my goals")</f>
        <v>I feel happy when I achieve my goals</v>
      </c>
      <c r="C2317" s="8" t="s">
        <v>13</v>
      </c>
      <c r="D2317" s="8" t="s">
        <v>14</v>
      </c>
      <c r="E2317" s="8">
        <v>1</v>
      </c>
    </row>
    <row r="2318" spans="1:5" ht="15.75" customHeight="1" x14ac:dyDescent="0.25">
      <c r="A2318" s="6" t="s">
        <v>2300</v>
      </c>
      <c r="B2318" s="6" t="str">
        <f ca="1">IFERROR(__xludf.DUMMYFUNCTION("GOOGLETRANSLATE(A2318,""bn"",""en"")"),"do you know them")</f>
        <v>do you know them</v>
      </c>
      <c r="C2318" s="8" t="s">
        <v>13</v>
      </c>
      <c r="D2318" s="8" t="s">
        <v>14</v>
      </c>
      <c r="E2318" s="8">
        <v>1</v>
      </c>
    </row>
    <row r="2319" spans="1:5" ht="15.75" customHeight="1" x14ac:dyDescent="0.25">
      <c r="A2319" s="6" t="s">
        <v>2301</v>
      </c>
      <c r="B2319" s="6" t="str">
        <f ca="1">IFERROR(__xludf.DUMMYFUNCTION("GOOGLETRANSLATE(A2319,""bn"",""en"")"),"Benefits The baobab tree has many benefits for people living in desert areas")</f>
        <v>Benefits The baobab tree has many benefits for people living in desert areas</v>
      </c>
      <c r="C2319" s="8" t="s">
        <v>13</v>
      </c>
      <c r="D2319" s="8" t="s">
        <v>14</v>
      </c>
      <c r="E2319" s="8">
        <v>1</v>
      </c>
    </row>
    <row r="2320" spans="1:5" ht="15.75" customHeight="1" x14ac:dyDescent="0.25">
      <c r="A2320" s="6" t="s">
        <v>2302</v>
      </c>
      <c r="B2320" s="6" t="str">
        <f ca="1">IFERROR(__xludf.DUMMYFUNCTION("GOOGLETRANSLATE(A2320,""bn"",""en"")"),"The stories of my grandparents are like a glimpse into the past")</f>
        <v>The stories of my grandparents are like a glimpse into the past</v>
      </c>
      <c r="C2320" s="8" t="s">
        <v>13</v>
      </c>
      <c r="D2320" s="8" t="s">
        <v>14</v>
      </c>
      <c r="E2320" s="8">
        <v>1</v>
      </c>
    </row>
    <row r="2321" spans="1:5" ht="15.75" customHeight="1" x14ac:dyDescent="0.25">
      <c r="A2321" s="6" t="s">
        <v>2303</v>
      </c>
      <c r="B2321" s="6" t="str">
        <f ca="1">IFERROR(__xludf.DUMMYFUNCTION("GOOGLETRANSLATE(A2321,""bn"",""en"")"),"Stargazing offers quiet moments")</f>
        <v>Stargazing offers quiet moments</v>
      </c>
      <c r="C2321" s="8" t="s">
        <v>13</v>
      </c>
      <c r="D2321" s="8" t="s">
        <v>14</v>
      </c>
      <c r="E2321" s="8">
        <v>1</v>
      </c>
    </row>
    <row r="2322" spans="1:5" ht="15.75" customHeight="1" x14ac:dyDescent="0.25">
      <c r="A2322" s="6" t="s">
        <v>2304</v>
      </c>
      <c r="B2322" s="6" t="str">
        <f ca="1">IFERROR(__xludf.DUMMYFUNCTION("GOOGLETRANSLATE(A2322,""bn"",""en"")"),"To clothe a relative in battle")</f>
        <v>To clothe a relative in battle</v>
      </c>
      <c r="C2322" s="7" t="s">
        <v>6</v>
      </c>
      <c r="D2322" s="7" t="s">
        <v>7</v>
      </c>
      <c r="E2322" s="7">
        <v>0</v>
      </c>
    </row>
    <row r="2323" spans="1:5" ht="15.75" customHeight="1" x14ac:dyDescent="0.25">
      <c r="A2323" s="6" t="s">
        <v>2305</v>
      </c>
      <c r="B2323" s="6" t="str">
        <f ca="1">IFERROR(__xludf.DUMMYFUNCTION("GOOGLETRANSLATE(A2323,""bn"",""en"")"),"Brother asked me to do this")</f>
        <v>Brother asked me to do this</v>
      </c>
      <c r="C2323" s="7" t="s">
        <v>6</v>
      </c>
      <c r="D2323" s="7" t="s">
        <v>7</v>
      </c>
      <c r="E2323" s="7">
        <v>0</v>
      </c>
    </row>
    <row r="2324" spans="1:5" ht="15.75" customHeight="1" x14ac:dyDescent="0.25">
      <c r="A2324" s="6" t="s">
        <v>2306</v>
      </c>
      <c r="B2324" s="6" t="str">
        <f ca="1">IFERROR(__xludf.DUMMYFUNCTION("GOOGLETRANSLATE(A2324,""bn"",""en"")"),"At that time Behara regularly brought the light and put it on the tipai and left")</f>
        <v>At that time Behara regularly brought the light and put it on the tipai and left</v>
      </c>
      <c r="C2324" s="7" t="s">
        <v>6</v>
      </c>
      <c r="D2324" s="7" t="s">
        <v>7</v>
      </c>
      <c r="E2324" s="7">
        <v>0</v>
      </c>
    </row>
    <row r="2325" spans="1:5" ht="15.75" customHeight="1" x14ac:dyDescent="0.25">
      <c r="A2325" s="6" t="s">
        <v>2307</v>
      </c>
      <c r="B2325" s="6" t="str">
        <f ca="1">IFERROR(__xludf.DUMMYFUNCTION("GOOGLETRANSLATE(A2325,""bn"",""en"")"),"I spent my childhood in Palligram")</f>
        <v>I spent my childhood in Palligram</v>
      </c>
      <c r="C2325" s="7" t="s">
        <v>6</v>
      </c>
      <c r="D2325" s="7" t="s">
        <v>7</v>
      </c>
      <c r="E2325" s="7">
        <v>0</v>
      </c>
    </row>
    <row r="2326" spans="1:5" ht="15.75" customHeight="1" x14ac:dyDescent="0.25">
      <c r="A2326" s="6" t="s">
        <v>2308</v>
      </c>
      <c r="B2326" s="6" t="str">
        <f ca="1">IFERROR(__xludf.DUMMYFUNCTION("GOOGLETRANSLATE(A2326,""bn"",""en"")"),"I have kept the face of the saints pure by mentioning palandu for fear of onion")</f>
        <v>I have kept the face of the saints pure by mentioning palandu for fear of onion</v>
      </c>
      <c r="C2326" s="7" t="s">
        <v>6</v>
      </c>
      <c r="D2326" s="7" t="s">
        <v>7</v>
      </c>
      <c r="E2326" s="7">
        <v>0</v>
      </c>
    </row>
    <row r="2327" spans="1:5" ht="15.75" customHeight="1" x14ac:dyDescent="0.25">
      <c r="A2327" s="6" t="s">
        <v>2309</v>
      </c>
      <c r="B2327" s="6" t="str">
        <f ca="1">IFERROR(__xludf.DUMMYFUNCTION("GOOGLETRANSLATE(A2327,""bn"",""en"")"),"He does not know which direction this procession is going")</f>
        <v>He does not know which direction this procession is going</v>
      </c>
      <c r="C2327" s="8" t="s">
        <v>13</v>
      </c>
      <c r="D2327" s="8" t="s">
        <v>14</v>
      </c>
      <c r="E2327" s="8">
        <v>1</v>
      </c>
    </row>
    <row r="2328" spans="1:5" ht="15.75" customHeight="1" x14ac:dyDescent="0.25">
      <c r="A2328" s="6" t="s">
        <v>2310</v>
      </c>
      <c r="B2328" s="6" t="str">
        <f ca="1">IFERROR(__xludf.DUMMYFUNCTION("GOOGLETRANSLATE(A2328,""bn"",""en"")"),"I asked him to wait for me")</f>
        <v>I asked him to wait for me</v>
      </c>
      <c r="C2328" s="8" t="s">
        <v>13</v>
      </c>
      <c r="D2328" s="8" t="s">
        <v>14</v>
      </c>
      <c r="E2328" s="8">
        <v>1</v>
      </c>
    </row>
    <row r="2329" spans="1:5" ht="15.75" customHeight="1" x14ac:dyDescent="0.25">
      <c r="A2329" s="6" t="s">
        <v>2311</v>
      </c>
      <c r="B2329" s="6" t="str">
        <f ca="1">IFERROR(__xludf.DUMMYFUNCTION("GOOGLETRANSLATE(A2329,""bn"",""en"")"),"It is believed that some evil force has appeared on the ship")</f>
        <v>It is believed that some evil force has appeared on the ship</v>
      </c>
      <c r="C2329" s="8" t="s">
        <v>13</v>
      </c>
      <c r="D2329" s="8" t="s">
        <v>14</v>
      </c>
      <c r="E2329" s="8">
        <v>1</v>
      </c>
    </row>
    <row r="2330" spans="1:5" ht="15.75" customHeight="1" x14ac:dyDescent="0.25">
      <c r="A2330" s="6" t="s">
        <v>2312</v>
      </c>
      <c r="B2330" s="6" t="str">
        <f ca="1">IFERROR(__xludf.DUMMYFUNCTION("GOOGLETRANSLATE(A2330,""bn"",""en"")"),"I was pleasantly surprised by how affordable the product was")</f>
        <v>I was pleasantly surprised by how affordable the product was</v>
      </c>
      <c r="C2330" s="8" t="s">
        <v>13</v>
      </c>
      <c r="D2330" s="8" t="s">
        <v>14</v>
      </c>
      <c r="E2330" s="8">
        <v>1</v>
      </c>
    </row>
    <row r="2331" spans="1:5" ht="15.75" customHeight="1" x14ac:dyDescent="0.25">
      <c r="A2331" s="6" t="s">
        <v>2313</v>
      </c>
      <c r="B2331" s="6" t="str">
        <f ca="1">IFERROR(__xludf.DUMMYFUNCTION("GOOGLETRANSLATE(A2331,""bn"",""en"")"),"Family gatherings always bring a smile to my face")</f>
        <v>Family gatherings always bring a smile to my face</v>
      </c>
      <c r="C2331" s="8" t="s">
        <v>13</v>
      </c>
      <c r="D2331" s="8" t="s">
        <v>14</v>
      </c>
      <c r="E2331" s="8">
        <v>1</v>
      </c>
    </row>
    <row r="2332" spans="1:5" ht="15.75" customHeight="1" x14ac:dyDescent="0.25">
      <c r="A2332" s="6" t="s">
        <v>2314</v>
      </c>
      <c r="B2332" s="6" t="str">
        <f ca="1">IFERROR(__xludf.DUMMYFUNCTION("GOOGLETRANSLATE(A2332,""bn"",""en"")"),"Rahim asked me about it")</f>
        <v>Rahim asked me about it</v>
      </c>
      <c r="C2332" s="7" t="s">
        <v>6</v>
      </c>
      <c r="D2332" s="7" t="s">
        <v>7</v>
      </c>
      <c r="E2332" s="7">
        <v>0</v>
      </c>
    </row>
    <row r="2333" spans="1:5" ht="15.75" customHeight="1" x14ac:dyDescent="0.25">
      <c r="A2333" s="6" t="s">
        <v>2315</v>
      </c>
      <c r="B2333" s="6" t="str">
        <f ca="1">IFERROR(__xludf.DUMMYFUNCTION("GOOGLETRANSLATE(A2333,""bn"",""en"")"),"What made him shout and say")</f>
        <v>What made him shout and say</v>
      </c>
      <c r="C2333" s="7" t="s">
        <v>6</v>
      </c>
      <c r="D2333" s="7" t="s">
        <v>7</v>
      </c>
      <c r="E2333" s="7">
        <v>0</v>
      </c>
    </row>
    <row r="2334" spans="1:5" ht="15.75" customHeight="1" x14ac:dyDescent="0.25">
      <c r="A2334" s="6" t="s">
        <v>2316</v>
      </c>
      <c r="B2334" s="6" t="str">
        <f ca="1">IFERROR(__xludf.DUMMYFUNCTION("GOOGLETRANSLATE(A2334,""bn"",""en"")"),"Where someone was alone")</f>
        <v>Where someone was alone</v>
      </c>
      <c r="C2334" s="7" t="s">
        <v>6</v>
      </c>
      <c r="D2334" s="7" t="s">
        <v>7</v>
      </c>
      <c r="E2334" s="7">
        <v>0</v>
      </c>
    </row>
    <row r="2335" spans="1:5" ht="15.75" customHeight="1" x14ac:dyDescent="0.25">
      <c r="A2335" s="6" t="s">
        <v>2317</v>
      </c>
      <c r="B2335" s="6" t="str">
        <f ca="1">IFERROR(__xludf.DUMMYFUNCTION("GOOGLETRANSLATE(A2335,""bn"",""en"")"),"My body was thrilled")</f>
        <v>My body was thrilled</v>
      </c>
      <c r="C2335" s="7" t="s">
        <v>6</v>
      </c>
      <c r="D2335" s="7" t="s">
        <v>7</v>
      </c>
      <c r="E2335" s="7">
        <v>0</v>
      </c>
    </row>
    <row r="2336" spans="1:5" ht="15.75" customHeight="1" x14ac:dyDescent="0.25">
      <c r="A2336" s="6" t="s">
        <v>2318</v>
      </c>
      <c r="B2336" s="6" t="str">
        <f ca="1">IFERROR(__xludf.DUMMYFUNCTION("GOOGLETRANSLATE(A2336,""bn"",""en"")"),"In the evening, the lamp is not lit in Haru's house")</f>
        <v>In the evening, the lamp is not lit in Haru's house</v>
      </c>
      <c r="C2336" s="7" t="s">
        <v>6</v>
      </c>
      <c r="D2336" s="7" t="s">
        <v>7</v>
      </c>
      <c r="E2336" s="7">
        <v>0</v>
      </c>
    </row>
    <row r="2337" spans="1:5" ht="15.75" customHeight="1" x14ac:dyDescent="0.25">
      <c r="A2337" s="6" t="s">
        <v>2319</v>
      </c>
      <c r="B2337" s="6" t="str">
        <f ca="1">IFERROR(__xludf.DUMMYFUNCTION("GOOGLETRANSLATE(A2337,""bn"",""en"")"),"He forgives those who ask for forgiveness, He has mercy on those who ask for mercy")</f>
        <v>He forgives those who ask for forgiveness, He has mercy on those who ask for mercy</v>
      </c>
      <c r="C2337" s="8" t="s">
        <v>13</v>
      </c>
      <c r="D2337" s="8" t="s">
        <v>14</v>
      </c>
      <c r="E2337" s="8">
        <v>1</v>
      </c>
    </row>
    <row r="2338" spans="1:5" ht="15.75" customHeight="1" x14ac:dyDescent="0.25">
      <c r="A2338" s="6" t="s">
        <v>2320</v>
      </c>
      <c r="B2338" s="6" t="str">
        <f ca="1">IFERROR(__xludf.DUMMYFUNCTION("GOOGLETRANSLATE(A2338,""bn"",""en"")"),"Sikhism originated in the Punjab region with an emphasis on belief in one God and the importance of service")</f>
        <v>Sikhism originated in the Punjab region with an emphasis on belief in one God and the importance of service</v>
      </c>
      <c r="C2338" s="8" t="s">
        <v>13</v>
      </c>
      <c r="D2338" s="8" t="s">
        <v>14</v>
      </c>
      <c r="E2338" s="8">
        <v>1</v>
      </c>
    </row>
    <row r="2339" spans="1:5" ht="15.75" customHeight="1" x14ac:dyDescent="0.25">
      <c r="A2339" s="6" t="s">
        <v>2321</v>
      </c>
      <c r="B2339" s="6" t="str">
        <f ca="1">IFERROR(__xludf.DUMMYFUNCTION("GOOGLETRANSLATE(A2339,""bn"",""en"")"),"Then such news is widely discussed news")</f>
        <v>Then such news is widely discussed news</v>
      </c>
      <c r="C2339" s="8" t="s">
        <v>13</v>
      </c>
      <c r="D2339" s="8" t="s">
        <v>14</v>
      </c>
      <c r="E2339" s="8">
        <v>1</v>
      </c>
    </row>
    <row r="2340" spans="1:5" ht="15.75" customHeight="1" x14ac:dyDescent="0.25">
      <c r="A2340" s="6" t="s">
        <v>2322</v>
      </c>
      <c r="B2340" s="6" t="str">
        <f ca="1">IFERROR(__xludf.DUMMYFUNCTION("GOOGLETRANSLATE(A2340,""bn"",""en"")"),"The head is hot")</f>
        <v>The head is hot</v>
      </c>
      <c r="C2340" s="8" t="s">
        <v>13</v>
      </c>
      <c r="D2340" s="8" t="s">
        <v>14</v>
      </c>
      <c r="E2340" s="8">
        <v>1</v>
      </c>
    </row>
    <row r="2341" spans="1:5" ht="15.75" customHeight="1" x14ac:dyDescent="0.25">
      <c r="A2341" s="6" t="s">
        <v>2323</v>
      </c>
      <c r="B2341" s="6" t="str">
        <f ca="1">IFERROR(__xludf.DUMMYFUNCTION("GOOGLETRANSLATE(A2341,""bn"",""en"")"),"France then participated as a central nation in two world wars")</f>
        <v>France then participated as a central nation in two world wars</v>
      </c>
      <c r="C2341" s="8" t="s">
        <v>13</v>
      </c>
      <c r="D2341" s="8" t="s">
        <v>14</v>
      </c>
      <c r="E2341" s="8">
        <v>1</v>
      </c>
    </row>
    <row r="2342" spans="1:5" ht="15.75" customHeight="1" x14ac:dyDescent="0.25">
      <c r="A2342" s="6" t="s">
        <v>2324</v>
      </c>
      <c r="B2342" s="6" t="str">
        <f ca="1">IFERROR(__xludf.DUMMYFUNCTION("GOOGLETRANSLATE(A2342,""bn"",""en"")"),"Dad decided to take us out on vacation.")</f>
        <v>Dad decided to take us out on vacation.</v>
      </c>
      <c r="C2342" s="7" t="s">
        <v>6</v>
      </c>
      <c r="D2342" s="7" t="s">
        <v>7</v>
      </c>
      <c r="E2342" s="7">
        <v>0</v>
      </c>
    </row>
    <row r="2343" spans="1:5" ht="15.75" customHeight="1" x14ac:dyDescent="0.25">
      <c r="A2343" s="6" t="s">
        <v>2325</v>
      </c>
      <c r="B2343" s="6" t="str">
        <f ca="1">IFERROR(__xludf.DUMMYFUNCTION("GOOGLETRANSLATE(A2343,""bn"",""en"")"),"Kol has many branches")</f>
        <v>Kol has many branches</v>
      </c>
      <c r="C2343" s="7" t="s">
        <v>6</v>
      </c>
      <c r="D2343" s="7" t="s">
        <v>7</v>
      </c>
      <c r="E2343" s="7">
        <v>0</v>
      </c>
    </row>
    <row r="2344" spans="1:5" ht="15.75" customHeight="1" x14ac:dyDescent="0.25">
      <c r="A2344" s="6" t="s">
        <v>2326</v>
      </c>
      <c r="B2344" s="6" t="str">
        <f ca="1">IFERROR(__xludf.DUMMYFUNCTION("GOOGLETRANSLATE(A2344,""bn"",""en"")"),"The more he thought about this, the more bitter his mind became")</f>
        <v>The more he thought about this, the more bitter his mind became</v>
      </c>
      <c r="C2344" s="7" t="s">
        <v>6</v>
      </c>
      <c r="D2344" s="7" t="s">
        <v>7</v>
      </c>
      <c r="E2344" s="7">
        <v>0</v>
      </c>
    </row>
    <row r="2345" spans="1:5" ht="15.75" customHeight="1" x14ac:dyDescent="0.25">
      <c r="A2345" s="6" t="s">
        <v>2327</v>
      </c>
      <c r="B2345" s="6" t="str">
        <f ca="1">IFERROR(__xludf.DUMMYFUNCTION("GOOGLETRANSLATE(A2345,""bn"",""en"")"),"I have never made eye contact with the person whose house I am going to")</f>
        <v>I have never made eye contact with the person whose house I am going to</v>
      </c>
      <c r="C2345" s="7" t="s">
        <v>6</v>
      </c>
      <c r="D2345" s="7" t="s">
        <v>7</v>
      </c>
      <c r="E2345" s="7">
        <v>0</v>
      </c>
    </row>
    <row r="2346" spans="1:5" ht="15.75" customHeight="1" x14ac:dyDescent="0.25">
      <c r="A2346" s="6" t="s">
        <v>2328</v>
      </c>
      <c r="B2346" s="6" t="str">
        <f ca="1">IFERROR(__xludf.DUMMYFUNCTION("GOOGLETRANSLATE(A2346,""bn"",""en"")"),"People's reformation was that the banana plant did not get sap in this stony soil and dried up")</f>
        <v>People's reformation was that the banana plant did not get sap in this stony soil and dried up</v>
      </c>
      <c r="C2346" s="7" t="s">
        <v>6</v>
      </c>
      <c r="D2346" s="7" t="s">
        <v>7</v>
      </c>
      <c r="E2346" s="7">
        <v>0</v>
      </c>
    </row>
    <row r="2347" spans="1:5" ht="15.75" customHeight="1" x14ac:dyDescent="0.25">
      <c r="A2347" s="6" t="s">
        <v>2329</v>
      </c>
      <c r="B2347" s="6" t="str">
        <f ca="1">IFERROR(__xludf.DUMMYFUNCTION("GOOGLETRANSLATE(A2347,""bn"",""en"")"),"If you want to work on a computer, you must first know what a computer is")</f>
        <v>If you want to work on a computer, you must first know what a computer is</v>
      </c>
      <c r="C2347" s="8" t="s">
        <v>13</v>
      </c>
      <c r="D2347" s="8" t="s">
        <v>14</v>
      </c>
      <c r="E2347" s="8">
        <v>1</v>
      </c>
    </row>
    <row r="2348" spans="1:5" ht="15.75" customHeight="1" x14ac:dyDescent="0.25">
      <c r="A2348" s="6" t="s">
        <v>2330</v>
      </c>
      <c r="B2348" s="6" t="str">
        <f ca="1">IFERROR(__xludf.DUMMYFUNCTION("GOOGLETRANSLATE(A2348,""bn"",""en"")"),"I need to review the transaction details before approving")</f>
        <v>I need to review the transaction details before approving</v>
      </c>
      <c r="C2348" s="8" t="s">
        <v>13</v>
      </c>
      <c r="D2348" s="8" t="s">
        <v>14</v>
      </c>
      <c r="E2348" s="8">
        <v>1</v>
      </c>
    </row>
    <row r="2349" spans="1:5" ht="15.75" customHeight="1" x14ac:dyDescent="0.25">
      <c r="A2349" s="6" t="s">
        <v>2331</v>
      </c>
      <c r="B2349" s="6" t="str">
        <f ca="1">IFERROR(__xludf.DUMMYFUNCTION("GOOGLETRANSLATE(A2349,""bn"",""en"")"),"My mother used to do it")</f>
        <v>My mother used to do it</v>
      </c>
      <c r="C2349" s="8" t="s">
        <v>13</v>
      </c>
      <c r="D2349" s="8" t="s">
        <v>14</v>
      </c>
      <c r="E2349" s="8">
        <v>1</v>
      </c>
    </row>
    <row r="2350" spans="1:5" ht="15.75" customHeight="1" x14ac:dyDescent="0.25">
      <c r="A2350" s="6" t="s">
        <v>2332</v>
      </c>
      <c r="B2350" s="6" t="str">
        <f ca="1">IFERROR(__xludf.DUMMYFUNCTION("GOOGLETRANSLATE(A2350,""bn"",""en"")"),"Karim has come to play football")</f>
        <v>Karim has come to play football</v>
      </c>
      <c r="C2350" s="8" t="s">
        <v>13</v>
      </c>
      <c r="D2350" s="8" t="s">
        <v>14</v>
      </c>
      <c r="E2350" s="8">
        <v>1</v>
      </c>
    </row>
    <row r="2351" spans="1:5" ht="15.75" customHeight="1" x14ac:dyDescent="0.25">
      <c r="A2351" s="6" t="s">
        <v>2333</v>
      </c>
      <c r="B2351" s="6" t="str">
        <f ca="1">IFERROR(__xludf.DUMMYFUNCTION("GOOGLETRANSLATE(A2351,""bn"",""en"")"),"Agroecological farming systems prioritize environmental sustainability by mimicking natural ecosystems")</f>
        <v>Agroecological farming systems prioritize environmental sustainability by mimicking natural ecosystems</v>
      </c>
      <c r="C2351" s="8" t="s">
        <v>13</v>
      </c>
      <c r="D2351" s="8" t="s">
        <v>14</v>
      </c>
      <c r="E2351" s="8">
        <v>1</v>
      </c>
    </row>
    <row r="2352" spans="1:5" ht="15.75" customHeight="1" x14ac:dyDescent="0.25">
      <c r="A2352" s="6" t="s">
        <v>2334</v>
      </c>
      <c r="B2352" s="6" t="str">
        <f ca="1">IFERROR(__xludf.DUMMYFUNCTION("GOOGLETRANSLATE(A2352,""bn"",""en"")"),"All are equally high All are rocky black")</f>
        <v>All are equally high All are rocky black</v>
      </c>
      <c r="C2352" s="7" t="s">
        <v>6</v>
      </c>
      <c r="D2352" s="7" t="s">
        <v>7</v>
      </c>
      <c r="E2352" s="7">
        <v>0</v>
      </c>
    </row>
    <row r="2353" spans="1:5" ht="15.75" customHeight="1" x14ac:dyDescent="0.25">
      <c r="A2353" s="6" t="s">
        <v>2335</v>
      </c>
      <c r="B2353" s="6" t="str">
        <f ca="1">IFERROR(__xludf.DUMMYFUNCTION("GOOGLETRANSLATE(A2353,""bn"",""en"")"),"The boy threw the rope and did not find his bottom anywhere")</f>
        <v>The boy threw the rope and did not find his bottom anywhere</v>
      </c>
      <c r="C2353" s="7" t="s">
        <v>6</v>
      </c>
      <c r="D2353" s="7" t="s">
        <v>7</v>
      </c>
      <c r="E2353" s="7">
        <v>0</v>
      </c>
    </row>
    <row r="2354" spans="1:5" ht="15.75" customHeight="1" x14ac:dyDescent="0.25">
      <c r="A2354" s="6" t="s">
        <v>2336</v>
      </c>
      <c r="B2354" s="6" t="str">
        <f ca="1">IFERROR(__xludf.DUMMYFUNCTION("GOOGLETRANSLATE(A2354,""bn"",""en"")"),"No one has ever seen such a sandalwood leopard in this country")</f>
        <v>No one has ever seen such a sandalwood leopard in this country</v>
      </c>
      <c r="C2354" s="7" t="s">
        <v>6</v>
      </c>
      <c r="D2354" s="7" t="s">
        <v>7</v>
      </c>
      <c r="E2354" s="7">
        <v>0</v>
      </c>
    </row>
    <row r="2355" spans="1:5" ht="15.75" customHeight="1" x14ac:dyDescent="0.25">
      <c r="A2355" s="6" t="s">
        <v>2337</v>
      </c>
      <c r="B2355" s="6" t="str">
        <f ca="1">IFERROR(__xludf.DUMMYFUNCTION("GOOGLETRANSLATE(A2355,""bn"",""en"")"),"That day he completed the last chapter of his life")</f>
        <v>That day he completed the last chapter of his life</v>
      </c>
      <c r="C2355" s="7" t="s">
        <v>6</v>
      </c>
      <c r="D2355" s="7" t="s">
        <v>7</v>
      </c>
      <c r="E2355" s="7">
        <v>0</v>
      </c>
    </row>
    <row r="2356" spans="1:5" ht="15.75" customHeight="1" x14ac:dyDescent="0.25">
      <c r="A2356" s="6" t="s">
        <v>2338</v>
      </c>
      <c r="B2356" s="6" t="str">
        <f ca="1">IFERROR(__xludf.DUMMYFUNCTION("GOOGLETRANSLATE(A2356,""bn"",""en"")"),"The dark shadow at the bottom of that trench can be said to be a forest after it, even if it is a little dark")</f>
        <v>The dark shadow at the bottom of that trench can be said to be a forest after it, even if it is a little dark</v>
      </c>
      <c r="C2356" s="7" t="s">
        <v>6</v>
      </c>
      <c r="D2356" s="7" t="s">
        <v>7</v>
      </c>
      <c r="E2356" s="7">
        <v>0</v>
      </c>
    </row>
    <row r="2357" spans="1:5" ht="15.75" customHeight="1" x14ac:dyDescent="0.25">
      <c r="A2357" s="6" t="s">
        <v>2339</v>
      </c>
      <c r="B2357" s="6" t="str">
        <f ca="1">IFERROR(__xludf.DUMMYFUNCTION("GOOGLETRANSLATE(A2357,""bn"",""en"")"),"The mechanic said my brakes need to be replaced soon")</f>
        <v>The mechanic said my brakes need to be replaced soon</v>
      </c>
      <c r="C2357" s="8" t="s">
        <v>13</v>
      </c>
      <c r="D2357" s="8" t="s">
        <v>14</v>
      </c>
      <c r="E2357" s="8">
        <v>1</v>
      </c>
    </row>
    <row r="2358" spans="1:5" ht="15.75" customHeight="1" x14ac:dyDescent="0.25">
      <c r="A2358" s="6" t="s">
        <v>2340</v>
      </c>
      <c r="B2358" s="6" t="str">
        <f ca="1">IFERROR(__xludf.DUMMYFUNCTION("GOOGLETRANSLATE(A2358,""bn"",""en"")"),"This film defied many conventional trends")</f>
        <v>This film defied many conventional trends</v>
      </c>
      <c r="C2358" s="8" t="s">
        <v>13</v>
      </c>
      <c r="D2358" s="8" t="s">
        <v>14</v>
      </c>
      <c r="E2358" s="8">
        <v>1</v>
      </c>
    </row>
    <row r="2359" spans="1:5" ht="15.75" customHeight="1" x14ac:dyDescent="0.25">
      <c r="A2359" s="6" t="s">
        <v>2341</v>
      </c>
      <c r="B2359" s="6" t="str">
        <f ca="1">IFERROR(__xludf.DUMMYFUNCTION("GOOGLETRANSLATE(A2359,""bn"",""en"")"),"SFF soldiers were killed in the battle")</f>
        <v>SFF soldiers were killed in the battle</v>
      </c>
      <c r="C2359" s="8" t="s">
        <v>13</v>
      </c>
      <c r="D2359" s="8" t="s">
        <v>14</v>
      </c>
      <c r="E2359" s="8">
        <v>1</v>
      </c>
    </row>
    <row r="2360" spans="1:5" ht="15.75" customHeight="1" x14ac:dyDescent="0.25">
      <c r="A2360" s="6" t="s">
        <v>2342</v>
      </c>
      <c r="B2360" s="6" t="str">
        <f ca="1">IFERROR(__xludf.DUMMYFUNCTION("GOOGLETRANSLATE(A2360,""bn"",""en"")"),"The situation was quite bad")</f>
        <v>The situation was quite bad</v>
      </c>
      <c r="C2360" s="8" t="s">
        <v>13</v>
      </c>
      <c r="D2360" s="8" t="s">
        <v>14</v>
      </c>
      <c r="E2360" s="8">
        <v>1</v>
      </c>
    </row>
    <row r="2361" spans="1:5" ht="15.75" customHeight="1" x14ac:dyDescent="0.25">
      <c r="A2361" s="6" t="s">
        <v>2343</v>
      </c>
      <c r="B2361" s="6" t="str">
        <f ca="1">IFERROR(__xludf.DUMMYFUNCTION("GOOGLETRANSLATE(A2361,""bn"",""en"")"),"He prayed and slept but I did not sleep")</f>
        <v>He prayed and slept but I did not sleep</v>
      </c>
      <c r="C2361" s="8" t="s">
        <v>13</v>
      </c>
      <c r="D2361" s="8" t="s">
        <v>14</v>
      </c>
      <c r="E2361" s="8">
        <v>1</v>
      </c>
    </row>
    <row r="2362" spans="1:5" ht="15.75" customHeight="1" x14ac:dyDescent="0.25">
      <c r="A2362" s="6" t="s">
        <v>2344</v>
      </c>
      <c r="B2362" s="6" t="str">
        <f ca="1">IFERROR(__xludf.DUMMYFUNCTION("GOOGLETRANSLATE(A2362,""bn"",""en"")"),"I mentioned the hill called Latehar once before")</f>
        <v>I mentioned the hill called Latehar once before</v>
      </c>
      <c r="C2362" s="7" t="s">
        <v>6</v>
      </c>
      <c r="D2362" s="7" t="s">
        <v>7</v>
      </c>
      <c r="E2362" s="7">
        <v>0</v>
      </c>
    </row>
    <row r="2363" spans="1:5" ht="15.75" customHeight="1" x14ac:dyDescent="0.25">
      <c r="A2363" s="6" t="s">
        <v>986</v>
      </c>
      <c r="B2363" s="6" t="str">
        <f ca="1">IFERROR(__xludf.DUMMYFUNCTION("GOOGLETRANSLATE(A2363,""bn"",""en"")"),"Due to the lack of all the facilities that existed in the east, they gradually became degraded and exhausted")</f>
        <v>Due to the lack of all the facilities that existed in the east, they gradually became degraded and exhausted</v>
      </c>
      <c r="C2363" s="7" t="s">
        <v>6</v>
      </c>
      <c r="D2363" s="7" t="s">
        <v>7</v>
      </c>
      <c r="E2363" s="7">
        <v>0</v>
      </c>
    </row>
    <row r="2364" spans="1:5" ht="15.75" customHeight="1" x14ac:dyDescent="0.25">
      <c r="A2364" s="6" t="s">
        <v>2345</v>
      </c>
      <c r="B2364" s="6" t="str">
        <f ca="1">IFERROR(__xludf.DUMMYFUNCTION("GOOGLETRANSLATE(A2364,""bn"",""en"")"),"The top fell on Surbala's forehead")</f>
        <v>The top fell on Surbala's forehead</v>
      </c>
      <c r="C2364" s="7" t="s">
        <v>6</v>
      </c>
      <c r="D2364" s="7" t="s">
        <v>7</v>
      </c>
      <c r="E2364" s="7">
        <v>0</v>
      </c>
    </row>
    <row r="2365" spans="1:5" ht="15.75" customHeight="1" x14ac:dyDescent="0.25">
      <c r="A2365" s="6" t="s">
        <v>2346</v>
      </c>
      <c r="B2365" s="6" t="str">
        <f ca="1">IFERROR(__xludf.DUMMYFUNCTION("GOOGLETRANSLATE(A2365,""bn"",""en"")"),"There is no doubt that this is true in many places")</f>
        <v>There is no doubt that this is true in many places</v>
      </c>
      <c r="C2365" s="7" t="s">
        <v>6</v>
      </c>
      <c r="D2365" s="7" t="s">
        <v>7</v>
      </c>
      <c r="E2365" s="7">
        <v>0</v>
      </c>
    </row>
    <row r="2366" spans="1:5" ht="15.75" customHeight="1" x14ac:dyDescent="0.25">
      <c r="A2366" s="6" t="s">
        <v>2347</v>
      </c>
      <c r="B2366" s="6" t="str">
        <f ca="1">IFERROR(__xludf.DUMMYFUNCTION("GOOGLETRANSLATE(A2366,""bn"",""en"")"),"I saw a cat on the street that day")</f>
        <v>I saw a cat on the street that day</v>
      </c>
      <c r="C2366" s="7" t="s">
        <v>6</v>
      </c>
      <c r="D2366" s="7" t="s">
        <v>7</v>
      </c>
      <c r="E2366" s="7">
        <v>0</v>
      </c>
    </row>
    <row r="2367" spans="1:5" ht="15.75" customHeight="1" x14ac:dyDescent="0.25">
      <c r="A2367" s="6" t="s">
        <v>2348</v>
      </c>
      <c r="B2367" s="6" t="str">
        <f ca="1">IFERROR(__xludf.DUMMYFUNCTION("GOOGLETRANSLATE(A2367,""bn"",""en"")"),"The Sun's attraction is less effective than the Moon's because it is far away")</f>
        <v>The Sun's attraction is less effective than the Moon's because it is far away</v>
      </c>
      <c r="C2367" s="8" t="s">
        <v>13</v>
      </c>
      <c r="D2367" s="8" t="s">
        <v>14</v>
      </c>
      <c r="E2367" s="8">
        <v>1</v>
      </c>
    </row>
    <row r="2368" spans="1:5" ht="15.75" customHeight="1" x14ac:dyDescent="0.25">
      <c r="A2368" s="6" t="s">
        <v>2349</v>
      </c>
      <c r="B2368" s="6" t="str">
        <f ca="1">IFERROR(__xludf.DUMMYFUNCTION("GOOGLETRANSLATE(A2368,""bn"",""en"")"),"Trekking through rugged terrain, they push their bodies to the limits for adventure.")</f>
        <v>Trekking through rugged terrain, they push their bodies to the limits for adventure.</v>
      </c>
      <c r="C2368" s="8" t="s">
        <v>13</v>
      </c>
      <c r="D2368" s="8" t="s">
        <v>14</v>
      </c>
      <c r="E2368" s="8">
        <v>1</v>
      </c>
    </row>
    <row r="2369" spans="1:5" ht="15.75" customHeight="1" x14ac:dyDescent="0.25">
      <c r="A2369" s="6" t="s">
        <v>2350</v>
      </c>
      <c r="B2369" s="6" t="str">
        <f ca="1">IFERROR(__xludf.DUMMYFUNCTION("GOOGLETRANSLATE(A2369,""bn"",""en"")"),"Jessore's son Mohammad Sumon won the first place")</f>
        <v>Jessore's son Mohammad Sumon won the first place</v>
      </c>
      <c r="C2369" s="8" t="s">
        <v>13</v>
      </c>
      <c r="D2369" s="8" t="s">
        <v>14</v>
      </c>
      <c r="E2369" s="8">
        <v>1</v>
      </c>
    </row>
    <row r="2370" spans="1:5" ht="15.75" customHeight="1" x14ac:dyDescent="0.25">
      <c r="A2370" s="6" t="s">
        <v>2351</v>
      </c>
      <c r="B2370" s="6" t="str">
        <f ca="1">IFERROR(__xludf.DUMMYFUNCTION("GOOGLETRANSLATE(A2370,""bn"",""en"")"),"He went to the market with his father")</f>
        <v>He went to the market with his father</v>
      </c>
      <c r="C2370" s="8" t="s">
        <v>13</v>
      </c>
      <c r="D2370" s="8" t="s">
        <v>14</v>
      </c>
      <c r="E2370" s="8">
        <v>1</v>
      </c>
    </row>
    <row r="2371" spans="1:5" ht="15.75" customHeight="1" x14ac:dyDescent="0.25">
      <c r="A2371" s="6" t="s">
        <v>2352</v>
      </c>
      <c r="B2371" s="6" t="str">
        <f ca="1">IFERROR(__xludf.DUMMYFUNCTION("GOOGLETRANSLATE(A2371,""bn"",""en"")"),"Aquaponics combines aquaculture with hydroponics for sustainable food production")</f>
        <v>Aquaponics combines aquaculture with hydroponics for sustainable food production</v>
      </c>
      <c r="C2371" s="8" t="s">
        <v>13</v>
      </c>
      <c r="D2371" s="8" t="s">
        <v>14</v>
      </c>
      <c r="E2371" s="8">
        <v>1</v>
      </c>
    </row>
    <row r="2372" spans="1:5" ht="15.75" customHeight="1" x14ac:dyDescent="0.25">
      <c r="A2372" s="6" t="s">
        <v>2353</v>
      </c>
      <c r="B2372" s="6" t="str">
        <f ca="1">IFERROR(__xludf.DUMMYFUNCTION("GOOGLETRANSLATE(A2372,""bn"",""en"")"),"I can't understand you")</f>
        <v>I can't understand you</v>
      </c>
      <c r="C2372" s="7" t="s">
        <v>6</v>
      </c>
      <c r="D2372" s="7" t="s">
        <v>7</v>
      </c>
      <c r="E2372" s="7">
        <v>0</v>
      </c>
    </row>
    <row r="2373" spans="1:5" ht="15.75" customHeight="1" x14ac:dyDescent="0.25">
      <c r="A2373" s="6" t="s">
        <v>2354</v>
      </c>
      <c r="B2373" s="6" t="str">
        <f ca="1">IFERROR(__xludf.DUMMYFUNCTION("GOOGLETRANSLATE(A2373,""bn"",""en"")"),"The old man of the village looked at him with jealous eyes")</f>
        <v>The old man of the village looked at him with jealous eyes</v>
      </c>
      <c r="C2373" s="7" t="s">
        <v>6</v>
      </c>
      <c r="D2373" s="7" t="s">
        <v>7</v>
      </c>
      <c r="E2373" s="7">
        <v>0</v>
      </c>
    </row>
    <row r="2374" spans="1:5" ht="15.75" customHeight="1" x14ac:dyDescent="0.25">
      <c r="A2374" s="6" t="s">
        <v>919</v>
      </c>
      <c r="B2374" s="6" t="str">
        <f ca="1">IFERROR(__xludf.DUMMYFUNCTION("GOOGLETRANSLATE(A2374,""bn"",""en"")"),"Cholera does not have a great relationship with Prem Preet")</f>
        <v>Cholera does not have a great relationship with Prem Preet</v>
      </c>
      <c r="C2374" s="7" t="s">
        <v>6</v>
      </c>
      <c r="D2374" s="7" t="s">
        <v>7</v>
      </c>
      <c r="E2374" s="7">
        <v>0</v>
      </c>
    </row>
    <row r="2375" spans="1:5" ht="15.75" customHeight="1" x14ac:dyDescent="0.25">
      <c r="A2375" s="6" t="s">
        <v>2355</v>
      </c>
      <c r="B2375" s="6" t="str">
        <f ca="1">IFERROR(__xludf.DUMMYFUNCTION("GOOGLETRANSLATE(A2375,""bn"",""en"")"),"The mother was hurt by the mention of the afflicted child and said, ""Let's go.""")</f>
        <v>The mother was hurt by the mention of the afflicted child and said, "Let's go."</v>
      </c>
      <c r="C2375" s="7" t="s">
        <v>6</v>
      </c>
      <c r="D2375" s="7" t="s">
        <v>7</v>
      </c>
      <c r="E2375" s="7">
        <v>0</v>
      </c>
    </row>
    <row r="2376" spans="1:5" ht="15.75" customHeight="1" x14ac:dyDescent="0.25">
      <c r="A2376" s="6" t="s">
        <v>2356</v>
      </c>
      <c r="B2376" s="6" t="str">
        <f ca="1">IFERROR(__xludf.DUMMYFUNCTION("GOOGLETRANSLATE(A2376,""bn"",""en"")"),"He came to Bihari's house every morning")</f>
        <v>He came to Bihari's house every morning</v>
      </c>
      <c r="C2376" s="7" t="s">
        <v>6</v>
      </c>
      <c r="D2376" s="7" t="s">
        <v>7</v>
      </c>
      <c r="E2376" s="7">
        <v>0</v>
      </c>
    </row>
    <row r="2377" spans="1:5" ht="15.75" customHeight="1" x14ac:dyDescent="0.25">
      <c r="A2377" s="6" t="s">
        <v>2357</v>
      </c>
      <c r="B2377" s="6" t="str">
        <f ca="1">IFERROR(__xludf.DUMMYFUNCTION("GOOGLETRANSLATE(A2377,""bn"",""en"")"),"A software developer has coded a new application for mobile devices")</f>
        <v>A software developer has coded a new application for mobile devices</v>
      </c>
      <c r="C2377" s="8" t="s">
        <v>13</v>
      </c>
      <c r="D2377" s="8" t="s">
        <v>14</v>
      </c>
      <c r="E2377" s="8">
        <v>1</v>
      </c>
    </row>
    <row r="2378" spans="1:5" ht="15.75" customHeight="1" x14ac:dyDescent="0.25">
      <c r="A2378" s="6" t="s">
        <v>2358</v>
      </c>
      <c r="B2378" s="6" t="str">
        <f ca="1">IFERROR(__xludf.DUMMYFUNCTION("GOOGLETRANSLATE(A2378,""bn"",""en"")"),"It promotes overall well-being through active participation in physical fitness")</f>
        <v>It promotes overall well-being through active participation in physical fitness</v>
      </c>
      <c r="C2378" s="8" t="s">
        <v>13</v>
      </c>
      <c r="D2378" s="8" t="s">
        <v>14</v>
      </c>
      <c r="E2378" s="8">
        <v>1</v>
      </c>
    </row>
    <row r="2379" spans="1:5" ht="15.75" customHeight="1" x14ac:dyDescent="0.25">
      <c r="A2379" s="6" t="s">
        <v>2359</v>
      </c>
      <c r="B2379" s="6" t="str">
        <f ca="1">IFERROR(__xludf.DUMMYFUNCTION("GOOGLETRANSLATE(A2379,""bn"",""en"")"),"I went to his house to see him")</f>
        <v>I went to his house to see him</v>
      </c>
      <c r="C2379" s="8" t="s">
        <v>13</v>
      </c>
      <c r="D2379" s="8" t="s">
        <v>14</v>
      </c>
      <c r="E2379" s="8">
        <v>1</v>
      </c>
    </row>
    <row r="2380" spans="1:5" ht="15.75" customHeight="1" x14ac:dyDescent="0.25">
      <c r="A2380" s="6" t="s">
        <v>2360</v>
      </c>
      <c r="B2380" s="6" t="str">
        <f ca="1">IFERROR(__xludf.DUMMYFUNCTION("GOOGLETRANSLATE(A2380,""bn"",""en"")"),"If he didn't sleep at night after all day's work, he would get very sick")</f>
        <v>If he didn't sleep at night after all day's work, he would get very sick</v>
      </c>
      <c r="C2380" s="8" t="s">
        <v>13</v>
      </c>
      <c r="D2380" s="8" t="s">
        <v>14</v>
      </c>
      <c r="E2380" s="8">
        <v>1</v>
      </c>
    </row>
    <row r="2381" spans="1:5" ht="15.75" customHeight="1" x14ac:dyDescent="0.25">
      <c r="A2381" s="6" t="s">
        <v>2361</v>
      </c>
      <c r="B2381" s="6" t="str">
        <f ca="1">IFERROR(__xludf.DUMMYFUNCTION("GOOGLETRANSLATE(A2381,""bn"",""en"")"),"Rana saw me and left")</f>
        <v>Rana saw me and left</v>
      </c>
      <c r="C2381" s="8" t="s">
        <v>13</v>
      </c>
      <c r="D2381" s="8" t="s">
        <v>14</v>
      </c>
      <c r="E2381" s="8">
        <v>1</v>
      </c>
    </row>
    <row r="2382" spans="1:5" ht="15.75" customHeight="1" x14ac:dyDescent="0.25">
      <c r="A2382" s="6" t="s">
        <v>2362</v>
      </c>
      <c r="B2382" s="6" t="str">
        <f ca="1">IFERROR(__xludf.DUMMYFUNCTION("GOOGLETRANSLATE(A2382,""bn"",""en"")"),"I have endured many times in my life when many people have hurt me")</f>
        <v>I have endured many times in my life when many people have hurt me</v>
      </c>
      <c r="C2382" s="7" t="s">
        <v>6</v>
      </c>
      <c r="D2382" s="7" t="s">
        <v>7</v>
      </c>
      <c r="E2382" s="7">
        <v>0</v>
      </c>
    </row>
    <row r="2383" spans="1:5" ht="15.75" customHeight="1" x14ac:dyDescent="0.25">
      <c r="A2383" s="6" t="s">
        <v>2363</v>
      </c>
      <c r="B2383" s="6" t="str">
        <f ca="1">IFERROR(__xludf.DUMMYFUNCTION("GOOGLETRANSLATE(A2383,""bn"",""en"")"),"Some open their mouths and speak their minds")</f>
        <v>Some open their mouths and speak their minds</v>
      </c>
      <c r="C2383" s="7" t="s">
        <v>6</v>
      </c>
      <c r="D2383" s="7" t="s">
        <v>7</v>
      </c>
      <c r="E2383" s="7">
        <v>0</v>
      </c>
    </row>
    <row r="2384" spans="1:5" ht="15.75" customHeight="1" x14ac:dyDescent="0.25">
      <c r="A2384" s="6" t="s">
        <v>2364</v>
      </c>
      <c r="B2384" s="6" t="str">
        <f ca="1">IFERROR(__xludf.DUMMYFUNCTION("GOOGLETRANSLATE(A2384,""bn"",""en"")"),"Shall I take him straight to Mashanbil?")</f>
        <v>Shall I take him straight to Mashanbil?</v>
      </c>
      <c r="C2384" s="7" t="s">
        <v>6</v>
      </c>
      <c r="D2384" s="7" t="s">
        <v>7</v>
      </c>
      <c r="E2384" s="7">
        <v>0</v>
      </c>
    </row>
    <row r="2385" spans="1:5" ht="15.75" customHeight="1" x14ac:dyDescent="0.25">
      <c r="A2385" s="6" t="s">
        <v>2365</v>
      </c>
      <c r="B2385" s="6" t="str">
        <f ca="1">IFERROR(__xludf.DUMMYFUNCTION("GOOGLETRANSLATE(A2385,""bn"",""en"")"),"He left me in danger")</f>
        <v>He left me in danger</v>
      </c>
      <c r="C2385" s="7" t="s">
        <v>6</v>
      </c>
      <c r="D2385" s="7" t="s">
        <v>7</v>
      </c>
      <c r="E2385" s="7">
        <v>0</v>
      </c>
    </row>
    <row r="2386" spans="1:5" ht="15.75" customHeight="1" x14ac:dyDescent="0.25">
      <c r="A2386" s="6" t="s">
        <v>2366</v>
      </c>
      <c r="B2386" s="6" t="str">
        <f ca="1">IFERROR(__xludf.DUMMYFUNCTION("GOOGLETRANSLATE(A2386,""bn"",""en"")"),"Shahed has come to see me")</f>
        <v>Shahed has come to see me</v>
      </c>
      <c r="C2386" s="7" t="s">
        <v>6</v>
      </c>
      <c r="D2386" s="7" t="s">
        <v>7</v>
      </c>
      <c r="E2386" s="7">
        <v>0</v>
      </c>
    </row>
    <row r="2387" spans="1:5" ht="15.75" customHeight="1" x14ac:dyDescent="0.25">
      <c r="A2387" s="6" t="s">
        <v>2367</v>
      </c>
      <c r="B2387" s="6" t="str">
        <f ca="1">IFERROR(__xludf.DUMMYFUNCTION("GOOGLETRANSLATE(A2387,""bn"",""en"")"),"Criminal charges must be proven beyond a reasonable doubt to be convicted")</f>
        <v>Criminal charges must be proven beyond a reasonable doubt to be convicted</v>
      </c>
      <c r="C2387" s="8" t="s">
        <v>13</v>
      </c>
      <c r="D2387" s="8" t="s">
        <v>14</v>
      </c>
      <c r="E2387" s="8">
        <v>1</v>
      </c>
    </row>
    <row r="2388" spans="1:5" ht="15.75" customHeight="1" x14ac:dyDescent="0.25">
      <c r="A2388" s="6" t="s">
        <v>2368</v>
      </c>
      <c r="B2388" s="6" t="str">
        <f ca="1">IFERROR(__xludf.DUMMYFUNCTION("GOOGLETRANSLATE(A2388,""bn"",""en"")"),"He went into the house and saw his daughter Amul standing aside pale with fear")</f>
        <v>He went into the house and saw his daughter Amul standing aside pale with fear</v>
      </c>
      <c r="C2388" s="8" t="s">
        <v>13</v>
      </c>
      <c r="D2388" s="8" t="s">
        <v>14</v>
      </c>
      <c r="E2388" s="8">
        <v>1</v>
      </c>
    </row>
    <row r="2389" spans="1:5" ht="15.75" customHeight="1" x14ac:dyDescent="0.25">
      <c r="A2389" s="6" t="s">
        <v>2369</v>
      </c>
      <c r="B2389" s="6" t="str">
        <f ca="1">IFERROR(__xludf.DUMMYFUNCTION("GOOGLETRANSLATE(A2389,""bn"",""en"")"),"I have four kittens in my house")</f>
        <v>I have four kittens in my house</v>
      </c>
      <c r="C2389" s="8" t="s">
        <v>13</v>
      </c>
      <c r="D2389" s="8" t="s">
        <v>14</v>
      </c>
      <c r="E2389" s="8">
        <v>1</v>
      </c>
    </row>
    <row r="2390" spans="1:5" ht="15.75" customHeight="1" x14ac:dyDescent="0.25">
      <c r="A2390" s="6" t="s">
        <v>2370</v>
      </c>
      <c r="B2390" s="6" t="str">
        <f ca="1">IFERROR(__xludf.DUMMYFUNCTION("GOOGLETRANSLATE(A2390,""bn"",""en"")"),"Siraj wants to play with us")</f>
        <v>Siraj wants to play with us</v>
      </c>
      <c r="C2390" s="8" t="s">
        <v>13</v>
      </c>
      <c r="D2390" s="8" t="s">
        <v>14</v>
      </c>
      <c r="E2390" s="8">
        <v>1</v>
      </c>
    </row>
    <row r="2391" spans="1:5" ht="15.75" customHeight="1" x14ac:dyDescent="0.25">
      <c r="A2391" s="6" t="s">
        <v>2371</v>
      </c>
      <c r="B2391" s="6" t="str">
        <f ca="1">IFERROR(__xludf.DUMMYFUNCTION("GOOGLETRANSLATE(A2391,""bn"",""en"")"),"Comment your favorite recipe")</f>
        <v>Comment your favorite recipe</v>
      </c>
      <c r="C2391" s="8" t="s">
        <v>13</v>
      </c>
      <c r="D2391" s="8" t="s">
        <v>14</v>
      </c>
      <c r="E2391" s="8">
        <v>1</v>
      </c>
    </row>
    <row r="2392" spans="1:5" ht="15.75" customHeight="1" x14ac:dyDescent="0.25">
      <c r="A2392" s="6" t="s">
        <v>2372</v>
      </c>
      <c r="B2392" s="6" t="str">
        <f ca="1">IFERROR(__xludf.DUMMYFUNCTION("GOOGLETRANSLATE(A2392,""bn"",""en"")"),"He never wants anything, so Satish was surprised not understanding the meaning of these words")</f>
        <v>He never wants anything, so Satish was surprised not understanding the meaning of these words</v>
      </c>
      <c r="C2392" s="7" t="s">
        <v>6</v>
      </c>
      <c r="D2392" s="7" t="s">
        <v>7</v>
      </c>
      <c r="E2392" s="7">
        <v>0</v>
      </c>
    </row>
    <row r="2393" spans="1:5" ht="15.75" customHeight="1" x14ac:dyDescent="0.25">
      <c r="A2393" s="6" t="s">
        <v>2373</v>
      </c>
      <c r="B2393" s="6" t="str">
        <f ca="1">IFERROR(__xludf.DUMMYFUNCTION("GOOGLETRANSLATE(A2393,""bn"",""en"")"),"He didn't mind waiting")</f>
        <v>He didn't mind waiting</v>
      </c>
      <c r="C2393" s="7" t="s">
        <v>6</v>
      </c>
      <c r="D2393" s="7" t="s">
        <v>7</v>
      </c>
      <c r="E2393" s="7">
        <v>0</v>
      </c>
    </row>
    <row r="2394" spans="1:5" ht="15.75" customHeight="1" x14ac:dyDescent="0.25">
      <c r="A2394" s="6" t="s">
        <v>2374</v>
      </c>
      <c r="B2394" s="6" t="str">
        <f ca="1">IFERROR(__xludf.DUMMYFUNCTION("GOOGLETRANSLATE(A2394,""bn"",""en"")"),"He understood that if Vyamo stopped him, he would cause unnecessary trouble to his aunt")</f>
        <v>He understood that if Vyamo stopped him, he would cause unnecessary trouble to his aunt</v>
      </c>
      <c r="C2394" s="7" t="s">
        <v>6</v>
      </c>
      <c r="D2394" s="7" t="s">
        <v>7</v>
      </c>
      <c r="E2394" s="7">
        <v>0</v>
      </c>
    </row>
    <row r="2395" spans="1:5" ht="15.75" customHeight="1" x14ac:dyDescent="0.25">
      <c r="A2395" s="6" t="s">
        <v>2375</v>
      </c>
      <c r="B2395" s="6" t="str">
        <f ca="1">IFERROR(__xludf.DUMMYFUNCTION("GOOGLETRANSLATE(A2395,""bn"",""en"")"),"What was beyond the reach of a scholar today is not new even to an Arbachin boy")</f>
        <v>What was beyond the reach of a scholar today is not new even to an Arbachin boy</v>
      </c>
      <c r="C2395" s="7" t="s">
        <v>6</v>
      </c>
      <c r="D2395" s="7" t="s">
        <v>7</v>
      </c>
      <c r="E2395" s="7">
        <v>0</v>
      </c>
    </row>
    <row r="2396" spans="1:5" ht="15.75" customHeight="1" x14ac:dyDescent="0.25">
      <c r="A2396" s="6" t="s">
        <v>2376</v>
      </c>
      <c r="B2396" s="6" t="str">
        <f ca="1">IFERROR(__xludf.DUMMYFUNCTION("GOOGLETRANSLATE(A2396,""bn"",""en"")"),"There are thousands and thousands of bees flying back and forth and their noise fills the forest.")</f>
        <v>There are thousands and thousands of bees flying back and forth and their noise fills the forest.</v>
      </c>
      <c r="C2396" s="7" t="s">
        <v>6</v>
      </c>
      <c r="D2396" s="7" t="s">
        <v>7</v>
      </c>
      <c r="E2396" s="7">
        <v>0</v>
      </c>
    </row>
    <row r="2397" spans="1:5" ht="15.75" customHeight="1" x14ac:dyDescent="0.25">
      <c r="A2397" s="6" t="s">
        <v>2377</v>
      </c>
      <c r="B2397" s="6" t="str">
        <f ca="1">IFERROR(__xludf.DUMMYFUNCTION("GOOGLETRANSLATE(A2397,""bn"",""en"")"),"It's not right")</f>
        <v>It's not right</v>
      </c>
      <c r="C2397" s="8" t="s">
        <v>13</v>
      </c>
      <c r="D2397" s="8" t="s">
        <v>14</v>
      </c>
      <c r="E2397" s="8">
        <v>1</v>
      </c>
    </row>
    <row r="2398" spans="1:5" ht="15.75" customHeight="1" x14ac:dyDescent="0.25">
      <c r="A2398" s="6" t="s">
        <v>2378</v>
      </c>
      <c r="B2398" s="6" t="str">
        <f ca="1">IFERROR(__xludf.DUMMYFUNCTION("GOOGLETRANSLATE(A2398,""bn"",""en"")"),"The vibrant colors of a rainbow arch across the sky are a stunning display of nature's beauty")</f>
        <v>The vibrant colors of a rainbow arch across the sky are a stunning display of nature's beauty</v>
      </c>
      <c r="C2398" s="8" t="s">
        <v>13</v>
      </c>
      <c r="D2398" s="8" t="s">
        <v>14</v>
      </c>
      <c r="E2398" s="8">
        <v>1</v>
      </c>
    </row>
    <row r="2399" spans="1:5" ht="15.75" customHeight="1" x14ac:dyDescent="0.25">
      <c r="A2399" s="6" t="s">
        <v>2379</v>
      </c>
      <c r="B2399" s="6" t="str">
        <f ca="1">IFERROR(__xludf.DUMMYFUNCTION("GOOGLETRANSLATE(A2399,""bn"",""en"")"),"It is important to have an emergency fund for unexpected expenses")</f>
        <v>It is important to have an emergency fund for unexpected expenses</v>
      </c>
      <c r="C2399" s="8" t="s">
        <v>13</v>
      </c>
      <c r="D2399" s="8" t="s">
        <v>14</v>
      </c>
      <c r="E2399" s="8">
        <v>1</v>
      </c>
    </row>
    <row r="2400" spans="1:5" ht="15.75" customHeight="1" x14ac:dyDescent="0.25">
      <c r="A2400" s="6" t="s">
        <v>2380</v>
      </c>
      <c r="B2400" s="6" t="str">
        <f ca="1">IFERROR(__xludf.DUMMYFUNCTION("GOOGLETRANSLATE(A2400,""bn"",""en"")"),"Educational diversity enriches the learning experience of all students")</f>
        <v>Educational diversity enriches the learning experience of all students</v>
      </c>
      <c r="C2400" s="8" t="s">
        <v>13</v>
      </c>
      <c r="D2400" s="8" t="s">
        <v>14</v>
      </c>
      <c r="E2400" s="8">
        <v>1</v>
      </c>
    </row>
    <row r="2401" spans="1:5" ht="15.75" customHeight="1" x14ac:dyDescent="0.25">
      <c r="A2401" s="6" t="s">
        <v>2381</v>
      </c>
      <c r="B2401" s="6" t="str">
        <f ca="1">IFERROR(__xludf.DUMMYFUNCTION("GOOGLETRANSLATE(A2401,""bn"",""en"")"),"The earth was carpeted with a blanket of fallen leaves, their vibrant colors a stark contrast to the muted tones of winter.")</f>
        <v>The earth was carpeted with a blanket of fallen leaves, their vibrant colors a stark contrast to the muted tones of winter.</v>
      </c>
      <c r="C2401" s="8" t="s">
        <v>13</v>
      </c>
      <c r="D2401" s="8" t="s">
        <v>14</v>
      </c>
      <c r="E2401" s="8">
        <v>1</v>
      </c>
    </row>
    <row r="2402" spans="1:5" ht="15.75" customHeight="1" x14ac:dyDescent="0.25">
      <c r="A2402" s="6" t="s">
        <v>2382</v>
      </c>
      <c r="B2402" s="6" t="str">
        <f ca="1">IFERROR(__xludf.DUMMYFUNCTION("GOOGLETRANSLATE(A2402,""bn"",""en"")"),"In the morning, the morning sun is in the air")</f>
        <v>In the morning, the morning sun is in the air</v>
      </c>
      <c r="C2402" s="7" t="s">
        <v>6</v>
      </c>
      <c r="D2402" s="7" t="s">
        <v>7</v>
      </c>
      <c r="E2402" s="7">
        <v>0</v>
      </c>
    </row>
    <row r="2403" spans="1:5" ht="15.75" customHeight="1" x14ac:dyDescent="0.25">
      <c r="A2403" s="6" t="s">
        <v>2383</v>
      </c>
      <c r="B2403" s="6" t="str">
        <f ca="1">IFERROR(__xludf.DUMMYFUNCTION("GOOGLETRANSLATE(A2403,""bn"",""en"")"),"Haru's daughter Moti has fever")</f>
        <v>Haru's daughter Moti has fever</v>
      </c>
      <c r="C2403" s="7" t="s">
        <v>6</v>
      </c>
      <c r="D2403" s="7" t="s">
        <v>7</v>
      </c>
      <c r="E2403" s="7">
        <v>0</v>
      </c>
    </row>
    <row r="2404" spans="1:5" ht="15.75" customHeight="1" x14ac:dyDescent="0.25">
      <c r="A2404" s="6" t="s">
        <v>2384</v>
      </c>
      <c r="B2404" s="6" t="str">
        <f ca="1">IFERROR(__xludf.DUMMYFUNCTION("GOOGLETRANSLATE(A2404,""bn"",""en"")"),"Once I went abroad with a two year old child at home")</f>
        <v>Once I went abroad with a two year old child at home</v>
      </c>
      <c r="C2404" s="7" t="s">
        <v>6</v>
      </c>
      <c r="D2404" s="7" t="s">
        <v>7</v>
      </c>
      <c r="E2404" s="7">
        <v>0</v>
      </c>
    </row>
    <row r="2405" spans="1:5" ht="15.75" customHeight="1" x14ac:dyDescent="0.25">
      <c r="A2405" s="6" t="s">
        <v>2385</v>
      </c>
      <c r="B2405" s="6" t="str">
        <f ca="1">IFERROR(__xludf.DUMMYFUNCTION("GOOGLETRANSLATE(A2405,""bn"",""en"")"),"He was looking at the sky for a while")</f>
        <v>He was looking at the sky for a while</v>
      </c>
      <c r="C2405" s="7" t="s">
        <v>6</v>
      </c>
      <c r="D2405" s="7" t="s">
        <v>7</v>
      </c>
      <c r="E2405" s="7">
        <v>0</v>
      </c>
    </row>
    <row r="2406" spans="1:5" ht="15.75" customHeight="1" x14ac:dyDescent="0.25">
      <c r="A2406" s="6" t="s">
        <v>2386</v>
      </c>
      <c r="B2406" s="6" t="str">
        <f ca="1">IFERROR(__xludf.DUMMYFUNCTION("GOOGLETRANSLATE(A2406,""bn"",""en"")"),"At the end, he said there is a serious fault")</f>
        <v>At the end, he said there is a serious fault</v>
      </c>
      <c r="C2406" s="7" t="s">
        <v>6</v>
      </c>
      <c r="D2406" s="7" t="s">
        <v>7</v>
      </c>
      <c r="E2406" s="7">
        <v>0</v>
      </c>
    </row>
    <row r="2407" spans="1:5" ht="15.75" customHeight="1" x14ac:dyDescent="0.25">
      <c r="A2407" s="6" t="s">
        <v>2387</v>
      </c>
      <c r="B2407" s="6" t="str">
        <f ca="1">IFERROR(__xludf.DUMMYFUNCTION("GOOGLETRANSLATE(A2407,""bn"",""en"")"),"Antar ate rice and went to pray")</f>
        <v>Antar ate rice and went to pray</v>
      </c>
      <c r="C2407" s="8" t="s">
        <v>13</v>
      </c>
      <c r="D2407" s="8" t="s">
        <v>14</v>
      </c>
      <c r="E2407" s="8">
        <v>1</v>
      </c>
    </row>
    <row r="2408" spans="1:5" ht="15.75" customHeight="1" x14ac:dyDescent="0.25">
      <c r="A2408" s="6" t="s">
        <v>2388</v>
      </c>
      <c r="B2408" s="6" t="str">
        <f ca="1">IFERROR(__xludf.DUMMYFUNCTION("GOOGLETRANSLATE(A2408,""bn"",""en"")"),"List of Winners Bob Hope was honored on four different occasions")</f>
        <v>List of Winners Bob Hope was honored on four different occasions</v>
      </c>
      <c r="C2408" s="8" t="s">
        <v>13</v>
      </c>
      <c r="D2408" s="8" t="s">
        <v>14</v>
      </c>
      <c r="E2408" s="8">
        <v>1</v>
      </c>
    </row>
    <row r="2409" spans="1:5" ht="15.75" customHeight="1" x14ac:dyDescent="0.25">
      <c r="A2409" s="6" t="s">
        <v>2389</v>
      </c>
      <c r="B2409" s="6" t="str">
        <f ca="1">IFERROR(__xludf.DUMMYFUNCTION("GOOGLETRANSLATE(A2409,""bn"",""en"")"),"The man told me to stop")</f>
        <v>The man told me to stop</v>
      </c>
      <c r="C2409" s="8" t="s">
        <v>13</v>
      </c>
      <c r="D2409" s="8" t="s">
        <v>14</v>
      </c>
      <c r="E2409" s="8">
        <v>1</v>
      </c>
    </row>
    <row r="2410" spans="1:5" ht="15.75" customHeight="1" x14ac:dyDescent="0.25">
      <c r="A2410" s="6" t="s">
        <v>2390</v>
      </c>
      <c r="B2410" s="6" t="str">
        <f ca="1">IFERROR(__xludf.DUMMYFUNCTION("GOOGLETRANSLATE(A2410,""bn"",""en"")"),"He had a love of English")</f>
        <v>He had a love of English</v>
      </c>
      <c r="C2410" s="8" t="s">
        <v>13</v>
      </c>
      <c r="D2410" s="8" t="s">
        <v>14</v>
      </c>
      <c r="E2410" s="8">
        <v>1</v>
      </c>
    </row>
    <row r="2411" spans="1:5" ht="15.75" customHeight="1" x14ac:dyDescent="0.25">
      <c r="A2411" s="6" t="s">
        <v>2391</v>
      </c>
      <c r="B2411" s="6" t="str">
        <f ca="1">IFERROR(__xludf.DUMMYFUNCTION("GOOGLETRANSLATE(A2411,""bn"",""en"")"),"My son Suman went to play in the field")</f>
        <v>My son Suman went to play in the field</v>
      </c>
      <c r="C2411" s="8" t="s">
        <v>13</v>
      </c>
      <c r="D2411" s="8" t="s">
        <v>14</v>
      </c>
      <c r="E2411" s="8">
        <v>1</v>
      </c>
    </row>
    <row r="2412" spans="1:5" ht="15.75" customHeight="1" x14ac:dyDescent="0.25">
      <c r="A2412" s="6" t="s">
        <v>2392</v>
      </c>
      <c r="B2412" s="6" t="str">
        <f ca="1">IFERROR(__xludf.DUMMYFUNCTION("GOOGLETRANSLATE(A2412,""bn"",""en"")"),"I went to see you")</f>
        <v>I went to see you</v>
      </c>
      <c r="C2412" s="7" t="s">
        <v>6</v>
      </c>
      <c r="D2412" s="7" t="s">
        <v>7</v>
      </c>
      <c r="E2412" s="7">
        <v>0</v>
      </c>
    </row>
    <row r="2413" spans="1:5" ht="15.75" customHeight="1" x14ac:dyDescent="0.25">
      <c r="A2413" s="6" t="s">
        <v>2393</v>
      </c>
      <c r="B2413" s="6" t="str">
        <f ca="1">IFERROR(__xludf.DUMMYFUNCTION("GOOGLETRANSLATE(A2413,""bn"",""en"")"),"I never took it for granted and always went alone")</f>
        <v>I never took it for granted and always went alone</v>
      </c>
      <c r="C2413" s="7" t="s">
        <v>6</v>
      </c>
      <c r="D2413" s="7" t="s">
        <v>7</v>
      </c>
      <c r="E2413" s="7">
        <v>0</v>
      </c>
    </row>
    <row r="2414" spans="1:5" ht="15.75" customHeight="1" x14ac:dyDescent="0.25">
      <c r="A2414" s="6" t="s">
        <v>1566</v>
      </c>
      <c r="B2414" s="6" t="str">
        <f ca="1">IFERROR(__xludf.DUMMYFUNCTION("GOOGLETRANSLATE(A2414,""bn"",""en"")"),"Now perhaps the ashwathathagacha is acting as its stand")</f>
        <v>Now perhaps the ashwathathagacha is acting as its stand</v>
      </c>
      <c r="C2414" s="7" t="s">
        <v>6</v>
      </c>
      <c r="D2414" s="7" t="s">
        <v>7</v>
      </c>
      <c r="E2414" s="7">
        <v>0</v>
      </c>
    </row>
    <row r="2415" spans="1:5" ht="15.75" customHeight="1" x14ac:dyDescent="0.25">
      <c r="A2415" s="6" t="s">
        <v>2394</v>
      </c>
      <c r="B2415" s="6" t="str">
        <f ca="1">IFERROR(__xludf.DUMMYFUNCTION("GOOGLETRANSLATE(A2415,""bn"",""en"")"),"At first it seemed that the person who wrote the messenger might have been attracted to this species of bird")</f>
        <v>At first it seemed that the person who wrote the messenger might have been attracted to this species of bird</v>
      </c>
      <c r="C2415" s="7" t="s">
        <v>6</v>
      </c>
      <c r="D2415" s="7" t="s">
        <v>7</v>
      </c>
      <c r="E2415" s="7">
        <v>0</v>
      </c>
    </row>
    <row r="2416" spans="1:5" ht="15.75" customHeight="1" x14ac:dyDescent="0.25">
      <c r="A2416" s="6" t="s">
        <v>2395</v>
      </c>
      <c r="B2416" s="6" t="str">
        <f ca="1">IFERROR(__xludf.DUMMYFUNCTION("GOOGLETRANSLATE(A2416,""bn"",""en"")"),"The gentlemen of the city also followed him")</f>
        <v>The gentlemen of the city also followed him</v>
      </c>
      <c r="C2416" s="7" t="s">
        <v>6</v>
      </c>
      <c r="D2416" s="7" t="s">
        <v>7</v>
      </c>
      <c r="E2416" s="7">
        <v>0</v>
      </c>
    </row>
    <row r="2417" spans="1:5" ht="15.75" customHeight="1" x14ac:dyDescent="0.25">
      <c r="A2417" s="6" t="s">
        <v>2396</v>
      </c>
      <c r="B2417" s="6" t="str">
        <f ca="1">IFERROR(__xludf.DUMMYFUNCTION("GOOGLETRANSLATE(A2417,""bn"",""en"")"),"Family is not just blood but love and support")</f>
        <v>Family is not just blood but love and support</v>
      </c>
      <c r="C2417" s="8" t="s">
        <v>13</v>
      </c>
      <c r="D2417" s="8" t="s">
        <v>14</v>
      </c>
      <c r="E2417" s="8">
        <v>1</v>
      </c>
    </row>
    <row r="2418" spans="1:5" ht="15.75" customHeight="1" x14ac:dyDescent="0.25">
      <c r="A2418" s="6" t="s">
        <v>2397</v>
      </c>
      <c r="B2418" s="6" t="str">
        <f ca="1">IFERROR(__xludf.DUMMYFUNCTION("GOOGLETRANSLATE(A2418,""bn"",""en"")"),"The transaction was rejected due to insufficient funds")</f>
        <v>The transaction was rejected due to insufficient funds</v>
      </c>
      <c r="C2418" s="8" t="s">
        <v>13</v>
      </c>
      <c r="D2418" s="8" t="s">
        <v>14</v>
      </c>
      <c r="E2418" s="8">
        <v>1</v>
      </c>
    </row>
    <row r="2419" spans="1:5" ht="15.75" customHeight="1" x14ac:dyDescent="0.25">
      <c r="A2419" s="6" t="s">
        <v>2398</v>
      </c>
      <c r="B2419" s="6" t="str">
        <f ca="1">IFERROR(__xludf.DUMMYFUNCTION("GOOGLETRANSLATE(A2419,""bn"",""en"")"),"Raju went to market at night")</f>
        <v>Raju went to market at night</v>
      </c>
      <c r="C2419" s="8" t="s">
        <v>13</v>
      </c>
      <c r="D2419" s="8" t="s">
        <v>14</v>
      </c>
      <c r="E2419" s="8">
        <v>1</v>
      </c>
    </row>
    <row r="2420" spans="1:5" ht="15.75" customHeight="1" x14ac:dyDescent="0.25">
      <c r="A2420" s="6" t="s">
        <v>2399</v>
      </c>
      <c r="B2420" s="6" t="str">
        <f ca="1">IFERROR(__xludf.DUMMYFUNCTION("GOOGLETRANSLATE(A2420,""bn"",""en"")"),"Market research informs product development marketing strategy")</f>
        <v>Market research informs product development marketing strategy</v>
      </c>
      <c r="C2420" s="8" t="s">
        <v>13</v>
      </c>
      <c r="D2420" s="8" t="s">
        <v>14</v>
      </c>
      <c r="E2420" s="8">
        <v>1</v>
      </c>
    </row>
    <row r="2421" spans="1:5" ht="15.75" customHeight="1" x14ac:dyDescent="0.25">
      <c r="A2421" s="6" t="s">
        <v>2400</v>
      </c>
      <c r="B2421" s="6" t="str">
        <f ca="1">IFERROR(__xludf.DUMMYFUNCTION("GOOGLETRANSLATE(A2421,""bn"",""en"")"),"They were deeply saddened to hear the news of the death of a colleague")</f>
        <v>They were deeply saddened to hear the news of the death of a colleague</v>
      </c>
      <c r="C2421" s="8" t="s">
        <v>13</v>
      </c>
      <c r="D2421" s="8" t="s">
        <v>14</v>
      </c>
      <c r="E2421" s="8">
        <v>1</v>
      </c>
    </row>
    <row r="2422" spans="1:5" ht="15.75" customHeight="1" x14ac:dyDescent="0.25">
      <c r="A2422" s="6" t="s">
        <v>2401</v>
      </c>
      <c r="B2422" s="6" t="str">
        <f ca="1">IFERROR(__xludf.DUMMYFUNCTION("GOOGLETRANSLATE(A2422,""bn"",""en"")"),"The woman placed a can of kerosene on the floor and said, ""Wait a minute, I'll give you the news.""")</f>
        <v>The woman placed a can of kerosene on the floor and said, "Wait a minute, I'll give you the news."</v>
      </c>
      <c r="C2422" s="7" t="s">
        <v>6</v>
      </c>
      <c r="D2422" s="7" t="s">
        <v>7</v>
      </c>
      <c r="E2422" s="7">
        <v>0</v>
      </c>
    </row>
    <row r="2423" spans="1:5" ht="15.75" customHeight="1" x14ac:dyDescent="0.25">
      <c r="A2423" s="6" t="s">
        <v>2402</v>
      </c>
      <c r="B2423" s="6" t="str">
        <f ca="1">IFERROR(__xludf.DUMMYFUNCTION("GOOGLETRANSLATE(A2423,""bn"",""en"")"),"He told me that once he looked at a tiger and then a stone fell in the courtyard")</f>
        <v>He told me that once he looked at a tiger and then a stone fell in the courtyard</v>
      </c>
      <c r="C2423" s="7" t="s">
        <v>6</v>
      </c>
      <c r="D2423" s="7" t="s">
        <v>7</v>
      </c>
      <c r="E2423" s="7">
        <v>0</v>
      </c>
    </row>
    <row r="2424" spans="1:5" ht="15.75" customHeight="1" x14ac:dyDescent="0.25">
      <c r="A2424" s="6" t="s">
        <v>2403</v>
      </c>
      <c r="B2424" s="6" t="str">
        <f ca="1">IFERROR(__xludf.DUMMYFUNCTION("GOOGLETRANSLATE(A2424,""bn"",""en"")"),"Why are the eyes so red?")</f>
        <v>Why are the eyes so red?</v>
      </c>
      <c r="C2424" s="7" t="s">
        <v>6</v>
      </c>
      <c r="D2424" s="7" t="s">
        <v>7</v>
      </c>
      <c r="E2424" s="7">
        <v>0</v>
      </c>
    </row>
    <row r="2425" spans="1:5" ht="15.75" customHeight="1" x14ac:dyDescent="0.25">
      <c r="A2425" s="6" t="s">
        <v>2404</v>
      </c>
      <c r="B2425" s="6" t="str">
        <f ca="1">IFERROR(__xludf.DUMMYFUNCTION("GOOGLETRANSLATE(A2425,""bn"",""en"")"),"That day I heard a scream through the window.")</f>
        <v>That day I heard a scream through the window.</v>
      </c>
      <c r="C2425" s="7" t="s">
        <v>6</v>
      </c>
      <c r="D2425" s="7" t="s">
        <v>7</v>
      </c>
      <c r="E2425" s="7">
        <v>0</v>
      </c>
    </row>
    <row r="2426" spans="1:5" ht="15.75" customHeight="1" x14ac:dyDescent="0.25">
      <c r="A2426" s="6" t="s">
        <v>2405</v>
      </c>
      <c r="B2426" s="6" t="str">
        <f ca="1">IFERROR(__xludf.DUMMYFUNCTION("GOOGLETRANSLATE(A2426,""bn"",""en"")"),"He asked me to solve a question")</f>
        <v>He asked me to solve a question</v>
      </c>
      <c r="C2426" s="7" t="s">
        <v>6</v>
      </c>
      <c r="D2426" s="7" t="s">
        <v>7</v>
      </c>
      <c r="E2426" s="7">
        <v>0</v>
      </c>
    </row>
    <row r="2427" spans="1:5" ht="15.75" customHeight="1" x14ac:dyDescent="0.25">
      <c r="A2427" s="6" t="s">
        <v>2406</v>
      </c>
      <c r="B2427" s="6" t="str">
        <f ca="1">IFERROR(__xludf.DUMMYFUNCTION("GOOGLETRANSLATE(A2427,""bn"",""en"")"),"Love for Seema was born in Rahul's mind")</f>
        <v>Love for Seema was born in Rahul's mind</v>
      </c>
      <c r="C2427" s="8" t="s">
        <v>13</v>
      </c>
      <c r="D2427" s="8" t="s">
        <v>14</v>
      </c>
      <c r="E2427" s="8">
        <v>1</v>
      </c>
    </row>
    <row r="2428" spans="1:5" ht="15.75" customHeight="1" x14ac:dyDescent="0.25">
      <c r="A2428" s="6" t="s">
        <v>2407</v>
      </c>
      <c r="B2428" s="6" t="str">
        <f ca="1">IFERROR(__xludf.DUMMYFUNCTION("GOOGLETRANSLATE(A2428,""bn"",""en"")"),"Their quest for adventure takes them to the highest peaks and deepest oceans")</f>
        <v>Their quest for adventure takes them to the highest peaks and deepest oceans</v>
      </c>
      <c r="C2428" s="8" t="s">
        <v>13</v>
      </c>
      <c r="D2428" s="8" t="s">
        <v>14</v>
      </c>
      <c r="E2428" s="8">
        <v>1</v>
      </c>
    </row>
    <row r="2429" spans="1:5" ht="15.75" customHeight="1" x14ac:dyDescent="0.25">
      <c r="A2429" s="6" t="s">
        <v>2408</v>
      </c>
      <c r="B2429" s="6" t="str">
        <f ca="1">IFERROR(__xludf.DUMMYFUNCTION("GOOGLETRANSLATE(A2429,""bn"",""en"")"),"He failed to construct the crown as demanded by Shiva")</f>
        <v>He failed to construct the crown as demanded by Shiva</v>
      </c>
      <c r="C2429" s="8" t="s">
        <v>13</v>
      </c>
      <c r="D2429" s="8" t="s">
        <v>14</v>
      </c>
      <c r="E2429" s="8">
        <v>1</v>
      </c>
    </row>
    <row r="2430" spans="1:5" ht="15.75" customHeight="1" x14ac:dyDescent="0.25">
      <c r="A2430" s="6" t="s">
        <v>2409</v>
      </c>
      <c r="B2430" s="6" t="str">
        <f ca="1">IFERROR(__xludf.DUMMYFUNCTION("GOOGLETRANSLATE(A2430,""bn"",""en"")"),"He regretted realizing his mistake")</f>
        <v>He regretted realizing his mistake</v>
      </c>
      <c r="C2430" s="8" t="s">
        <v>13</v>
      </c>
      <c r="D2430" s="8" t="s">
        <v>14</v>
      </c>
      <c r="E2430" s="8">
        <v>1</v>
      </c>
    </row>
    <row r="2431" spans="1:5" ht="15.75" customHeight="1" x14ac:dyDescent="0.25">
      <c r="A2431" s="6" t="s">
        <v>2410</v>
      </c>
      <c r="B2431" s="6" t="str">
        <f ca="1">IFERROR(__xludf.DUMMYFUNCTION("GOOGLETRANSLATE(A2431,""bn"",""en"")"),"Newcastle United supporters refer to themselves as the Toon Army")</f>
        <v>Newcastle United supporters refer to themselves as the Toon Army</v>
      </c>
      <c r="C2431" s="8" t="s">
        <v>13</v>
      </c>
      <c r="D2431" s="8" t="s">
        <v>14</v>
      </c>
      <c r="E2431" s="8">
        <v>1</v>
      </c>
    </row>
    <row r="2432" spans="1:5" ht="15.75" customHeight="1" x14ac:dyDescent="0.25">
      <c r="A2432" s="6" t="s">
        <v>2411</v>
      </c>
      <c r="B2432" s="6" t="str">
        <f ca="1">IFERROR(__xludf.DUMMYFUNCTION("GOOGLETRANSLATE(A2432,""bn"",""en"")"),"The Rajput let go of his hair and lowered his sword")</f>
        <v>The Rajput let go of his hair and lowered his sword</v>
      </c>
      <c r="C2432" s="7" t="s">
        <v>6</v>
      </c>
      <c r="D2432" s="7" t="s">
        <v>7</v>
      </c>
      <c r="E2432" s="7">
        <v>0</v>
      </c>
    </row>
    <row r="2433" spans="1:5" ht="15.75" customHeight="1" x14ac:dyDescent="0.25">
      <c r="A2433" s="6" t="s">
        <v>2412</v>
      </c>
      <c r="B2433" s="6" t="str">
        <f ca="1">IFERROR(__xludf.DUMMYFUNCTION("GOOGLETRANSLATE(A2433,""bn"",""en"")"),"Divakar's heart burned at his last words")</f>
        <v>Divakar's heart burned at his last words</v>
      </c>
      <c r="C2433" s="7" t="s">
        <v>6</v>
      </c>
      <c r="D2433" s="7" t="s">
        <v>7</v>
      </c>
      <c r="E2433" s="7">
        <v>0</v>
      </c>
    </row>
    <row r="2434" spans="1:5" ht="15.75" customHeight="1" x14ac:dyDescent="0.25">
      <c r="A2434" s="6" t="s">
        <v>2413</v>
      </c>
      <c r="B2434" s="6" t="str">
        <f ca="1">IFERROR(__xludf.DUMMYFUNCTION("GOOGLETRANSLATE(A2434,""bn"",""en"")"),"I was beyond his hope")</f>
        <v>I was beyond his hope</v>
      </c>
      <c r="C2434" s="7" t="s">
        <v>6</v>
      </c>
      <c r="D2434" s="7" t="s">
        <v>7</v>
      </c>
      <c r="E2434" s="7">
        <v>0</v>
      </c>
    </row>
    <row r="2435" spans="1:5" ht="15.75" customHeight="1" x14ac:dyDescent="0.25">
      <c r="A2435" s="6" t="s">
        <v>2414</v>
      </c>
      <c r="B2435" s="6" t="str">
        <f ca="1">IFERROR(__xludf.DUMMYFUNCTION("GOOGLETRANSLATE(A2435,""bn"",""en"")"),"Among all the Kols who come to Calcutta or go to the tea plantations, I have not seen anyone beautiful")</f>
        <v>Among all the Kols who come to Calcutta or go to the tea plantations, I have not seen anyone beautiful</v>
      </c>
      <c r="C2435" s="7" t="s">
        <v>6</v>
      </c>
      <c r="D2435" s="7" t="s">
        <v>7</v>
      </c>
      <c r="E2435" s="7">
        <v>0</v>
      </c>
    </row>
    <row r="2436" spans="1:5" ht="15.75" customHeight="1" x14ac:dyDescent="0.25">
      <c r="A2436" s="6" t="s">
        <v>2415</v>
      </c>
      <c r="B2436" s="6" t="str">
        <f ca="1">IFERROR(__xludf.DUMMYFUNCTION("GOOGLETRANSLATE(A2436,""bn"",""en"")"),"There is something to be reprimanded, reprimand")</f>
        <v>There is something to be reprimanded, reprimand</v>
      </c>
      <c r="C2436" s="7" t="s">
        <v>6</v>
      </c>
      <c r="D2436" s="7" t="s">
        <v>7</v>
      </c>
      <c r="E2436" s="7">
        <v>0</v>
      </c>
    </row>
    <row r="2437" spans="1:5" ht="15.75" customHeight="1" x14ac:dyDescent="0.25">
      <c r="A2437" s="6" t="s">
        <v>2416</v>
      </c>
      <c r="B2437" s="6" t="str">
        <f ca="1">IFERROR(__xludf.DUMMYFUNCTION("GOOGLETRANSLATE(A2437,""bn"",""en"")"),"As a child, shooting was my favorite sport.")</f>
        <v>As a child, shooting was my favorite sport.</v>
      </c>
      <c r="C2437" s="8" t="s">
        <v>13</v>
      </c>
      <c r="D2437" s="8" t="s">
        <v>14</v>
      </c>
      <c r="E2437" s="8">
        <v>1</v>
      </c>
    </row>
    <row r="2438" spans="1:5" ht="15.75" customHeight="1" x14ac:dyDescent="0.25">
      <c r="A2438" s="6" t="s">
        <v>2417</v>
      </c>
      <c r="B2438" s="6" t="str">
        <f ca="1">IFERROR(__xludf.DUMMYFUNCTION("GOOGLETRANSLATE(A2438,""bn"",""en"")"),"Next I will mention the name of my another friend Niaz Rashid")</f>
        <v>Next I will mention the name of my another friend Niaz Rashid</v>
      </c>
      <c r="C2438" s="8" t="s">
        <v>13</v>
      </c>
      <c r="D2438" s="8" t="s">
        <v>14</v>
      </c>
      <c r="E2438" s="8">
        <v>1</v>
      </c>
    </row>
    <row r="2439" spans="1:5" ht="15.75" customHeight="1" x14ac:dyDescent="0.25">
      <c r="A2439" s="6" t="s">
        <v>2418</v>
      </c>
      <c r="B2439" s="6" t="str">
        <f ca="1">IFERROR(__xludf.DUMMYFUNCTION("GOOGLETRANSLATE(A2439,""bn"",""en"")"),"Chachamia pursed her lips")</f>
        <v>Chachamia pursed her lips</v>
      </c>
      <c r="C2439" s="8" t="s">
        <v>13</v>
      </c>
      <c r="D2439" s="8" t="s">
        <v>14</v>
      </c>
      <c r="E2439" s="8">
        <v>1</v>
      </c>
    </row>
    <row r="2440" spans="1:5" ht="15.75" customHeight="1" x14ac:dyDescent="0.25">
      <c r="A2440" s="6" t="s">
        <v>2419</v>
      </c>
      <c r="B2440" s="6" t="str">
        <f ca="1">IFERROR(__xludf.DUMMYFUNCTION("GOOGLETRANSLATE(A2440,""bn"",""en"")"),"Connecting with someone on a deeper level brings intimacy")</f>
        <v>Connecting with someone on a deeper level brings intimacy</v>
      </c>
      <c r="C2440" s="8" t="s">
        <v>13</v>
      </c>
      <c r="D2440" s="8" t="s">
        <v>14</v>
      </c>
      <c r="E2440" s="8">
        <v>1</v>
      </c>
    </row>
    <row r="2441" spans="1:5" ht="15.75" customHeight="1" x14ac:dyDescent="0.25">
      <c r="A2441" s="6" t="s">
        <v>2420</v>
      </c>
      <c r="B2441" s="6" t="str">
        <f ca="1">IFERROR(__xludf.DUMMYFUNCTION("GOOGLETRANSLATE(A2441,""bn"",""en"")"),"Robin asks Chumki to come home")</f>
        <v>Robin asks Chumki to come home</v>
      </c>
      <c r="C2441" s="8" t="s">
        <v>13</v>
      </c>
      <c r="D2441" s="8" t="s">
        <v>14</v>
      </c>
      <c r="E2441" s="8">
        <v>1</v>
      </c>
    </row>
    <row r="2442" spans="1:5" ht="15.75" customHeight="1" x14ac:dyDescent="0.25">
      <c r="A2442" s="6" t="s">
        <v>2421</v>
      </c>
      <c r="B2442" s="6" t="str">
        <f ca="1">IFERROR(__xludf.DUMMYFUNCTION("GOOGLETRANSLATE(A2442,""bn"",""en"")"),"He could not find in himself the strength to free himself from the terrible bonds")</f>
        <v>He could not find in himself the strength to free himself from the terrible bonds</v>
      </c>
      <c r="C2442" s="7" t="s">
        <v>6</v>
      </c>
      <c r="D2442" s="7" t="s">
        <v>7</v>
      </c>
      <c r="E2442" s="7">
        <v>0</v>
      </c>
    </row>
    <row r="2443" spans="1:5" ht="15.75" customHeight="1" x14ac:dyDescent="0.25">
      <c r="A2443" s="6" t="s">
        <v>2422</v>
      </c>
      <c r="B2443" s="6" t="str">
        <f ca="1">IFERROR(__xludf.DUMMYFUNCTION("GOOGLETRANSLATE(A2443,""bn"",""en"")"),"I used to sit in that shadow and watch the world")</f>
        <v>I used to sit in that shadow and watch the world</v>
      </c>
      <c r="C2443" s="7" t="s">
        <v>6</v>
      </c>
      <c r="D2443" s="7" t="s">
        <v>7</v>
      </c>
      <c r="E2443" s="7">
        <v>0</v>
      </c>
    </row>
    <row r="2444" spans="1:5" ht="15.75" customHeight="1" x14ac:dyDescent="0.25">
      <c r="A2444" s="6" t="s">
        <v>2423</v>
      </c>
      <c r="B2444" s="6" t="str">
        <f ca="1">IFERROR(__xludf.DUMMYFUNCTION("GOOGLETRANSLATE(A2444,""bn"",""en"")"),"Kusum went to the bed and said that Moti has come to inquire in the evening")</f>
        <v>Kusum went to the bed and said that Moti has come to inquire in the evening</v>
      </c>
      <c r="C2444" s="7" t="s">
        <v>6</v>
      </c>
      <c r="D2444" s="7" t="s">
        <v>7</v>
      </c>
      <c r="E2444" s="7">
        <v>0</v>
      </c>
    </row>
    <row r="2445" spans="1:5" ht="15.75" customHeight="1" x14ac:dyDescent="0.25">
      <c r="A2445" s="6" t="s">
        <v>2424</v>
      </c>
      <c r="B2445" s="6" t="str">
        <f ca="1">IFERROR(__xludf.DUMMYFUNCTION("GOOGLETRANSLATE(A2445,""bn"",""en"")"),"On the way, I met several Kolkanyas")</f>
        <v>On the way, I met several Kolkanyas</v>
      </c>
      <c r="C2445" s="7" t="s">
        <v>6</v>
      </c>
      <c r="D2445" s="7" t="s">
        <v>7</v>
      </c>
      <c r="E2445" s="7">
        <v>0</v>
      </c>
    </row>
    <row r="2446" spans="1:5" ht="15.75" customHeight="1" x14ac:dyDescent="0.25">
      <c r="A2446" s="6" t="s">
        <v>2425</v>
      </c>
      <c r="B2446" s="6" t="str">
        <f ca="1">IFERROR(__xludf.DUMMYFUNCTION("GOOGLETRANSLATE(A2446,""bn"",""en"")"),"They could write fluently in Sadhu language")</f>
        <v>They could write fluently in Sadhu language</v>
      </c>
      <c r="C2446" s="7" t="s">
        <v>6</v>
      </c>
      <c r="D2446" s="7" t="s">
        <v>7</v>
      </c>
      <c r="E2446" s="7">
        <v>0</v>
      </c>
    </row>
    <row r="2447" spans="1:5" ht="15.75" customHeight="1" x14ac:dyDescent="0.25">
      <c r="A2447" s="6" t="s">
        <v>2426</v>
      </c>
      <c r="B2447" s="6" t="str">
        <f ca="1">IFERROR(__xludf.DUMMYFUNCTION("GOOGLETRANSLATE(A2447,""bn"",""en"")"),"Witnessing bravery inspires courage in me")</f>
        <v>Witnessing bravery inspires courage in me</v>
      </c>
      <c r="C2447" s="8" t="s">
        <v>13</v>
      </c>
      <c r="D2447" s="8" t="s">
        <v>14</v>
      </c>
      <c r="E2447" s="8">
        <v>1</v>
      </c>
    </row>
    <row r="2448" spans="1:5" ht="15.75" customHeight="1" x14ac:dyDescent="0.25">
      <c r="A2448" s="6" t="s">
        <v>2427</v>
      </c>
      <c r="B2448" s="6" t="str">
        <f ca="1">IFERROR(__xludf.DUMMYFUNCTION("GOOGLETRANSLATE(A2448,""bn"",""en"")"),"Roasted pumpkin seeds provide a healthy snack")</f>
        <v>Roasted pumpkin seeds provide a healthy snack</v>
      </c>
      <c r="C2448" s="8" t="s">
        <v>13</v>
      </c>
      <c r="D2448" s="8" t="s">
        <v>14</v>
      </c>
      <c r="E2448" s="8">
        <v>1</v>
      </c>
    </row>
    <row r="2449" spans="1:5" ht="15.75" customHeight="1" x14ac:dyDescent="0.25">
      <c r="A2449" s="6" t="s">
        <v>2428</v>
      </c>
      <c r="B2449" s="6" t="str">
        <f ca="1">IFERROR(__xludf.DUMMYFUNCTION("GOOGLETRANSLATE(A2449,""bn"",""en"")"),"He did not realize that he was so hungry")</f>
        <v>He did not realize that he was so hungry</v>
      </c>
      <c r="C2449" s="8" t="s">
        <v>13</v>
      </c>
      <c r="D2449" s="8" t="s">
        <v>14</v>
      </c>
      <c r="E2449" s="8">
        <v>1</v>
      </c>
    </row>
    <row r="2450" spans="1:5" ht="15.75" customHeight="1" x14ac:dyDescent="0.25">
      <c r="A2450" s="6" t="s">
        <v>2429</v>
      </c>
      <c r="B2450" s="6" t="str">
        <f ca="1">IFERROR(__xludf.DUMMYFUNCTION("GOOGLETRANSLATE(A2450,""bn"",""en"")"),"Agricultural marketing involves the promotion and sale of agricultural products to consumers or businesses")</f>
        <v>Agricultural marketing involves the promotion and sale of agricultural products to consumers or businesses</v>
      </c>
      <c r="C2450" s="8" t="s">
        <v>13</v>
      </c>
      <c r="D2450" s="8" t="s">
        <v>14</v>
      </c>
      <c r="E2450" s="8">
        <v>1</v>
      </c>
    </row>
    <row r="2451" spans="1:5" ht="15.75" customHeight="1" x14ac:dyDescent="0.25">
      <c r="A2451" s="6" t="s">
        <v>2430</v>
      </c>
      <c r="B2451" s="6" t="str">
        <f ca="1">IFERROR(__xludf.DUMMYFUNCTION("GOOGLETRANSLATE(A2451,""bn"",""en"")"),"Comment your emoji reaction")</f>
        <v>Comment your emoji reaction</v>
      </c>
      <c r="C2451" s="8" t="s">
        <v>13</v>
      </c>
      <c r="D2451" s="8" t="s">
        <v>14</v>
      </c>
      <c r="E2451" s="8">
        <v>1</v>
      </c>
    </row>
    <row r="2452" spans="1:5" ht="15.75" customHeight="1" x14ac:dyDescent="0.25">
      <c r="A2452" s="6" t="s">
        <v>2431</v>
      </c>
      <c r="B2452" s="6" t="str">
        <f ca="1">IFERROR(__xludf.DUMMYFUNCTION("GOOGLETRANSLATE(A2452,""bn"",""en"")"),"He explained it to me")</f>
        <v>He explained it to me</v>
      </c>
      <c r="C2452" s="7" t="s">
        <v>6</v>
      </c>
      <c r="D2452" s="7" t="s">
        <v>7</v>
      </c>
      <c r="E2452" s="7">
        <v>0</v>
      </c>
    </row>
    <row r="2453" spans="1:5" ht="15.75" customHeight="1" x14ac:dyDescent="0.25">
      <c r="A2453" s="6" t="s">
        <v>2432</v>
      </c>
      <c r="B2453" s="6" t="str">
        <f ca="1">IFERROR(__xludf.DUMMYFUNCTION("GOOGLETRANSLATE(A2453,""bn"",""en"")"),"At this time, there is no escape without escape, there is no medicine without separation")</f>
        <v>At this time, there is no escape without escape, there is no medicine without separation</v>
      </c>
      <c r="C2453" s="7" t="s">
        <v>6</v>
      </c>
      <c r="D2453" s="7" t="s">
        <v>7</v>
      </c>
      <c r="E2453" s="7">
        <v>0</v>
      </c>
    </row>
    <row r="2454" spans="1:5" ht="15.75" customHeight="1" x14ac:dyDescent="0.25">
      <c r="A2454" s="6" t="s">
        <v>2433</v>
      </c>
      <c r="B2454" s="6" t="str">
        <f ca="1">IFERROR(__xludf.DUMMYFUNCTION("GOOGLETRANSLATE(A2454,""bn"",""en"")"),"Without asking any questions, he got up and went inside")</f>
        <v>Without asking any questions, he got up and went inside</v>
      </c>
      <c r="C2454" s="7" t="s">
        <v>6</v>
      </c>
      <c r="D2454" s="7" t="s">
        <v>7</v>
      </c>
      <c r="E2454" s="7">
        <v>0</v>
      </c>
    </row>
    <row r="2455" spans="1:5" ht="15.75" customHeight="1" x14ac:dyDescent="0.25">
      <c r="A2455" s="6" t="s">
        <v>2434</v>
      </c>
      <c r="B2455" s="6" t="str">
        <f ca="1">IFERROR(__xludf.DUMMYFUNCTION("GOOGLETRANSLATE(A2455,""bn"",""en"")"),"Don't forget to see her beautiful face")</f>
        <v>Don't forget to see her beautiful face</v>
      </c>
      <c r="C2455" s="7" t="s">
        <v>6</v>
      </c>
      <c r="D2455" s="7" t="s">
        <v>7</v>
      </c>
      <c r="E2455" s="7">
        <v>0</v>
      </c>
    </row>
    <row r="2456" spans="1:5" ht="15.75" customHeight="1" x14ac:dyDescent="0.25">
      <c r="A2456" s="6" t="s">
        <v>2435</v>
      </c>
      <c r="B2456" s="6" t="str">
        <f ca="1">IFERROR(__xludf.DUMMYFUNCTION("GOOGLETRANSLATE(A2456,""bn"",""en"")"),"Sitting in the boat, he saw a ghost-like man standing against a tree in the dim evening light on the deserted bank of the canal.")</f>
        <v>Sitting in the boat, he saw a ghost-like man standing against a tree in the dim evening light on the deserted bank of the canal.</v>
      </c>
      <c r="C2456" s="7" t="s">
        <v>6</v>
      </c>
      <c r="D2456" s="7" t="s">
        <v>7</v>
      </c>
      <c r="E2456" s="7">
        <v>0</v>
      </c>
    </row>
    <row r="2457" spans="1:5" ht="15.75" customHeight="1" x14ac:dyDescent="0.25">
      <c r="A2457" s="6" t="s">
        <v>2436</v>
      </c>
      <c r="B2457" s="6" t="str">
        <f ca="1">IFERROR(__xludf.DUMMYFUNCTION("GOOGLETRANSLATE(A2457,""bn"",""en"")"),"The award was given for Best Foreign Language Film")</f>
        <v>The award was given for Best Foreign Language Film</v>
      </c>
      <c r="C2457" s="8" t="s">
        <v>13</v>
      </c>
      <c r="D2457" s="8" t="s">
        <v>14</v>
      </c>
      <c r="E2457" s="8">
        <v>1</v>
      </c>
    </row>
    <row r="2458" spans="1:5" ht="15.75" customHeight="1" x14ac:dyDescent="0.25">
      <c r="A2458" s="6" t="s">
        <v>2437</v>
      </c>
      <c r="B2458" s="6" t="str">
        <f ca="1">IFERROR(__xludf.DUMMYFUNCTION("GOOGLETRANSLATE(A2458,""bn"",""en"")"),"Fahim I went to school")</f>
        <v>Fahim I went to school</v>
      </c>
      <c r="C2458" s="8" t="s">
        <v>13</v>
      </c>
      <c r="D2458" s="8" t="s">
        <v>14</v>
      </c>
      <c r="E2458" s="8">
        <v>1</v>
      </c>
    </row>
    <row r="2459" spans="1:5" ht="15.75" customHeight="1" x14ac:dyDescent="0.25">
      <c r="A2459" s="6" t="s">
        <v>2438</v>
      </c>
      <c r="B2459" s="6" t="str">
        <f ca="1">IFERROR(__xludf.DUMMYFUNCTION("GOOGLETRANSLATE(A2459,""bn"",""en"")"),"Not to mention another")</f>
        <v>Not to mention another</v>
      </c>
      <c r="C2459" s="8" t="s">
        <v>13</v>
      </c>
      <c r="D2459" s="8" t="s">
        <v>14</v>
      </c>
      <c r="E2459" s="8">
        <v>1</v>
      </c>
    </row>
    <row r="2460" spans="1:5" ht="15.75" customHeight="1" x14ac:dyDescent="0.25">
      <c r="A2460" s="6" t="s">
        <v>2439</v>
      </c>
      <c r="B2460" s="6" t="str">
        <f ca="1">IFERROR(__xludf.DUMMYFUNCTION("GOOGLETRANSLATE(A2460,""bn"",""en"")"),"Its literary quality is still impressive today")</f>
        <v>Its literary quality is still impressive today</v>
      </c>
      <c r="C2460" s="8" t="s">
        <v>13</v>
      </c>
      <c r="D2460" s="8" t="s">
        <v>14</v>
      </c>
      <c r="E2460" s="8">
        <v>1</v>
      </c>
    </row>
    <row r="2461" spans="1:5" ht="15.75" customHeight="1" x14ac:dyDescent="0.25">
      <c r="A2461" s="6" t="s">
        <v>2440</v>
      </c>
      <c r="B2461" s="6" t="str">
        <f ca="1">IFERROR(__xludf.DUMMYFUNCTION("GOOGLETRANSLATE(A2461,""bn"",""en"")"),"Their journey was full of unexpected twists and turns making it an unforgettable adventure")</f>
        <v>Their journey was full of unexpected twists and turns making it an unforgettable adventure</v>
      </c>
      <c r="C2461" s="8" t="s">
        <v>13</v>
      </c>
      <c r="D2461" s="8" t="s">
        <v>14</v>
      </c>
      <c r="E2461" s="8">
        <v>1</v>
      </c>
    </row>
    <row r="2462" spans="1:5" ht="15.75" customHeight="1" x14ac:dyDescent="0.25">
      <c r="A2462" s="6" t="s">
        <v>2441</v>
      </c>
      <c r="B2462" s="6" t="str">
        <f ca="1">IFERROR(__xludf.DUMMYFUNCTION("GOOGLETRANSLATE(A2462,""bn"",""en"")"),"Storytelling is a disease of this age, whether one hears it or not, old people tell stories")</f>
        <v>Storytelling is a disease of this age, whether one hears it or not, old people tell stories</v>
      </c>
      <c r="C2462" s="7" t="s">
        <v>6</v>
      </c>
      <c r="D2462" s="7" t="s">
        <v>7</v>
      </c>
      <c r="E2462" s="7">
        <v>0</v>
      </c>
    </row>
    <row r="2463" spans="1:5" ht="15.75" customHeight="1" x14ac:dyDescent="0.25">
      <c r="A2463" s="6" t="s">
        <v>2442</v>
      </c>
      <c r="B2463" s="6" t="str">
        <f ca="1">IFERROR(__xludf.DUMMYFUNCTION("GOOGLETRANSLATE(A2463,""bn"",""en"")"),"The moon in the evening sky looked very beautiful")</f>
        <v>The moon in the evening sky looked very beautiful</v>
      </c>
      <c r="C2463" s="7" t="s">
        <v>6</v>
      </c>
      <c r="D2463" s="7" t="s">
        <v>7</v>
      </c>
      <c r="E2463" s="7">
        <v>0</v>
      </c>
    </row>
    <row r="2464" spans="1:5" ht="15.75" customHeight="1" x14ac:dyDescent="0.25">
      <c r="A2464" s="6" t="s">
        <v>2443</v>
      </c>
      <c r="B2464" s="6" t="str">
        <f ca="1">IFERROR(__xludf.DUMMYFUNCTION("GOOGLETRANSLATE(A2464,""bn"",""en"")"),"Now let's all shine")</f>
        <v>Now let's all shine</v>
      </c>
      <c r="C2464" s="7" t="s">
        <v>6</v>
      </c>
      <c r="D2464" s="7" t="s">
        <v>7</v>
      </c>
      <c r="E2464" s="7">
        <v>0</v>
      </c>
    </row>
    <row r="2465" spans="1:5" ht="15.75" customHeight="1" x14ac:dyDescent="0.25">
      <c r="A2465" s="6" t="s">
        <v>2444</v>
      </c>
      <c r="B2465" s="6" t="str">
        <f ca="1">IFERROR(__xludf.DUMMYFUNCTION("GOOGLETRANSLATE(A2465,""bn"",""en"")"),"Responding slowly came out and stood")</f>
        <v>Responding slowly came out and stood</v>
      </c>
      <c r="C2465" s="7" t="s">
        <v>6</v>
      </c>
      <c r="D2465" s="7" t="s">
        <v>7</v>
      </c>
      <c r="E2465" s="7">
        <v>0</v>
      </c>
    </row>
    <row r="2466" spans="1:5" ht="15.75" customHeight="1" x14ac:dyDescent="0.25">
      <c r="A2466" s="6" t="s">
        <v>2445</v>
      </c>
      <c r="B2466" s="6" t="str">
        <f ca="1">IFERROR(__xludf.DUMMYFUNCTION("GOOGLETRANSLATE(A2466,""bn"",""en"")"),"Meanwhile, the in-laws are kicking their daughter")</f>
        <v>Meanwhile, the in-laws are kicking their daughter</v>
      </c>
      <c r="C2466" s="7" t="s">
        <v>6</v>
      </c>
      <c r="D2466" s="7" t="s">
        <v>7</v>
      </c>
      <c r="E2466" s="7">
        <v>0</v>
      </c>
    </row>
    <row r="2467" spans="1:5" ht="15.75" customHeight="1" x14ac:dyDescent="0.25">
      <c r="A2467" s="6" t="s">
        <v>2446</v>
      </c>
      <c r="B2467" s="6" t="str">
        <f ca="1">IFERROR(__xludf.DUMMYFUNCTION("GOOGLETRANSLATE(A2467,""bn"",""en"")"),"Roni went to Rahman")</f>
        <v>Roni went to Rahman</v>
      </c>
      <c r="C2467" s="8" t="s">
        <v>13</v>
      </c>
      <c r="D2467" s="8" t="s">
        <v>14</v>
      </c>
      <c r="E2467" s="8">
        <v>1</v>
      </c>
    </row>
    <row r="2468" spans="1:5" ht="15.75" customHeight="1" x14ac:dyDescent="0.25">
      <c r="A2468" s="6" t="s">
        <v>2447</v>
      </c>
      <c r="B2468" s="6" t="str">
        <f ca="1">IFERROR(__xludf.DUMMYFUNCTION("GOOGLETRANSLATE(A2468,""bn"",""en"")"),"He couldn't tell me the right answer")</f>
        <v>He couldn't tell me the right answer</v>
      </c>
      <c r="C2468" s="8" t="s">
        <v>13</v>
      </c>
      <c r="D2468" s="8" t="s">
        <v>14</v>
      </c>
      <c r="E2468" s="8">
        <v>1</v>
      </c>
    </row>
    <row r="2469" spans="1:5" ht="15.75" customHeight="1" x14ac:dyDescent="0.25">
      <c r="A2469" s="6" t="s">
        <v>2448</v>
      </c>
      <c r="B2469" s="6" t="str">
        <f ca="1">IFERROR(__xludf.DUMMYFUNCTION("GOOGLETRANSLATE(A2469,""bn"",""en"")"),"I did the job well")</f>
        <v>I did the job well</v>
      </c>
      <c r="C2469" s="8" t="s">
        <v>13</v>
      </c>
      <c r="D2469" s="8" t="s">
        <v>14</v>
      </c>
      <c r="E2469" s="8">
        <v>1</v>
      </c>
    </row>
    <row r="2470" spans="1:5" ht="15.75" customHeight="1" x14ac:dyDescent="0.25">
      <c r="A2470" s="6" t="s">
        <v>2449</v>
      </c>
      <c r="B2470" s="6" t="str">
        <f ca="1">IFERROR(__xludf.DUMMYFUNCTION("GOOGLETRANSLATE(A2470,""bn"",""en"")"),"Then the first novel")</f>
        <v>Then the first novel</v>
      </c>
      <c r="C2470" s="8" t="s">
        <v>13</v>
      </c>
      <c r="D2470" s="8" t="s">
        <v>14</v>
      </c>
      <c r="E2470" s="8">
        <v>1</v>
      </c>
    </row>
    <row r="2471" spans="1:5" ht="15.75" customHeight="1" x14ac:dyDescent="0.25">
      <c r="A2471" s="6" t="s">
        <v>2450</v>
      </c>
      <c r="B2471" s="6" t="str">
        <f ca="1">IFERROR(__xludf.DUMMYFUNCTION("GOOGLETRANSLATE(A2471,""bn"",""en"")"),"He was not educated in formal education")</f>
        <v>He was not educated in formal education</v>
      </c>
      <c r="C2471" s="8" t="s">
        <v>13</v>
      </c>
      <c r="D2471" s="8" t="s">
        <v>14</v>
      </c>
      <c r="E2471" s="8">
        <v>1</v>
      </c>
    </row>
    <row r="2472" spans="1:5" ht="15.75" customHeight="1" x14ac:dyDescent="0.25">
      <c r="A2472" s="6" t="s">
        <v>2451</v>
      </c>
      <c r="B2472" s="6" t="str">
        <f ca="1">IFERROR(__xludf.DUMMYFUNCTION("GOOGLETRANSLATE(A2472,""bn"",""en"")"),"He somehow started to bring out the stone")</f>
        <v>He somehow started to bring out the stone</v>
      </c>
      <c r="C2472" s="7" t="s">
        <v>6</v>
      </c>
      <c r="D2472" s="7" t="s">
        <v>7</v>
      </c>
      <c r="E2472" s="7">
        <v>0</v>
      </c>
    </row>
    <row r="2473" spans="1:5" ht="15.75" customHeight="1" x14ac:dyDescent="0.25">
      <c r="A2473" s="6" t="s">
        <v>2452</v>
      </c>
      <c r="B2473" s="6" t="str">
        <f ca="1">IFERROR(__xludf.DUMMYFUNCTION("GOOGLETRANSLATE(A2473,""bn"",""en"")"),"He picked a mango from the tree")</f>
        <v>He picked a mango from the tree</v>
      </c>
      <c r="C2473" s="7" t="s">
        <v>6</v>
      </c>
      <c r="D2473" s="7" t="s">
        <v>7</v>
      </c>
      <c r="E2473" s="7">
        <v>0</v>
      </c>
    </row>
    <row r="2474" spans="1:5" ht="15.75" customHeight="1" x14ac:dyDescent="0.25">
      <c r="A2474" s="6" t="s">
        <v>2453</v>
      </c>
      <c r="B2474" s="6" t="str">
        <f ca="1">IFERROR(__xludf.DUMMYFUNCTION("GOOGLETRANSLATE(A2474,""bn"",""en"")"),"The sun has risen and the dew has died and the trees are shining in pure light")</f>
        <v>The sun has risen and the dew has died and the trees are shining in pure light</v>
      </c>
      <c r="C2474" s="7" t="s">
        <v>6</v>
      </c>
      <c r="D2474" s="7" t="s">
        <v>7</v>
      </c>
      <c r="E2474" s="7">
        <v>0</v>
      </c>
    </row>
    <row r="2475" spans="1:5" ht="15.75" customHeight="1" x14ac:dyDescent="0.25">
      <c r="A2475" s="6" t="s">
        <v>2454</v>
      </c>
      <c r="B2475" s="6" t="str">
        <f ca="1">IFERROR(__xludf.DUMMYFUNCTION("GOOGLETRANSLATE(A2475,""bn"",""en"")"),"He was very saddened to hear the news")</f>
        <v>He was very saddened to hear the news</v>
      </c>
      <c r="C2475" s="7" t="s">
        <v>6</v>
      </c>
      <c r="D2475" s="7" t="s">
        <v>7</v>
      </c>
      <c r="E2475" s="7">
        <v>0</v>
      </c>
    </row>
    <row r="2476" spans="1:5" ht="15.75" customHeight="1" x14ac:dyDescent="0.25">
      <c r="A2476" s="6" t="s">
        <v>2455</v>
      </c>
      <c r="B2476" s="6" t="str">
        <f ca="1">IFERROR(__xludf.DUMMYFUNCTION("GOOGLETRANSLATE(A2476,""bn"",""en"")"),"He failed to tell me the unspoken words")</f>
        <v>He failed to tell me the unspoken words</v>
      </c>
      <c r="C2476" s="7" t="s">
        <v>6</v>
      </c>
      <c r="D2476" s="7" t="s">
        <v>7</v>
      </c>
      <c r="E2476" s="7">
        <v>0</v>
      </c>
    </row>
    <row r="2477" spans="1:5" ht="15.75" customHeight="1" x14ac:dyDescent="0.25">
      <c r="A2477" s="6" t="s">
        <v>2456</v>
      </c>
      <c r="B2477" s="6" t="str">
        <f ca="1">IFERROR(__xludf.DUMMYFUNCTION("GOOGLETRANSLATE(A2477,""bn"",""en"")"),"At the age of seventeen, I thought I would be very comfortable in life, there would be no tension")</f>
        <v>At the age of seventeen, I thought I would be very comfortable in life, there would be no tension</v>
      </c>
      <c r="C2477" s="8" t="s">
        <v>13</v>
      </c>
      <c r="D2477" s="8" t="s">
        <v>14</v>
      </c>
      <c r="E2477" s="8">
        <v>1</v>
      </c>
    </row>
    <row r="2478" spans="1:5" ht="15.75" customHeight="1" x14ac:dyDescent="0.25">
      <c r="A2478" s="6" t="s">
        <v>2457</v>
      </c>
      <c r="B2478" s="6" t="str">
        <f ca="1">IFERROR(__xludf.DUMMYFUNCTION("GOOGLETRANSLATE(A2478,""bn"",""en"")"),"An extraordinary atmosphere prevailed")</f>
        <v>An extraordinary atmosphere prevailed</v>
      </c>
      <c r="C2478" s="8" t="s">
        <v>13</v>
      </c>
      <c r="D2478" s="8" t="s">
        <v>14</v>
      </c>
      <c r="E2478" s="8">
        <v>1</v>
      </c>
    </row>
    <row r="2479" spans="1:5" ht="15.75" customHeight="1" x14ac:dyDescent="0.25">
      <c r="A2479" s="6" t="s">
        <v>2458</v>
      </c>
      <c r="B2479" s="6" t="str">
        <f ca="1">IFERROR(__xludf.DUMMYFUNCTION("GOOGLETRANSLATE(A2479,""bn"",""en"")"),"Agricultural insurance protects farmers against losses due to weather events or market fluctuations")</f>
        <v>Agricultural insurance protects farmers against losses due to weather events or market fluctuations</v>
      </c>
      <c r="C2479" s="8" t="s">
        <v>13</v>
      </c>
      <c r="D2479" s="8" t="s">
        <v>14</v>
      </c>
      <c r="E2479" s="8">
        <v>1</v>
      </c>
    </row>
    <row r="2480" spans="1:5" ht="15.75" customHeight="1" x14ac:dyDescent="0.25">
      <c r="A2480" s="6" t="s">
        <v>2459</v>
      </c>
      <c r="B2480" s="6" t="str">
        <f ca="1">IFERROR(__xludf.DUMMYFUNCTION("GOOGLETRANSLATE(A2480,""bn"",""en"")"),"Such a wonderful thing never happened in his life")</f>
        <v>Such a wonderful thing never happened in his life</v>
      </c>
      <c r="C2480" s="8" t="s">
        <v>13</v>
      </c>
      <c r="D2480" s="8" t="s">
        <v>14</v>
      </c>
      <c r="E2480" s="8">
        <v>1</v>
      </c>
    </row>
    <row r="2481" spans="1:5" ht="15.75" customHeight="1" x14ac:dyDescent="0.25">
      <c r="A2481" s="6" t="s">
        <v>2460</v>
      </c>
      <c r="B2481" s="6" t="str">
        <f ca="1">IFERROR(__xludf.DUMMYFUNCTION("GOOGLETRANSLATE(A2481,""bn"",""en"")"),"Shubo died young and had three children")</f>
        <v>Shubo died young and had three children</v>
      </c>
      <c r="C2481" s="8" t="s">
        <v>13</v>
      </c>
      <c r="D2481" s="8" t="s">
        <v>14</v>
      </c>
      <c r="E2481" s="8">
        <v>1</v>
      </c>
    </row>
    <row r="2482" spans="1:5" ht="15.75" customHeight="1" x14ac:dyDescent="0.25">
      <c r="A2482" s="6" t="s">
        <v>2461</v>
      </c>
      <c r="B2482" s="6" t="str">
        <f ca="1">IFERROR(__xludf.DUMMYFUNCTION("GOOGLETRANSLATE(A2482,""bn"",""en"")"),"Mother shouted and said, ""Oh, you put your hands on me.""")</f>
        <v>Mother shouted and said, "Oh, you put your hands on me."</v>
      </c>
      <c r="C2482" s="7" t="s">
        <v>6</v>
      </c>
      <c r="D2482" s="7" t="s">
        <v>7</v>
      </c>
      <c r="E2482" s="7">
        <v>0</v>
      </c>
    </row>
    <row r="2483" spans="1:5" ht="15.75" customHeight="1" x14ac:dyDescent="0.25">
      <c r="A2483" s="6" t="s">
        <v>2462</v>
      </c>
      <c r="B2483" s="6" t="str">
        <f ca="1">IFERROR(__xludf.DUMMYFUNCTION("GOOGLETRANSLATE(A2483,""bn"",""en"")"),"They went to the market to buy fruit")</f>
        <v>They went to the market to buy fruit</v>
      </c>
      <c r="C2483" s="7" t="s">
        <v>6</v>
      </c>
      <c r="D2483" s="7" t="s">
        <v>7</v>
      </c>
      <c r="E2483" s="7">
        <v>0</v>
      </c>
    </row>
    <row r="2484" spans="1:5" ht="15.75" customHeight="1" x14ac:dyDescent="0.25">
      <c r="A2484" s="6" t="s">
        <v>2463</v>
      </c>
      <c r="B2484" s="6" t="str">
        <f ca="1">IFERROR(__xludf.DUMMYFUNCTION("GOOGLETRANSLATE(A2484,""bn"",""en"")"),"On the way, I saw a young man going towards the mountain in Birdarpe")</f>
        <v>On the way, I saw a young man going towards the mountain in Birdarpe</v>
      </c>
      <c r="C2484" s="7" t="s">
        <v>6</v>
      </c>
      <c r="D2484" s="7" t="s">
        <v>7</v>
      </c>
      <c r="E2484" s="7">
        <v>0</v>
      </c>
    </row>
    <row r="2485" spans="1:5" ht="15.75" customHeight="1" x14ac:dyDescent="0.25">
      <c r="A2485" s="6" t="s">
        <v>2464</v>
      </c>
      <c r="B2485" s="6" t="str">
        <f ca="1">IFERROR(__xludf.DUMMYFUNCTION("GOOGLETRANSLATE(A2485,""bn"",""en"")"),"She was walking around the post-office house just in tears")</f>
        <v>She was walking around the post-office house just in tears</v>
      </c>
      <c r="C2485" s="7" t="s">
        <v>6</v>
      </c>
      <c r="D2485" s="7" t="s">
        <v>7</v>
      </c>
      <c r="E2485" s="7">
        <v>0</v>
      </c>
    </row>
    <row r="2486" spans="1:5" ht="15.75" customHeight="1" x14ac:dyDescent="0.25">
      <c r="A2486" s="6" t="s">
        <v>2465</v>
      </c>
      <c r="B2486" s="6" t="str">
        <f ca="1">IFERROR(__xludf.DUMMYFUNCTION("GOOGLETRANSLATE(A2486,""bn"",""en"")"),"I want to see our mercy is coming with two guards")</f>
        <v>I want to see our mercy is coming with two guards</v>
      </c>
      <c r="C2486" s="7" t="s">
        <v>6</v>
      </c>
      <c r="D2486" s="7" t="s">
        <v>7</v>
      </c>
      <c r="E2486" s="7">
        <v>0</v>
      </c>
    </row>
    <row r="2487" spans="1:5" ht="15.75" customHeight="1" x14ac:dyDescent="0.25">
      <c r="A2487" s="6" t="s">
        <v>2466</v>
      </c>
      <c r="B2487" s="6" t="str">
        <f ca="1">IFERROR(__xludf.DUMMYFUNCTION("GOOGLETRANSLATE(A2487,""bn"",""en"")"),"Sometimes I feel so alone, I'm not alone")</f>
        <v>Sometimes I feel so alone, I'm not alone</v>
      </c>
      <c r="C2487" s="8" t="s">
        <v>13</v>
      </c>
      <c r="D2487" s="8" t="s">
        <v>14</v>
      </c>
      <c r="E2487" s="8">
        <v>1</v>
      </c>
    </row>
    <row r="2488" spans="1:5" ht="15.75" customHeight="1" x14ac:dyDescent="0.25">
      <c r="A2488" s="6" t="s">
        <v>2467</v>
      </c>
      <c r="B2488" s="6" t="str">
        <f ca="1">IFERROR(__xludf.DUMMYFUNCTION("GOOGLETRANSLATE(A2488,""bn"",""en"")"),"Ruma told her mother about me")</f>
        <v>Ruma told her mother about me</v>
      </c>
      <c r="C2488" s="8" t="s">
        <v>13</v>
      </c>
      <c r="D2488" s="8" t="s">
        <v>14</v>
      </c>
      <c r="E2488" s="8">
        <v>1</v>
      </c>
    </row>
    <row r="2489" spans="1:5" ht="15.75" customHeight="1" x14ac:dyDescent="0.25">
      <c r="A2489" s="6" t="s">
        <v>2468</v>
      </c>
      <c r="B2489" s="6" t="str">
        <f ca="1">IFERROR(__xludf.DUMMYFUNCTION("GOOGLETRANSLATE(A2489,""bn"",""en"")"),"People's ability to tolerate hunger also decreases with age")</f>
        <v>People's ability to tolerate hunger also decreases with age</v>
      </c>
      <c r="C2489" s="8" t="s">
        <v>13</v>
      </c>
      <c r="D2489" s="8" t="s">
        <v>14</v>
      </c>
      <c r="E2489" s="8">
        <v>1</v>
      </c>
    </row>
    <row r="2490" spans="1:5" ht="15.75" customHeight="1" x14ac:dyDescent="0.25">
      <c r="A2490" s="6" t="s">
        <v>2469</v>
      </c>
      <c r="B2490" s="6" t="str">
        <f ca="1">IFERROR(__xludf.DUMMYFUNCTION("GOOGLETRANSLATE(A2490,""bn"",""en"")"),"have you started reading")</f>
        <v>have you started reading</v>
      </c>
      <c r="C2490" s="8" t="s">
        <v>13</v>
      </c>
      <c r="D2490" s="8" t="s">
        <v>14</v>
      </c>
      <c r="E2490" s="8">
        <v>1</v>
      </c>
    </row>
    <row r="2491" spans="1:5" ht="15.75" customHeight="1" x14ac:dyDescent="0.25">
      <c r="A2491" s="6" t="s">
        <v>2470</v>
      </c>
      <c r="B2491" s="6" t="str">
        <f ca="1">IFERROR(__xludf.DUMMYFUNCTION("GOOGLETRANSLATE(A2491,""bn"",""en"")"),"Shakib went to the mosque and prayed")</f>
        <v>Shakib went to the mosque and prayed</v>
      </c>
      <c r="C2491" s="8" t="s">
        <v>13</v>
      </c>
      <c r="D2491" s="8" t="s">
        <v>14</v>
      </c>
      <c r="E2491" s="8">
        <v>1</v>
      </c>
    </row>
    <row r="2492" spans="1:5" ht="15.75" customHeight="1" x14ac:dyDescent="0.25">
      <c r="A2492" s="6" t="s">
        <v>2471</v>
      </c>
      <c r="B2492" s="6" t="str">
        <f ca="1">IFERROR(__xludf.DUMMYFUNCTION("GOOGLETRANSLATE(A2492,""bn"",""en"")"),"I proceeded according to their words")</f>
        <v>I proceeded according to their words</v>
      </c>
      <c r="C2492" s="7" t="s">
        <v>6</v>
      </c>
      <c r="D2492" s="7" t="s">
        <v>7</v>
      </c>
      <c r="E2492" s="7">
        <v>0</v>
      </c>
    </row>
    <row r="2493" spans="1:5" ht="15.75" customHeight="1" x14ac:dyDescent="0.25">
      <c r="A2493" s="6" t="s">
        <v>2472</v>
      </c>
      <c r="B2493" s="6" t="str">
        <f ca="1">IFERROR(__xludf.DUMMYFUNCTION("GOOGLETRANSLATE(A2493,""bn"",""en"")"),"The state of my hair is needless to say")</f>
        <v>The state of my hair is needless to say</v>
      </c>
      <c r="C2493" s="7" t="s">
        <v>6</v>
      </c>
      <c r="D2493" s="7" t="s">
        <v>7</v>
      </c>
      <c r="E2493" s="7">
        <v>0</v>
      </c>
    </row>
    <row r="2494" spans="1:5" ht="15.75" customHeight="1" x14ac:dyDescent="0.25">
      <c r="A2494" s="6" t="s">
        <v>2473</v>
      </c>
      <c r="B2494" s="6" t="str">
        <f ca="1">IFERROR(__xludf.DUMMYFUNCTION("GOOGLETRANSLATE(A2494,""bn"",""en"")"),"He felt nothing")</f>
        <v>He felt nothing</v>
      </c>
      <c r="C2494" s="7" t="s">
        <v>6</v>
      </c>
      <c r="D2494" s="7" t="s">
        <v>7</v>
      </c>
      <c r="E2494" s="7">
        <v>0</v>
      </c>
    </row>
    <row r="2495" spans="1:5" ht="15.75" customHeight="1" x14ac:dyDescent="0.25">
      <c r="A2495" s="6" t="s">
        <v>2474</v>
      </c>
      <c r="B2495" s="6" t="str">
        <f ca="1">IFERROR(__xludf.DUMMYFUNCTION("GOOGLETRANSLATE(A2495,""bn"",""en"")"),"But no one moves or sways")</f>
        <v>But no one moves or sways</v>
      </c>
      <c r="C2495" s="7" t="s">
        <v>6</v>
      </c>
      <c r="D2495" s="7" t="s">
        <v>7</v>
      </c>
      <c r="E2495" s="7">
        <v>0</v>
      </c>
    </row>
    <row r="2496" spans="1:5" ht="15.75" customHeight="1" x14ac:dyDescent="0.25">
      <c r="A2496" s="6" t="s">
        <v>2475</v>
      </c>
      <c r="B2496" s="6" t="str">
        <f ca="1">IFERROR(__xludf.DUMMYFUNCTION("GOOGLETRANSLATE(A2496,""bn"",""en"")"),"When the moon rises in the sky, he runs to see it")</f>
        <v>When the moon rises in the sky, he runs to see it</v>
      </c>
      <c r="C2496" s="7" t="s">
        <v>6</v>
      </c>
      <c r="D2496" s="7" t="s">
        <v>7</v>
      </c>
      <c r="E2496" s="7">
        <v>0</v>
      </c>
    </row>
    <row r="2497" spans="1:5" ht="15.75" customHeight="1" x14ac:dyDescent="0.25">
      <c r="A2497" s="6" t="s">
        <v>2476</v>
      </c>
      <c r="B2497" s="6" t="str">
        <f ca="1">IFERROR(__xludf.DUMMYFUNCTION("GOOGLETRANSLATE(A2497,""bn"",""en"")"),"This is how we were plagued with many problems due to the war")</f>
        <v>This is how we were plagued with many problems due to the war</v>
      </c>
      <c r="C2497" s="8" t="s">
        <v>13</v>
      </c>
      <c r="D2497" s="8" t="s">
        <v>14</v>
      </c>
      <c r="E2497" s="8">
        <v>1</v>
      </c>
    </row>
    <row r="2498" spans="1:5" ht="15.75" customHeight="1" x14ac:dyDescent="0.25">
      <c r="A2498" s="6" t="s">
        <v>2477</v>
      </c>
      <c r="B2498" s="6" t="str">
        <f ca="1">IFERROR(__xludf.DUMMYFUNCTION("GOOGLETRANSLATE(A2498,""bn"",""en"")"),"Feedback Be open to constructive criticism Use it as an opportunity for learning growth")</f>
        <v>Feedback Be open to constructive criticism Use it as an opportunity for learning growth</v>
      </c>
      <c r="C2498" s="8" t="s">
        <v>13</v>
      </c>
      <c r="D2498" s="8" t="s">
        <v>14</v>
      </c>
      <c r="E2498" s="8">
        <v>1</v>
      </c>
    </row>
    <row r="2499" spans="1:5" ht="15.75" customHeight="1" x14ac:dyDescent="0.25">
      <c r="A2499" s="6" t="s">
        <v>2478</v>
      </c>
      <c r="B2499" s="6" t="str">
        <f ca="1">IFERROR(__xludf.DUMMYFUNCTION("GOOGLETRANSLATE(A2499,""bn"",""en"")"),"Investing in yourself through education can lead to greater earning potential through personal development")</f>
        <v>Investing in yourself through education can lead to greater earning potential through personal development</v>
      </c>
      <c r="C2499" s="8" t="s">
        <v>13</v>
      </c>
      <c r="D2499" s="8" t="s">
        <v>14</v>
      </c>
      <c r="E2499" s="8">
        <v>1</v>
      </c>
    </row>
    <row r="2500" spans="1:5" ht="15.75" customHeight="1" x14ac:dyDescent="0.25">
      <c r="A2500" s="6" t="s">
        <v>2479</v>
      </c>
      <c r="B2500" s="6" t="str">
        <f ca="1">IFERROR(__xludf.DUMMYFUNCTION("GOOGLETRANSLATE(A2500,""bn"",""en"")"),"I want to participate in this march of improvement")</f>
        <v>I want to participate in this march of improvement</v>
      </c>
      <c r="C2500" s="8" t="s">
        <v>13</v>
      </c>
      <c r="D2500" s="8" t="s">
        <v>14</v>
      </c>
      <c r="E2500" s="8">
        <v>1</v>
      </c>
    </row>
    <row r="2501" spans="1:5" ht="15.75" customHeight="1" x14ac:dyDescent="0.25">
      <c r="A2501" s="6" t="s">
        <v>2480</v>
      </c>
      <c r="B2501" s="6" t="str">
        <f ca="1">IFERROR(__xludf.DUMMYFUNCTION("GOOGLETRANSLATE(A2501,""bn"",""en"")"),"Assumed or accepted as true")</f>
        <v>Assumed or accepted as true</v>
      </c>
      <c r="C2501" s="8" t="s">
        <v>13</v>
      </c>
      <c r="D2501" s="8" t="s">
        <v>14</v>
      </c>
      <c r="E2501" s="8">
        <v>1</v>
      </c>
    </row>
    <row r="2502" spans="1:5" ht="15.75" customHeight="1" x14ac:dyDescent="0.25">
      <c r="A2502" s="6" t="s">
        <v>2481</v>
      </c>
      <c r="B2502" s="6" t="str">
        <f ca="1">IFERROR(__xludf.DUMMYFUNCTION("GOOGLETRANSLATE(A2502,""bn"",""en"")"),"An old bust with a white smudging head and a huge turban flanked by a woman who looked like a young woman.")</f>
        <v>An old bust with a white smudging head and a huge turban flanked by a woman who looked like a young woman.</v>
      </c>
      <c r="C2502" s="7" t="s">
        <v>6</v>
      </c>
      <c r="D2502" s="7" t="s">
        <v>7</v>
      </c>
      <c r="E2502" s="7">
        <v>0</v>
      </c>
    </row>
    <row r="2503" spans="1:5" ht="15.75" customHeight="1" x14ac:dyDescent="0.25">
      <c r="A2503" s="6" t="s">
        <v>2482</v>
      </c>
      <c r="B2503" s="6" t="str">
        <f ca="1">IFERROR(__xludf.DUMMYFUNCTION("GOOGLETRANSLATE(A2503,""bn"",""en"")"),"He had come knocking on the door of his house and requesting him to hurry")</f>
        <v>He had come knocking on the door of his house and requesting him to hurry</v>
      </c>
      <c r="C2503" s="7" t="s">
        <v>6</v>
      </c>
      <c r="D2503" s="7" t="s">
        <v>7</v>
      </c>
      <c r="E2503" s="7">
        <v>0</v>
      </c>
    </row>
    <row r="2504" spans="1:5" ht="15.75" customHeight="1" x14ac:dyDescent="0.25">
      <c r="A2504" s="6" t="s">
        <v>2483</v>
      </c>
      <c r="B2504" s="6" t="str">
        <f ca="1">IFERROR(__xludf.DUMMYFUNCTION("GOOGLETRANSLATE(A2504,""bn"",""en"")"),"Ramsundar often goes to see his daughter, he has no prestige in Behaibari")</f>
        <v>Ramsundar often goes to see his daughter, he has no prestige in Behaibari</v>
      </c>
      <c r="C2504" s="7" t="s">
        <v>6</v>
      </c>
      <c r="D2504" s="7" t="s">
        <v>7</v>
      </c>
      <c r="E2504" s="7">
        <v>0</v>
      </c>
    </row>
    <row r="2505" spans="1:5" ht="15.75" customHeight="1" x14ac:dyDescent="0.25">
      <c r="A2505" s="6" t="s">
        <v>2484</v>
      </c>
      <c r="B2505" s="6" t="str">
        <f ca="1">IFERROR(__xludf.DUMMYFUNCTION("GOOGLETRANSLATE(A2505,""bn"",""en"")"),"You don't want to go")</f>
        <v>You don't want to go</v>
      </c>
      <c r="C2505" s="7" t="s">
        <v>6</v>
      </c>
      <c r="D2505" s="7" t="s">
        <v>7</v>
      </c>
      <c r="E2505" s="7">
        <v>0</v>
      </c>
    </row>
    <row r="2506" spans="1:5" ht="15.75" customHeight="1" x14ac:dyDescent="0.25">
      <c r="A2506" s="6" t="s">
        <v>2485</v>
      </c>
      <c r="B2506" s="6" t="str">
        <f ca="1">IFERROR(__xludf.DUMMYFUNCTION("GOOGLETRANSLATE(A2506,""bn"",""en"")"),"The impression that the city left on his mind is not to be erased, it is not only imprinted")</f>
        <v>The impression that the city left on his mind is not to be erased, it is not only imprinted</v>
      </c>
      <c r="C2506" s="7" t="s">
        <v>6</v>
      </c>
      <c r="D2506" s="7" t="s">
        <v>7</v>
      </c>
      <c r="E2506" s="7">
        <v>0</v>
      </c>
    </row>
    <row r="2507" spans="1:5" ht="15.75" customHeight="1" x14ac:dyDescent="0.25">
      <c r="A2507" s="6" t="s">
        <v>2486</v>
      </c>
      <c r="B2507" s="6" t="str">
        <f ca="1">IFERROR(__xludf.DUMMYFUNCTION("GOOGLETRANSLATE(A2507,""bn"",""en"")"),"Special Relativity Special Relativity")</f>
        <v>Special Relativity Special Relativity</v>
      </c>
      <c r="C2507" s="8" t="s">
        <v>13</v>
      </c>
      <c r="D2507" s="8" t="s">
        <v>14</v>
      </c>
      <c r="E2507" s="8">
        <v>1</v>
      </c>
    </row>
    <row r="2508" spans="1:5" ht="15.75" customHeight="1" x14ac:dyDescent="0.25">
      <c r="A2508" s="6" t="s">
        <v>2487</v>
      </c>
      <c r="B2508" s="6" t="str">
        <f ca="1">IFERROR(__xludf.DUMMYFUNCTION("GOOGLETRANSLATE(A2508,""bn"",""en"")"),"Suddenly everything became quiet")</f>
        <v>Suddenly everything became quiet</v>
      </c>
      <c r="C2508" s="8" t="s">
        <v>13</v>
      </c>
      <c r="D2508" s="8" t="s">
        <v>14</v>
      </c>
      <c r="E2508" s="8">
        <v>1</v>
      </c>
    </row>
    <row r="2509" spans="1:5" ht="15.75" customHeight="1" x14ac:dyDescent="0.25">
      <c r="A2509" s="6" t="s">
        <v>2488</v>
      </c>
      <c r="B2509" s="6" t="str">
        <f ca="1">IFERROR(__xludf.DUMMYFUNCTION("GOOGLETRANSLATE(A2509,""bn"",""en"")"),"If the temperature rises a little, I feel like I will be boiled")</f>
        <v>If the temperature rises a little, I feel like I will be boiled</v>
      </c>
      <c r="C2509" s="8" t="s">
        <v>13</v>
      </c>
      <c r="D2509" s="8" t="s">
        <v>14</v>
      </c>
      <c r="E2509" s="8">
        <v>1</v>
      </c>
    </row>
    <row r="2510" spans="1:5" ht="15.75" customHeight="1" x14ac:dyDescent="0.25">
      <c r="A2510" s="6" t="s">
        <v>2489</v>
      </c>
      <c r="B2510" s="6" t="str">
        <f ca="1">IFERROR(__xludf.DUMMYFUNCTION("GOOGLETRANSLATE(A2510,""bn"",""en"")"),"He said it is not right for me to leave my family and go far abroad")</f>
        <v>He said it is not right for me to leave my family and go far abroad</v>
      </c>
      <c r="C2510" s="8" t="s">
        <v>13</v>
      </c>
      <c r="D2510" s="8" t="s">
        <v>14</v>
      </c>
      <c r="E2510" s="8">
        <v>1</v>
      </c>
    </row>
    <row r="2511" spans="1:5" ht="15.75" customHeight="1" x14ac:dyDescent="0.25">
      <c r="A2511" s="6" t="s">
        <v>2490</v>
      </c>
      <c r="B2511" s="6" t="str">
        <f ca="1">IFERROR(__xludf.DUMMYFUNCTION("GOOGLETRANSLATE(A2511,""bn"",""en"")"),"The dignity of being a martyr for the country is high")</f>
        <v>The dignity of being a martyr for the country is high</v>
      </c>
      <c r="C2511" s="8" t="s">
        <v>13</v>
      </c>
      <c r="D2511" s="8" t="s">
        <v>14</v>
      </c>
      <c r="E2511" s="8">
        <v>1</v>
      </c>
    </row>
    <row r="2512" spans="1:5" ht="15.75" customHeight="1" x14ac:dyDescent="0.25">
      <c r="A2512" s="6" t="s">
        <v>2491</v>
      </c>
      <c r="B2512" s="6" t="str">
        <f ca="1">IFERROR(__xludf.DUMMYFUNCTION("GOOGLETRANSLATE(A2512,""bn"",""en"")"),"He sat at home and watched the shadows fall in the yard")</f>
        <v>He sat at home and watched the shadows fall in the yard</v>
      </c>
      <c r="C2512" s="7" t="s">
        <v>6</v>
      </c>
      <c r="D2512" s="7" t="s">
        <v>7</v>
      </c>
      <c r="E2512" s="7">
        <v>0</v>
      </c>
    </row>
    <row r="2513" spans="1:5" ht="15.75" customHeight="1" x14ac:dyDescent="0.25">
      <c r="A2513" s="6" t="s">
        <v>2492</v>
      </c>
      <c r="B2513" s="6" t="str">
        <f ca="1">IFERROR(__xludf.DUMMYFUNCTION("GOOGLETRANSLATE(A2513,""bn"",""en"")"),"Your luck can be opened in this")</f>
        <v>Your luck can be opened in this</v>
      </c>
      <c r="C2513" s="7" t="s">
        <v>6</v>
      </c>
      <c r="D2513" s="7" t="s">
        <v>7</v>
      </c>
      <c r="E2513" s="7">
        <v>0</v>
      </c>
    </row>
    <row r="2514" spans="1:5" ht="15.75" customHeight="1" x14ac:dyDescent="0.25">
      <c r="A2514" s="6" t="s">
        <v>2493</v>
      </c>
      <c r="B2514" s="6" t="str">
        <f ca="1">IFERROR(__xludf.DUMMYFUNCTION("GOOGLETRANSLATE(A2514,""bn"",""en"")"),"It is also our fault that this wine is so cheap")</f>
        <v>It is also our fault that this wine is so cheap</v>
      </c>
      <c r="C2514" s="7" t="s">
        <v>6</v>
      </c>
      <c r="D2514" s="7" t="s">
        <v>7</v>
      </c>
      <c r="E2514" s="7">
        <v>0</v>
      </c>
    </row>
    <row r="2515" spans="1:5" ht="15.75" customHeight="1" x14ac:dyDescent="0.25">
      <c r="A2515" s="6" t="s">
        <v>2494</v>
      </c>
      <c r="B2515" s="6" t="str">
        <f ca="1">IFERROR(__xludf.DUMMYFUNCTION("GOOGLETRANSLATE(A2515,""bn"",""en"")"),"Tell the truth how the sand in my eyes felt")</f>
        <v>Tell the truth how the sand in my eyes felt</v>
      </c>
      <c r="C2515" s="7" t="s">
        <v>6</v>
      </c>
      <c r="D2515" s="7" t="s">
        <v>7</v>
      </c>
      <c r="E2515" s="7">
        <v>0</v>
      </c>
    </row>
    <row r="2516" spans="1:5" ht="15.75" customHeight="1" x14ac:dyDescent="0.25">
      <c r="A2516" s="6" t="s">
        <v>2495</v>
      </c>
      <c r="B2516" s="6" t="str">
        <f ca="1">IFERROR(__xludf.DUMMYFUNCTION("GOOGLETRANSLATE(A2516,""bn"",""en"")"),"He sat for a long time without saying anything with a pale face")</f>
        <v>He sat for a long time without saying anything with a pale face</v>
      </c>
      <c r="C2516" s="7" t="s">
        <v>6</v>
      </c>
      <c r="D2516" s="7" t="s">
        <v>7</v>
      </c>
      <c r="E2516" s="7">
        <v>0</v>
      </c>
    </row>
    <row r="2517" spans="1:5" ht="15.75" customHeight="1" x14ac:dyDescent="0.25">
      <c r="A2517" s="6" t="s">
        <v>2496</v>
      </c>
      <c r="B2517" s="6" t="str">
        <f ca="1">IFERROR(__xludf.DUMMYFUNCTION("GOOGLETRANSLATE(A2517,""bn"",""en"")"),"News broadcasts provide updates about the latest happenings around the world")</f>
        <v>News broadcasts provide updates about the latest happenings around the world</v>
      </c>
      <c r="C2517" s="8" t="s">
        <v>13</v>
      </c>
      <c r="D2517" s="8" t="s">
        <v>14</v>
      </c>
      <c r="E2517" s="8">
        <v>1</v>
      </c>
    </row>
    <row r="2518" spans="1:5" ht="15.75" customHeight="1" x14ac:dyDescent="0.25">
      <c r="A2518" s="6" t="s">
        <v>2497</v>
      </c>
      <c r="B2518" s="6" t="str">
        <f ca="1">IFERROR(__xludf.DUMMYFUNCTION("GOOGLETRANSLATE(A2518,""bn"",""en"")"),"They claimed to be descendants of Genghis Khan through Chagatai Khan Timur")</f>
        <v>They claimed to be descendants of Genghis Khan through Chagatai Khan Timur</v>
      </c>
      <c r="C2518" s="8" t="s">
        <v>13</v>
      </c>
      <c r="D2518" s="8" t="s">
        <v>14</v>
      </c>
      <c r="E2518" s="8">
        <v>1</v>
      </c>
    </row>
    <row r="2519" spans="1:5" ht="15.75" customHeight="1" x14ac:dyDescent="0.25">
      <c r="A2519" s="6" t="s">
        <v>2498</v>
      </c>
      <c r="B2519" s="6" t="str">
        <f ca="1">IFERROR(__xludf.DUMMYFUNCTION("GOOGLETRANSLATE(A2519,""bn"",""en"")"),"I love the sound of my car engine it's music to my ears")</f>
        <v>I love the sound of my car engine it's music to my ears</v>
      </c>
      <c r="C2519" s="8" t="s">
        <v>13</v>
      </c>
      <c r="D2519" s="8" t="s">
        <v>14</v>
      </c>
      <c r="E2519" s="8">
        <v>1</v>
      </c>
    </row>
    <row r="2520" spans="1:5" ht="15.75" customHeight="1" x14ac:dyDescent="0.25">
      <c r="A2520" s="6" t="s">
        <v>2499</v>
      </c>
      <c r="B2520" s="6" t="str">
        <f ca="1">IFERROR(__xludf.DUMMYFUNCTION("GOOGLETRANSLATE(A2520,""bn"",""en"")"),"Own your mistakes and learn from them")</f>
        <v>Own your mistakes and learn from them</v>
      </c>
      <c r="C2520" s="8" t="s">
        <v>13</v>
      </c>
      <c r="D2520" s="8" t="s">
        <v>14</v>
      </c>
      <c r="E2520" s="8">
        <v>1</v>
      </c>
    </row>
    <row r="2521" spans="1:5" ht="15.75" customHeight="1" x14ac:dyDescent="0.25">
      <c r="A2521" s="6" t="s">
        <v>2500</v>
      </c>
      <c r="B2521" s="6" t="str">
        <f ca="1">IFERROR(__xludf.DUMMYFUNCTION("GOOGLETRANSLATE(A2521,""bn"",""en"")"),"Graphic designers create visually stunning graphics for marketing campaigns")</f>
        <v>Graphic designers create visually stunning graphics for marketing campaigns</v>
      </c>
      <c r="C2521" s="8" t="s">
        <v>13</v>
      </c>
      <c r="D2521" s="8" t="s">
        <v>14</v>
      </c>
      <c r="E2521" s="8">
        <v>1</v>
      </c>
    </row>
    <row r="2522" spans="1:5" ht="15.75" customHeight="1" x14ac:dyDescent="0.25">
      <c r="A2522" s="6" t="s">
        <v>2501</v>
      </c>
      <c r="B2522" s="6" t="str">
        <f ca="1">IFERROR(__xludf.DUMMYFUNCTION("GOOGLETRANSLATE(A2522,""bn"",""en"")"),"As soon as I looked, I saw the yellow envelope kept on the table")</f>
        <v>As soon as I looked, I saw the yellow envelope kept on the table</v>
      </c>
      <c r="C2522" s="7" t="s">
        <v>6</v>
      </c>
      <c r="D2522" s="7" t="s">
        <v>7</v>
      </c>
      <c r="E2522" s="7">
        <v>0</v>
      </c>
    </row>
    <row r="2523" spans="1:5" ht="15.75" customHeight="1" x14ac:dyDescent="0.25">
      <c r="A2523" s="6" t="s">
        <v>2502</v>
      </c>
      <c r="B2523" s="6" t="str">
        <f ca="1">IFERROR(__xludf.DUMMYFUNCTION("GOOGLETRANSLATE(A2523,""bn"",""en"")"),"Rana worked with me")</f>
        <v>Rana worked with me</v>
      </c>
      <c r="C2523" s="7" t="s">
        <v>6</v>
      </c>
      <c r="D2523" s="7" t="s">
        <v>7</v>
      </c>
      <c r="E2523" s="7">
        <v>0</v>
      </c>
    </row>
    <row r="2524" spans="1:5" ht="15.75" customHeight="1" x14ac:dyDescent="0.25">
      <c r="A2524" s="6" t="s">
        <v>2503</v>
      </c>
      <c r="B2524" s="6" t="str">
        <f ca="1">IFERROR(__xludf.DUMMYFUNCTION("GOOGLETRANSLATE(A2524,""bn"",""en"")"),"The father loved him more than the mother")</f>
        <v>The father loved him more than the mother</v>
      </c>
      <c r="C2524" s="7" t="s">
        <v>6</v>
      </c>
      <c r="D2524" s="7" t="s">
        <v>7</v>
      </c>
      <c r="E2524" s="7">
        <v>0</v>
      </c>
    </row>
    <row r="2525" spans="1:5" ht="15.75" customHeight="1" x14ac:dyDescent="0.25">
      <c r="A2525" s="6" t="s">
        <v>2504</v>
      </c>
      <c r="B2525" s="6" t="str">
        <f ca="1">IFERROR(__xludf.DUMMYFUNCTION("GOOGLETRANSLATE(A2525,""bn"",""en"")"),"The young man went without saying a word")</f>
        <v>The young man went without saying a word</v>
      </c>
      <c r="C2525" s="7" t="s">
        <v>6</v>
      </c>
      <c r="D2525" s="7" t="s">
        <v>7</v>
      </c>
      <c r="E2525" s="7">
        <v>0</v>
      </c>
    </row>
    <row r="2526" spans="1:5" ht="15.75" customHeight="1" x14ac:dyDescent="0.25">
      <c r="A2526" s="6" t="s">
        <v>1530</v>
      </c>
      <c r="B2526" s="6" t="str">
        <f ca="1">IFERROR(__xludf.DUMMYFUNCTION("GOOGLETRANSLATE(A2526,""bn"",""en"")"),"After listening to the state, the fathers of both sides became cautious")</f>
        <v>After listening to the state, the fathers of both sides became cautious</v>
      </c>
      <c r="C2526" s="7" t="s">
        <v>6</v>
      </c>
      <c r="D2526" s="7" t="s">
        <v>7</v>
      </c>
      <c r="E2526" s="7">
        <v>0</v>
      </c>
    </row>
    <row r="2527" spans="1:5" ht="15.75" customHeight="1" x14ac:dyDescent="0.25">
      <c r="A2527" s="6" t="s">
        <v>2505</v>
      </c>
      <c r="B2527" s="6" t="str">
        <f ca="1">IFERROR(__xludf.DUMMYFUNCTION("GOOGLETRANSLATE(A2527,""bn"",""en"")"),"Rahim will now return from Madrasah")</f>
        <v>Rahim will now return from Madrasah</v>
      </c>
      <c r="C2527" s="8" t="s">
        <v>13</v>
      </c>
      <c r="D2527" s="8" t="s">
        <v>14</v>
      </c>
      <c r="E2527" s="8">
        <v>1</v>
      </c>
    </row>
    <row r="2528" spans="1:5" ht="15.75" customHeight="1" x14ac:dyDescent="0.25">
      <c r="A2528" s="6" t="s">
        <v>2506</v>
      </c>
      <c r="B2528" s="6" t="str">
        <f ca="1">IFERROR(__xludf.DUMMYFUNCTION("GOOGLETRANSLATE(A2528,""bn"",""en"")"),"Vyasadev wanted this great story to be recorded by Siddhidata Ganesha")</f>
        <v>Vyasadev wanted this great story to be recorded by Siddhidata Ganesha</v>
      </c>
      <c r="C2528" s="8" t="s">
        <v>13</v>
      </c>
      <c r="D2528" s="8" t="s">
        <v>14</v>
      </c>
      <c r="E2528" s="8">
        <v>1</v>
      </c>
    </row>
    <row r="2529" spans="1:5" ht="15.75" customHeight="1" x14ac:dyDescent="0.25">
      <c r="A2529" s="6" t="s">
        <v>2507</v>
      </c>
      <c r="B2529" s="6" t="str">
        <f ca="1">IFERROR(__xludf.DUMMYFUNCTION("GOOGLETRANSLATE(A2529,""bn"",""en"")"),"Setting up automatic transfers to your savings account can help you save consistently")</f>
        <v>Setting up automatic transfers to your savings account can help you save consistently</v>
      </c>
      <c r="C2529" s="8" t="s">
        <v>13</v>
      </c>
      <c r="D2529" s="8" t="s">
        <v>14</v>
      </c>
      <c r="E2529" s="8">
        <v>1</v>
      </c>
    </row>
    <row r="2530" spans="1:5" ht="15.75" customHeight="1" x14ac:dyDescent="0.25">
      <c r="A2530" s="6" t="s">
        <v>2508</v>
      </c>
      <c r="B2530" s="6" t="str">
        <f ca="1">IFERROR(__xludf.DUMMYFUNCTION("GOOGLETRANSLATE(A2530,""bn"",""en"")"),"Osteoarthritis is a degenerative joint disease in which cartilage breakdown causes joint pain.")</f>
        <v>Osteoarthritis is a degenerative joint disease in which cartilage breakdown causes joint pain.</v>
      </c>
      <c r="C2530" s="8" t="s">
        <v>13</v>
      </c>
      <c r="D2530" s="8" t="s">
        <v>14</v>
      </c>
      <c r="E2530" s="8">
        <v>1</v>
      </c>
    </row>
    <row r="2531" spans="1:5" ht="15.75" customHeight="1" x14ac:dyDescent="0.25">
      <c r="A2531" s="6" t="s">
        <v>2509</v>
      </c>
      <c r="B2531" s="6" t="str">
        <f ca="1">IFERROR(__xludf.DUMMYFUNCTION("GOOGLETRANSLATE(A2531,""bn"",""en"")"),"Father said to his daughter, you are my daughter but you have helped strangers enemies")</f>
        <v>Father said to his daughter, you are my daughter but you have helped strangers enemies</v>
      </c>
      <c r="C2531" s="8" t="s">
        <v>13</v>
      </c>
      <c r="D2531" s="8" t="s">
        <v>14</v>
      </c>
      <c r="E2531" s="8">
        <v>1</v>
      </c>
    </row>
    <row r="2532" spans="1:5" ht="15.75" customHeight="1" x14ac:dyDescent="0.25">
      <c r="A2532" s="6" t="s">
        <v>2510</v>
      </c>
      <c r="B2532" s="6" t="str">
        <f ca="1">IFERROR(__xludf.DUMMYFUNCTION("GOOGLETRANSLATE(A2532,""bn"",""en"")"),"There was another saying among them")</f>
        <v>There was another saying among them</v>
      </c>
      <c r="C2532" s="7" t="s">
        <v>6</v>
      </c>
      <c r="D2532" s="7" t="s">
        <v>7</v>
      </c>
      <c r="E2532" s="7">
        <v>0</v>
      </c>
    </row>
    <row r="2533" spans="1:5" ht="15.75" customHeight="1" x14ac:dyDescent="0.25">
      <c r="A2533" s="6" t="s">
        <v>2511</v>
      </c>
      <c r="B2533" s="6" t="str">
        <f ca="1">IFERROR(__xludf.DUMMYFUNCTION("GOOGLETRANSLATE(A2533,""bn"",""en"")"),"I am happy to write about that mountain again")</f>
        <v>I am happy to write about that mountain again</v>
      </c>
      <c r="C2533" s="7" t="s">
        <v>6</v>
      </c>
      <c r="D2533" s="7" t="s">
        <v>7</v>
      </c>
      <c r="E2533" s="7">
        <v>0</v>
      </c>
    </row>
    <row r="2534" spans="1:5" ht="15.75" customHeight="1" x14ac:dyDescent="0.25">
      <c r="A2534" s="6" t="s">
        <v>2512</v>
      </c>
      <c r="B2534" s="6" t="str">
        <f ca="1">IFERROR(__xludf.DUMMYFUNCTION("GOOGLETRANSLATE(A2534,""bn"",""en"")"),"Do not come to call me")</f>
        <v>Do not come to call me</v>
      </c>
      <c r="C2534" s="7" t="s">
        <v>6</v>
      </c>
      <c r="D2534" s="7" t="s">
        <v>7</v>
      </c>
      <c r="E2534" s="7">
        <v>0</v>
      </c>
    </row>
    <row r="2535" spans="1:5" ht="15.75" customHeight="1" x14ac:dyDescent="0.25">
      <c r="A2535" s="6" t="s">
        <v>2513</v>
      </c>
      <c r="B2535" s="6" t="str">
        <f ca="1">IFERROR(__xludf.DUMMYFUNCTION("GOOGLETRANSLATE(A2535,""bn"",""en"")"),"The boys tied their waists and started pushing")</f>
        <v>The boys tied their waists and started pushing</v>
      </c>
      <c r="C2535" s="7" t="s">
        <v>6</v>
      </c>
      <c r="D2535" s="7" t="s">
        <v>7</v>
      </c>
      <c r="E2535" s="7">
        <v>0</v>
      </c>
    </row>
    <row r="2536" spans="1:5" ht="15.75" customHeight="1" x14ac:dyDescent="0.25">
      <c r="A2536" s="6" t="s">
        <v>2514</v>
      </c>
      <c r="B2536" s="6" t="str">
        <f ca="1">IFERROR(__xludf.DUMMYFUNCTION("GOOGLETRANSLATE(A2536,""bn"",""en"")"),"Let's push it here")</f>
        <v>Let's push it here</v>
      </c>
      <c r="C2536" s="7" t="s">
        <v>6</v>
      </c>
      <c r="D2536" s="7" t="s">
        <v>7</v>
      </c>
      <c r="E2536" s="7">
        <v>0</v>
      </c>
    </row>
    <row r="2537" spans="1:5" ht="15.75" customHeight="1" x14ac:dyDescent="0.25">
      <c r="A2537" s="6" t="s">
        <v>2515</v>
      </c>
      <c r="B2537" s="6" t="str">
        <f ca="1">IFERROR(__xludf.DUMMYFUNCTION("GOOGLETRANSLATE(A2537,""bn"",""en"")"),"You know what is best for you")</f>
        <v>You know what is best for you</v>
      </c>
      <c r="C2537" s="8" t="s">
        <v>13</v>
      </c>
      <c r="D2537" s="8" t="s">
        <v>14</v>
      </c>
      <c r="E2537" s="8">
        <v>1</v>
      </c>
    </row>
    <row r="2538" spans="1:5" ht="15.75" customHeight="1" x14ac:dyDescent="0.25">
      <c r="A2538" s="6" t="s">
        <v>2516</v>
      </c>
      <c r="B2538" s="6" t="str">
        <f ca="1">IFERROR(__xludf.DUMMYFUNCTION("GOOGLETRANSLATE(A2538,""bn"",""en"")"),"Their adventurous spirit was contagious inspiring others to join them on their journey")</f>
        <v>Their adventurous spirit was contagious inspiring others to join them on their journey</v>
      </c>
      <c r="C2538" s="8" t="s">
        <v>13</v>
      </c>
      <c r="D2538" s="8" t="s">
        <v>14</v>
      </c>
      <c r="E2538" s="8">
        <v>1</v>
      </c>
    </row>
    <row r="2539" spans="1:5" ht="15.75" customHeight="1" x14ac:dyDescent="0.25">
      <c r="A2539" s="6" t="s">
        <v>2517</v>
      </c>
      <c r="B2539" s="6" t="str">
        <f ca="1">IFERROR(__xludf.DUMMYFUNCTION("GOOGLETRANSLATE(A2539,""bn"",""en"")"),"Shilpi Begum went to the market")</f>
        <v>Shilpi Begum went to the market</v>
      </c>
      <c r="C2539" s="8" t="s">
        <v>13</v>
      </c>
      <c r="D2539" s="8" t="s">
        <v>14</v>
      </c>
      <c r="E2539" s="8">
        <v>1</v>
      </c>
    </row>
    <row r="2540" spans="1:5" ht="15.75" customHeight="1" x14ac:dyDescent="0.25">
      <c r="A2540" s="6" t="s">
        <v>2518</v>
      </c>
      <c r="B2540" s="6" t="str">
        <f ca="1">IFERROR(__xludf.DUMMYFUNCTION("GOOGLETRANSLATE(A2540,""bn"",""en"")"),"Arranged rice dal")</f>
        <v>Arranged rice dal</v>
      </c>
      <c r="C2540" s="8" t="s">
        <v>13</v>
      </c>
      <c r="D2540" s="8" t="s">
        <v>14</v>
      </c>
      <c r="E2540" s="8">
        <v>1</v>
      </c>
    </row>
    <row r="2541" spans="1:5" ht="15.75" customHeight="1" x14ac:dyDescent="0.25">
      <c r="A2541" s="6" t="s">
        <v>2519</v>
      </c>
      <c r="B2541" s="6" t="str">
        <f ca="1">IFERROR(__xludf.DUMMYFUNCTION("GOOGLETRANSLATE(A2541,""bn"",""en"")"),"Ronnie will go to school with his brother")</f>
        <v>Ronnie will go to school with his brother</v>
      </c>
      <c r="C2541" s="8" t="s">
        <v>13</v>
      </c>
      <c r="D2541" s="8" t="s">
        <v>14</v>
      </c>
      <c r="E2541" s="8">
        <v>1</v>
      </c>
    </row>
    <row r="2542" spans="1:5" ht="15.75" customHeight="1" x14ac:dyDescent="0.25">
      <c r="A2542" s="6" t="s">
        <v>2520</v>
      </c>
      <c r="B2542" s="6" t="str">
        <f ca="1">IFERROR(__xludf.DUMMYFUNCTION("GOOGLETRANSLATE(A2542,""bn"",""en"")"),"It is still raining incessantly, the road is standing knee-deep in water.")</f>
        <v>It is still raining incessantly, the road is standing knee-deep in water.</v>
      </c>
      <c r="C2542" s="7" t="s">
        <v>6</v>
      </c>
      <c r="D2542" s="7" t="s">
        <v>7</v>
      </c>
      <c r="E2542" s="7">
        <v>0</v>
      </c>
    </row>
    <row r="2543" spans="1:5" ht="15.75" customHeight="1" x14ac:dyDescent="0.25">
      <c r="A2543" s="6" t="s">
        <v>2521</v>
      </c>
      <c r="B2543" s="6" t="str">
        <f ca="1">IFERROR(__xludf.DUMMYFUNCTION("GOOGLETRANSLATE(A2543,""bn"",""en"")"),"After understanding his kerosene account, he would take the salary from Sarkarbabu and leave the job.")</f>
        <v>After understanding his kerosene account, he would take the salary from Sarkarbabu and leave the job.</v>
      </c>
      <c r="C2543" s="7" t="s">
        <v>6</v>
      </c>
      <c r="D2543" s="7" t="s">
        <v>7</v>
      </c>
      <c r="E2543" s="7">
        <v>0</v>
      </c>
    </row>
    <row r="2544" spans="1:5" ht="15.75" customHeight="1" x14ac:dyDescent="0.25">
      <c r="A2544" s="6" t="s">
        <v>1836</v>
      </c>
      <c r="B2544" s="6" t="str">
        <f ca="1">IFERROR(__xludf.DUMMYFUNCTION("GOOGLETRANSLATE(A2544,""bn"",""en"")"),"He was worried about where he would end up in an unfamiliar city")</f>
        <v>He was worried about where he would end up in an unfamiliar city</v>
      </c>
      <c r="C2544" s="7" t="s">
        <v>6</v>
      </c>
      <c r="D2544" s="7" t="s">
        <v>7</v>
      </c>
      <c r="E2544" s="7">
        <v>0</v>
      </c>
    </row>
    <row r="2545" spans="1:5" ht="15.75" customHeight="1" x14ac:dyDescent="0.25">
      <c r="A2545" s="6" t="s">
        <v>2522</v>
      </c>
      <c r="B2545" s="6" t="str">
        <f ca="1">IFERROR(__xludf.DUMMYFUNCTION("GOOGLETRANSLATE(A2545,""bn"",""en"")"),"Rahim went to see Karim")</f>
        <v>Rahim went to see Karim</v>
      </c>
      <c r="C2545" s="7" t="s">
        <v>6</v>
      </c>
      <c r="D2545" s="7" t="s">
        <v>7</v>
      </c>
      <c r="E2545" s="7">
        <v>0</v>
      </c>
    </row>
    <row r="2546" spans="1:5" ht="15.75" customHeight="1" x14ac:dyDescent="0.25">
      <c r="A2546" s="6" t="s">
        <v>2523</v>
      </c>
      <c r="B2546" s="6" t="str">
        <f ca="1">IFERROR(__xludf.DUMMYFUNCTION("GOOGLETRANSLATE(A2546,""bn"",""en"")"),"His Sachisha was the chief disciple of the greatest happiness of the greatest number of people")</f>
        <v>His Sachisha was the chief disciple of the greatest happiness of the greatest number of people</v>
      </c>
      <c r="C2546" s="7" t="s">
        <v>6</v>
      </c>
      <c r="D2546" s="7" t="s">
        <v>7</v>
      </c>
      <c r="E2546" s="7">
        <v>0</v>
      </c>
    </row>
    <row r="2547" spans="1:5" ht="15.75" customHeight="1" x14ac:dyDescent="0.25">
      <c r="A2547" s="6" t="s">
        <v>2524</v>
      </c>
      <c r="B2547" s="6" t="str">
        <f ca="1">IFERROR(__xludf.DUMMYFUNCTION("GOOGLETRANSLATE(A2547,""bn"",""en"")"),"The name Hindustan is mentioned in Ain e Akbari")</f>
        <v>The name Hindustan is mentioned in Ain e Akbari</v>
      </c>
      <c r="C2547" s="8" t="s">
        <v>13</v>
      </c>
      <c r="D2547" s="8" t="s">
        <v>14</v>
      </c>
      <c r="E2547" s="8">
        <v>1</v>
      </c>
    </row>
    <row r="2548" spans="1:5" ht="15.75" customHeight="1" x14ac:dyDescent="0.25">
      <c r="A2548" s="6" t="s">
        <v>2525</v>
      </c>
      <c r="B2548" s="6" t="str">
        <f ca="1">IFERROR(__xludf.DUMMYFUNCTION("GOOGLETRANSLATE(A2548,""bn"",""en"")"),"Later he sought religious approval")</f>
        <v>Later he sought religious approval</v>
      </c>
      <c r="C2548" s="8" t="s">
        <v>13</v>
      </c>
      <c r="D2548" s="8" t="s">
        <v>14</v>
      </c>
      <c r="E2548" s="8">
        <v>1</v>
      </c>
    </row>
    <row r="2549" spans="1:5" ht="15.75" customHeight="1" x14ac:dyDescent="0.25">
      <c r="A2549" s="6" t="s">
        <v>2526</v>
      </c>
      <c r="B2549" s="6" t="str">
        <f ca="1">IFERROR(__xludf.DUMMYFUNCTION("GOOGLETRANSLATE(A2549,""bn"",""en"")"),"Both sides stopped fighting on June 7")</f>
        <v>Both sides stopped fighting on June 7</v>
      </c>
      <c r="C2549" s="8" t="s">
        <v>13</v>
      </c>
      <c r="D2549" s="8" t="s">
        <v>14</v>
      </c>
      <c r="E2549" s="8">
        <v>1</v>
      </c>
    </row>
    <row r="2550" spans="1:5" ht="15.75" customHeight="1" x14ac:dyDescent="0.25">
      <c r="A2550" s="6" t="s">
        <v>2527</v>
      </c>
      <c r="B2550" s="6" t="str">
        <f ca="1">IFERROR(__xludf.DUMMYFUNCTION("GOOGLETRANSLATE(A2550,""bn"",""en"")"),"Sajal will go to school after praying")</f>
        <v>Sajal will go to school after praying</v>
      </c>
      <c r="C2550" s="8" t="s">
        <v>13</v>
      </c>
      <c r="D2550" s="8" t="s">
        <v>14</v>
      </c>
      <c r="E2550" s="8">
        <v>1</v>
      </c>
    </row>
    <row r="2551" spans="1:5" ht="15.75" customHeight="1" x14ac:dyDescent="0.25">
      <c r="A2551" s="6" t="s">
        <v>2528</v>
      </c>
      <c r="B2551" s="6" t="str">
        <f ca="1">IFERROR(__xludf.DUMMYFUNCTION("GOOGLETRANSLATE(A2551,""bn"",""en"")"),"Karma is the Hinduism Buddhism law of cause and effect that shapes one's destiny")</f>
        <v>Karma is the Hinduism Buddhism law of cause and effect that shapes one's destiny</v>
      </c>
      <c r="C2551" s="8" t="s">
        <v>13</v>
      </c>
      <c r="D2551" s="8" t="s">
        <v>14</v>
      </c>
      <c r="E2551" s="8">
        <v>1</v>
      </c>
    </row>
    <row r="2552" spans="1:5" ht="15.75" customHeight="1" x14ac:dyDescent="0.25">
      <c r="A2552" s="6" t="s">
        <v>2529</v>
      </c>
      <c r="B2552" s="6" t="str">
        <f ca="1">IFERROR(__xludf.DUMMYFUNCTION("GOOGLETRANSLATE(A2552,""bn"",""en"")"),"If you nag, you don't always pay attention and do the housework in your mind")</f>
        <v>If you nag, you don't always pay attention and do the housework in your mind</v>
      </c>
      <c r="C2552" s="7" t="s">
        <v>6</v>
      </c>
      <c r="D2552" s="7" t="s">
        <v>7</v>
      </c>
      <c r="E2552" s="7">
        <v>0</v>
      </c>
    </row>
    <row r="2553" spans="1:5" ht="15.75" customHeight="1" x14ac:dyDescent="0.25">
      <c r="A2553" s="6" t="s">
        <v>2530</v>
      </c>
      <c r="B2553" s="6" t="str">
        <f ca="1">IFERROR(__xludf.DUMMYFUNCTION("GOOGLETRANSLATE(A2553,""bn"",""en"")"),"Ratan did not ask anything")</f>
        <v>Ratan did not ask anything</v>
      </c>
      <c r="C2553" s="7" t="s">
        <v>6</v>
      </c>
      <c r="D2553" s="7" t="s">
        <v>7</v>
      </c>
      <c r="E2553" s="7">
        <v>0</v>
      </c>
    </row>
    <row r="2554" spans="1:5" ht="15.75" customHeight="1" x14ac:dyDescent="0.25">
      <c r="A2554" s="6" t="s">
        <v>2531</v>
      </c>
      <c r="B2554" s="6" t="str">
        <f ca="1">IFERROR(__xludf.DUMMYFUNCTION("GOOGLETRANSLATE(A2554,""bn"",""en"")"),"I have heard that they run away when they see aliens")</f>
        <v>I have heard that they run away when they see aliens</v>
      </c>
      <c r="C2554" s="7" t="s">
        <v>6</v>
      </c>
      <c r="D2554" s="7" t="s">
        <v>7</v>
      </c>
      <c r="E2554" s="7">
        <v>0</v>
      </c>
    </row>
    <row r="2555" spans="1:5" ht="15.75" customHeight="1" x14ac:dyDescent="0.25">
      <c r="A2555" s="6" t="s">
        <v>2532</v>
      </c>
      <c r="B2555" s="6" t="str">
        <f ca="1">IFERROR(__xludf.DUMMYFUNCTION("GOOGLETRANSLATE(A2555,""bn"",""en"")"),"Why did one of my attendants drink this liquor one day and wept profusely")</f>
        <v>Why did one of my attendants drink this liquor one day and wept profusely</v>
      </c>
      <c r="C2555" s="7" t="s">
        <v>6</v>
      </c>
      <c r="D2555" s="7" t="s">
        <v>7</v>
      </c>
      <c r="E2555" s="7">
        <v>0</v>
      </c>
    </row>
    <row r="2556" spans="1:5" ht="15.75" customHeight="1" x14ac:dyDescent="0.25">
      <c r="A2556" s="6" t="s">
        <v>2533</v>
      </c>
      <c r="B2556" s="6" t="str">
        <f ca="1">IFERROR(__xludf.DUMMYFUNCTION("GOOGLETRANSLATE(A2556,""bn"",""en"")"),"People with special needs will get percentage fare concession on Metrorail by showing valid identity card")</f>
        <v>People with special needs will get percentage fare concession on Metrorail by showing valid identity card</v>
      </c>
      <c r="C2556" s="7" t="s">
        <v>6</v>
      </c>
      <c r="D2556" s="7" t="s">
        <v>7</v>
      </c>
      <c r="E2556" s="7">
        <v>0</v>
      </c>
    </row>
    <row r="2557" spans="1:5" ht="15.75" customHeight="1" x14ac:dyDescent="0.25">
      <c r="A2557" s="6" t="s">
        <v>2534</v>
      </c>
      <c r="B2557" s="6" t="str">
        <f ca="1">IFERROR(__xludf.DUMMYFUNCTION("GOOGLETRANSLATE(A2557,""bn"",""en"")"),"They were very worried about their exams")</f>
        <v>They were very worried about their exams</v>
      </c>
      <c r="C2557" s="8" t="s">
        <v>13</v>
      </c>
      <c r="D2557" s="8" t="s">
        <v>14</v>
      </c>
      <c r="E2557" s="8">
        <v>1</v>
      </c>
    </row>
    <row r="2558" spans="1:5" ht="15.75" customHeight="1" x14ac:dyDescent="0.25">
      <c r="A2558" s="6" t="s">
        <v>2535</v>
      </c>
      <c r="B2558" s="6" t="str">
        <f ca="1">IFERROR(__xludf.DUMMYFUNCTION("GOOGLETRANSLATE(A2558,""bn"",""en"")"),"My uncle's advice is invaluable to me")</f>
        <v>My uncle's advice is invaluable to me</v>
      </c>
      <c r="C2558" s="8" t="s">
        <v>13</v>
      </c>
      <c r="D2558" s="8" t="s">
        <v>14</v>
      </c>
      <c r="E2558" s="8">
        <v>1</v>
      </c>
    </row>
    <row r="2559" spans="1:5" ht="15.75" customHeight="1" x14ac:dyDescent="0.25">
      <c r="A2559" s="6" t="s">
        <v>2536</v>
      </c>
      <c r="B2559" s="6" t="str">
        <f ca="1">IFERROR(__xludf.DUMMYFUNCTION("GOOGLETRANSLATE(A2559,""bn"",""en"")"),"It rained a lot that night.")</f>
        <v>It rained a lot that night.</v>
      </c>
      <c r="C2559" s="8" t="s">
        <v>13</v>
      </c>
      <c r="D2559" s="8" t="s">
        <v>14</v>
      </c>
      <c r="E2559" s="8">
        <v>1</v>
      </c>
    </row>
    <row r="2560" spans="1:5" ht="15.75" customHeight="1" x14ac:dyDescent="0.25">
      <c r="A2560" s="6" t="s">
        <v>2537</v>
      </c>
      <c r="B2560" s="6" t="str">
        <f ca="1">IFERROR(__xludf.DUMMYFUNCTION("GOOGLETRANSLATE(A2560,""bn"",""en"")"),"He won the Nobel Prize for his contribution to literature")</f>
        <v>He won the Nobel Prize for his contribution to literature</v>
      </c>
      <c r="C2560" s="8" t="s">
        <v>13</v>
      </c>
      <c r="D2560" s="8" t="s">
        <v>14</v>
      </c>
      <c r="E2560" s="8">
        <v>1</v>
      </c>
    </row>
    <row r="2561" spans="1:5" ht="15.75" customHeight="1" x14ac:dyDescent="0.25">
      <c r="A2561" s="6" t="s">
        <v>2538</v>
      </c>
      <c r="B2561" s="6" t="str">
        <f ca="1">IFERROR(__xludf.DUMMYFUNCTION("GOOGLETRANSLATE(A2561,""bn"",""en"")"),"Follow along for daily inspiration")</f>
        <v>Follow along for daily inspiration</v>
      </c>
      <c r="C2561" s="8" t="s">
        <v>13</v>
      </c>
      <c r="D2561" s="8" t="s">
        <v>14</v>
      </c>
      <c r="E2561" s="8">
        <v>1</v>
      </c>
    </row>
    <row r="2562" spans="1:5" ht="15.75" customHeight="1" x14ac:dyDescent="0.25">
      <c r="A2562" s="6" t="s">
        <v>2539</v>
      </c>
      <c r="B2562" s="6" t="str">
        <f ca="1">IFERROR(__xludf.DUMMYFUNCTION("GOOGLETRANSLATE(A2562,""bn"",""en"")"),"Seeing Khuri's aloofness, Mahendra was angry and Asha continued to be arrogant")</f>
        <v>Seeing Khuri's aloofness, Mahendra was angry and Asha continued to be arrogant</v>
      </c>
      <c r="C2562" s="7" t="s">
        <v>6</v>
      </c>
      <c r="D2562" s="7" t="s">
        <v>7</v>
      </c>
      <c r="E2562" s="7">
        <v>0</v>
      </c>
    </row>
    <row r="2563" spans="1:5" ht="15.75" customHeight="1" x14ac:dyDescent="0.25">
      <c r="A2563" s="6" t="s">
        <v>2209</v>
      </c>
      <c r="B2563" s="6" t="str">
        <f ca="1">IFERROR(__xludf.DUMMYFUNCTION("GOOGLETRANSLATE(A2563,""bn"",""en"")"),"There is one such half-hill near Latehar village, I used to go there almost every day and sit there.")</f>
        <v>There is one such half-hill near Latehar village, I used to go there almost every day and sit there.</v>
      </c>
      <c r="C2563" s="7" t="s">
        <v>6</v>
      </c>
      <c r="D2563" s="7" t="s">
        <v>7</v>
      </c>
      <c r="E2563" s="7">
        <v>0</v>
      </c>
    </row>
    <row r="2564" spans="1:5" ht="15.75" customHeight="1" x14ac:dyDescent="0.25">
      <c r="A2564" s="6" t="s">
        <v>2540</v>
      </c>
      <c r="B2564" s="6" t="str">
        <f ca="1">IFERROR(__xludf.DUMMYFUNCTION("GOOGLETRANSLATE(A2564,""bn"",""en"")"),"He immediately realized his mistake.")</f>
        <v>He immediately realized his mistake.</v>
      </c>
      <c r="C2564" s="7" t="s">
        <v>6</v>
      </c>
      <c r="D2564" s="7" t="s">
        <v>7</v>
      </c>
      <c r="E2564" s="7">
        <v>0</v>
      </c>
    </row>
    <row r="2565" spans="1:5" ht="15.75" customHeight="1" x14ac:dyDescent="0.25">
      <c r="A2565" s="6" t="s">
        <v>2541</v>
      </c>
      <c r="B2565" s="6" t="str">
        <f ca="1">IFERROR(__xludf.DUMMYFUNCTION("GOOGLETRANSLATE(A2565,""bn"",""en"")"),"He had vomited a lot and his breath was open enough")</f>
        <v>He had vomited a lot and his breath was open enough</v>
      </c>
      <c r="C2565" s="7" t="s">
        <v>6</v>
      </c>
      <c r="D2565" s="7" t="s">
        <v>7</v>
      </c>
      <c r="E2565" s="7">
        <v>0</v>
      </c>
    </row>
    <row r="2566" spans="1:5" ht="15.75" customHeight="1" x14ac:dyDescent="0.25">
      <c r="A2566" s="6" t="s">
        <v>2542</v>
      </c>
      <c r="B2566" s="6" t="str">
        <f ca="1">IFERROR(__xludf.DUMMYFUNCTION("GOOGLETRANSLATE(A2566,""bn"",""en"")"),"He completed his task carefully.")</f>
        <v>He completed his task carefully.</v>
      </c>
      <c r="C2566" s="7" t="s">
        <v>6</v>
      </c>
      <c r="D2566" s="7" t="s">
        <v>7</v>
      </c>
      <c r="E2566" s="7">
        <v>0</v>
      </c>
    </row>
    <row r="2567" spans="1:5" ht="15.75" customHeight="1" x14ac:dyDescent="0.25">
      <c r="A2567" s="6" t="s">
        <v>2543</v>
      </c>
      <c r="B2567" s="6" t="str">
        <f ca="1">IFERROR(__xludf.DUMMYFUNCTION("GOOGLETRANSLATE(A2567,""bn"",""en"")"),"Practice mindfulness in everything you do Enjoy every moment")</f>
        <v>Practice mindfulness in everything you do Enjoy every moment</v>
      </c>
      <c r="C2567" s="8" t="s">
        <v>13</v>
      </c>
      <c r="D2567" s="8" t="s">
        <v>14</v>
      </c>
      <c r="E2567" s="8">
        <v>1</v>
      </c>
    </row>
    <row r="2568" spans="1:5" ht="15.75" customHeight="1" x14ac:dyDescent="0.25">
      <c r="A2568" s="6" t="s">
        <v>2544</v>
      </c>
      <c r="B2568" s="6" t="str">
        <f ca="1">IFERROR(__xludf.DUMMYFUNCTION("GOOGLETRANSLATE(A2568,""bn"",""en"")"),"One of them came forward to give advice")</f>
        <v>One of them came forward to give advice</v>
      </c>
      <c r="C2568" s="8" t="s">
        <v>13</v>
      </c>
      <c r="D2568" s="8" t="s">
        <v>14</v>
      </c>
      <c r="E2568" s="8">
        <v>1</v>
      </c>
    </row>
    <row r="2569" spans="1:5" ht="15.75" customHeight="1" x14ac:dyDescent="0.25">
      <c r="A2569" s="6" t="s">
        <v>2545</v>
      </c>
      <c r="B2569" s="6" t="str">
        <f ca="1">IFERROR(__xludf.DUMMYFUNCTION("GOOGLETRANSLATE(A2569,""bn"",""en"")"),"I got my first salary today, I handed the money to my father and said, ""Take this, father.""")</f>
        <v>I got my first salary today, I handed the money to my father and said, "Take this, father."</v>
      </c>
      <c r="C2569" s="8" t="s">
        <v>13</v>
      </c>
      <c r="D2569" s="8" t="s">
        <v>14</v>
      </c>
      <c r="E2569" s="8">
        <v>1</v>
      </c>
    </row>
    <row r="2570" spans="1:5" ht="15.75" customHeight="1" x14ac:dyDescent="0.25">
      <c r="A2570" s="6" t="s">
        <v>2546</v>
      </c>
      <c r="B2570" s="6" t="str">
        <f ca="1">IFERROR(__xludf.DUMMYFUNCTION("GOOGLETRANSLATE(A2570,""bn"",""en"")"),"Shahed's father died")</f>
        <v>Shahed's father died</v>
      </c>
      <c r="C2570" s="8" t="s">
        <v>13</v>
      </c>
      <c r="D2570" s="8" t="s">
        <v>14</v>
      </c>
      <c r="E2570" s="8">
        <v>1</v>
      </c>
    </row>
    <row r="2571" spans="1:5" ht="15.75" customHeight="1" x14ac:dyDescent="0.25">
      <c r="A2571" s="6" t="s">
        <v>2547</v>
      </c>
      <c r="B2571" s="6" t="str">
        <f ca="1">IFERROR(__xludf.DUMMYFUNCTION("GOOGLETRANSLATE(A2571,""bn"",""en"")"),"Nazneen falls in love with a handsome garment worker who visits her flat")</f>
        <v>Nazneen falls in love with a handsome garment worker who visits her flat</v>
      </c>
      <c r="C2571" s="8" t="s">
        <v>13</v>
      </c>
      <c r="D2571" s="8" t="s">
        <v>14</v>
      </c>
      <c r="E2571" s="8">
        <v>1</v>
      </c>
    </row>
    <row r="2572" spans="1:5" ht="15.75" customHeight="1" x14ac:dyDescent="0.25">
      <c r="A2572" s="6" t="s">
        <v>2548</v>
      </c>
      <c r="B2572" s="6" t="str">
        <f ca="1">IFERROR(__xludf.DUMMYFUNCTION("GOOGLETRANSLATE(A2572,""bn"",""en"")"),"A listener once said angrily")</f>
        <v>A listener once said angrily</v>
      </c>
      <c r="C2572" s="7" t="s">
        <v>6</v>
      </c>
      <c r="D2572" s="7" t="s">
        <v>7</v>
      </c>
      <c r="E2572" s="7">
        <v>0</v>
      </c>
    </row>
    <row r="2573" spans="1:5" ht="15.75" customHeight="1" x14ac:dyDescent="0.25">
      <c r="A2573" s="6" t="s">
        <v>2549</v>
      </c>
      <c r="B2573" s="6" t="str">
        <f ca="1">IFERROR(__xludf.DUMMYFUNCTION("GOOGLETRANSLATE(A2573,""bn"",""en"")"),"All that we love is precisely that")</f>
        <v>All that we love is precisely that</v>
      </c>
      <c r="C2573" s="7" t="s">
        <v>6</v>
      </c>
      <c r="D2573" s="7" t="s">
        <v>7</v>
      </c>
      <c r="E2573" s="7">
        <v>0</v>
      </c>
    </row>
    <row r="2574" spans="1:5" ht="15.75" customHeight="1" x14ac:dyDescent="0.25">
      <c r="A2574" s="6" t="s">
        <v>2550</v>
      </c>
      <c r="B2574" s="6" t="str">
        <f ca="1">IFERROR(__xludf.DUMMYFUNCTION("GOOGLETRANSLATE(A2574,""bn"",""en"")"),"The jungle has gradually become clear")</f>
        <v>The jungle has gradually become clear</v>
      </c>
      <c r="C2574" s="7" t="s">
        <v>6</v>
      </c>
      <c r="D2574" s="7" t="s">
        <v>7</v>
      </c>
      <c r="E2574" s="7">
        <v>0</v>
      </c>
    </row>
    <row r="2575" spans="1:5" ht="15.75" customHeight="1" x14ac:dyDescent="0.25">
      <c r="A2575" s="6" t="s">
        <v>2551</v>
      </c>
      <c r="B2575" s="6" t="str">
        <f ca="1">IFERROR(__xludf.DUMMYFUNCTION("GOOGLETRANSLATE(A2575,""bn"",""en"")"),"In the shadow of the mountains, the wilderness has become more beautiful")</f>
        <v>In the shadow of the mountains, the wilderness has become more beautiful</v>
      </c>
      <c r="C2575" s="7" t="s">
        <v>6</v>
      </c>
      <c r="D2575" s="7" t="s">
        <v>7</v>
      </c>
      <c r="E2575" s="7">
        <v>0</v>
      </c>
    </row>
    <row r="2576" spans="1:5" ht="15.75" customHeight="1" x14ac:dyDescent="0.25">
      <c r="A2576" s="6" t="s">
        <v>2552</v>
      </c>
      <c r="B2576" s="6" t="str">
        <f ca="1">IFERROR(__xludf.DUMMYFUNCTION("GOOGLETRANSLATE(A2576,""bn"",""en"")"),"I also smiled and walked with them")</f>
        <v>I also smiled and walked with them</v>
      </c>
      <c r="C2576" s="7" t="s">
        <v>6</v>
      </c>
      <c r="D2576" s="7" t="s">
        <v>7</v>
      </c>
      <c r="E2576" s="7">
        <v>0</v>
      </c>
    </row>
    <row r="2577" spans="1:5" ht="15.75" customHeight="1" x14ac:dyDescent="0.25">
      <c r="A2577" s="6" t="s">
        <v>2553</v>
      </c>
      <c r="B2577" s="6" t="str">
        <f ca="1">IFERROR(__xludf.DUMMYFUNCTION("GOOGLETRANSLATE(A2577,""bn"",""en"")"),"The corporate governance framework upholds ethical standards accountability")</f>
        <v>The corporate governance framework upholds ethical standards accountability</v>
      </c>
      <c r="C2577" s="8" t="s">
        <v>13</v>
      </c>
      <c r="D2577" s="8" t="s">
        <v>14</v>
      </c>
      <c r="E2577" s="8">
        <v>1</v>
      </c>
    </row>
    <row r="2578" spans="1:5" ht="15.75" customHeight="1" x14ac:dyDescent="0.25">
      <c r="A2578" s="6" t="s">
        <v>2554</v>
      </c>
      <c r="B2578" s="6" t="str">
        <f ca="1">IFERROR(__xludf.DUMMYFUNCTION("GOOGLETRANSLATE(A2578,""bn"",""en"")"),"Biopesticides derived from natural sources provide an environmentally friendly option for pest control")</f>
        <v>Biopesticides derived from natural sources provide an environmentally friendly option for pest control</v>
      </c>
      <c r="C2578" s="8" t="s">
        <v>13</v>
      </c>
      <c r="D2578" s="8" t="s">
        <v>14</v>
      </c>
      <c r="E2578" s="8">
        <v>1</v>
      </c>
    </row>
    <row r="2579" spans="1:5" ht="15.75" customHeight="1" x14ac:dyDescent="0.25">
      <c r="A2579" s="6" t="s">
        <v>2555</v>
      </c>
      <c r="B2579" s="6" t="str">
        <f ca="1">IFERROR(__xludf.DUMMYFUNCTION("GOOGLETRANSLATE(A2579,""bn"",""en"")"),"This book contains small unknown incidents of my life")</f>
        <v>This book contains small unknown incidents of my life</v>
      </c>
      <c r="C2579" s="8" t="s">
        <v>13</v>
      </c>
      <c r="D2579" s="8" t="s">
        <v>14</v>
      </c>
      <c r="E2579" s="8">
        <v>1</v>
      </c>
    </row>
    <row r="2580" spans="1:5" ht="15.75" customHeight="1" x14ac:dyDescent="0.25">
      <c r="A2580" s="6" t="s">
        <v>2556</v>
      </c>
      <c r="B2580" s="6" t="str">
        <f ca="1">IFERROR(__xludf.DUMMYFUNCTION("GOOGLETRANSLATE(A2580,""bn"",""en"")"),"Received the title of Honorary Freedom of the City of London")</f>
        <v>Received the title of Honorary Freedom of the City of London</v>
      </c>
      <c r="C2580" s="8" t="s">
        <v>13</v>
      </c>
      <c r="D2580" s="8" t="s">
        <v>14</v>
      </c>
      <c r="E2580" s="8">
        <v>1</v>
      </c>
    </row>
    <row r="2581" spans="1:5" ht="15.75" customHeight="1" x14ac:dyDescent="0.25">
      <c r="A2581" s="6" t="s">
        <v>2557</v>
      </c>
      <c r="B2581" s="6" t="str">
        <f ca="1">IFERROR(__xludf.DUMMYFUNCTION("GOOGLETRANSLATE(A2581,""bn"",""en"")"),"The cliffs rising above the crashing waves are a testament to the power of nature")</f>
        <v>The cliffs rising above the crashing waves are a testament to the power of nature</v>
      </c>
      <c r="C2581" s="8" t="s">
        <v>13</v>
      </c>
      <c r="D2581" s="8" t="s">
        <v>14</v>
      </c>
      <c r="E2581" s="8">
        <v>1</v>
      </c>
    </row>
    <row r="2582" spans="1:5" ht="15.75" customHeight="1" x14ac:dyDescent="0.25">
      <c r="A2582" s="6" t="s">
        <v>2558</v>
      </c>
      <c r="B2582" s="6" t="str">
        <f ca="1">IFERROR(__xludf.DUMMYFUNCTION("GOOGLETRANSLATE(A2582,""bn"",""en"")"),"What happened to you yesterday brother?")</f>
        <v>What happened to you yesterday brother?</v>
      </c>
      <c r="C2582" s="7" t="s">
        <v>6</v>
      </c>
      <c r="D2582" s="7" t="s">
        <v>7</v>
      </c>
      <c r="E2582" s="7">
        <v>0</v>
      </c>
    </row>
    <row r="2583" spans="1:5" ht="15.75" customHeight="1" x14ac:dyDescent="0.25">
      <c r="A2583" s="6" t="s">
        <v>2559</v>
      </c>
      <c r="B2583" s="6" t="str">
        <f ca="1">IFERROR(__xludf.DUMMYFUNCTION("GOOGLETRANSLATE(A2583,""bn"",""en"")"),"Ramsundar knew that the old man thought a lot about him while eating tobacco")</f>
        <v>Ramsundar knew that the old man thought a lot about him while eating tobacco</v>
      </c>
      <c r="C2583" s="7" t="s">
        <v>6</v>
      </c>
      <c r="D2583" s="7" t="s">
        <v>7</v>
      </c>
      <c r="E2583" s="7">
        <v>0</v>
      </c>
    </row>
    <row r="2584" spans="1:5" ht="15.75" customHeight="1" x14ac:dyDescent="0.25">
      <c r="A2584" s="6" t="s">
        <v>2560</v>
      </c>
      <c r="B2584" s="6" t="str">
        <f ca="1">IFERROR(__xludf.DUMMYFUNCTION("GOOGLETRANSLATE(A2584,""bn"",""en"")"),"You saw it with your own eyes and did not hear it")</f>
        <v>You saw it with your own eyes and did not hear it</v>
      </c>
      <c r="C2584" s="7" t="s">
        <v>6</v>
      </c>
      <c r="D2584" s="7" t="s">
        <v>7</v>
      </c>
      <c r="E2584" s="7">
        <v>0</v>
      </c>
    </row>
    <row r="2585" spans="1:5" ht="15.75" customHeight="1" x14ac:dyDescent="0.25">
      <c r="A2585" s="6" t="s">
        <v>2561</v>
      </c>
      <c r="B2585" s="6" t="str">
        <f ca="1">IFERROR(__xludf.DUMMYFUNCTION("GOOGLETRANSLATE(A2585,""bn"",""en"")"),"Accordingly I went to Natshir")</f>
        <v>Accordingly I went to Natshir</v>
      </c>
      <c r="C2585" s="7" t="s">
        <v>6</v>
      </c>
      <c r="D2585" s="7" t="s">
        <v>7</v>
      </c>
      <c r="E2585" s="7">
        <v>0</v>
      </c>
    </row>
    <row r="2586" spans="1:5" ht="15.75" customHeight="1" x14ac:dyDescent="0.25">
      <c r="A2586" s="6" t="s">
        <v>2562</v>
      </c>
      <c r="B2586" s="6" t="str">
        <f ca="1">IFERROR(__xludf.DUMMYFUNCTION("GOOGLETRANSLATE(A2586,""bn"",""en"")"),"Open sewer walkways underfoot")</f>
        <v>Open sewer walkways underfoot</v>
      </c>
      <c r="C2586" s="7" t="s">
        <v>6</v>
      </c>
      <c r="D2586" s="7" t="s">
        <v>7</v>
      </c>
      <c r="E2586" s="7">
        <v>0</v>
      </c>
    </row>
    <row r="2587" spans="1:5" ht="15.75" customHeight="1" x14ac:dyDescent="0.25">
      <c r="A2587" s="6" t="s">
        <v>2563</v>
      </c>
      <c r="B2587" s="6" t="str">
        <f ca="1">IFERROR(__xludf.DUMMYFUNCTION("GOOGLETRANSLATE(A2587,""bn"",""en"")"),"A swan of white color flutters in the hands of Irtajuddin Kashempuri")</f>
        <v>A swan of white color flutters in the hands of Irtajuddin Kashempuri</v>
      </c>
      <c r="C2587" s="8" t="s">
        <v>13</v>
      </c>
      <c r="D2587" s="8" t="s">
        <v>14</v>
      </c>
      <c r="E2587" s="8">
        <v>1</v>
      </c>
    </row>
    <row r="2588" spans="1:5" ht="15.75" customHeight="1" x14ac:dyDescent="0.25">
      <c r="A2588" s="6" t="s">
        <v>2564</v>
      </c>
      <c r="B2588" s="6" t="str">
        <f ca="1">IFERROR(__xludf.DUMMYFUNCTION("GOOGLETRANSLATE(A2588,""bn"",""en"")"),"I wished him well")</f>
        <v>I wished him well</v>
      </c>
      <c r="C2588" s="8" t="s">
        <v>13</v>
      </c>
      <c r="D2588" s="8" t="s">
        <v>14</v>
      </c>
      <c r="E2588" s="8">
        <v>1</v>
      </c>
    </row>
    <row r="2589" spans="1:5" ht="15.75" customHeight="1" x14ac:dyDescent="0.25">
      <c r="A2589" s="6" t="s">
        <v>2565</v>
      </c>
      <c r="B2589" s="6" t="str">
        <f ca="1">IFERROR(__xludf.DUMMYFUNCTION("GOOGLETRANSLATE(A2589,""bn"",""en"")"),"Heart attack is the cause of death in most cases")</f>
        <v>Heart attack is the cause of death in most cases</v>
      </c>
      <c r="C2589" s="8" t="s">
        <v>13</v>
      </c>
      <c r="D2589" s="8" t="s">
        <v>14</v>
      </c>
      <c r="E2589" s="8">
        <v>1</v>
      </c>
    </row>
    <row r="2590" spans="1:5" ht="15.75" customHeight="1" x14ac:dyDescent="0.25">
      <c r="A2590" s="6" t="s">
        <v>2566</v>
      </c>
      <c r="B2590" s="6" t="str">
        <f ca="1">IFERROR(__xludf.DUMMYFUNCTION("GOOGLETRANSLATE(A2590,""bn"",""en"")"),"He was short-spoken and shy")</f>
        <v>He was short-spoken and shy</v>
      </c>
      <c r="C2590" s="8" t="s">
        <v>13</v>
      </c>
      <c r="D2590" s="8" t="s">
        <v>14</v>
      </c>
      <c r="E2590" s="8">
        <v>1</v>
      </c>
    </row>
    <row r="2591" spans="1:5" ht="15.75" customHeight="1" x14ac:dyDescent="0.25">
      <c r="A2591" s="6" t="s">
        <v>2567</v>
      </c>
      <c r="B2591" s="6" t="str">
        <f ca="1">IFERROR(__xludf.DUMMYFUNCTION("GOOGLETRANSLATE(A2591,""bn"",""en"")"),"My Journey is not like all my other books")</f>
        <v>My Journey is not like all my other books</v>
      </c>
      <c r="C2591" s="8" t="s">
        <v>13</v>
      </c>
      <c r="D2591" s="8" t="s">
        <v>14</v>
      </c>
      <c r="E2591" s="8">
        <v>1</v>
      </c>
    </row>
    <row r="2592" spans="1:5" ht="15.75" customHeight="1" x14ac:dyDescent="0.25">
      <c r="A2592" s="6" t="s">
        <v>2568</v>
      </c>
      <c r="B2592" s="6" t="str">
        <f ca="1">IFERROR(__xludf.DUMMYFUNCTION("GOOGLETRANSLATE(A2592,""bn"",""en"")"),"Never ask me to marry anyone")</f>
        <v>Never ask me to marry anyone</v>
      </c>
      <c r="C2592" s="7" t="s">
        <v>6</v>
      </c>
      <c r="D2592" s="7" t="s">
        <v>7</v>
      </c>
      <c r="E2592" s="7">
        <v>0</v>
      </c>
    </row>
    <row r="2593" spans="1:5" ht="15.75" customHeight="1" x14ac:dyDescent="0.25">
      <c r="A2593" s="6" t="s">
        <v>2569</v>
      </c>
      <c r="B2593" s="6" t="str">
        <f ca="1">IFERROR(__xludf.DUMMYFUNCTION("GOOGLETRANSLATE(A2593,""bn"",""en"")"),"When Uddhav came from Mathura to Vrindavan and appeared at Radha Kunj, the gopis told him about their grief.")</f>
        <v>When Uddhav came from Mathura to Vrindavan and appeared at Radha Kunj, the gopis told him about their grief.</v>
      </c>
      <c r="C2593" s="7" t="s">
        <v>6</v>
      </c>
      <c r="D2593" s="7" t="s">
        <v>7</v>
      </c>
      <c r="E2593" s="7">
        <v>0</v>
      </c>
    </row>
    <row r="2594" spans="1:5" ht="15.75" customHeight="1" x14ac:dyDescent="0.25">
      <c r="A2594" s="6" t="s">
        <v>2570</v>
      </c>
      <c r="B2594" s="6" t="str">
        <f ca="1">IFERROR(__xludf.DUMMYFUNCTION("GOOGLETRANSLATE(A2594,""bn"",""en"")"),"At one time the Saotala fled to Dominica after being driven out by the Aryans.")</f>
        <v>At one time the Saotala fled to Dominica after being driven out by the Aryans.</v>
      </c>
      <c r="C2594" s="7" t="s">
        <v>6</v>
      </c>
      <c r="D2594" s="7" t="s">
        <v>7</v>
      </c>
      <c r="E2594" s="7">
        <v>0</v>
      </c>
    </row>
    <row r="2595" spans="1:5" ht="15.75" customHeight="1" x14ac:dyDescent="0.25">
      <c r="A2595" s="6" t="s">
        <v>2571</v>
      </c>
      <c r="B2595" s="6" t="str">
        <f ca="1">IFERROR(__xludf.DUMMYFUNCTION("GOOGLETRANSLATE(A2595,""bn"",""en"")"),"A light of happiness suddenly appears in the mind of many after seeing a certain item or hearing a certain sound")</f>
        <v>A light of happiness suddenly appears in the mind of many after seeing a certain item or hearing a certain sound</v>
      </c>
      <c r="C2595" s="7" t="s">
        <v>6</v>
      </c>
      <c r="D2595" s="7" t="s">
        <v>7</v>
      </c>
      <c r="E2595" s="7">
        <v>0</v>
      </c>
    </row>
    <row r="2596" spans="1:5" ht="15.75" customHeight="1" x14ac:dyDescent="0.25">
      <c r="A2596" s="6" t="s">
        <v>2572</v>
      </c>
      <c r="B2596" s="6" t="str">
        <f ca="1">IFERROR(__xludf.DUMMYFUNCTION("GOOGLETRANSLATE(A2596,""bn"",""en"")"),"The storm in the banana tree is the root of the tree")</f>
        <v>The storm in the banana tree is the root of the tree</v>
      </c>
      <c r="C2596" s="7" t="s">
        <v>6</v>
      </c>
      <c r="D2596" s="7" t="s">
        <v>7</v>
      </c>
      <c r="E2596" s="7">
        <v>0</v>
      </c>
    </row>
    <row r="2597" spans="1:5" ht="15.75" customHeight="1" x14ac:dyDescent="0.25">
      <c r="A2597" s="6" t="s">
        <v>2573</v>
      </c>
      <c r="B2597" s="6" t="str">
        <f ca="1">IFERROR(__xludf.DUMMYFUNCTION("GOOGLETRANSLATE(A2597,""bn"",""en"")"),"They stood around Ertazuddin")</f>
        <v>They stood around Ertazuddin</v>
      </c>
      <c r="C2597" s="8" t="s">
        <v>13</v>
      </c>
      <c r="D2597" s="8" t="s">
        <v>14</v>
      </c>
      <c r="E2597" s="8">
        <v>1</v>
      </c>
    </row>
    <row r="2598" spans="1:5" ht="15.75" customHeight="1" x14ac:dyDescent="0.25">
      <c r="A2598" s="6" t="s">
        <v>2574</v>
      </c>
      <c r="B2598" s="6" t="str">
        <f ca="1">IFERROR(__xludf.DUMMYFUNCTION("GOOGLETRANSLATE(A2598,""bn"",""en"")"),"Naming The Great White was not always known by name")</f>
        <v>Naming The Great White was not always known by name</v>
      </c>
      <c r="C2598" s="8" t="s">
        <v>13</v>
      </c>
      <c r="D2598" s="8" t="s">
        <v>14</v>
      </c>
      <c r="E2598" s="8">
        <v>1</v>
      </c>
    </row>
    <row r="2599" spans="1:5" ht="15.75" customHeight="1" x14ac:dyDescent="0.25">
      <c r="A2599" s="6" t="s">
        <v>2575</v>
      </c>
      <c r="B2599" s="6" t="str">
        <f ca="1">IFERROR(__xludf.DUMMYFUNCTION("GOOGLETRANSLATE(A2599,""bn"",""en"")"),"No one should be left out")</f>
        <v>No one should be left out</v>
      </c>
      <c r="C2599" s="8" t="s">
        <v>13</v>
      </c>
      <c r="D2599" s="8" t="s">
        <v>14</v>
      </c>
      <c r="E2599" s="8">
        <v>1</v>
      </c>
    </row>
    <row r="2600" spans="1:5" ht="15.75" customHeight="1" x14ac:dyDescent="0.25">
      <c r="A2600" s="6" t="s">
        <v>2576</v>
      </c>
      <c r="B2600" s="6" t="str">
        <f ca="1">IFERROR(__xludf.DUMMYFUNCTION("GOOGLETRANSLATE(A2600,""bn"",""en"")"),"I am the strength of my parents")</f>
        <v>I am the strength of my parents</v>
      </c>
      <c r="C2600" s="8" t="s">
        <v>13</v>
      </c>
      <c r="D2600" s="8" t="s">
        <v>14</v>
      </c>
      <c r="E2600" s="8">
        <v>1</v>
      </c>
    </row>
    <row r="2601" spans="1:5" ht="15.75" customHeight="1" x14ac:dyDescent="0.25">
      <c r="A2601" s="6" t="s">
        <v>2577</v>
      </c>
      <c r="B2601" s="6" t="str">
        <f ca="1">IFERROR(__xludf.DUMMYFUNCTION("GOOGLETRANSLATE(A2601,""bn"",""en"")"),"He bought me a story book")</f>
        <v>He bought me a story book</v>
      </c>
      <c r="C2601" s="8" t="s">
        <v>13</v>
      </c>
      <c r="D2601" s="8" t="s">
        <v>14</v>
      </c>
      <c r="E2601" s="8">
        <v>1</v>
      </c>
    </row>
    <row r="2602" spans="1:5" ht="15.75" customHeight="1" x14ac:dyDescent="0.25">
      <c r="A2602" s="6" t="s">
        <v>42</v>
      </c>
      <c r="B2602" s="6" t="str">
        <f ca="1">IFERROR(__xludf.DUMMYFUNCTION("GOOGLETRANSLATE(A2602,""bn"",""en"")"),"It is not possible that all the trees born in Bengal's juicy soft soil will live without suffering.")</f>
        <v>It is not possible that all the trees born in Bengal's juicy soft soil will live without suffering.</v>
      </c>
      <c r="C2602" s="7" t="s">
        <v>6</v>
      </c>
      <c r="D2602" s="7" t="s">
        <v>7</v>
      </c>
      <c r="E2602" s="7">
        <v>0</v>
      </c>
    </row>
    <row r="2603" spans="1:5" ht="15.75" customHeight="1" x14ac:dyDescent="0.25">
      <c r="A2603" s="6" t="s">
        <v>2578</v>
      </c>
      <c r="B2603" s="6" t="str">
        <f ca="1">IFERROR(__xludf.DUMMYFUNCTION("GOOGLETRANSLATE(A2603,""bn"",""en"")"),"He sat up quickly, opened the window and looked out")</f>
        <v>He sat up quickly, opened the window and looked out</v>
      </c>
      <c r="C2603" s="7" t="s">
        <v>6</v>
      </c>
      <c r="D2603" s="7" t="s">
        <v>7</v>
      </c>
      <c r="E2603" s="7">
        <v>0</v>
      </c>
    </row>
    <row r="2604" spans="1:5" ht="15.75" customHeight="1" x14ac:dyDescent="0.25">
      <c r="A2604" s="6" t="s">
        <v>1401</v>
      </c>
      <c r="B2604" s="6" t="str">
        <f ca="1">IFERROR(__xludf.DUMMYFUNCTION("GOOGLETRANSLATE(A2604,""bn"",""en"")"),"He bought me my favorite book")</f>
        <v>He bought me my favorite book</v>
      </c>
      <c r="C2604" s="7" t="s">
        <v>6</v>
      </c>
      <c r="D2604" s="7" t="s">
        <v>7</v>
      </c>
      <c r="E2604" s="7">
        <v>0</v>
      </c>
    </row>
    <row r="2605" spans="1:5" ht="15.75" customHeight="1" x14ac:dyDescent="0.25">
      <c r="A2605" s="6" t="s">
        <v>2579</v>
      </c>
      <c r="B2605" s="6" t="str">
        <f ca="1">IFERROR(__xludf.DUMMYFUNCTION("GOOGLETRANSLATE(A2605,""bn"",""en"")"),"Four or five flowers bloomed on one of its branches after many days")</f>
        <v>Four or five flowers bloomed on one of its branches after many days</v>
      </c>
      <c r="C2605" s="7" t="s">
        <v>6</v>
      </c>
      <c r="D2605" s="7" t="s">
        <v>7</v>
      </c>
      <c r="E2605" s="7">
        <v>0</v>
      </c>
    </row>
    <row r="2606" spans="1:5" ht="15.75" customHeight="1" x14ac:dyDescent="0.25">
      <c r="A2606" s="6" t="s">
        <v>2580</v>
      </c>
      <c r="B2606" s="6" t="str">
        <f ca="1">IFERROR(__xludf.DUMMYFUNCTION("GOOGLETRANSLATE(A2606,""bn"",""en"")"),"When you go to an unfamiliar place, you are either arrogant or untalented")</f>
        <v>When you go to an unfamiliar place, you are either arrogant or untalented</v>
      </c>
      <c r="C2606" s="7" t="s">
        <v>6</v>
      </c>
      <c r="D2606" s="7" t="s">
        <v>7</v>
      </c>
      <c r="E2606" s="7">
        <v>0</v>
      </c>
    </row>
    <row r="2607" spans="1:5" ht="15.75" customHeight="1" x14ac:dyDescent="0.25">
      <c r="A2607" s="6" t="s">
        <v>2581</v>
      </c>
      <c r="B2607" s="6" t="str">
        <f ca="1">IFERROR(__xludf.DUMMYFUNCTION("GOOGLETRANSLATE(A2607,""bn"",""en"")"),"What is the life of a working man?")</f>
        <v>What is the life of a working man?</v>
      </c>
      <c r="C2607" s="8" t="s">
        <v>13</v>
      </c>
      <c r="D2607" s="8" t="s">
        <v>14</v>
      </c>
      <c r="E2607" s="8">
        <v>1</v>
      </c>
    </row>
    <row r="2608" spans="1:5" ht="15.75" customHeight="1" x14ac:dyDescent="0.25">
      <c r="A2608" s="6" t="s">
        <v>2582</v>
      </c>
      <c r="B2608" s="6" t="str">
        <f ca="1">IFERROR(__xludf.DUMMYFUNCTION("GOOGLETRANSLATE(A2608,""bn"",""en"")"),"City also won the League Cup title that season")</f>
        <v>City also won the League Cup title that season</v>
      </c>
      <c r="C2608" s="8" t="s">
        <v>13</v>
      </c>
      <c r="D2608" s="8" t="s">
        <v>14</v>
      </c>
      <c r="E2608" s="8">
        <v>1</v>
      </c>
    </row>
    <row r="2609" spans="1:5" ht="15.75" customHeight="1" x14ac:dyDescent="0.25">
      <c r="A2609" s="6" t="s">
        <v>2583</v>
      </c>
      <c r="B2609" s="6" t="str">
        <f ca="1">IFERROR(__xludf.DUMMYFUNCTION("GOOGLETRANSLATE(A2609,""bn"",""en"")"),"don't let me do it")</f>
        <v>don't let me do it</v>
      </c>
      <c r="C2609" s="8" t="s">
        <v>13</v>
      </c>
      <c r="D2609" s="8" t="s">
        <v>14</v>
      </c>
      <c r="E2609" s="8">
        <v>1</v>
      </c>
    </row>
    <row r="2610" spans="1:5" ht="15.75" customHeight="1" x14ac:dyDescent="0.25">
      <c r="A2610" s="6" t="s">
        <v>2584</v>
      </c>
      <c r="B2610" s="6" t="str">
        <f ca="1">IFERROR(__xludf.DUMMYFUNCTION("GOOGLETRANSLATE(A2610,""bn"",""en"")"),"My skin also turned browner than before")</f>
        <v>My skin also turned browner than before</v>
      </c>
      <c r="C2610" s="8" t="s">
        <v>13</v>
      </c>
      <c r="D2610" s="8" t="s">
        <v>14</v>
      </c>
      <c r="E2610" s="8">
        <v>1</v>
      </c>
    </row>
    <row r="2611" spans="1:5" ht="15.75" customHeight="1" x14ac:dyDescent="0.25">
      <c r="A2611" s="6" t="s">
        <v>2585</v>
      </c>
      <c r="B2611" s="6" t="str">
        <f ca="1">IFERROR(__xludf.DUMMYFUNCTION("GOOGLETRANSLATE(A2611,""bn"",""en"")"),"Basically they used such wheels in chariots used in war")</f>
        <v>Basically they used such wheels in chariots used in war</v>
      </c>
      <c r="C2611" s="8" t="s">
        <v>13</v>
      </c>
      <c r="D2611" s="8" t="s">
        <v>14</v>
      </c>
      <c r="E2611" s="8">
        <v>1</v>
      </c>
    </row>
    <row r="2612" spans="1:5" ht="15.75" customHeight="1" x14ac:dyDescent="0.25">
      <c r="A2612" s="6" t="s">
        <v>2586</v>
      </c>
      <c r="B2612" s="6" t="str">
        <f ca="1">IFERROR(__xludf.DUMMYFUNCTION("GOOGLETRANSLATE(A2612,""bn"",""en"")"),"Rumi sat reading with me")</f>
        <v>Rumi sat reading with me</v>
      </c>
      <c r="C2612" s="7" t="s">
        <v>6</v>
      </c>
      <c r="D2612" s="7" t="s">
        <v>7</v>
      </c>
      <c r="E2612" s="7">
        <v>0</v>
      </c>
    </row>
    <row r="2613" spans="1:5" ht="15.75" customHeight="1" x14ac:dyDescent="0.25">
      <c r="A2613" s="6" t="s">
        <v>2587</v>
      </c>
      <c r="B2613" s="6" t="str">
        <f ca="1">IFERROR(__xludf.DUMMYFUNCTION("GOOGLETRANSLATE(A2613,""bn"",""en"")"),"He who once borrowed only five rupees will not be able to take anything home from that day")</f>
        <v>He who once borrowed only five rupees will not be able to take anything home from that day</v>
      </c>
      <c r="C2613" s="7" t="s">
        <v>6</v>
      </c>
      <c r="D2613" s="7" t="s">
        <v>7</v>
      </c>
      <c r="E2613" s="7">
        <v>0</v>
      </c>
    </row>
    <row r="2614" spans="1:5" ht="15.75" customHeight="1" x14ac:dyDescent="0.25">
      <c r="A2614" s="6" t="s">
        <v>2588</v>
      </c>
      <c r="B2614" s="6" t="str">
        <f ca="1">IFERROR(__xludf.DUMMYFUNCTION("GOOGLETRANSLATE(A2614,""bn"",""en"")"),"Suphal asked me to eat rice")</f>
        <v>Suphal asked me to eat rice</v>
      </c>
      <c r="C2614" s="7" t="s">
        <v>6</v>
      </c>
      <c r="D2614" s="7" t="s">
        <v>7</v>
      </c>
      <c r="E2614" s="7">
        <v>0</v>
      </c>
    </row>
    <row r="2615" spans="1:5" ht="15.75" customHeight="1" x14ac:dyDescent="0.25">
      <c r="A2615" s="6" t="s">
        <v>2589</v>
      </c>
      <c r="B2615" s="6" t="str">
        <f ca="1">IFERROR(__xludf.DUMMYFUNCTION("GOOGLETRANSLATE(A2615,""bn"",""en"")"),"He used to go where someone was alone and start a story")</f>
        <v>He used to go where someone was alone and start a story</v>
      </c>
      <c r="C2615" s="7" t="s">
        <v>6</v>
      </c>
      <c r="D2615" s="7" t="s">
        <v>7</v>
      </c>
      <c r="E2615" s="7">
        <v>0</v>
      </c>
    </row>
    <row r="2616" spans="1:5" ht="15.75" customHeight="1" x14ac:dyDescent="0.25">
      <c r="A2616" s="6" t="s">
        <v>2590</v>
      </c>
      <c r="B2616" s="6" t="str">
        <f ca="1">IFERROR(__xludf.DUMMYFUNCTION("GOOGLETRANSLATE(A2616,""bn"",""en"")"),"I've heard that once or twice, it's true that the head has been cracked")</f>
        <v>I've heard that once or twice, it's true that the head has been cracked</v>
      </c>
      <c r="C2616" s="7" t="s">
        <v>6</v>
      </c>
      <c r="D2616" s="7" t="s">
        <v>7</v>
      </c>
      <c r="E2616" s="7">
        <v>0</v>
      </c>
    </row>
    <row r="2617" spans="1:5" ht="15.75" customHeight="1" x14ac:dyDescent="0.25">
      <c r="A2617" s="6" t="s">
        <v>2591</v>
      </c>
      <c r="B2617" s="6" t="str">
        <f ca="1">IFERROR(__xludf.DUMMYFUNCTION("GOOGLETRANSLATE(A2617,""bn"",""en"")"),"Rahim said this after listening to me")</f>
        <v>Rahim said this after listening to me</v>
      </c>
      <c r="C2617" s="8" t="s">
        <v>13</v>
      </c>
      <c r="D2617" s="8" t="s">
        <v>14</v>
      </c>
      <c r="E2617" s="8">
        <v>1</v>
      </c>
    </row>
    <row r="2618" spans="1:5" ht="15.75" customHeight="1" x14ac:dyDescent="0.25">
      <c r="A2618" s="6" t="s">
        <v>2592</v>
      </c>
      <c r="B2618" s="6" t="str">
        <f ca="1">IFERROR(__xludf.DUMMYFUNCTION("GOOGLETRANSLATE(A2618,""bn"",""en"")"),"Develop a positive mindset")</f>
        <v>Develop a positive mindset</v>
      </c>
      <c r="C2618" s="8" t="s">
        <v>13</v>
      </c>
      <c r="D2618" s="8" t="s">
        <v>14</v>
      </c>
      <c r="E2618" s="8">
        <v>1</v>
      </c>
    </row>
    <row r="2619" spans="1:5" ht="15.75" customHeight="1" x14ac:dyDescent="0.25">
      <c r="A2619" s="6" t="s">
        <v>2593</v>
      </c>
      <c r="B2619" s="6" t="str">
        <f ca="1">IFERROR(__xludf.DUMMYFUNCTION("GOOGLETRANSLATE(A2619,""bn"",""en"")"),"I bought a chocolate for the girl")</f>
        <v>I bought a chocolate for the girl</v>
      </c>
      <c r="C2619" s="8" t="s">
        <v>13</v>
      </c>
      <c r="D2619" s="8" t="s">
        <v>14</v>
      </c>
      <c r="E2619" s="8">
        <v>1</v>
      </c>
    </row>
    <row r="2620" spans="1:5" ht="15.75" customHeight="1" x14ac:dyDescent="0.25">
      <c r="A2620" s="6" t="s">
        <v>2594</v>
      </c>
      <c r="B2620" s="6" t="str">
        <f ca="1">IFERROR(__xludf.DUMMYFUNCTION("GOOGLETRANSLATE(A2620,""bn"",""en"")"),"Agricultural economics studies the allocation of resources to agricultural production")</f>
        <v>Agricultural economics studies the allocation of resources to agricultural production</v>
      </c>
      <c r="C2620" s="8" t="s">
        <v>13</v>
      </c>
      <c r="D2620" s="8" t="s">
        <v>14</v>
      </c>
      <c r="E2620" s="8">
        <v>1</v>
      </c>
    </row>
    <row r="2621" spans="1:5" ht="15.75" customHeight="1" x14ac:dyDescent="0.25">
      <c r="A2621" s="6" t="s">
        <v>2595</v>
      </c>
      <c r="B2621" s="6" t="str">
        <f ca="1">IFERROR(__xludf.DUMMYFUNCTION("GOOGLETRANSLATE(A2621,""bn"",""en"")"),"Freemasonry Freemasonry is a secret fraternity")</f>
        <v>Freemasonry Freemasonry is a secret fraternity</v>
      </c>
      <c r="C2621" s="8" t="s">
        <v>13</v>
      </c>
      <c r="D2621" s="8" t="s">
        <v>14</v>
      </c>
      <c r="E2621" s="8">
        <v>1</v>
      </c>
    </row>
    <row r="2622" spans="1:5" ht="15.75" customHeight="1" x14ac:dyDescent="0.25">
      <c r="A2622" s="6" t="s">
        <v>2596</v>
      </c>
      <c r="B2622" s="6" t="str">
        <f ca="1">IFERROR(__xludf.DUMMYFUNCTION("GOOGLETRANSLATE(A2622,""bn"",""en"")"),"In my mind, I started to move in vain")</f>
        <v>In my mind, I started to move in vain</v>
      </c>
      <c r="C2622" s="7" t="s">
        <v>6</v>
      </c>
      <c r="D2622" s="7" t="s">
        <v>7</v>
      </c>
      <c r="E2622" s="7">
        <v>0</v>
      </c>
    </row>
    <row r="2623" spans="1:5" ht="15.75" customHeight="1" x14ac:dyDescent="0.25">
      <c r="A2623" s="6" t="s">
        <v>2597</v>
      </c>
      <c r="B2623" s="6" t="str">
        <f ca="1">IFERROR(__xludf.DUMMYFUNCTION("GOOGLETRANSLATE(A2623,""bn"",""en"")"),"Immersed in this thought, I can't even work hard day and night")</f>
        <v>Immersed in this thought, I can't even work hard day and night</v>
      </c>
      <c r="C2623" s="7" t="s">
        <v>6</v>
      </c>
      <c r="D2623" s="7" t="s">
        <v>7</v>
      </c>
      <c r="E2623" s="7">
        <v>0</v>
      </c>
    </row>
    <row r="2624" spans="1:5" ht="15.75" customHeight="1" x14ac:dyDescent="0.25">
      <c r="A2624" s="6" t="s">
        <v>2598</v>
      </c>
      <c r="B2624" s="6" t="str">
        <f ca="1">IFERROR(__xludf.DUMMYFUNCTION("GOOGLETRANSLATE(A2624,""bn"",""en"")"),"He does not remember his parents")</f>
        <v>He does not remember his parents</v>
      </c>
      <c r="C2624" s="7" t="s">
        <v>6</v>
      </c>
      <c r="D2624" s="7" t="s">
        <v>7</v>
      </c>
      <c r="E2624" s="7">
        <v>0</v>
      </c>
    </row>
    <row r="2625" spans="1:5" ht="15.75" customHeight="1" x14ac:dyDescent="0.25">
      <c r="A2625" s="6" t="s">
        <v>2599</v>
      </c>
      <c r="B2625" s="6" t="str">
        <f ca="1">IFERROR(__xludf.DUMMYFUNCTION("GOOGLETRANSLATE(A2625,""bn"",""en"")"),"The house by the river was destroyed by the flood")</f>
        <v>The house by the river was destroyed by the flood</v>
      </c>
      <c r="C2625" s="7" t="s">
        <v>6</v>
      </c>
      <c r="D2625" s="7" t="s">
        <v>7</v>
      </c>
      <c r="E2625" s="7">
        <v>0</v>
      </c>
    </row>
    <row r="2626" spans="1:5" ht="15.75" customHeight="1" x14ac:dyDescent="0.25">
      <c r="A2626" s="6" t="s">
        <v>2600</v>
      </c>
      <c r="B2626" s="6" t="str">
        <f ca="1">IFERROR(__xludf.DUMMYFUNCTION("GOOGLETRANSLATE(A2626,""bn"",""en"")"),"Shanta kept the thief tied up")</f>
        <v>Shanta kept the thief tied up</v>
      </c>
      <c r="C2626" s="7" t="s">
        <v>6</v>
      </c>
      <c r="D2626" s="7" t="s">
        <v>7</v>
      </c>
      <c r="E2626" s="7">
        <v>0</v>
      </c>
    </row>
    <row r="2627" spans="1:5" ht="15.75" customHeight="1" x14ac:dyDescent="0.25">
      <c r="A2627" s="6" t="s">
        <v>2601</v>
      </c>
      <c r="B2627" s="6" t="str">
        <f ca="1">IFERROR(__xludf.DUMMYFUNCTION("GOOGLETRANSLATE(A2627,""bn"",""en"")"),"I won't do it")</f>
        <v>I won't do it</v>
      </c>
      <c r="C2627" s="8" t="s">
        <v>13</v>
      </c>
      <c r="D2627" s="8" t="s">
        <v>14</v>
      </c>
      <c r="E2627" s="8">
        <v>1</v>
      </c>
    </row>
    <row r="2628" spans="1:5" ht="15.75" customHeight="1" x14ac:dyDescent="0.25">
      <c r="A2628" s="6" t="s">
        <v>2602</v>
      </c>
      <c r="B2628" s="6" t="str">
        <f ca="1">IFERROR(__xludf.DUMMYFUNCTION("GOOGLETRANSLATE(A2628,""bn"",""en"")"),"Newspapers have a long history of acting as a watchdog for the public interest")</f>
        <v>Newspapers have a long history of acting as a watchdog for the public interest</v>
      </c>
      <c r="C2628" s="8" t="s">
        <v>13</v>
      </c>
      <c r="D2628" s="8" t="s">
        <v>14</v>
      </c>
      <c r="E2628" s="8">
        <v>1</v>
      </c>
    </row>
    <row r="2629" spans="1:5" ht="15.75" customHeight="1" x14ac:dyDescent="0.25">
      <c r="A2629" s="6" t="s">
        <v>2603</v>
      </c>
      <c r="B2629" s="6" t="str">
        <f ca="1">IFERROR(__xludf.DUMMYFUNCTION("GOOGLETRANSLATE(A2629,""bn"",""en"")"),"It is said in these religions that people do bad things because of Satan's deception")</f>
        <v>It is said in these religions that people do bad things because of Satan's deception</v>
      </c>
      <c r="C2629" s="8" t="s">
        <v>13</v>
      </c>
      <c r="D2629" s="8" t="s">
        <v>14</v>
      </c>
      <c r="E2629" s="8">
        <v>1</v>
      </c>
    </row>
    <row r="2630" spans="1:5" ht="15.75" customHeight="1" x14ac:dyDescent="0.25">
      <c r="A2630" s="6" t="s">
        <v>2604</v>
      </c>
      <c r="B2630" s="6" t="str">
        <f ca="1">IFERROR(__xludf.DUMMYFUNCTION("GOOGLETRANSLATE(A2630,""bn"",""en"")"),"Diluted vinegar adds a gourmet touch")</f>
        <v>Diluted vinegar adds a gourmet touch</v>
      </c>
      <c r="C2630" s="8" t="s">
        <v>13</v>
      </c>
      <c r="D2630" s="8" t="s">
        <v>14</v>
      </c>
      <c r="E2630" s="8">
        <v>1</v>
      </c>
    </row>
    <row r="2631" spans="1:5" ht="15.75" customHeight="1" x14ac:dyDescent="0.25">
      <c r="A2631" s="6" t="s">
        <v>2605</v>
      </c>
      <c r="B2631" s="6" t="str">
        <f ca="1">IFERROR(__xludf.DUMMYFUNCTION("GOOGLETRANSLATE(A2631,""bn"",""en"")"),"In the meantime, father would also wake up")</f>
        <v>In the meantime, father would also wake up</v>
      </c>
      <c r="C2631" s="8" t="s">
        <v>13</v>
      </c>
      <c r="D2631" s="8" t="s">
        <v>14</v>
      </c>
      <c r="E2631" s="8">
        <v>1</v>
      </c>
    </row>
    <row r="2632" spans="1:5" ht="15.75" customHeight="1" x14ac:dyDescent="0.25">
      <c r="A2632" s="6" t="s">
        <v>2606</v>
      </c>
      <c r="B2632" s="6" t="str">
        <f ca="1">IFERROR(__xludf.DUMMYFUNCTION("GOOGLETRANSLATE(A2632,""bn"",""en"")"),"No one said anything")</f>
        <v>No one said anything</v>
      </c>
      <c r="C2632" s="7" t="s">
        <v>6</v>
      </c>
      <c r="D2632" s="7" t="s">
        <v>7</v>
      </c>
      <c r="E2632" s="7">
        <v>0</v>
      </c>
    </row>
    <row r="2633" spans="1:5" ht="15.75" customHeight="1" x14ac:dyDescent="0.25">
      <c r="A2633" s="6" t="s">
        <v>2607</v>
      </c>
      <c r="B2633" s="6" t="str">
        <f ca="1">IFERROR(__xludf.DUMMYFUNCTION("GOOGLETRANSLATE(A2633,""bn"",""en"")"),"After looking at the tiger once, the stone fell into the courtyard")</f>
        <v>After looking at the tiger once, the stone fell into the courtyard</v>
      </c>
      <c r="C2633" s="7" t="s">
        <v>6</v>
      </c>
      <c r="D2633" s="7" t="s">
        <v>7</v>
      </c>
      <c r="E2633" s="7">
        <v>0</v>
      </c>
    </row>
    <row r="2634" spans="1:5" ht="15.75" customHeight="1" x14ac:dyDescent="0.25">
      <c r="A2634" s="6" t="s">
        <v>2608</v>
      </c>
      <c r="B2634" s="6" t="str">
        <f ca="1">IFERROR(__xludf.DUMMYFUNCTION("GOOGLETRANSLATE(A2634,""bn"",""en"")"),"I have to change that")</f>
        <v>I have to change that</v>
      </c>
      <c r="C2634" s="7" t="s">
        <v>6</v>
      </c>
      <c r="D2634" s="7" t="s">
        <v>7</v>
      </c>
      <c r="E2634" s="7">
        <v>0</v>
      </c>
    </row>
    <row r="2635" spans="1:5" ht="15.75" customHeight="1" x14ac:dyDescent="0.25">
      <c r="A2635" s="6" t="s">
        <v>2609</v>
      </c>
      <c r="B2635" s="6" t="str">
        <f ca="1">IFERROR(__xludf.DUMMYFUNCTION("GOOGLETRANSLATE(A2635,""bn"",""en"")"),"I will sit in Surabhi Udyan in weakness")</f>
        <v>I will sit in Surabhi Udyan in weakness</v>
      </c>
      <c r="C2635" s="7" t="s">
        <v>6</v>
      </c>
      <c r="D2635" s="7" t="s">
        <v>7</v>
      </c>
      <c r="E2635" s="7">
        <v>0</v>
      </c>
    </row>
    <row r="2636" spans="1:5" ht="15.75" customHeight="1" x14ac:dyDescent="0.25">
      <c r="A2636" s="6" t="s">
        <v>2610</v>
      </c>
      <c r="B2636" s="6" t="str">
        <f ca="1">IFERROR(__xludf.DUMMYFUNCTION("GOOGLETRANSLATE(A2636,""bn"",""en"")"),"He stood silently on the side of the road")</f>
        <v>He stood silently on the side of the road</v>
      </c>
      <c r="C2636" s="7" t="s">
        <v>6</v>
      </c>
      <c r="D2636" s="7" t="s">
        <v>7</v>
      </c>
      <c r="E2636" s="7">
        <v>0</v>
      </c>
    </row>
    <row r="2637" spans="1:5" ht="15.75" customHeight="1" x14ac:dyDescent="0.25">
      <c r="A2637" s="6" t="s">
        <v>2611</v>
      </c>
      <c r="B2637" s="6" t="str">
        <f ca="1">IFERROR(__xludf.DUMMYFUNCTION("GOOGLETRANSLATE(A2637,""bn"",""en"")"),"Scientists conduct experiments to test their hypothesis")</f>
        <v>Scientists conduct experiments to test their hypothesis</v>
      </c>
      <c r="C2637" s="8" t="s">
        <v>13</v>
      </c>
      <c r="D2637" s="8" t="s">
        <v>14</v>
      </c>
      <c r="E2637" s="8">
        <v>1</v>
      </c>
    </row>
    <row r="2638" spans="1:5" ht="15.75" customHeight="1" x14ac:dyDescent="0.25">
      <c r="A2638" s="6" t="s">
        <v>2612</v>
      </c>
      <c r="B2638" s="6" t="str">
        <f ca="1">IFERROR(__xludf.DUMMYFUNCTION("GOOGLETRANSLATE(A2638,""bn"",""en"")"),"Sustainable agriculture aims to meet the needs of the present without compromising future generations")</f>
        <v>Sustainable agriculture aims to meet the needs of the present without compromising future generations</v>
      </c>
      <c r="C2638" s="8" t="s">
        <v>13</v>
      </c>
      <c r="D2638" s="8" t="s">
        <v>14</v>
      </c>
      <c r="E2638" s="8">
        <v>1</v>
      </c>
    </row>
    <row r="2639" spans="1:5" ht="15.75" customHeight="1" x14ac:dyDescent="0.25">
      <c r="A2639" s="6" t="s">
        <v>2613</v>
      </c>
      <c r="B2639" s="6" t="str">
        <f ca="1">IFERROR(__xludf.DUMMYFUNCTION("GOOGLETRANSLATE(A2639,""bn"",""en"")"),"Don't forget Rina's beautiful face")</f>
        <v>Don't forget Rina's beautiful face</v>
      </c>
      <c r="C2639" s="8" t="s">
        <v>13</v>
      </c>
      <c r="D2639" s="8" t="s">
        <v>14</v>
      </c>
      <c r="E2639" s="8">
        <v>1</v>
      </c>
    </row>
    <row r="2640" spans="1:5" ht="15.75" customHeight="1" x14ac:dyDescent="0.25">
      <c r="A2640" s="6" t="s">
        <v>2614</v>
      </c>
      <c r="B2640" s="6" t="str">
        <f ca="1">IFERROR(__xludf.DUMMYFUNCTION("GOOGLETRANSLATE(A2640,""bn"",""en"")"),"Gardening brings joy and satisfaction")</f>
        <v>Gardening brings joy and satisfaction</v>
      </c>
      <c r="C2640" s="8" t="s">
        <v>13</v>
      </c>
      <c r="D2640" s="8" t="s">
        <v>14</v>
      </c>
      <c r="E2640" s="8">
        <v>1</v>
      </c>
    </row>
    <row r="2641" spans="1:5" ht="15.75" customHeight="1" x14ac:dyDescent="0.25">
      <c r="A2641" s="6" t="s">
        <v>2615</v>
      </c>
      <c r="B2641" s="6" t="str">
        <f ca="1">IFERROR(__xludf.DUMMYFUNCTION("GOOGLETRANSLATE(A2641,""bn"",""en"")"),"Crisis management protocols ensure quick and effective response")</f>
        <v>Crisis management protocols ensure quick and effective response</v>
      </c>
      <c r="C2641" s="8" t="s">
        <v>13</v>
      </c>
      <c r="D2641" s="8" t="s">
        <v>14</v>
      </c>
      <c r="E2641" s="8">
        <v>1</v>
      </c>
    </row>
    <row r="2642" spans="1:5" ht="15.75" customHeight="1" x14ac:dyDescent="0.25">
      <c r="A2642" s="6" t="s">
        <v>2616</v>
      </c>
      <c r="B2642" s="6" t="str">
        <f ca="1">IFERROR(__xludf.DUMMYFUNCTION("GOOGLETRANSLATE(A2642,""bn"",""en"")"),"I bought some fruits for the sick person")</f>
        <v>I bought some fruits for the sick person</v>
      </c>
      <c r="C2642" s="7" t="s">
        <v>6</v>
      </c>
      <c r="D2642" s="7" t="s">
        <v>7</v>
      </c>
      <c r="E2642" s="7">
        <v>0</v>
      </c>
    </row>
    <row r="2643" spans="1:5" ht="15.75" customHeight="1" x14ac:dyDescent="0.25">
      <c r="A2643" s="6" t="s">
        <v>2617</v>
      </c>
      <c r="B2643" s="6" t="str">
        <f ca="1">IFERROR(__xludf.DUMMYFUNCTION("GOOGLETRANSLATE(A2643,""bn"",""en"")"),"Savitri was sitting silently in the dark balcony at night")</f>
        <v>Savitri was sitting silently in the dark balcony at night</v>
      </c>
      <c r="C2643" s="7" t="s">
        <v>6</v>
      </c>
      <c r="D2643" s="7" t="s">
        <v>7</v>
      </c>
      <c r="E2643" s="7">
        <v>0</v>
      </c>
    </row>
    <row r="2644" spans="1:5" ht="15.75" customHeight="1" x14ac:dyDescent="0.25">
      <c r="A2644" s="6" t="s">
        <v>2618</v>
      </c>
      <c r="B2644" s="6" t="str">
        <f ca="1">IFERROR(__xludf.DUMMYFUNCTION("GOOGLETRANSLATE(A2644,""bn"",""en"")"),"Then the clouds disappeared and the mountains became clearly visible")</f>
        <v>Then the clouds disappeared and the mountains became clearly visible</v>
      </c>
      <c r="C2644" s="7" t="s">
        <v>6</v>
      </c>
      <c r="D2644" s="7" t="s">
        <v>7</v>
      </c>
      <c r="E2644" s="7">
        <v>0</v>
      </c>
    </row>
    <row r="2645" spans="1:5" ht="15.75" customHeight="1" x14ac:dyDescent="0.25">
      <c r="A2645" s="6" t="s">
        <v>2619</v>
      </c>
      <c r="B2645" s="6" t="str">
        <f ca="1">IFERROR(__xludf.DUMMYFUNCTION("GOOGLETRANSLATE(A2645,""bn"",""en"")"),"I opened the door and saw him standing")</f>
        <v>I opened the door and saw him standing</v>
      </c>
      <c r="C2645" s="7" t="s">
        <v>6</v>
      </c>
      <c r="D2645" s="7" t="s">
        <v>7</v>
      </c>
      <c r="E2645" s="7">
        <v>0</v>
      </c>
    </row>
    <row r="2646" spans="1:5" ht="15.75" customHeight="1" x14ac:dyDescent="0.25">
      <c r="A2646" s="6" t="s">
        <v>2620</v>
      </c>
      <c r="B2646" s="6" t="str">
        <f ca="1">IFERROR(__xludf.DUMMYFUNCTION("GOOGLETRANSLATE(A2646,""bn"",""en"")"),"Rashid Rahim is reading the story")</f>
        <v>Rashid Rahim is reading the story</v>
      </c>
      <c r="C2646" s="7" t="s">
        <v>6</v>
      </c>
      <c r="D2646" s="7" t="s">
        <v>7</v>
      </c>
      <c r="E2646" s="7">
        <v>0</v>
      </c>
    </row>
    <row r="2647" spans="1:5" ht="15.75" customHeight="1" x14ac:dyDescent="0.25">
      <c r="A2647" s="6" t="s">
        <v>2621</v>
      </c>
      <c r="B2647" s="6" t="str">
        <f ca="1">IFERROR(__xludf.DUMMYFUNCTION("GOOGLETRANSLATE(A2647,""bn"",""en"")"),"The concept of nirvana represents rebirth in Buddhism, freedom from suffering")</f>
        <v>The concept of nirvana represents rebirth in Buddhism, freedom from suffering</v>
      </c>
      <c r="C2647" s="8" t="s">
        <v>13</v>
      </c>
      <c r="D2647" s="8" t="s">
        <v>14</v>
      </c>
      <c r="E2647" s="8">
        <v>1</v>
      </c>
    </row>
    <row r="2648" spans="1:5" ht="15.75" customHeight="1" x14ac:dyDescent="0.25">
      <c r="A2648" s="6" t="s">
        <v>2622</v>
      </c>
      <c r="B2648" s="6" t="str">
        <f ca="1">IFERROR(__xludf.DUMMYFUNCTION("GOOGLETRANSLATE(A2648,""bn"",""en"")"),"Attack is emphasized in this position")</f>
        <v>Attack is emphasized in this position</v>
      </c>
      <c r="C2648" s="8" t="s">
        <v>13</v>
      </c>
      <c r="D2648" s="8" t="s">
        <v>14</v>
      </c>
      <c r="E2648" s="8">
        <v>1</v>
      </c>
    </row>
    <row r="2649" spans="1:5" ht="15.75" customHeight="1" x14ac:dyDescent="0.25">
      <c r="A2649" s="6" t="s">
        <v>2623</v>
      </c>
      <c r="B2649" s="6" t="str">
        <f ca="1">IFERROR(__xludf.DUMMYFUNCTION("GOOGLETRANSLATE(A2649,""bn"",""en"")"),"People read these news and discussed with enthusiasm")</f>
        <v>People read these news and discussed with enthusiasm</v>
      </c>
      <c r="C2649" s="8" t="s">
        <v>13</v>
      </c>
      <c r="D2649" s="8" t="s">
        <v>14</v>
      </c>
      <c r="E2649" s="8">
        <v>1</v>
      </c>
    </row>
    <row r="2650" spans="1:5" ht="15.75" customHeight="1" x14ac:dyDescent="0.25">
      <c r="A2650" s="6" t="s">
        <v>2624</v>
      </c>
      <c r="B2650" s="6" t="str">
        <f ca="1">IFERROR(__xludf.DUMMYFUNCTION("GOOGLETRANSLATE(A2650,""bn"",""en"")"),"I will eat rice and go to play")</f>
        <v>I will eat rice and go to play</v>
      </c>
      <c r="C2650" s="8" t="s">
        <v>13</v>
      </c>
      <c r="D2650" s="8" t="s">
        <v>14</v>
      </c>
      <c r="E2650" s="8">
        <v>1</v>
      </c>
    </row>
    <row r="2651" spans="1:5" ht="15.75" customHeight="1" x14ac:dyDescent="0.25">
      <c r="A2651" s="6" t="s">
        <v>2625</v>
      </c>
      <c r="B2651" s="6" t="str">
        <f ca="1">IFERROR(__xludf.DUMMYFUNCTION("GOOGLETRANSLATE(A2651,""bn"",""en"")"),"Find a workout buddy for accountability")</f>
        <v>Find a workout buddy for accountability</v>
      </c>
      <c r="C2651" s="8" t="s">
        <v>13</v>
      </c>
      <c r="D2651" s="8" t="s">
        <v>14</v>
      </c>
      <c r="E2651" s="8">
        <v>1</v>
      </c>
    </row>
    <row r="2652" spans="1:5" ht="15.75" customHeight="1" x14ac:dyDescent="0.25">
      <c r="A2652" s="6" t="s">
        <v>2626</v>
      </c>
      <c r="B2652" s="6" t="str">
        <f ca="1">IFERROR(__xludf.DUMMYFUNCTION("GOOGLETRANSLATE(A2652,""bn"",""en"")"),"Raju will not eat rice now")</f>
        <v>Raju will not eat rice now</v>
      </c>
      <c r="C2652" s="7" t="s">
        <v>6</v>
      </c>
      <c r="D2652" s="7" t="s">
        <v>7</v>
      </c>
      <c r="E2652" s="7">
        <v>0</v>
      </c>
    </row>
    <row r="2653" spans="1:5" ht="15.75" customHeight="1" x14ac:dyDescent="0.25">
      <c r="A2653" s="6" t="s">
        <v>2627</v>
      </c>
      <c r="B2653" s="6" t="str">
        <f ca="1">IFERROR(__xludf.DUMMYFUNCTION("GOOGLETRANSLATE(A2653,""bn"",""en"")"),"Sumi will go with me today")</f>
        <v>Sumi will go with me today</v>
      </c>
      <c r="C2653" s="7" t="s">
        <v>6</v>
      </c>
      <c r="D2653" s="7" t="s">
        <v>7</v>
      </c>
      <c r="E2653" s="7">
        <v>0</v>
      </c>
    </row>
    <row r="2654" spans="1:5" ht="15.75" customHeight="1" x14ac:dyDescent="0.25">
      <c r="A2654" s="6" t="s">
        <v>2628</v>
      </c>
      <c r="B2654" s="6" t="str">
        <f ca="1">IFERROR(__xludf.DUMMYFUNCTION("GOOGLETRANSLATE(A2654,""bn"",""en"")"),"The gap between is very small")</f>
        <v>The gap between is very small</v>
      </c>
      <c r="C2654" s="7" t="s">
        <v>6</v>
      </c>
      <c r="D2654" s="7" t="s">
        <v>7</v>
      </c>
      <c r="E2654" s="7">
        <v>0</v>
      </c>
    </row>
    <row r="2655" spans="1:5" ht="15.75" customHeight="1" x14ac:dyDescent="0.25">
      <c r="A2655" s="6" t="s">
        <v>2629</v>
      </c>
      <c r="B2655" s="6" t="str">
        <f ca="1">IFERROR(__xludf.DUMMYFUNCTION("GOOGLETRANSLATE(A2655,""bn"",""en"")"),"My heart was stunned by his smile")</f>
        <v>My heart was stunned by his smile</v>
      </c>
      <c r="C2655" s="7" t="s">
        <v>6</v>
      </c>
      <c r="D2655" s="7" t="s">
        <v>7</v>
      </c>
      <c r="E2655" s="7">
        <v>0</v>
      </c>
    </row>
    <row r="2656" spans="1:5" ht="15.75" customHeight="1" x14ac:dyDescent="0.25">
      <c r="A2656" s="6" t="s">
        <v>2630</v>
      </c>
      <c r="B2656" s="6" t="str">
        <f ca="1">IFERROR(__xludf.DUMMYFUNCTION("GOOGLETRANSLATE(A2656,""bn"",""en"")"),"Now the mountains are remembered only as stony forests, the thorny inhabitants only as miscreants.")</f>
        <v>Now the mountains are remembered only as stony forests, the thorny inhabitants only as miscreants.</v>
      </c>
      <c r="C2656" s="7" t="s">
        <v>6</v>
      </c>
      <c r="D2656" s="7" t="s">
        <v>7</v>
      </c>
      <c r="E2656" s="7">
        <v>0</v>
      </c>
    </row>
    <row r="2657" spans="1:5" ht="15.75" customHeight="1" x14ac:dyDescent="0.25">
      <c r="A2657" s="6" t="s">
        <v>2631</v>
      </c>
      <c r="B2657" s="6" t="str">
        <f ca="1">IFERROR(__xludf.DUMMYFUNCTION("GOOGLETRANSLATE(A2657,""bn"",""en"")"),"Subscribe for career advice")</f>
        <v>Subscribe for career advice</v>
      </c>
      <c r="C2657" s="8" t="s">
        <v>13</v>
      </c>
      <c r="D2657" s="8" t="s">
        <v>14</v>
      </c>
      <c r="E2657" s="8">
        <v>1</v>
      </c>
    </row>
    <row r="2658" spans="1:5" ht="15.75" customHeight="1" x14ac:dyDescent="0.25">
      <c r="A2658" s="6" t="s">
        <v>2632</v>
      </c>
      <c r="B2658" s="6" t="str">
        <f ca="1">IFERROR(__xludf.DUMMYFUNCTION("GOOGLETRANSLATE(A2658,""bn"",""en"")"),"Let go of those who drain your energy or hold you back")</f>
        <v>Let go of those who drain your energy or hold you back</v>
      </c>
      <c r="C2658" s="8" t="s">
        <v>13</v>
      </c>
      <c r="D2658" s="8" t="s">
        <v>14</v>
      </c>
      <c r="E2658" s="8">
        <v>1</v>
      </c>
    </row>
    <row r="2659" spans="1:5" ht="15.75" customHeight="1" x14ac:dyDescent="0.25">
      <c r="A2659" s="6" t="s">
        <v>2633</v>
      </c>
      <c r="B2659" s="6" t="str">
        <f ca="1">IFERROR(__xludf.DUMMYFUNCTION("GOOGLETRANSLATE(A2659,""bn"",""en"")"),"Flaky croissant transport in Paris")</f>
        <v>Flaky croissant transport in Paris</v>
      </c>
      <c r="C2659" s="8" t="s">
        <v>13</v>
      </c>
      <c r="D2659" s="8" t="s">
        <v>14</v>
      </c>
      <c r="E2659" s="8">
        <v>1</v>
      </c>
    </row>
    <row r="2660" spans="1:5" ht="15.75" customHeight="1" x14ac:dyDescent="0.25">
      <c r="A2660" s="6" t="s">
        <v>2634</v>
      </c>
      <c r="B2660" s="6" t="str">
        <f ca="1">IFERROR(__xludf.DUMMYFUNCTION("GOOGLETRANSLATE(A2660,""bn"",""en"")"),"Retweet for awareness")</f>
        <v>Retweet for awareness</v>
      </c>
      <c r="C2660" s="8" t="s">
        <v>13</v>
      </c>
      <c r="D2660" s="8" t="s">
        <v>14</v>
      </c>
      <c r="E2660" s="8">
        <v>1</v>
      </c>
    </row>
    <row r="2661" spans="1:5" ht="15.75" customHeight="1" x14ac:dyDescent="0.25">
      <c r="A2661" s="6" t="s">
        <v>2635</v>
      </c>
      <c r="B2661" s="6" t="str">
        <f ca="1">IFERROR(__xludf.DUMMYFUNCTION("GOOGLETRANSLATE(A2661,""bn"",""en"")"),"Karim will come back with education")</f>
        <v>Karim will come back with education</v>
      </c>
      <c r="C2661" s="8" t="s">
        <v>13</v>
      </c>
      <c r="D2661" s="8" t="s">
        <v>14</v>
      </c>
      <c r="E2661" s="8">
        <v>1</v>
      </c>
    </row>
    <row r="2662" spans="1:5" ht="15.75" customHeight="1" x14ac:dyDescent="0.25">
      <c r="A2662" s="6" t="s">
        <v>2636</v>
      </c>
      <c r="B2662" s="6" t="str">
        <f ca="1">IFERROR(__xludf.DUMMYFUNCTION("GOOGLETRANSLATE(A2662,""bn"",""en"")"),"Jyotish was speechless just looking at her sister's face")</f>
        <v>Jyotish was speechless just looking at her sister's face</v>
      </c>
      <c r="C2662" s="7" t="s">
        <v>6</v>
      </c>
      <c r="D2662" s="7" t="s">
        <v>7</v>
      </c>
      <c r="E2662" s="7">
        <v>0</v>
      </c>
    </row>
    <row r="2663" spans="1:5" ht="15.75" customHeight="1" x14ac:dyDescent="0.25">
      <c r="A2663" s="6" t="s">
        <v>2637</v>
      </c>
      <c r="B2663" s="6" t="str">
        <f ca="1">IFERROR(__xludf.DUMMYFUNCTION("GOOGLETRANSLATE(A2663,""bn"",""en"")"),"Every tree turns beautiful green in spring")</f>
        <v>Every tree turns beautiful green in spring</v>
      </c>
      <c r="C2663" s="7" t="s">
        <v>6</v>
      </c>
      <c r="D2663" s="7" t="s">
        <v>7</v>
      </c>
      <c r="E2663" s="7">
        <v>0</v>
      </c>
    </row>
    <row r="2664" spans="1:5" ht="15.75" customHeight="1" x14ac:dyDescent="0.25">
      <c r="A2664" s="6" t="s">
        <v>2638</v>
      </c>
      <c r="B2664" s="6" t="str">
        <f ca="1">IFERROR(__xludf.DUMMYFUNCTION("GOOGLETRANSLATE(A2664,""bn"",""en"")"),"Then he brought a burning log from the kitchen and went into the bedroom")</f>
        <v>Then he brought a burning log from the kitchen and went into the bedroom</v>
      </c>
      <c r="C2664" s="7" t="s">
        <v>6</v>
      </c>
      <c r="D2664" s="7" t="s">
        <v>7</v>
      </c>
      <c r="E2664" s="7">
        <v>0</v>
      </c>
    </row>
    <row r="2665" spans="1:5" ht="15.75" customHeight="1" x14ac:dyDescent="0.25">
      <c r="A2665" s="6" t="s">
        <v>2639</v>
      </c>
      <c r="B2665" s="6" t="str">
        <f ca="1">IFERROR(__xludf.DUMMYFUNCTION("GOOGLETRANSLATE(A2665,""bn"",""en"")"),"Mokshada then told him in detail about his eating habits")</f>
        <v>Mokshada then told him in detail about his eating habits</v>
      </c>
      <c r="C2665" s="7" t="s">
        <v>6</v>
      </c>
      <c r="D2665" s="7" t="s">
        <v>7</v>
      </c>
      <c r="E2665" s="7">
        <v>0</v>
      </c>
    </row>
    <row r="2666" spans="1:5" ht="15.75" customHeight="1" x14ac:dyDescent="0.25">
      <c r="A2666" s="6" t="s">
        <v>2640</v>
      </c>
      <c r="B2666" s="6" t="str">
        <f ca="1">IFERROR(__xludf.DUMMYFUNCTION("GOOGLETRANSLATE(A2666,""bn"",""en"")"),"At least in my eyes, Roopban is just as beautiful as the lap in the homeland")</f>
        <v>At least in my eyes, Roopban is just as beautiful as the lap in the homeland</v>
      </c>
      <c r="C2666" s="7" t="s">
        <v>6</v>
      </c>
      <c r="D2666" s="7" t="s">
        <v>7</v>
      </c>
      <c r="E2666" s="7">
        <v>0</v>
      </c>
    </row>
    <row r="2667" spans="1:5" ht="15.75" customHeight="1" x14ac:dyDescent="0.25">
      <c r="A2667" s="6" t="s">
        <v>2641</v>
      </c>
      <c r="B2667" s="6" t="str">
        <f ca="1">IFERROR(__xludf.DUMMYFUNCTION("GOOGLETRANSLATE(A2667,""bn"",""en"")"),"Murphy died at the age of")</f>
        <v>Murphy died at the age of</v>
      </c>
      <c r="C2667" s="8" t="s">
        <v>13</v>
      </c>
      <c r="D2667" s="8" t="s">
        <v>14</v>
      </c>
      <c r="E2667" s="8">
        <v>1</v>
      </c>
    </row>
    <row r="2668" spans="1:5" ht="15.75" customHeight="1" x14ac:dyDescent="0.25">
      <c r="A2668" s="6" t="s">
        <v>2642</v>
      </c>
      <c r="B2668" s="6" t="str">
        <f ca="1">IFERROR(__xludf.DUMMYFUNCTION("GOOGLETRANSLATE(A2668,""bn"",""en"")"),"I got a new set of rims for my car they look smooth")</f>
        <v>I got a new set of rims for my car they look smooth</v>
      </c>
      <c r="C2668" s="8" t="s">
        <v>13</v>
      </c>
      <c r="D2668" s="8" t="s">
        <v>14</v>
      </c>
      <c r="E2668" s="8">
        <v>1</v>
      </c>
    </row>
    <row r="2669" spans="1:5" ht="15.75" customHeight="1" x14ac:dyDescent="0.25">
      <c r="A2669" s="6" t="s">
        <v>2643</v>
      </c>
      <c r="B2669" s="6" t="str">
        <f ca="1">IFERROR(__xludf.DUMMYFUNCTION("GOOGLETRANSLATE(A2669,""bn"",""en"")"),"Owners of the company's shares regularly enjoyed attractive profits")</f>
        <v>Owners of the company's shares regularly enjoyed attractive profits</v>
      </c>
      <c r="C2669" s="8" t="s">
        <v>13</v>
      </c>
      <c r="D2669" s="8" t="s">
        <v>14</v>
      </c>
      <c r="E2669" s="8">
        <v>1</v>
      </c>
    </row>
    <row r="2670" spans="1:5" ht="15.75" customHeight="1" x14ac:dyDescent="0.25">
      <c r="A2670" s="6" t="s">
        <v>2644</v>
      </c>
      <c r="B2670" s="6" t="str">
        <f ca="1">IFERROR(__xludf.DUMMYFUNCTION("GOOGLETRANSLATE(A2670,""bn"",""en"")"),"Its color is bright green")</f>
        <v>Its color is bright green</v>
      </c>
      <c r="C2670" s="8" t="s">
        <v>13</v>
      </c>
      <c r="D2670" s="8" t="s">
        <v>14</v>
      </c>
      <c r="E2670" s="8">
        <v>1</v>
      </c>
    </row>
    <row r="2671" spans="1:5" ht="15.75" customHeight="1" x14ac:dyDescent="0.25">
      <c r="A2671" s="6" t="s">
        <v>2645</v>
      </c>
      <c r="B2671" s="6" t="str">
        <f ca="1">IFERROR(__xludf.DUMMYFUNCTION("GOOGLETRANSLATE(A2671,""bn"",""en"")"),"Professional learning communities facilitate increased teacher collaboration")</f>
        <v>Professional learning communities facilitate increased teacher collaboration</v>
      </c>
      <c r="C2671" s="8" t="s">
        <v>13</v>
      </c>
      <c r="D2671" s="8" t="s">
        <v>14</v>
      </c>
      <c r="E2671" s="8">
        <v>1</v>
      </c>
    </row>
    <row r="2672" spans="1:5" ht="15.75" customHeight="1" x14ac:dyDescent="0.25">
      <c r="A2672" s="6" t="s">
        <v>2646</v>
      </c>
      <c r="B2672" s="6" t="str">
        <f ca="1">IFERROR(__xludf.DUMMYFUNCTION("GOOGLETRANSLATE(A2672,""bn"",""en"")"),"I introduced him to my mother")</f>
        <v>I introduced him to my mother</v>
      </c>
      <c r="C2672" s="7" t="s">
        <v>6</v>
      </c>
      <c r="D2672" s="7" t="s">
        <v>7</v>
      </c>
      <c r="E2672" s="7">
        <v>0</v>
      </c>
    </row>
    <row r="2673" spans="1:5" ht="15.75" customHeight="1" x14ac:dyDescent="0.25">
      <c r="A2673" s="6" t="s">
        <v>2647</v>
      </c>
      <c r="B2673" s="6" t="str">
        <f ca="1">IFERROR(__xludf.DUMMYFUNCTION("GOOGLETRANSLATE(A2673,""bn"",""en"")"),"When his wife went to someone's house in the neighborhood, one day he threw the kadiya out of anger and sadness")</f>
        <v>When his wife went to someone's house in the neighborhood, one day he threw the kadiya out of anger and sadness</v>
      </c>
      <c r="C2673" s="7" t="s">
        <v>6</v>
      </c>
      <c r="D2673" s="7" t="s">
        <v>7</v>
      </c>
      <c r="E2673" s="7">
        <v>0</v>
      </c>
    </row>
    <row r="2674" spans="1:5" ht="15.75" customHeight="1" x14ac:dyDescent="0.25">
      <c r="A2674" s="6" t="s">
        <v>2648</v>
      </c>
      <c r="B2674" s="6" t="str">
        <f ca="1">IFERROR(__xludf.DUMMYFUNCTION("GOOGLETRANSLATE(A2674,""bn"",""en"")"),"Kusum is feared by everyone in this house")</f>
        <v>Kusum is feared by everyone in this house</v>
      </c>
      <c r="C2674" s="7" t="s">
        <v>6</v>
      </c>
      <c r="D2674" s="7" t="s">
        <v>7</v>
      </c>
      <c r="E2674" s="7">
        <v>0</v>
      </c>
    </row>
    <row r="2675" spans="1:5" ht="15.75" customHeight="1" x14ac:dyDescent="0.25">
      <c r="A2675" s="6" t="s">
        <v>2649</v>
      </c>
      <c r="B2675" s="6" t="str">
        <f ca="1">IFERROR(__xludf.DUMMYFUNCTION("GOOGLETRANSLATE(A2675,""bn"",""en"")"),"Siraj wants to play with us")</f>
        <v>Siraj wants to play with us</v>
      </c>
      <c r="C2675" s="7" t="s">
        <v>6</v>
      </c>
      <c r="D2675" s="7" t="s">
        <v>7</v>
      </c>
      <c r="E2675" s="7">
        <v>0</v>
      </c>
    </row>
    <row r="2676" spans="1:5" ht="15.75" customHeight="1" x14ac:dyDescent="0.25">
      <c r="A2676" s="6" t="s">
        <v>2650</v>
      </c>
      <c r="B2676" s="6" t="str">
        <f ca="1">IFERROR(__xludf.DUMMYFUNCTION("GOOGLETRANSLATE(A2676,""bn"",""en"")"),"The Asuras used to come and kill the cows of the Aryans and eat them and run away")</f>
        <v>The Asuras used to come and kill the cows of the Aryans and eat them and run away</v>
      </c>
      <c r="C2676" s="7" t="s">
        <v>6</v>
      </c>
      <c r="D2676" s="7" t="s">
        <v>7</v>
      </c>
      <c r="E2676" s="7">
        <v>0</v>
      </c>
    </row>
    <row r="2677" spans="1:5" ht="15.75" customHeight="1" x14ac:dyDescent="0.25">
      <c r="A2677" s="6" t="s">
        <v>2651</v>
      </c>
      <c r="B2677" s="6" t="str">
        <f ca="1">IFERROR(__xludf.DUMMYFUNCTION("GOOGLETRANSLATE(A2677,""bn"",""en"")"),"The living cannot do the work")</f>
        <v>The living cannot do the work</v>
      </c>
      <c r="C2677" s="8" t="s">
        <v>13</v>
      </c>
      <c r="D2677" s="8" t="s">
        <v>14</v>
      </c>
      <c r="E2677" s="8">
        <v>1</v>
      </c>
    </row>
    <row r="2678" spans="1:5" ht="15.75" customHeight="1" x14ac:dyDescent="0.25">
      <c r="A2678" s="6" t="s">
        <v>2652</v>
      </c>
      <c r="B2678" s="6" t="str">
        <f ca="1">IFERROR(__xludf.DUMMYFUNCTION("GOOGLETRANSLATE(A2678,""bn"",""en"")"),"I wanted to do it")</f>
        <v>I wanted to do it</v>
      </c>
      <c r="C2678" s="8" t="s">
        <v>13</v>
      </c>
      <c r="D2678" s="8" t="s">
        <v>14</v>
      </c>
      <c r="E2678" s="8">
        <v>1</v>
      </c>
    </row>
    <row r="2679" spans="1:5" ht="15.75" customHeight="1" x14ac:dyDescent="0.25">
      <c r="A2679" s="6" t="s">
        <v>2653</v>
      </c>
      <c r="B2679" s="6" t="str">
        <f ca="1">IFERROR(__xludf.DUMMYFUNCTION("GOOGLETRANSLATE(A2679,""bn"",""en"")"),"Sharif will spend the rest of his life in comfort")</f>
        <v>Sharif will spend the rest of his life in comfort</v>
      </c>
      <c r="C2679" s="8" t="s">
        <v>13</v>
      </c>
      <c r="D2679" s="8" t="s">
        <v>14</v>
      </c>
      <c r="E2679" s="8">
        <v>1</v>
      </c>
    </row>
    <row r="2680" spans="1:5" ht="15.75" customHeight="1" x14ac:dyDescent="0.25">
      <c r="A2680" s="6" t="s">
        <v>2654</v>
      </c>
      <c r="B2680" s="6" t="str">
        <f ca="1">IFERROR(__xludf.DUMMYFUNCTION("GOOGLETRANSLATE(A2680,""bn"",""en"")"),"The Marketing Coordinator organizes social media campaigns to promote brand awareness")</f>
        <v>The Marketing Coordinator organizes social media campaigns to promote brand awareness</v>
      </c>
      <c r="C2680" s="8" t="s">
        <v>13</v>
      </c>
      <c r="D2680" s="8" t="s">
        <v>14</v>
      </c>
      <c r="E2680" s="8">
        <v>1</v>
      </c>
    </row>
    <row r="2681" spans="1:5" ht="15.75" customHeight="1" x14ac:dyDescent="0.25">
      <c r="A2681" s="6" t="s">
        <v>2655</v>
      </c>
      <c r="B2681" s="6" t="str">
        <f ca="1">IFERROR(__xludf.DUMMYFUNCTION("GOOGLETRANSLATE(A2681,""bn"",""en"")"),"Chatim is a rural village tree")</f>
        <v>Chatim is a rural village tree</v>
      </c>
      <c r="C2681" s="8" t="s">
        <v>13</v>
      </c>
      <c r="D2681" s="8" t="s">
        <v>14</v>
      </c>
      <c r="E2681" s="8">
        <v>1</v>
      </c>
    </row>
    <row r="2682" spans="1:5" ht="15.75" customHeight="1" x14ac:dyDescent="0.25">
      <c r="A2682" s="6" t="s">
        <v>2656</v>
      </c>
      <c r="B2682" s="6" t="str">
        <f ca="1">IFERROR(__xludf.DUMMYFUNCTION("GOOGLETRANSLATE(A2682,""bn"",""en"")"),"Today we will work")</f>
        <v>Today we will work</v>
      </c>
      <c r="C2682" s="7" t="s">
        <v>6</v>
      </c>
      <c r="D2682" s="7" t="s">
        <v>7</v>
      </c>
      <c r="E2682" s="7">
        <v>0</v>
      </c>
    </row>
    <row r="2683" spans="1:5" ht="15.75" customHeight="1" x14ac:dyDescent="0.25">
      <c r="A2683" s="6" t="s">
        <v>2657</v>
      </c>
      <c r="B2683" s="6" t="str">
        <f ca="1">IFERROR(__xludf.DUMMYFUNCTION("GOOGLETRANSLATE(A2683,""bn"",""en"")"),"Suman did not listen to me")</f>
        <v>Suman did not listen to me</v>
      </c>
      <c r="C2683" s="7" t="s">
        <v>6</v>
      </c>
      <c r="D2683" s="7" t="s">
        <v>7</v>
      </c>
      <c r="E2683" s="7">
        <v>0</v>
      </c>
    </row>
    <row r="2684" spans="1:5" ht="15.75" customHeight="1" x14ac:dyDescent="0.25">
      <c r="A2684" s="6" t="s">
        <v>2658</v>
      </c>
      <c r="B2684" s="6" t="str">
        <f ca="1">IFERROR(__xludf.DUMMYFUNCTION("GOOGLETRANSLATE(A2684,""bn"",""en"")"),"Rafiq is much better than him")</f>
        <v>Rafiq is much better than him</v>
      </c>
      <c r="C2684" s="7" t="s">
        <v>6</v>
      </c>
      <c r="D2684" s="7" t="s">
        <v>7</v>
      </c>
      <c r="E2684" s="7">
        <v>0</v>
      </c>
    </row>
    <row r="2685" spans="1:5" ht="15.75" customHeight="1" x14ac:dyDescent="0.25">
      <c r="A2685" s="6" t="s">
        <v>2659</v>
      </c>
      <c r="B2685" s="6" t="str">
        <f ca="1">IFERROR(__xludf.DUMMYFUNCTION("GOOGLETRANSLATE(A2685,""bn"",""en"")"),"A strange fear slowly started to consume me")</f>
        <v>A strange fear slowly started to consume me</v>
      </c>
      <c r="C2685" s="7" t="s">
        <v>6</v>
      </c>
      <c r="D2685" s="7" t="s">
        <v>7</v>
      </c>
      <c r="E2685" s="7">
        <v>0</v>
      </c>
    </row>
    <row r="2686" spans="1:5" ht="15.75" customHeight="1" x14ac:dyDescent="0.25">
      <c r="A2686" s="6" t="s">
        <v>2660</v>
      </c>
      <c r="B2686" s="6" t="str">
        <f ca="1">IFERROR(__xludf.DUMMYFUNCTION("GOOGLETRANSLATE(A2686,""bn"",""en"")"),"I will bring eye sand to our house saying that you have gone to college")</f>
        <v>I will bring eye sand to our house saying that you have gone to college</v>
      </c>
      <c r="C2686" s="7" t="s">
        <v>6</v>
      </c>
      <c r="D2686" s="7" t="s">
        <v>7</v>
      </c>
      <c r="E2686" s="7">
        <v>0</v>
      </c>
    </row>
    <row r="2687" spans="1:5" ht="15.75" customHeight="1" x14ac:dyDescent="0.25">
      <c r="A2687" s="6" t="s">
        <v>2661</v>
      </c>
      <c r="B2687" s="6" t="str">
        <f ca="1">IFERROR(__xludf.DUMMYFUNCTION("GOOGLETRANSLATE(A2687,""bn"",""en"")"),"Rumi gave me his book")</f>
        <v>Rumi gave me his book</v>
      </c>
      <c r="C2687" s="8" t="s">
        <v>13</v>
      </c>
      <c r="D2687" s="8" t="s">
        <v>14</v>
      </c>
      <c r="E2687" s="8">
        <v>1</v>
      </c>
    </row>
    <row r="2688" spans="1:5" ht="15.75" customHeight="1" x14ac:dyDescent="0.25">
      <c r="A2688" s="6" t="s">
        <v>2662</v>
      </c>
      <c r="B2688" s="6" t="str">
        <f ca="1">IFERROR(__xludf.DUMMYFUNCTION("GOOGLETRANSLATE(A2688,""bn"",""en"")"),"Transaction completed using a mobile payment app")</f>
        <v>Transaction completed using a mobile payment app</v>
      </c>
      <c r="C2688" s="8" t="s">
        <v>13</v>
      </c>
      <c r="D2688" s="8" t="s">
        <v>14</v>
      </c>
      <c r="E2688" s="8">
        <v>1</v>
      </c>
    </row>
    <row r="2689" spans="1:5" ht="15.75" customHeight="1" x14ac:dyDescent="0.25">
      <c r="A2689" s="6" t="s">
        <v>2663</v>
      </c>
      <c r="B2689" s="6" t="str">
        <f ca="1">IFERROR(__xludf.DUMMYFUNCTION("GOOGLETRANSLATE(A2689,""bn"",""en"")"),"Rana came to call me")</f>
        <v>Rana came to call me</v>
      </c>
      <c r="C2689" s="8" t="s">
        <v>13</v>
      </c>
      <c r="D2689" s="8" t="s">
        <v>14</v>
      </c>
      <c r="E2689" s="8">
        <v>1</v>
      </c>
    </row>
    <row r="2690" spans="1:5" ht="15.75" customHeight="1" x14ac:dyDescent="0.25">
      <c r="A2690" s="6" t="s">
        <v>2664</v>
      </c>
      <c r="B2690" s="6" t="str">
        <f ca="1">IFERROR(__xludf.DUMMYFUNCTION("GOOGLETRANSLATE(A2690,""bn"",""en"")"),"He was wounded twice in the war")</f>
        <v>He was wounded twice in the war</v>
      </c>
      <c r="C2690" s="8" t="s">
        <v>13</v>
      </c>
      <c r="D2690" s="8" t="s">
        <v>14</v>
      </c>
      <c r="E2690" s="8">
        <v>1</v>
      </c>
    </row>
    <row r="2691" spans="1:5" ht="15.75" customHeight="1" x14ac:dyDescent="0.25">
      <c r="A2691" s="6" t="s">
        <v>2665</v>
      </c>
      <c r="B2691" s="6" t="str">
        <f ca="1">IFERROR(__xludf.DUMMYFUNCTION("GOOGLETRANSLATE(A2691,""bn"",""en"")"),"It is winter in the village during this time")</f>
        <v>It is winter in the village during this time</v>
      </c>
      <c r="C2691" s="8" t="s">
        <v>13</v>
      </c>
      <c r="D2691" s="8" t="s">
        <v>14</v>
      </c>
      <c r="E2691" s="8">
        <v>1</v>
      </c>
    </row>
    <row r="2692" spans="1:5" ht="15.75" customHeight="1" x14ac:dyDescent="0.25">
      <c r="A2692" s="6" t="s">
        <v>2666</v>
      </c>
      <c r="B2692" s="6" t="str">
        <f ca="1">IFERROR(__xludf.DUMMYFUNCTION("GOOGLETRANSLATE(A2692,""bn"",""en"")"),"This will prove my immense love for everyone")</f>
        <v>This will prove my immense love for everyone</v>
      </c>
      <c r="C2692" s="7" t="s">
        <v>6</v>
      </c>
      <c r="D2692" s="7" t="s">
        <v>7</v>
      </c>
      <c r="E2692" s="7">
        <v>0</v>
      </c>
    </row>
    <row r="2693" spans="1:5" ht="15.75" customHeight="1" x14ac:dyDescent="0.25">
      <c r="A2693" s="6" t="s">
        <v>2667</v>
      </c>
      <c r="B2693" s="6" t="str">
        <f ca="1">IFERROR(__xludf.DUMMYFUNCTION("GOOGLETRANSLATE(A2693,""bn"",""en"")"),"Their young women are smiling fondly at each other's earthen arms.")</f>
        <v>Their young women are smiling fondly at each other's earthen arms.</v>
      </c>
      <c r="C2693" s="7" t="s">
        <v>6</v>
      </c>
      <c r="D2693" s="7" t="s">
        <v>7</v>
      </c>
      <c r="E2693" s="7">
        <v>0</v>
      </c>
    </row>
    <row r="2694" spans="1:5" ht="15.75" customHeight="1" x14ac:dyDescent="0.25">
      <c r="A2694" s="6" t="s">
        <v>2668</v>
      </c>
      <c r="B2694" s="6" t="str">
        <f ca="1">IFERROR(__xludf.DUMMYFUNCTION("GOOGLETRANSLATE(A2694,""bn"",""en"")"),"Mother asked me to go to school")</f>
        <v>Mother asked me to go to school</v>
      </c>
      <c r="C2694" s="7" t="s">
        <v>6</v>
      </c>
      <c r="D2694" s="7" t="s">
        <v>7</v>
      </c>
      <c r="E2694" s="7">
        <v>0</v>
      </c>
    </row>
    <row r="2695" spans="1:5" ht="15.75" customHeight="1" x14ac:dyDescent="0.25">
      <c r="A2695" s="6" t="s">
        <v>2669</v>
      </c>
      <c r="B2695" s="6" t="str">
        <f ca="1">IFERROR(__xludf.DUMMYFUNCTION("GOOGLETRANSLATE(A2695,""bn"",""en"")"),"Fatik jumped up and said I will go")</f>
        <v>Fatik jumped up and said I will go</v>
      </c>
      <c r="C2695" s="7" t="s">
        <v>6</v>
      </c>
      <c r="D2695" s="7" t="s">
        <v>7</v>
      </c>
      <c r="E2695" s="7">
        <v>0</v>
      </c>
    </row>
    <row r="2696" spans="1:5" ht="15.75" customHeight="1" x14ac:dyDescent="0.25">
      <c r="A2696" s="6" t="s">
        <v>2670</v>
      </c>
      <c r="B2696" s="6" t="str">
        <f ca="1">IFERROR(__xludf.DUMMYFUNCTION("GOOGLETRANSLATE(A2696,""bn"",""en"")"),"I am a Brahmin child")</f>
        <v>I am a Brahmin child</v>
      </c>
      <c r="C2696" s="7" t="s">
        <v>6</v>
      </c>
      <c r="D2696" s="7" t="s">
        <v>7</v>
      </c>
      <c r="E2696" s="7">
        <v>0</v>
      </c>
    </row>
    <row r="2697" spans="1:5" ht="15.75" customHeight="1" x14ac:dyDescent="0.25">
      <c r="A2697" s="6" t="s">
        <v>2671</v>
      </c>
      <c r="B2697" s="6" t="str">
        <f ca="1">IFERROR(__xludf.DUMMYFUNCTION("GOOGLETRANSLATE(A2697,""bn"",""en"")"),"The town also had a mosque church for worshipers of different faiths")</f>
        <v>The town also had a mosque church for worshipers of different faiths</v>
      </c>
      <c r="C2697" s="8" t="s">
        <v>13</v>
      </c>
      <c r="D2697" s="8" t="s">
        <v>14</v>
      </c>
      <c r="E2697" s="8">
        <v>1</v>
      </c>
    </row>
    <row r="2698" spans="1:5" ht="15.75" customHeight="1" x14ac:dyDescent="0.25">
      <c r="A2698" s="6" t="s">
        <v>2672</v>
      </c>
      <c r="B2698" s="6" t="str">
        <f ca="1">IFERROR(__xludf.DUMMYFUNCTION("GOOGLETRANSLATE(A2698,""bn"",""en"")"),"Set boundaries to protect your time and energy well-being")</f>
        <v>Set boundaries to protect your time and energy well-being</v>
      </c>
      <c r="C2698" s="8" t="s">
        <v>13</v>
      </c>
      <c r="D2698" s="8" t="s">
        <v>14</v>
      </c>
      <c r="E2698" s="8">
        <v>1</v>
      </c>
    </row>
    <row r="2699" spans="1:5" ht="15.75" customHeight="1" x14ac:dyDescent="0.25">
      <c r="A2699" s="6" t="s">
        <v>2673</v>
      </c>
      <c r="B2699" s="6" t="str">
        <f ca="1">IFERROR(__xludf.DUMMYFUNCTION("GOOGLETRANSLATE(A2699,""bn"",""en"")"),"Share your creative projects")</f>
        <v>Share your creative projects</v>
      </c>
      <c r="C2699" s="8" t="s">
        <v>13</v>
      </c>
      <c r="D2699" s="8" t="s">
        <v>14</v>
      </c>
      <c r="E2699" s="8">
        <v>1</v>
      </c>
    </row>
    <row r="2700" spans="1:5" ht="15.75" customHeight="1" x14ac:dyDescent="0.25">
      <c r="A2700" s="6" t="s">
        <v>2674</v>
      </c>
      <c r="B2700" s="6" t="str">
        <f ca="1">IFERROR(__xludf.DUMMYFUNCTION("GOOGLETRANSLATE(A2700,""bn"",""en"")"),"Bundles of newspapers were thrown onto the platform like clockwork")</f>
        <v>Bundles of newspapers were thrown onto the platform like clockwork</v>
      </c>
      <c r="C2700" s="8" t="s">
        <v>13</v>
      </c>
      <c r="D2700" s="8" t="s">
        <v>14</v>
      </c>
      <c r="E2700" s="8">
        <v>1</v>
      </c>
    </row>
    <row r="2701" spans="1:5" ht="15.75" customHeight="1" x14ac:dyDescent="0.25">
      <c r="A2701" s="6" t="s">
        <v>2675</v>
      </c>
      <c r="B2701" s="6" t="str">
        <f ca="1">IFERROR(__xludf.DUMMYFUNCTION("GOOGLETRANSLATE(A2701,""bn"",""en"")"),"The man with the door open can still be seen")</f>
        <v>The man with the door open can still be seen</v>
      </c>
      <c r="C2701" s="8" t="s">
        <v>13</v>
      </c>
      <c r="D2701" s="8" t="s">
        <v>14</v>
      </c>
      <c r="E2701" s="8">
        <v>1</v>
      </c>
    </row>
    <row r="2702" spans="1:5" ht="15.75" customHeight="1" x14ac:dyDescent="0.25">
      <c r="A2702" s="6" t="s">
        <v>2676</v>
      </c>
      <c r="B2702" s="6" t="str">
        <f ca="1">IFERROR(__xludf.DUMMYFUNCTION("GOOGLETRANSLATE(A2702,""bn"",""en"")"),"Earlier sometimes food was not prepared on time")</f>
        <v>Earlier sometimes food was not prepared on time</v>
      </c>
      <c r="C2702" s="7" t="s">
        <v>6</v>
      </c>
      <c r="D2702" s="7" t="s">
        <v>7</v>
      </c>
      <c r="E2702" s="7">
        <v>0</v>
      </c>
    </row>
    <row r="2703" spans="1:5" ht="15.75" customHeight="1" x14ac:dyDescent="0.25">
      <c r="A2703" s="6" t="s">
        <v>2677</v>
      </c>
      <c r="B2703" s="6" t="str">
        <f ca="1">IFERROR(__xludf.DUMMYFUNCTION("GOOGLETRANSLATE(A2703,""bn"",""en"")"),"All the shops are now closed before the cloudy night deepens")</f>
        <v>All the shops are now closed before the cloudy night deepens</v>
      </c>
      <c r="C2703" s="7" t="s">
        <v>6</v>
      </c>
      <c r="D2703" s="7" t="s">
        <v>7</v>
      </c>
      <c r="E2703" s="7">
        <v>0</v>
      </c>
    </row>
    <row r="2704" spans="1:5" ht="15.75" customHeight="1" x14ac:dyDescent="0.25">
      <c r="A2704" s="6" t="s">
        <v>2678</v>
      </c>
      <c r="B2704" s="6" t="str">
        <f ca="1">IFERROR(__xludf.DUMMYFUNCTION("GOOGLETRANSLATE(A2704,""bn"",""en"")"),"No trace of him was found after searching all around the neighbors' houses")</f>
        <v>No trace of him was found after searching all around the neighbors' houses</v>
      </c>
      <c r="C2704" s="7" t="s">
        <v>6</v>
      </c>
      <c r="D2704" s="7" t="s">
        <v>7</v>
      </c>
      <c r="E2704" s="7">
        <v>0</v>
      </c>
    </row>
    <row r="2705" spans="1:5" ht="15.75" customHeight="1" x14ac:dyDescent="0.25">
      <c r="A2705" s="6" t="s">
        <v>2679</v>
      </c>
      <c r="B2705" s="6" t="str">
        <f ca="1">IFERROR(__xludf.DUMMYFUNCTION("GOOGLETRANSLATE(A2705,""bn"",""en"")"),"As the Rai Choudhuris have a popular reputation in the district for the ritual of idol burial, the Rai Bahadurs have gained a reputation for the burial of widows.")</f>
        <v>As the Rai Choudhuris have a popular reputation in the district for the ritual of idol burial, the Rai Bahadurs have gained a reputation for the burial of widows.</v>
      </c>
      <c r="C2705" s="7" t="s">
        <v>6</v>
      </c>
      <c r="D2705" s="7" t="s">
        <v>7</v>
      </c>
      <c r="E2705" s="7">
        <v>0</v>
      </c>
    </row>
    <row r="2706" spans="1:5" ht="15.75" customHeight="1" x14ac:dyDescent="0.25">
      <c r="A2706" s="6" t="s">
        <v>2680</v>
      </c>
      <c r="B2706" s="6" t="str">
        <f ca="1">IFERROR(__xludf.DUMMYFUNCTION("GOOGLETRANSLATE(A2706,""bn"",""en"")"),"I will take water from any mouth without killing that tiger")</f>
        <v>I will take water from any mouth without killing that tiger</v>
      </c>
      <c r="C2706" s="7" t="s">
        <v>6</v>
      </c>
      <c r="D2706" s="7" t="s">
        <v>7</v>
      </c>
      <c r="E2706" s="7">
        <v>0</v>
      </c>
    </row>
    <row r="2707" spans="1:5" ht="15.75" customHeight="1" x14ac:dyDescent="0.25">
      <c r="A2707" s="6" t="s">
        <v>2681</v>
      </c>
      <c r="B2707" s="6" t="str">
        <f ca="1">IFERROR(__xludf.DUMMYFUNCTION("GOOGLETRANSLATE(A2707,""bn"",""en"")"),"Click to see more photos")</f>
        <v>Click to see more photos</v>
      </c>
      <c r="C2707" s="8" t="s">
        <v>13</v>
      </c>
      <c r="D2707" s="8" t="s">
        <v>14</v>
      </c>
      <c r="E2707" s="8">
        <v>1</v>
      </c>
    </row>
    <row r="2708" spans="1:5" ht="15.75" customHeight="1" x14ac:dyDescent="0.25">
      <c r="A2708" s="6" t="s">
        <v>2682</v>
      </c>
      <c r="B2708" s="6" t="str">
        <f ca="1">IFERROR(__xludf.DUMMYFUNCTION("GOOGLETRANSLATE(A2708,""bn"",""en"")"),"It was through their efforts that the grave drama was staged in the prison")</f>
        <v>It was through their efforts that the grave drama was staged in the prison</v>
      </c>
      <c r="C2708" s="8" t="s">
        <v>13</v>
      </c>
      <c r="D2708" s="8" t="s">
        <v>14</v>
      </c>
      <c r="E2708" s="8">
        <v>1</v>
      </c>
    </row>
    <row r="2709" spans="1:5" ht="15.75" customHeight="1" x14ac:dyDescent="0.25">
      <c r="A2709" s="6" t="s">
        <v>2683</v>
      </c>
      <c r="B2709" s="6" t="str">
        <f ca="1">IFERROR(__xludf.DUMMYFUNCTION("GOOGLETRANSLATE(A2709,""bn"",""en"")"),"Crossing through the dense forest, they moved forward with determination")</f>
        <v>Crossing through the dense forest, they moved forward with determination</v>
      </c>
      <c r="C2709" s="8" t="s">
        <v>13</v>
      </c>
      <c r="D2709" s="8" t="s">
        <v>14</v>
      </c>
      <c r="E2709" s="8">
        <v>1</v>
      </c>
    </row>
    <row r="2710" spans="1:5" ht="15.75" customHeight="1" x14ac:dyDescent="0.25">
      <c r="A2710" s="6" t="s">
        <v>2684</v>
      </c>
      <c r="B2710" s="6" t="str">
        <f ca="1">IFERROR(__xludf.DUMMYFUNCTION("GOOGLETRANSLATE(A2710,""bn"",""en"")"),"Teacher student interaction promotes effective learning outcomes")</f>
        <v>Teacher student interaction promotes effective learning outcomes</v>
      </c>
      <c r="C2710" s="8" t="s">
        <v>13</v>
      </c>
      <c r="D2710" s="8" t="s">
        <v>14</v>
      </c>
      <c r="E2710" s="8">
        <v>1</v>
      </c>
    </row>
    <row r="2711" spans="1:5" ht="15.75" customHeight="1" x14ac:dyDescent="0.25">
      <c r="A2711" s="6" t="s">
        <v>2685</v>
      </c>
      <c r="B2711" s="6" t="str">
        <f ca="1">IFERROR(__xludf.DUMMYFUNCTION("GOOGLETRANSLATE(A2711,""bn"",""en"")"),"The user interface of the software was intuitive and easy to navigate")</f>
        <v>The user interface of the software was intuitive and easy to navigate</v>
      </c>
      <c r="C2711" s="8" t="s">
        <v>13</v>
      </c>
      <c r="D2711" s="8" t="s">
        <v>14</v>
      </c>
      <c r="E2711" s="8">
        <v>1</v>
      </c>
    </row>
    <row r="2712" spans="1:5" ht="15.75" customHeight="1" x14ac:dyDescent="0.25">
      <c r="A2712" s="6" t="s">
        <v>2686</v>
      </c>
      <c r="B2712" s="6" t="str">
        <f ca="1">IFERROR(__xludf.DUMMYFUNCTION("GOOGLETRANSLATE(A2712,""bn"",""en"")"),"They don't have a penny saved")</f>
        <v>They don't have a penny saved</v>
      </c>
      <c r="C2712" s="7" t="s">
        <v>6</v>
      </c>
      <c r="D2712" s="7" t="s">
        <v>7</v>
      </c>
      <c r="E2712" s="7">
        <v>0</v>
      </c>
    </row>
    <row r="2713" spans="1:5" ht="15.75" customHeight="1" x14ac:dyDescent="0.25">
      <c r="A2713" s="6" t="s">
        <v>2687</v>
      </c>
      <c r="B2713" s="6" t="str">
        <f ca="1">IFERROR(__xludf.DUMMYFUNCTION("GOOGLETRANSLATE(A2713,""bn"",""en"")"),"In the morning, he will come to Bakultala and find no doll")</f>
        <v>In the morning, he will come to Bakultala and find no doll</v>
      </c>
      <c r="C2713" s="7" t="s">
        <v>6</v>
      </c>
      <c r="D2713" s="7" t="s">
        <v>7</v>
      </c>
      <c r="E2713" s="7">
        <v>0</v>
      </c>
    </row>
    <row r="2714" spans="1:5" ht="15.75" customHeight="1" x14ac:dyDescent="0.25">
      <c r="A2714" s="6" t="s">
        <v>2688</v>
      </c>
      <c r="B2714" s="6" t="str">
        <f ca="1">IFERROR(__xludf.DUMMYFUNCTION("GOOGLETRANSLATE(A2714,""bn"",""en"")"),"All the mountains and valleys seemed to be covered with thick hair like a cloud.")</f>
        <v>All the mountains and valleys seemed to be covered with thick hair like a cloud.</v>
      </c>
      <c r="C2714" s="7" t="s">
        <v>6</v>
      </c>
      <c r="D2714" s="7" t="s">
        <v>7</v>
      </c>
      <c r="E2714" s="7">
        <v>0</v>
      </c>
    </row>
    <row r="2715" spans="1:5" ht="15.75" customHeight="1" x14ac:dyDescent="0.25">
      <c r="A2715" s="6" t="s">
        <v>2689</v>
      </c>
      <c r="B2715" s="6" t="str">
        <f ca="1">IFERROR(__xludf.DUMMYFUNCTION("GOOGLETRANSLATE(A2715,""bn"",""en"")"),"I understood the matter and folded my bed and gave them their place")</f>
        <v>I understood the matter and folded my bed and gave them their place</v>
      </c>
      <c r="C2715" s="7" t="s">
        <v>6</v>
      </c>
      <c r="D2715" s="7" t="s">
        <v>7</v>
      </c>
      <c r="E2715" s="7">
        <v>0</v>
      </c>
    </row>
    <row r="2716" spans="1:5" ht="15.75" customHeight="1" x14ac:dyDescent="0.25">
      <c r="A2716" s="6" t="s">
        <v>2690</v>
      </c>
      <c r="B2716" s="6" t="str">
        <f ca="1">IFERROR(__xludf.DUMMYFUNCTION("GOOGLETRANSLATE(A2716,""bn"",""en"")"),"Drops of water started to fall, even though the speed of the storm slowed down, it did not stop")</f>
        <v>Drops of water started to fall, even though the speed of the storm slowed down, it did not stop</v>
      </c>
      <c r="C2716" s="7" t="s">
        <v>6</v>
      </c>
      <c r="D2716" s="7" t="s">
        <v>7</v>
      </c>
      <c r="E2716" s="7">
        <v>0</v>
      </c>
    </row>
    <row r="2717" spans="1:5" ht="15.75" customHeight="1" x14ac:dyDescent="0.25">
      <c r="A2717" s="6" t="s">
        <v>2691</v>
      </c>
      <c r="B2717" s="6" t="str">
        <f ca="1">IFERROR(__xludf.DUMMYFUNCTION("GOOGLETRANSLATE(A2717,""bn"",""en"")"),"Sathiya has won six Filmfare Awards")</f>
        <v>Sathiya has won six Filmfare Awards</v>
      </c>
      <c r="C2717" s="8" t="s">
        <v>13</v>
      </c>
      <c r="D2717" s="8" t="s">
        <v>14</v>
      </c>
      <c r="E2717" s="8">
        <v>1</v>
      </c>
    </row>
    <row r="2718" spans="1:5" ht="15.75" customHeight="1" x14ac:dyDescent="0.25">
      <c r="A2718" s="6" t="s">
        <v>2692</v>
      </c>
      <c r="B2718" s="6" t="str">
        <f ca="1">IFERROR(__xludf.DUMMYFUNCTION("GOOGLETRANSLATE(A2718,""bn"",""en"")"),"I am earning in honest way")</f>
        <v>I am earning in honest way</v>
      </c>
      <c r="C2718" s="8" t="s">
        <v>13</v>
      </c>
      <c r="D2718" s="8" t="s">
        <v>14</v>
      </c>
      <c r="E2718" s="8">
        <v>1</v>
      </c>
    </row>
    <row r="2719" spans="1:5" ht="15.75" customHeight="1" x14ac:dyDescent="0.25">
      <c r="A2719" s="6" t="s">
        <v>2693</v>
      </c>
      <c r="B2719" s="6" t="str">
        <f ca="1">IFERROR(__xludf.DUMMYFUNCTION("GOOGLETRANSLATE(A2719,""bn"",""en"")"),"He was imprisoned twice for political reasons")</f>
        <v>He was imprisoned twice for political reasons</v>
      </c>
      <c r="C2719" s="8" t="s">
        <v>13</v>
      </c>
      <c r="D2719" s="8" t="s">
        <v>14</v>
      </c>
      <c r="E2719" s="8">
        <v>1</v>
      </c>
    </row>
    <row r="2720" spans="1:5" ht="15.75" customHeight="1" x14ac:dyDescent="0.25">
      <c r="A2720" s="6" t="s">
        <v>2694</v>
      </c>
      <c r="B2720" s="6" t="str">
        <f ca="1">IFERROR(__xludf.DUMMYFUNCTION("GOOGLETRANSLATE(A2720,""bn"",""en"")"),"Anyone can do that success is just a matter of time")</f>
        <v>Anyone can do that success is just a matter of time</v>
      </c>
      <c r="C2720" s="8" t="s">
        <v>13</v>
      </c>
      <c r="D2720" s="8" t="s">
        <v>14</v>
      </c>
      <c r="E2720" s="8">
        <v>1</v>
      </c>
    </row>
    <row r="2721" spans="1:5" ht="15.75" customHeight="1" x14ac:dyDescent="0.25">
      <c r="A2721" s="6" t="s">
        <v>2695</v>
      </c>
      <c r="B2721" s="6" t="str">
        <f ca="1">IFERROR(__xludf.DUMMYFUNCTION("GOOGLETRANSLATE(A2721,""bn"",""en"")"),"Investigative journalists often face obstacles in pursuing their stories")</f>
        <v>Investigative journalists often face obstacles in pursuing their stories</v>
      </c>
      <c r="C2721" s="8" t="s">
        <v>13</v>
      </c>
      <c r="D2721" s="8" t="s">
        <v>14</v>
      </c>
      <c r="E2721" s="8">
        <v>1</v>
      </c>
    </row>
    <row r="2722" spans="1:5" ht="15.75" customHeight="1" x14ac:dyDescent="0.25">
      <c r="A2722" s="6" t="s">
        <v>2696</v>
      </c>
      <c r="B2722" s="6" t="str">
        <f ca="1">IFERROR(__xludf.DUMMYFUNCTION("GOOGLETRANSLATE(A2722,""bn"",""en"")"),"At the end of the evening, I returned to the tent")</f>
        <v>At the end of the evening, I returned to the tent</v>
      </c>
      <c r="C2722" s="7" t="s">
        <v>6</v>
      </c>
      <c r="D2722" s="7" t="s">
        <v>7</v>
      </c>
      <c r="E2722" s="7">
        <v>0</v>
      </c>
    </row>
    <row r="2723" spans="1:5" ht="15.75" customHeight="1" x14ac:dyDescent="0.25">
      <c r="A2723" s="6" t="s">
        <v>2697</v>
      </c>
      <c r="B2723" s="6" t="str">
        <f ca="1">IFERROR(__xludf.DUMMYFUNCTION("GOOGLETRANSLATE(A2723,""bn"",""en"")"),"I have sat down to write about Palamour again")</f>
        <v>I have sat down to write about Palamour again</v>
      </c>
      <c r="C2723" s="7" t="s">
        <v>6</v>
      </c>
      <c r="D2723" s="7" t="s">
        <v>7</v>
      </c>
      <c r="E2723" s="7">
        <v>0</v>
      </c>
    </row>
    <row r="2724" spans="1:5" ht="15.75" customHeight="1" x14ac:dyDescent="0.25">
      <c r="A2724" s="6" t="s">
        <v>2698</v>
      </c>
      <c r="B2724" s="6" t="str">
        <f ca="1">IFERROR(__xludf.DUMMYFUNCTION("GOOGLETRANSLATE(A2724,""bn"",""en"")"),"After completing his college work, he started wandering around Goldighi")</f>
        <v>After completing his college work, he started wandering around Goldighi</v>
      </c>
      <c r="C2724" s="7" t="s">
        <v>6</v>
      </c>
      <c r="D2724" s="7" t="s">
        <v>7</v>
      </c>
      <c r="E2724" s="7">
        <v>0</v>
      </c>
    </row>
    <row r="2725" spans="1:5" ht="15.75" customHeight="1" x14ac:dyDescent="0.25">
      <c r="A2725" s="6" t="s">
        <v>2699</v>
      </c>
      <c r="B2725" s="6" t="str">
        <f ca="1">IFERROR(__xludf.DUMMYFUNCTION("GOOGLETRANSLATE(A2725,""bn"",""en"")"),"The two of them caught hold of Haru and carefully brought him down to the boat")</f>
        <v>The two of them caught hold of Haru and carefully brought him down to the boat</v>
      </c>
      <c r="C2725" s="7" t="s">
        <v>6</v>
      </c>
      <c r="D2725" s="7" t="s">
        <v>7</v>
      </c>
      <c r="E2725" s="7">
        <v>0</v>
      </c>
    </row>
    <row r="2726" spans="1:5" ht="15.75" customHeight="1" x14ac:dyDescent="0.25">
      <c r="A2726" s="6" t="s">
        <v>2700</v>
      </c>
      <c r="B2726" s="6" t="str">
        <f ca="1">IFERROR(__xludf.DUMMYFUNCTION("GOOGLETRANSLATE(A2726,""bn"",""en"")"),"Hearing this, Mini smiled greatly imagining the plight of an unknown creature called father-in-law")</f>
        <v>Hearing this, Mini smiled greatly imagining the plight of an unknown creature called father-in-law</v>
      </c>
      <c r="C2726" s="7" t="s">
        <v>6</v>
      </c>
      <c r="D2726" s="7" t="s">
        <v>7</v>
      </c>
      <c r="E2726" s="7">
        <v>0</v>
      </c>
    </row>
    <row r="2727" spans="1:5" ht="15.75" customHeight="1" x14ac:dyDescent="0.25">
      <c r="A2727" s="6" t="s">
        <v>2701</v>
      </c>
      <c r="B2727" s="6" t="str">
        <f ca="1">IFERROR(__xludf.DUMMYFUNCTION("GOOGLETRANSLATE(A2727,""bn"",""en"")"),"In that previous place or at the elbow")</f>
        <v>In that previous place or at the elbow</v>
      </c>
      <c r="C2727" s="8" t="s">
        <v>13</v>
      </c>
      <c r="D2727" s="8" t="s">
        <v>14</v>
      </c>
      <c r="E2727" s="8">
        <v>1</v>
      </c>
    </row>
    <row r="2728" spans="1:5" ht="15.75" customHeight="1" x14ac:dyDescent="0.25">
      <c r="A2728" s="6" t="s">
        <v>2702</v>
      </c>
      <c r="B2728" s="6" t="str">
        <f ca="1">IFERROR(__xludf.DUMMYFUNCTION("GOOGLETRANSLATE(A2728,""bn"",""en"")"),"Agricultural diversification can increase farm resilience against market fluctuations or climate risks")</f>
        <v>Agricultural diversification can increase farm resilience against market fluctuations or climate risks</v>
      </c>
      <c r="C2728" s="8" t="s">
        <v>13</v>
      </c>
      <c r="D2728" s="8" t="s">
        <v>14</v>
      </c>
      <c r="E2728" s="8">
        <v>1</v>
      </c>
    </row>
    <row r="2729" spans="1:5" ht="15.75" customHeight="1" x14ac:dyDescent="0.25">
      <c r="A2729" s="6" t="s">
        <v>2703</v>
      </c>
      <c r="B2729" s="6" t="str">
        <f ca="1">IFERROR(__xludf.DUMMYFUNCTION("GOOGLETRANSLATE(A2729,""bn"",""en"")"),"Kara Sikhs are special brackets for reading on the right hand")</f>
        <v>Kara Sikhs are special brackets for reading on the right hand</v>
      </c>
      <c r="C2729" s="8" t="s">
        <v>13</v>
      </c>
      <c r="D2729" s="8" t="s">
        <v>14</v>
      </c>
      <c r="E2729" s="8">
        <v>1</v>
      </c>
    </row>
    <row r="2730" spans="1:5" ht="15.75" customHeight="1" x14ac:dyDescent="0.25">
      <c r="A2730" s="6" t="s">
        <v>2704</v>
      </c>
      <c r="B2730" s="6" t="str">
        <f ca="1">IFERROR(__xludf.DUMMYFUNCTION("GOOGLETRANSLATE(A2730,""bn"",""en"")"),"Scaling perilous cliffs they climbed to giddy heights with nerves of steel")</f>
        <v>Scaling perilous cliffs they climbed to giddy heights with nerves of steel</v>
      </c>
      <c r="C2730" s="8" t="s">
        <v>13</v>
      </c>
      <c r="D2730" s="8" t="s">
        <v>14</v>
      </c>
      <c r="E2730" s="8">
        <v>1</v>
      </c>
    </row>
    <row r="2731" spans="1:5" ht="15.75" customHeight="1" x14ac:dyDescent="0.25">
      <c r="A2731" s="6" t="s">
        <v>2705</v>
      </c>
      <c r="B2731" s="6" t="str">
        <f ca="1">IFERROR(__xludf.DUMMYFUNCTION("GOOGLETRANSLATE(A2731,""bn"",""en"")"),"This book was a page turner I couldn't put it down")</f>
        <v>This book was a page turner I couldn't put it down</v>
      </c>
      <c r="C2731" s="8" t="s">
        <v>13</v>
      </c>
      <c r="D2731" s="8" t="s">
        <v>14</v>
      </c>
      <c r="E2731" s="8">
        <v>1</v>
      </c>
    </row>
    <row r="2732" spans="1:5" ht="15.75" customHeight="1" x14ac:dyDescent="0.25">
      <c r="A2732" s="6" t="s">
        <v>2706</v>
      </c>
      <c r="B2732" s="6" t="str">
        <f ca="1">IFERROR(__xludf.DUMMYFUNCTION("GOOGLETRANSLATE(A2732,""bn"",""en"")"),"By doing this, the Shraddha could only be heard at the Rai Bahadur's house.")</f>
        <v>By doing this, the Shraddha could only be heard at the Rai Bahadur's house.</v>
      </c>
      <c r="C2732" s="7" t="s">
        <v>6</v>
      </c>
      <c r="D2732" s="7" t="s">
        <v>7</v>
      </c>
      <c r="E2732" s="7">
        <v>0</v>
      </c>
    </row>
    <row r="2733" spans="1:5" ht="15.75" customHeight="1" x14ac:dyDescent="0.25">
      <c r="A2733" s="6" t="s">
        <v>2707</v>
      </c>
      <c r="B2733" s="6" t="str">
        <f ca="1">IFERROR(__xludf.DUMMYFUNCTION("GOOGLETRANSLATE(A2733,""bn"",""en"")"),"Like a ghost story in a dark night, he was constantly being pushed and pulled by one hand")</f>
        <v>Like a ghost story in a dark night, he was constantly being pushed and pulled by one hand</v>
      </c>
      <c r="C2733" s="7" t="s">
        <v>6</v>
      </c>
      <c r="D2733" s="7" t="s">
        <v>7</v>
      </c>
      <c r="E2733" s="7">
        <v>0</v>
      </c>
    </row>
    <row r="2734" spans="1:5" ht="15.75" customHeight="1" x14ac:dyDescent="0.25">
      <c r="A2734" s="6" t="s">
        <v>2708</v>
      </c>
      <c r="B2734" s="6" t="str">
        <f ca="1">IFERROR(__xludf.DUMMYFUNCTION("GOOGLETRANSLATE(A2734,""bn"",""en"")"),"He was dismayed to see such eagerness for Fatik's departure")</f>
        <v>He was dismayed to see such eagerness for Fatik's departure</v>
      </c>
      <c r="C2734" s="7" t="s">
        <v>6</v>
      </c>
      <c r="D2734" s="7" t="s">
        <v>7</v>
      </c>
      <c r="E2734" s="7">
        <v>0</v>
      </c>
    </row>
    <row r="2735" spans="1:5" ht="15.75" customHeight="1" x14ac:dyDescent="0.25">
      <c r="A2735" s="6" t="s">
        <v>2709</v>
      </c>
      <c r="B2735" s="6" t="str">
        <f ca="1">IFERROR(__xludf.DUMMYFUNCTION("GOOGLETRANSLATE(A2735,""bn"",""en"")"),"I loved one of them")</f>
        <v>I loved one of them</v>
      </c>
      <c r="C2735" s="7" t="s">
        <v>6</v>
      </c>
      <c r="D2735" s="7" t="s">
        <v>7</v>
      </c>
      <c r="E2735" s="7">
        <v>0</v>
      </c>
    </row>
    <row r="2736" spans="1:5" ht="15.75" customHeight="1" x14ac:dyDescent="0.25">
      <c r="A2736" s="6" t="s">
        <v>2710</v>
      </c>
      <c r="B2736" s="6" t="str">
        <f ca="1">IFERROR(__xludf.DUMMYFUNCTION("GOOGLETRANSLATE(A2736,""bn"",""en"")"),"A person who wants to come to that ghat")</f>
        <v>A person who wants to come to that ghat</v>
      </c>
      <c r="C2736" s="7" t="s">
        <v>6</v>
      </c>
      <c r="D2736" s="7" t="s">
        <v>7</v>
      </c>
      <c r="E2736" s="7">
        <v>0</v>
      </c>
    </row>
    <row r="2737" spans="1:5" ht="15.75" customHeight="1" x14ac:dyDescent="0.25">
      <c r="A2737" s="6" t="s">
        <v>2711</v>
      </c>
      <c r="B2737" s="6" t="str">
        <f ca="1">IFERROR(__xludf.DUMMYFUNCTION("GOOGLETRANSLATE(A2737,""bn"",""en"")"),"Collecting vinyl records is nostalgic")</f>
        <v>Collecting vinyl records is nostalgic</v>
      </c>
      <c r="C2737" s="8" t="s">
        <v>13</v>
      </c>
      <c r="D2737" s="8" t="s">
        <v>14</v>
      </c>
      <c r="E2737" s="8">
        <v>1</v>
      </c>
    </row>
    <row r="2738" spans="1:5" ht="15.75" customHeight="1" x14ac:dyDescent="0.25">
      <c r="A2738" s="6" t="s">
        <v>2712</v>
      </c>
      <c r="B2738" s="6" t="str">
        <f ca="1">IFERROR(__xludf.DUMMYFUNCTION("GOOGLETRANSLATE(A2738,""bn"",""en"")"),"I went with him to the market to buy his favorite book")</f>
        <v>I went with him to the market to buy his favorite book</v>
      </c>
      <c r="C2738" s="8" t="s">
        <v>13</v>
      </c>
      <c r="D2738" s="8" t="s">
        <v>14</v>
      </c>
      <c r="E2738" s="8">
        <v>1</v>
      </c>
    </row>
    <row r="2739" spans="1:5" ht="15.75" customHeight="1" x14ac:dyDescent="0.25">
      <c r="A2739" s="6" t="s">
        <v>2713</v>
      </c>
      <c r="B2739" s="6" t="str">
        <f ca="1">IFERROR(__xludf.DUMMYFUNCTION("GOOGLETRANSLATE(A2739,""bn"",""en"")"),"Shabana's younger aunt was his favorite bride")</f>
        <v>Shabana's younger aunt was his favorite bride</v>
      </c>
      <c r="C2739" s="8" t="s">
        <v>13</v>
      </c>
      <c r="D2739" s="8" t="s">
        <v>14</v>
      </c>
      <c r="E2739" s="8">
        <v>1</v>
      </c>
    </row>
    <row r="2740" spans="1:5" ht="15.75" customHeight="1" x14ac:dyDescent="0.25">
      <c r="A2740" s="6" t="s">
        <v>2714</v>
      </c>
      <c r="B2740" s="6" t="str">
        <f ca="1">IFERROR(__xludf.DUMMYFUNCTION("GOOGLETRANSLATE(A2740,""bn"",""en"")"),"Rana will stay with Rahim")</f>
        <v>Rana will stay with Rahim</v>
      </c>
      <c r="C2740" s="8" t="s">
        <v>13</v>
      </c>
      <c r="D2740" s="8" t="s">
        <v>14</v>
      </c>
      <c r="E2740" s="8">
        <v>1</v>
      </c>
    </row>
    <row r="2741" spans="1:5" ht="15.75" customHeight="1" x14ac:dyDescent="0.25">
      <c r="A2741" s="6" t="s">
        <v>2715</v>
      </c>
      <c r="B2741" s="6" t="str">
        <f ca="1">IFERROR(__xludf.DUMMYFUNCTION("GOOGLETRANSLATE(A2741,""bn"",""en"")"),"Armin Maivas was later arrested")</f>
        <v>Armin Maivas was later arrested</v>
      </c>
      <c r="C2741" s="8" t="s">
        <v>13</v>
      </c>
      <c r="D2741" s="8" t="s">
        <v>14</v>
      </c>
      <c r="E2741" s="8">
        <v>1</v>
      </c>
    </row>
    <row r="2742" spans="1:5" ht="15.75" customHeight="1" x14ac:dyDescent="0.25">
      <c r="A2742" s="6" t="s">
        <v>2716</v>
      </c>
      <c r="B2742" s="6" t="str">
        <f ca="1">IFERROR(__xludf.DUMMYFUNCTION("GOOGLETRANSLATE(A2742,""bn"",""en"")"),"That's the end of Latehar Hill")</f>
        <v>That's the end of Latehar Hill</v>
      </c>
      <c r="C2742" s="7" t="s">
        <v>6</v>
      </c>
      <c r="D2742" s="7" t="s">
        <v>7</v>
      </c>
      <c r="E2742" s="7">
        <v>0</v>
      </c>
    </row>
    <row r="2743" spans="1:5" ht="15.75" customHeight="1" x14ac:dyDescent="0.25">
      <c r="A2743" s="6" t="s">
        <v>2717</v>
      </c>
      <c r="B2743" s="6" t="str">
        <f ca="1">IFERROR(__xludf.DUMMYFUNCTION("GOOGLETRANSLATE(A2743,""bn"",""en"")"),"At the start of the game, the other boys were particularly impressed by such an unexpected result, but some of them were upset.")</f>
        <v>At the start of the game, the other boys were particularly impressed by such an unexpected result, but some of them were upset.</v>
      </c>
      <c r="C2743" s="7" t="s">
        <v>6</v>
      </c>
      <c r="D2743" s="7" t="s">
        <v>7</v>
      </c>
      <c r="E2743" s="7">
        <v>0</v>
      </c>
    </row>
    <row r="2744" spans="1:5" ht="15.75" customHeight="1" x14ac:dyDescent="0.25">
      <c r="A2744" s="6" t="s">
        <v>2718</v>
      </c>
      <c r="B2744" s="6" t="str">
        <f ca="1">IFERROR(__xludf.DUMMYFUNCTION("GOOGLETRANSLATE(A2744,""bn"",""en"")"),"After that we went some distance and started climbing the hill")</f>
        <v>After that we went some distance and started climbing the hill</v>
      </c>
      <c r="C2744" s="7" t="s">
        <v>6</v>
      </c>
      <c r="D2744" s="7" t="s">
        <v>7</v>
      </c>
      <c r="E2744" s="7">
        <v>0</v>
      </c>
    </row>
    <row r="2745" spans="1:5" ht="15.75" customHeight="1" x14ac:dyDescent="0.25">
      <c r="A2745" s="6" t="s">
        <v>2719</v>
      </c>
      <c r="B2745" s="6" t="str">
        <f ca="1">IFERROR(__xludf.DUMMYFUNCTION("GOOGLETRANSLATE(A2745,""bn"",""en"")"),"He stopped telling his luchikhaa story and asked, ""Do you hear me?""")</f>
        <v>He stopped telling his luchikhaa story and asked, "Do you hear me?"</v>
      </c>
      <c r="C2745" s="7" t="s">
        <v>6</v>
      </c>
      <c r="D2745" s="7" t="s">
        <v>7</v>
      </c>
      <c r="E2745" s="7">
        <v>0</v>
      </c>
    </row>
    <row r="2746" spans="1:5" ht="15.75" customHeight="1" x14ac:dyDescent="0.25">
      <c r="A2746" s="6" t="s">
        <v>2720</v>
      </c>
      <c r="B2746" s="6" t="str">
        <f ca="1">IFERROR(__xludf.DUMMYFUNCTION("GOOGLETRANSLATE(A2746,""bn"",""en"")"),"I could not afford to leave Sachish")</f>
        <v>I could not afford to leave Sachish</v>
      </c>
      <c r="C2746" s="7" t="s">
        <v>6</v>
      </c>
      <c r="D2746" s="7" t="s">
        <v>7</v>
      </c>
      <c r="E2746" s="7">
        <v>0</v>
      </c>
    </row>
    <row r="2747" spans="1:5" ht="15.75" customHeight="1" x14ac:dyDescent="0.25">
      <c r="A2747" s="6" t="s">
        <v>2721</v>
      </c>
      <c r="B2747" s="6" t="str">
        <f ca="1">IFERROR(__xludf.DUMMYFUNCTION("GOOGLETRANSLATE(A2747,""bn"",""en"")"),"Total number of people who have won the Nobel Prize since here")</f>
        <v>Total number of people who have won the Nobel Prize since here</v>
      </c>
      <c r="C2747" s="8" t="s">
        <v>13</v>
      </c>
      <c r="D2747" s="8" t="s">
        <v>14</v>
      </c>
      <c r="E2747" s="8">
        <v>1</v>
      </c>
    </row>
    <row r="2748" spans="1:5" ht="15.75" customHeight="1" x14ac:dyDescent="0.25">
      <c r="A2748" s="6" t="s">
        <v>2722</v>
      </c>
      <c r="B2748" s="6" t="str">
        <f ca="1">IFERROR(__xludf.DUMMYFUNCTION("GOOGLETRANSLATE(A2748,""bn"",""en"")"),"This trend of communal unity continued in later years as well")</f>
        <v>This trend of communal unity continued in later years as well</v>
      </c>
      <c r="C2748" s="8" t="s">
        <v>13</v>
      </c>
      <c r="D2748" s="8" t="s">
        <v>14</v>
      </c>
      <c r="E2748" s="8">
        <v>1</v>
      </c>
    </row>
    <row r="2749" spans="1:5" ht="15.75" customHeight="1" x14ac:dyDescent="0.25">
      <c r="A2749" s="6" t="s">
        <v>2723</v>
      </c>
      <c r="B2749" s="6" t="str">
        <f ca="1">IFERROR(__xludf.DUMMYFUNCTION("GOOGLETRANSLATE(A2749,""bn"",""en"")"),"Unexpected news can shock me")</f>
        <v>Unexpected news can shock me</v>
      </c>
      <c r="C2749" s="8" t="s">
        <v>13</v>
      </c>
      <c r="D2749" s="8" t="s">
        <v>14</v>
      </c>
      <c r="E2749" s="8">
        <v>1</v>
      </c>
    </row>
    <row r="2750" spans="1:5" ht="15.75" customHeight="1" x14ac:dyDescent="0.25">
      <c r="A2750" s="6" t="s">
        <v>2724</v>
      </c>
      <c r="B2750" s="6" t="str">
        <f ca="1">IFERROR(__xludf.DUMMYFUNCTION("GOOGLETRANSLATE(A2750,""bn"",""en"")"),"The receptionist answered the phone call to schedule the appointment")</f>
        <v>The receptionist answered the phone call to schedule the appointment</v>
      </c>
      <c r="C2750" s="8" t="s">
        <v>13</v>
      </c>
      <c r="D2750" s="8" t="s">
        <v>14</v>
      </c>
      <c r="E2750" s="8">
        <v>1</v>
      </c>
    </row>
    <row r="2751" spans="1:5" ht="15.75" customHeight="1" x14ac:dyDescent="0.25">
      <c r="A2751" s="6" t="s">
        <v>2725</v>
      </c>
      <c r="B2751" s="6" t="str">
        <f ca="1">IFERROR(__xludf.DUMMYFUNCTION("GOOGLETRANSLATE(A2751,""bn"",""en"")"),"A blanket of snow covered the ground transforming the landscape into a winter wonderland")</f>
        <v>A blanket of snow covered the ground transforming the landscape into a winter wonderland</v>
      </c>
      <c r="C2751" s="8" t="s">
        <v>13</v>
      </c>
      <c r="D2751" s="8" t="s">
        <v>14</v>
      </c>
      <c r="E2751" s="8">
        <v>1</v>
      </c>
    </row>
    <row r="2752" spans="1:5" ht="15.75" customHeight="1" x14ac:dyDescent="0.25">
      <c r="A2752" s="6" t="s">
        <v>2726</v>
      </c>
      <c r="B2752" s="6" t="str">
        <f ca="1">IFERROR(__xludf.DUMMYFUNCTION("GOOGLETRANSLATE(A2752,""bn"",""en"")"),"At first he read the news with a smile")</f>
        <v>At first he read the news with a smile</v>
      </c>
      <c r="C2752" s="7" t="s">
        <v>6</v>
      </c>
      <c r="D2752" s="7" t="s">
        <v>7</v>
      </c>
      <c r="E2752" s="7">
        <v>0</v>
      </c>
    </row>
    <row r="2753" spans="1:5" ht="15.75" customHeight="1" x14ac:dyDescent="0.25">
      <c r="A2753" s="6" t="s">
        <v>2727</v>
      </c>
      <c r="B2753" s="6" t="str">
        <f ca="1">IFERROR(__xludf.DUMMYFUNCTION("GOOGLETRANSLATE(A2753,""bn"",""en"")"),"It is not wrong to say that the demon family has been destroyed in the current situation")</f>
        <v>It is not wrong to say that the demon family has been destroyed in the current situation</v>
      </c>
      <c r="C2753" s="7" t="s">
        <v>6</v>
      </c>
      <c r="D2753" s="7" t="s">
        <v>7</v>
      </c>
      <c r="E2753" s="7">
        <v>0</v>
      </c>
    </row>
    <row r="2754" spans="1:5" ht="15.75" customHeight="1" x14ac:dyDescent="0.25">
      <c r="A2754" s="6" t="s">
        <v>2728</v>
      </c>
      <c r="B2754" s="6" t="str">
        <f ca="1">IFERROR(__xludf.DUMMYFUNCTION("GOOGLETRANSLATE(A2754,""bn"",""en"")"),"The pitiful face of a little country girl seemed to express a great unspoken sorrow in the world.")</f>
        <v>The pitiful face of a little country girl seemed to express a great unspoken sorrow in the world.</v>
      </c>
      <c r="C2754" s="7" t="s">
        <v>6</v>
      </c>
      <c r="D2754" s="7" t="s">
        <v>7</v>
      </c>
      <c r="E2754" s="7">
        <v>0</v>
      </c>
    </row>
    <row r="2755" spans="1:5" ht="15.75" customHeight="1" x14ac:dyDescent="0.25">
      <c r="A2755" s="6" t="s">
        <v>2729</v>
      </c>
      <c r="B2755" s="6" t="str">
        <f ca="1">IFERROR(__xludf.DUMMYFUNCTION("GOOGLETRANSLATE(A2755,""bn"",""en"")"),"Azan will not be played")</f>
        <v>Azan will not be played</v>
      </c>
      <c r="C2755" s="7" t="s">
        <v>6</v>
      </c>
      <c r="D2755" s="7" t="s">
        <v>7</v>
      </c>
      <c r="E2755" s="7">
        <v>0</v>
      </c>
    </row>
    <row r="2756" spans="1:5" ht="15.75" customHeight="1" x14ac:dyDescent="0.25">
      <c r="A2756" s="6" t="s">
        <v>2730</v>
      </c>
      <c r="B2756" s="6" t="str">
        <f ca="1">IFERROR(__xludf.DUMMYFUNCTION("GOOGLETRANSLATE(A2756,""bn"",""en"")"),"I can understand that feeling")</f>
        <v>I can understand that feeling</v>
      </c>
      <c r="C2756" s="7" t="s">
        <v>6</v>
      </c>
      <c r="D2756" s="7" t="s">
        <v>7</v>
      </c>
      <c r="E2756" s="7">
        <v>0</v>
      </c>
    </row>
    <row r="2757" spans="1:5" ht="15.75" customHeight="1" x14ac:dyDescent="0.25">
      <c r="A2757" s="6" t="s">
        <v>2731</v>
      </c>
      <c r="B2757" s="6" t="str">
        <f ca="1">IFERROR(__xludf.DUMMYFUNCTION("GOOGLETRANSLATE(A2757,""bn"",""en"")"),"I asked Suman to eat")</f>
        <v>I asked Suman to eat</v>
      </c>
      <c r="C2757" s="8" t="s">
        <v>13</v>
      </c>
      <c r="D2757" s="8" t="s">
        <v>14</v>
      </c>
      <c r="E2757" s="8">
        <v>1</v>
      </c>
    </row>
    <row r="2758" spans="1:5" ht="15.75" customHeight="1" x14ac:dyDescent="0.25">
      <c r="A2758" s="6" t="s">
        <v>2732</v>
      </c>
      <c r="B2758" s="6" t="str">
        <f ca="1">IFERROR(__xludf.DUMMYFUNCTION("GOOGLETRANSLATE(A2758,""bn"",""en"")"),"Dhaka is the land of shadow people")</f>
        <v>Dhaka is the land of shadow people</v>
      </c>
      <c r="C2758" s="8" t="s">
        <v>13</v>
      </c>
      <c r="D2758" s="8" t="s">
        <v>14</v>
      </c>
      <c r="E2758" s="8">
        <v>1</v>
      </c>
    </row>
    <row r="2759" spans="1:5" ht="15.75" customHeight="1" x14ac:dyDescent="0.25">
      <c r="A2759" s="6" t="s">
        <v>2733</v>
      </c>
      <c r="B2759" s="6" t="str">
        <f ca="1">IFERROR(__xludf.DUMMYFUNCTION("GOOGLETRANSLATE(A2759,""bn"",""en"")"),"Green came to me asking for the ball")</f>
        <v>Green came to me asking for the ball</v>
      </c>
      <c r="C2759" s="8" t="s">
        <v>13</v>
      </c>
      <c r="D2759" s="8" t="s">
        <v>14</v>
      </c>
      <c r="E2759" s="8">
        <v>1</v>
      </c>
    </row>
    <row r="2760" spans="1:5" ht="15.75" customHeight="1" x14ac:dyDescent="0.25">
      <c r="A2760" s="6" t="s">
        <v>2734</v>
      </c>
      <c r="B2760" s="6" t="str">
        <f ca="1">IFERROR(__xludf.DUMMYFUNCTION("GOOGLETRANSLATE(A2760,""bn"",""en"")"),"Agricultural chemical residues in food are regulated to ensure consumer safety environmental protection")</f>
        <v>Agricultural chemical residues in food are regulated to ensure consumer safety environmental protection</v>
      </c>
      <c r="C2760" s="8" t="s">
        <v>13</v>
      </c>
      <c r="D2760" s="8" t="s">
        <v>14</v>
      </c>
      <c r="E2760" s="8">
        <v>1</v>
      </c>
    </row>
    <row r="2761" spans="1:5" ht="15.75" customHeight="1" x14ac:dyDescent="0.25">
      <c r="A2761" s="6" t="s">
        <v>2735</v>
      </c>
      <c r="B2761" s="6" t="str">
        <f ca="1">IFERROR(__xludf.DUMMYFUNCTION("GOOGLETRANSLATE(A2761,""bn"",""en"")"),"Consistency always trumps intensity")</f>
        <v>Consistency always trumps intensity</v>
      </c>
      <c r="C2761" s="8" t="s">
        <v>13</v>
      </c>
      <c r="D2761" s="8" t="s">
        <v>14</v>
      </c>
      <c r="E2761" s="8">
        <v>1</v>
      </c>
    </row>
    <row r="2762" spans="1:5" ht="15.75" customHeight="1" x14ac:dyDescent="0.25">
      <c r="A2762" s="6" t="s">
        <v>2736</v>
      </c>
      <c r="B2762" s="6" t="str">
        <f ca="1">IFERROR(__xludf.DUMMYFUNCTION("GOOGLETRANSLATE(A2762,""bn"",""en"")"),"An idea has come to say to Abbajan, Master has called")</f>
        <v>An idea has come to say to Abbajan, Master has called</v>
      </c>
      <c r="C2762" s="7" t="s">
        <v>6</v>
      </c>
      <c r="D2762" s="7" t="s">
        <v>7</v>
      </c>
      <c r="E2762" s="7">
        <v>0</v>
      </c>
    </row>
    <row r="2763" spans="1:5" ht="15.75" customHeight="1" x14ac:dyDescent="0.25">
      <c r="A2763" s="6" t="s">
        <v>2737</v>
      </c>
      <c r="B2763" s="6" t="str">
        <f ca="1">IFERROR(__xludf.DUMMYFUNCTION("GOOGLETRANSLATE(A2763,""bn"",""en"")"),"I finished my studies before going to school")</f>
        <v>I finished my studies before going to school</v>
      </c>
      <c r="C2763" s="7" t="s">
        <v>6</v>
      </c>
      <c r="D2763" s="7" t="s">
        <v>7</v>
      </c>
      <c r="E2763" s="7">
        <v>0</v>
      </c>
    </row>
    <row r="2764" spans="1:5" ht="15.75" customHeight="1" x14ac:dyDescent="0.25">
      <c r="A2764" s="6" t="s">
        <v>2738</v>
      </c>
      <c r="B2764" s="6" t="str">
        <f ca="1">IFERROR(__xludf.DUMMYFUNCTION("GOOGLETRANSLATE(A2764,""bn"",""en"")"),"Bunchi listens silently and does not say the word, does not agree, does not protest")</f>
        <v>Bunchi listens silently and does not say the word, does not agree, does not protest</v>
      </c>
      <c r="C2764" s="7" t="s">
        <v>6</v>
      </c>
      <c r="D2764" s="7" t="s">
        <v>7</v>
      </c>
      <c r="E2764" s="7">
        <v>0</v>
      </c>
    </row>
    <row r="2765" spans="1:5" ht="15.75" customHeight="1" x14ac:dyDescent="0.25">
      <c r="A2765" s="6" t="s">
        <v>2739</v>
      </c>
      <c r="B2765" s="6" t="str">
        <f ca="1">IFERROR(__xludf.DUMMYFUNCTION("GOOGLETRANSLATE(A2765,""bn"",""en"")"),"Again two drops of those flowers are falling in their hands")</f>
        <v>Again two drops of those flowers are falling in their hands</v>
      </c>
      <c r="C2765" s="7" t="s">
        <v>6</v>
      </c>
      <c r="D2765" s="7" t="s">
        <v>7</v>
      </c>
      <c r="E2765" s="7">
        <v>0</v>
      </c>
    </row>
    <row r="2766" spans="1:5" ht="15.75" customHeight="1" x14ac:dyDescent="0.25">
      <c r="A2766" s="6" t="s">
        <v>2740</v>
      </c>
      <c r="B2766" s="6" t="str">
        <f ca="1">IFERROR(__xludf.DUMMYFUNCTION("GOOGLETRANSLATE(A2766,""bn"",""en"")"),"I spent my childhood in Rameswaram")</f>
        <v>I spent my childhood in Rameswaram</v>
      </c>
      <c r="C2766" s="7" t="s">
        <v>6</v>
      </c>
      <c r="D2766" s="7" t="s">
        <v>7</v>
      </c>
      <c r="E2766" s="7">
        <v>0</v>
      </c>
    </row>
    <row r="2767" spans="1:5" ht="15.75" customHeight="1" x14ac:dyDescent="0.25">
      <c r="A2767" s="6" t="s">
        <v>2741</v>
      </c>
      <c r="B2767" s="6" t="str">
        <f ca="1">IFERROR(__xludf.DUMMYFUNCTION("GOOGLETRANSLATE(A2767,""bn"",""en"")"),"Choose activities you enjoy")</f>
        <v>Choose activities you enjoy</v>
      </c>
      <c r="C2767" s="8" t="s">
        <v>13</v>
      </c>
      <c r="D2767" s="8" t="s">
        <v>14</v>
      </c>
      <c r="E2767" s="8">
        <v>1</v>
      </c>
    </row>
    <row r="2768" spans="1:5" ht="15.75" customHeight="1" x14ac:dyDescent="0.25">
      <c r="A2768" s="6" t="s">
        <v>2742</v>
      </c>
      <c r="B2768" s="6" t="str">
        <f ca="1">IFERROR(__xludf.DUMMYFUNCTION("GOOGLETRANSLATE(A2768,""bn"",""en"")"),"Navigating through treacherous swamps, they avoid the dangers lurking beneath the murky waters")</f>
        <v>Navigating through treacherous swamps, they avoid the dangers lurking beneath the murky waters</v>
      </c>
      <c r="C2768" s="8" t="s">
        <v>13</v>
      </c>
      <c r="D2768" s="8" t="s">
        <v>14</v>
      </c>
      <c r="E2768" s="8">
        <v>1</v>
      </c>
    </row>
    <row r="2769" spans="1:5" ht="15.75" customHeight="1" x14ac:dyDescent="0.25">
      <c r="A2769" s="6" t="s">
        <v>2743</v>
      </c>
      <c r="B2769" s="6" t="str">
        <f ca="1">IFERROR(__xludf.DUMMYFUNCTION("GOOGLETRANSLATE(A2769,""bn"",""en"")"),"Lifelong learning is essential for personal professional growth")</f>
        <v>Lifelong learning is essential for personal professional growth</v>
      </c>
      <c r="C2769" s="8" t="s">
        <v>13</v>
      </c>
      <c r="D2769" s="8" t="s">
        <v>14</v>
      </c>
      <c r="E2769" s="8">
        <v>1</v>
      </c>
    </row>
    <row r="2770" spans="1:5" ht="15.75" customHeight="1" x14ac:dyDescent="0.25">
      <c r="A2770" s="6" t="s">
        <v>2744</v>
      </c>
      <c r="B2770" s="6" t="str">
        <f ca="1">IFERROR(__xludf.DUMMYFUNCTION("GOOGLETRANSLATE(A2770,""bn"",""en"")"),"As a result, their popularity increased immensely")</f>
        <v>As a result, their popularity increased immensely</v>
      </c>
      <c r="C2770" s="8" t="s">
        <v>13</v>
      </c>
      <c r="D2770" s="8" t="s">
        <v>14</v>
      </c>
      <c r="E2770" s="8">
        <v>1</v>
      </c>
    </row>
    <row r="2771" spans="1:5" ht="15.75" customHeight="1" x14ac:dyDescent="0.25">
      <c r="A2771" s="6" t="s">
        <v>2745</v>
      </c>
      <c r="B2771" s="6" t="str">
        <f ca="1">IFERROR(__xludf.DUMMYFUNCTION("GOOGLETRANSLATE(A2771,""bn"",""en"")"),"Acting painter enhances socialization")</f>
        <v>Acting painter enhances socialization</v>
      </c>
      <c r="C2771" s="8" t="s">
        <v>13</v>
      </c>
      <c r="D2771" s="8" t="s">
        <v>14</v>
      </c>
      <c r="E2771" s="8">
        <v>1</v>
      </c>
    </row>
    <row r="2772" spans="1:5" ht="15.75" customHeight="1" x14ac:dyDescent="0.25">
      <c r="A2772" s="6" t="s">
        <v>2746</v>
      </c>
      <c r="B2772" s="6" t="str">
        <f ca="1">IFERROR(__xludf.DUMMYFUNCTION("GOOGLETRANSLATE(A2772,""bn"",""en"")"),"Fatik's mother already has two children who have grown up a lot")</f>
        <v>Fatik's mother already has two children who have grown up a lot</v>
      </c>
      <c r="C2772" s="7" t="s">
        <v>6</v>
      </c>
      <c r="D2772" s="7" t="s">
        <v>7</v>
      </c>
      <c r="E2772" s="7">
        <v>0</v>
      </c>
    </row>
    <row r="2773" spans="1:5" ht="15.75" customHeight="1" x14ac:dyDescent="0.25">
      <c r="A2773" s="6" t="s">
        <v>2747</v>
      </c>
      <c r="B2773" s="6" t="str">
        <f ca="1">IFERROR(__xludf.DUMMYFUNCTION("GOOGLETRANSLATE(A2773,""bn"",""en"")"),"Resentment rose again in his mind")</f>
        <v>Resentment rose again in his mind</v>
      </c>
      <c r="C2773" s="7" t="s">
        <v>6</v>
      </c>
      <c r="D2773" s="7" t="s">
        <v>7</v>
      </c>
      <c r="E2773" s="7">
        <v>0</v>
      </c>
    </row>
    <row r="2774" spans="1:5" ht="15.75" customHeight="1" x14ac:dyDescent="0.25">
      <c r="A2774" s="6" t="s">
        <v>1567</v>
      </c>
      <c r="B2774" s="6" t="str">
        <f ca="1">IFERROR(__xludf.DUMMYFUNCTION("GOOGLETRANSLATE(A2774,""bn"",""en"")"),"The bird did not pronounce the letters, only the rhythm")</f>
        <v>The bird did not pronounce the letters, only the rhythm</v>
      </c>
      <c r="C2774" s="7" t="s">
        <v>6</v>
      </c>
      <c r="D2774" s="7" t="s">
        <v>7</v>
      </c>
      <c r="E2774" s="7">
        <v>0</v>
      </c>
    </row>
    <row r="2775" spans="1:5" ht="15.75" customHeight="1" x14ac:dyDescent="0.25">
      <c r="A2775" s="6" t="s">
        <v>2748</v>
      </c>
      <c r="B2775" s="6" t="str">
        <f ca="1">IFERROR(__xludf.DUMMYFUNCTION("GOOGLETRANSLATE(A2775,""bn"",""en"")"),"At such a time Radhe Manyung Parihar Hari: Padmule Tabayang was uttered behind me.")</f>
        <v>At such a time Radhe Manyung Parihar Hari: Padmule Tabayang was uttered behind me.</v>
      </c>
      <c r="C2775" s="7" t="s">
        <v>6</v>
      </c>
      <c r="D2775" s="7" t="s">
        <v>7</v>
      </c>
      <c r="E2775" s="7">
        <v>0</v>
      </c>
    </row>
    <row r="2776" spans="1:5" ht="15.75" customHeight="1" x14ac:dyDescent="0.25">
      <c r="A2776" s="6" t="s">
        <v>2749</v>
      </c>
      <c r="B2776" s="6" t="str">
        <f ca="1">IFERROR(__xludf.DUMMYFUNCTION("GOOGLETRANSLATE(A2776,""bn"",""en"")"),"The power to believe is not the same for everyone, so fear remained in my wife's mind")</f>
        <v>The power to believe is not the same for everyone, so fear remained in my wife's mind</v>
      </c>
      <c r="C2776" s="7" t="s">
        <v>6</v>
      </c>
      <c r="D2776" s="7" t="s">
        <v>7</v>
      </c>
      <c r="E2776" s="7">
        <v>0</v>
      </c>
    </row>
    <row r="2777" spans="1:5" ht="15.75" customHeight="1" x14ac:dyDescent="0.25">
      <c r="A2777" s="6" t="s">
        <v>2750</v>
      </c>
      <c r="B2777" s="6" t="str">
        <f ca="1">IFERROR(__xludf.DUMMYFUNCTION("GOOGLETRANSLATE(A2777,""bn"",""en"")"),"Hyperthyroidism occurs when the thyroid gland produces too much thyroid hormone, causing symptoms such as weight loss, rapid heartbeat")</f>
        <v>Hyperthyroidism occurs when the thyroid gland produces too much thyroid hormone, causing symptoms such as weight loss, rapid heartbeat</v>
      </c>
      <c r="C2777" s="8" t="s">
        <v>13</v>
      </c>
      <c r="D2777" s="8" t="s">
        <v>14</v>
      </c>
      <c r="E2777" s="8">
        <v>1</v>
      </c>
    </row>
    <row r="2778" spans="1:5" ht="15.75" customHeight="1" x14ac:dyDescent="0.25">
      <c r="A2778" s="6" t="s">
        <v>2751</v>
      </c>
      <c r="B2778" s="6" t="str">
        <f ca="1">IFERROR(__xludf.DUMMYFUNCTION("GOOGLETRANSLATE(A2778,""bn"",""en"")"),"A lone wolf howled in the distance, its mournful cry echoing through the silent night")</f>
        <v>A lone wolf howled in the distance, its mournful cry echoing through the silent night</v>
      </c>
      <c r="C2778" s="8" t="s">
        <v>13</v>
      </c>
      <c r="D2778" s="8" t="s">
        <v>14</v>
      </c>
      <c r="E2778" s="8">
        <v>1</v>
      </c>
    </row>
    <row r="2779" spans="1:5" ht="15.75" customHeight="1" x14ac:dyDescent="0.25">
      <c r="A2779" s="6" t="s">
        <v>2752</v>
      </c>
      <c r="B2779" s="6" t="str">
        <f ca="1">IFERROR(__xludf.DUMMYFUNCTION("GOOGLETRANSLATE(A2779,""bn"",""en"")"),"The book was published after his death")</f>
        <v>The book was published after his death</v>
      </c>
      <c r="C2779" s="8" t="s">
        <v>13</v>
      </c>
      <c r="D2779" s="8" t="s">
        <v>14</v>
      </c>
      <c r="E2779" s="8">
        <v>1</v>
      </c>
    </row>
    <row r="2780" spans="1:5" ht="15.75" customHeight="1" x14ac:dyDescent="0.25">
      <c r="A2780" s="6" t="s">
        <v>2753</v>
      </c>
      <c r="B2780" s="6" t="str">
        <f ca="1">IFERROR(__xludf.DUMMYFUNCTION("GOOGLETRANSLATE(A2780,""bn"",""en"")"),"Combine cardio strength training")</f>
        <v>Combine cardio strength training</v>
      </c>
      <c r="C2780" s="8" t="s">
        <v>13</v>
      </c>
      <c r="D2780" s="8" t="s">
        <v>14</v>
      </c>
      <c r="E2780" s="8">
        <v>1</v>
      </c>
    </row>
    <row r="2781" spans="1:5" ht="15.75" customHeight="1" x14ac:dyDescent="0.25">
      <c r="A2781" s="6" t="s">
        <v>2754</v>
      </c>
      <c r="B2781" s="6" t="str">
        <f ca="1">IFERROR(__xludf.DUMMYFUNCTION("GOOGLETRANSLATE(A2781,""bn"",""en"")"),"At this stage the swan struck again")</f>
        <v>At this stage the swan struck again</v>
      </c>
      <c r="C2781" s="8" t="s">
        <v>13</v>
      </c>
      <c r="D2781" s="8" t="s">
        <v>14</v>
      </c>
      <c r="E2781" s="8">
        <v>1</v>
      </c>
    </row>
    <row r="2782" spans="1:5" ht="15.75" customHeight="1" x14ac:dyDescent="0.25">
      <c r="A2782" s="6" t="s">
        <v>2755</v>
      </c>
      <c r="B2782" s="6" t="str">
        <f ca="1">IFERROR(__xludf.DUMMYFUNCTION("GOOGLETRANSLATE(A2782,""bn"",""en"")"),"A few tin sheds in a vacant lot on the left side of the road")</f>
        <v>A few tin sheds in a vacant lot on the left side of the road</v>
      </c>
      <c r="C2782" s="7" t="s">
        <v>6</v>
      </c>
      <c r="D2782" s="7" t="s">
        <v>7</v>
      </c>
      <c r="E2782" s="7">
        <v>0</v>
      </c>
    </row>
    <row r="2783" spans="1:5" ht="15.75" customHeight="1" x14ac:dyDescent="0.25">
      <c r="A2783" s="6" t="s">
        <v>2756</v>
      </c>
      <c r="B2783" s="6" t="str">
        <f ca="1">IFERROR(__xludf.DUMMYFUNCTION("GOOGLETRANSLATE(A2783,""bn"",""en"")"),"He received two awards at the school function")</f>
        <v>He received two awards at the school function</v>
      </c>
      <c r="C2783" s="7" t="s">
        <v>6</v>
      </c>
      <c r="D2783" s="7" t="s">
        <v>7</v>
      </c>
      <c r="E2783" s="7">
        <v>0</v>
      </c>
    </row>
    <row r="2784" spans="1:5" ht="15.75" customHeight="1" x14ac:dyDescent="0.25">
      <c r="A2784" s="6" t="s">
        <v>2757</v>
      </c>
      <c r="B2784" s="6" t="str">
        <f ca="1">IFERROR(__xludf.DUMMYFUNCTION("GOOGLETRANSLATE(A2784,""bn"",""en"")"),"I thought the village is not far when the domesticated buffalo is near")</f>
        <v>I thought the village is not far when the domesticated buffalo is near</v>
      </c>
      <c r="C2784" s="7" t="s">
        <v>6</v>
      </c>
      <c r="D2784" s="7" t="s">
        <v>7</v>
      </c>
      <c r="E2784" s="7">
        <v>0</v>
      </c>
    </row>
    <row r="2785" spans="1:5" ht="15.75" customHeight="1" x14ac:dyDescent="0.25">
      <c r="A2785" s="6" t="s">
        <v>2758</v>
      </c>
      <c r="B2785" s="6" t="str">
        <f ca="1">IFERROR(__xludf.DUMMYFUNCTION("GOOGLETRANSLATE(A2785,""bn"",""en"")"),"Soma told us sitting in her house")</f>
        <v>Soma told us sitting in her house</v>
      </c>
      <c r="C2785" s="7" t="s">
        <v>6</v>
      </c>
      <c r="D2785" s="7" t="s">
        <v>7</v>
      </c>
      <c r="E2785" s="7">
        <v>0</v>
      </c>
    </row>
    <row r="2786" spans="1:5" ht="15.75" customHeight="1" x14ac:dyDescent="0.25">
      <c r="A2786" s="6" t="s">
        <v>2759</v>
      </c>
      <c r="B2786" s="6" t="str">
        <f ca="1">IFERROR(__xludf.DUMMYFUNCTION("GOOGLETRANSLATE(A2786,""bn"",""en"")"),"You don't know who knows")</f>
        <v>You don't know who knows</v>
      </c>
      <c r="C2786" s="7" t="s">
        <v>6</v>
      </c>
      <c r="D2786" s="7" t="s">
        <v>7</v>
      </c>
      <c r="E2786" s="7">
        <v>0</v>
      </c>
    </row>
    <row r="2787" spans="1:5" ht="15.75" customHeight="1" x14ac:dyDescent="0.25">
      <c r="A2787" s="6" t="s">
        <v>2760</v>
      </c>
      <c r="B2787" s="6" t="str">
        <f ca="1">IFERROR(__xludf.DUMMYFUNCTION("GOOGLETRANSLATE(A2787,""bn"",""en"")"),"Tax planning can help you maximize your savings to reduce your tax liability")</f>
        <v>Tax planning can help you maximize your savings to reduce your tax liability</v>
      </c>
      <c r="C2787" s="8" t="s">
        <v>13</v>
      </c>
      <c r="D2787" s="8" t="s">
        <v>14</v>
      </c>
      <c r="E2787" s="8">
        <v>1</v>
      </c>
    </row>
    <row r="2788" spans="1:5" ht="15.75" customHeight="1" x14ac:dyDescent="0.25">
      <c r="A2788" s="6" t="s">
        <v>2761</v>
      </c>
      <c r="B2788" s="6" t="str">
        <f ca="1">IFERROR(__xludf.DUMMYFUNCTION("GOOGLETRANSLATE(A2788,""bn"",""en"")"),"Sufal will pray and eat rice")</f>
        <v>Sufal will pray and eat rice</v>
      </c>
      <c r="C2788" s="8" t="s">
        <v>13</v>
      </c>
      <c r="D2788" s="8" t="s">
        <v>14</v>
      </c>
      <c r="E2788" s="8">
        <v>1</v>
      </c>
    </row>
    <row r="2789" spans="1:5" ht="15.75" customHeight="1" x14ac:dyDescent="0.25">
      <c r="A2789" s="6" t="s">
        <v>2762</v>
      </c>
      <c r="B2789" s="6" t="str">
        <f ca="1">IFERROR(__xludf.DUMMYFUNCTION("GOOGLETRANSLATE(A2789,""bn"",""en"")"),"Sajeev Rana went to school together")</f>
        <v>Sajeev Rana went to school together</v>
      </c>
      <c r="C2789" s="8" t="s">
        <v>13</v>
      </c>
      <c r="D2789" s="8" t="s">
        <v>14</v>
      </c>
      <c r="E2789" s="8">
        <v>1</v>
      </c>
    </row>
    <row r="2790" spans="1:5" ht="15.75" customHeight="1" x14ac:dyDescent="0.25">
      <c r="A2790" s="6" t="s">
        <v>2763</v>
      </c>
      <c r="B2790" s="6" t="str">
        <f ca="1">IFERROR(__xludf.DUMMYFUNCTION("GOOGLETRANSLATE(A2790,""bn"",""en"")"),"I had a beautiful dream last night")</f>
        <v>I had a beautiful dream last night</v>
      </c>
      <c r="C2790" s="8" t="s">
        <v>13</v>
      </c>
      <c r="D2790" s="8" t="s">
        <v>14</v>
      </c>
      <c r="E2790" s="8">
        <v>1</v>
      </c>
    </row>
    <row r="2791" spans="1:5" ht="15.75" customHeight="1" x14ac:dyDescent="0.25">
      <c r="A2791" s="6" t="s">
        <v>2764</v>
      </c>
      <c r="B2791" s="6" t="str">
        <f ca="1">IFERROR(__xludf.DUMMYFUNCTION("GOOGLETRANSLATE(A2791,""bn"",""en"")"),"Agile methodologies facilitate adaptive project management")</f>
        <v>Agile methodologies facilitate adaptive project management</v>
      </c>
      <c r="C2791" s="8" t="s">
        <v>13</v>
      </c>
      <c r="D2791" s="8" t="s">
        <v>14</v>
      </c>
      <c r="E2791" s="8">
        <v>1</v>
      </c>
    </row>
    <row r="2792" spans="1:5" ht="15.75" customHeight="1" x14ac:dyDescent="0.25">
      <c r="A2792" s="6" t="s">
        <v>2765</v>
      </c>
      <c r="B2792" s="6" t="str">
        <f ca="1">IFERROR(__xludf.DUMMYFUNCTION("GOOGLETRANSLATE(A2792,""bn"",""en"")"),"Ronnie will go to school with his brother")</f>
        <v>Ronnie will go to school with his brother</v>
      </c>
      <c r="C2792" s="7" t="s">
        <v>6</v>
      </c>
      <c r="D2792" s="7" t="s">
        <v>7</v>
      </c>
      <c r="E2792" s="7">
        <v>0</v>
      </c>
    </row>
    <row r="2793" spans="1:5" ht="15.75" customHeight="1" x14ac:dyDescent="0.25">
      <c r="A2793" s="6" t="s">
        <v>2766</v>
      </c>
      <c r="B2793" s="6" t="str">
        <f ca="1">IFERROR(__xludf.DUMMYFUNCTION("GOOGLETRANSLATE(A2793,""bn"",""en"")"),"Haru saw Vizia getting up")</f>
        <v>Haru saw Vizia getting up</v>
      </c>
      <c r="C2793" s="7" t="s">
        <v>6</v>
      </c>
      <c r="D2793" s="7" t="s">
        <v>7</v>
      </c>
      <c r="E2793" s="7">
        <v>0</v>
      </c>
    </row>
    <row r="2794" spans="1:5" ht="15.75" customHeight="1" x14ac:dyDescent="0.25">
      <c r="A2794" s="6" t="s">
        <v>2767</v>
      </c>
      <c r="B2794" s="6" t="str">
        <f ca="1">IFERROR(__xludf.DUMMYFUNCTION("GOOGLETRANSLATE(A2794,""bn"",""en"")"),"Anangamohan was stunned with fear, imagining the severity of that undoubted revenge")</f>
        <v>Anangamohan was stunned with fear, imagining the severity of that undoubted revenge</v>
      </c>
      <c r="C2794" s="7" t="s">
        <v>6</v>
      </c>
      <c r="D2794" s="7" t="s">
        <v>7</v>
      </c>
      <c r="E2794" s="7">
        <v>0</v>
      </c>
    </row>
    <row r="2795" spans="1:5" ht="15.75" customHeight="1" x14ac:dyDescent="0.25">
      <c r="A2795" s="6" t="s">
        <v>2768</v>
      </c>
      <c r="B2795" s="6" t="str">
        <f ca="1">IFERROR(__xludf.DUMMYFUNCTION("GOOGLETRANSLATE(A2795,""bn"",""en"")"),"I have failed to make him understand that till date he has not been able to speak his mind to any girl")</f>
        <v>I have failed to make him understand that till date he has not been able to speak his mind to any girl</v>
      </c>
      <c r="C2795" s="7" t="s">
        <v>6</v>
      </c>
      <c r="D2795" s="7" t="s">
        <v>7</v>
      </c>
      <c r="E2795" s="7">
        <v>0</v>
      </c>
    </row>
    <row r="2796" spans="1:5" ht="15.75" customHeight="1" x14ac:dyDescent="0.25">
      <c r="A2796" s="6" t="s">
        <v>2769</v>
      </c>
      <c r="B2796" s="6" t="str">
        <f ca="1">IFERROR(__xludf.DUMMYFUNCTION("GOOGLETRANSLATE(A2796,""bn"",""en"")"),"He was sitting quietly thinking about something")</f>
        <v>He was sitting quietly thinking about something</v>
      </c>
      <c r="C2796" s="7" t="s">
        <v>6</v>
      </c>
      <c r="D2796" s="7" t="s">
        <v>7</v>
      </c>
      <c r="E2796" s="7">
        <v>0</v>
      </c>
    </row>
    <row r="2797" spans="1:5" ht="15.75" customHeight="1" x14ac:dyDescent="0.25">
      <c r="A2797" s="6" t="s">
        <v>2770</v>
      </c>
      <c r="B2797" s="6" t="str">
        <f ca="1">IFERROR(__xludf.DUMMYFUNCTION("GOOGLETRANSLATE(A2797,""bn"",""en"")"),"Their big tree was broken by the heavy rain of that day")</f>
        <v>Their big tree was broken by the heavy rain of that day</v>
      </c>
      <c r="C2797" s="8" t="s">
        <v>13</v>
      </c>
      <c r="D2797" s="8" t="s">
        <v>14</v>
      </c>
      <c r="E2797" s="8">
        <v>1</v>
      </c>
    </row>
    <row r="2798" spans="1:5" ht="15.75" customHeight="1" x14ac:dyDescent="0.25">
      <c r="A2798" s="6" t="s">
        <v>2771</v>
      </c>
      <c r="B2798" s="6" t="str">
        <f ca="1">IFERROR(__xludf.DUMMYFUNCTION("GOOGLETRANSLATE(A2798,""bn"",""en"")"),"The scent of pine trees wafts through the air stimulating the senses")</f>
        <v>The scent of pine trees wafts through the air stimulating the senses</v>
      </c>
      <c r="C2798" s="8" t="s">
        <v>13</v>
      </c>
      <c r="D2798" s="8" t="s">
        <v>14</v>
      </c>
      <c r="E2798" s="8">
        <v>1</v>
      </c>
    </row>
    <row r="2799" spans="1:5" ht="15.75" customHeight="1" x14ac:dyDescent="0.25">
      <c r="A2799" s="6" t="s">
        <v>2772</v>
      </c>
      <c r="B2799" s="6" t="str">
        <f ca="1">IFERROR(__xludf.DUMMYFUNCTION("GOOGLETRANSLATE(A2799,""bn"",""en"")"),"Small crowd around him")</f>
        <v>Small crowd around him</v>
      </c>
      <c r="C2799" s="8" t="s">
        <v>13</v>
      </c>
      <c r="D2799" s="8" t="s">
        <v>14</v>
      </c>
      <c r="E2799" s="8">
        <v>1</v>
      </c>
    </row>
    <row r="2800" spans="1:5" ht="15.75" customHeight="1" x14ac:dyDescent="0.25">
      <c r="A2800" s="6" t="s">
        <v>2773</v>
      </c>
      <c r="B2800" s="6" t="str">
        <f ca="1">IFERROR(__xludf.DUMMYFUNCTION("GOOGLETRANSLATE(A2800,""bn"",""en"")"),"The number of positions of the main female was")</f>
        <v>The number of positions of the main female was</v>
      </c>
      <c r="C2800" s="8" t="s">
        <v>13</v>
      </c>
      <c r="D2800" s="8" t="s">
        <v>14</v>
      </c>
      <c r="E2800" s="8">
        <v>1</v>
      </c>
    </row>
    <row r="2801" spans="1:5" ht="15.75" customHeight="1" x14ac:dyDescent="0.25">
      <c r="A2801" s="6" t="s">
        <v>2774</v>
      </c>
      <c r="B2801" s="6" t="str">
        <f ca="1">IFERROR(__xludf.DUMMYFUNCTION("GOOGLETRANSLATE(A2801,""bn"",""en"")"),"Old people unknowingly go into the world of delusion due to soul damage")</f>
        <v>Old people unknowingly go into the world of delusion due to soul damage</v>
      </c>
      <c r="C2801" s="8" t="s">
        <v>13</v>
      </c>
      <c r="D2801" s="8" t="s">
        <v>14</v>
      </c>
      <c r="E2801" s="8">
        <v>1</v>
      </c>
    </row>
    <row r="2802" spans="1:5" ht="15.75" customHeight="1" x14ac:dyDescent="0.25">
      <c r="A2802" s="6" t="s">
        <v>2775</v>
      </c>
      <c r="B2802" s="6" t="str">
        <f ca="1">IFERROR(__xludf.DUMMYFUNCTION("GOOGLETRANSLATE(A2802,""bn"",""en"")"),"Coming to the root of the virgin, I saw a bird like a green dove, nodding its head to one of them and moving forward in this rhythm, the bird flapped its wings and moved away, sometimes going to another branch and sitting.")</f>
        <v>Coming to the root of the virgin, I saw a bird like a green dove, nodding its head to one of them and moving forward in this rhythm, the bird flapped its wings and moved away, sometimes going to another branch and sitting.</v>
      </c>
      <c r="C2802" s="7" t="s">
        <v>6</v>
      </c>
      <c r="D2802" s="7" t="s">
        <v>7</v>
      </c>
      <c r="E2802" s="7">
        <v>0</v>
      </c>
    </row>
    <row r="2803" spans="1:5" ht="15.75" customHeight="1" x14ac:dyDescent="0.25">
      <c r="A2803" s="6" t="s">
        <v>2776</v>
      </c>
      <c r="B2803" s="6" t="str">
        <f ca="1">IFERROR(__xludf.DUMMYFUNCTION("GOOGLETRANSLATE(A2803,""bn"",""en"")"),"Flowers of sweetness blossomed in worship, service, worship")</f>
        <v>Flowers of sweetness blossomed in worship, service, worship</v>
      </c>
      <c r="C2803" s="7" t="s">
        <v>6</v>
      </c>
      <c r="D2803" s="7" t="s">
        <v>7</v>
      </c>
      <c r="E2803" s="7">
        <v>0</v>
      </c>
    </row>
    <row r="2804" spans="1:5" ht="15.75" customHeight="1" x14ac:dyDescent="0.25">
      <c r="A2804" s="6" t="s">
        <v>2777</v>
      </c>
      <c r="B2804" s="6" t="str">
        <f ca="1">IFERROR(__xludf.DUMMYFUNCTION("GOOGLETRANSLATE(A2804,""bn"",""en"")"),"They say Sadhubhasha is very incomplete")</f>
        <v>They say Sadhubhasha is very incomplete</v>
      </c>
      <c r="C2804" s="7" t="s">
        <v>6</v>
      </c>
      <c r="D2804" s="7" t="s">
        <v>7</v>
      </c>
      <c r="E2804" s="7">
        <v>0</v>
      </c>
    </row>
    <row r="2805" spans="1:5" ht="15.75" customHeight="1" x14ac:dyDescent="0.25">
      <c r="A2805" s="6" t="s">
        <v>2778</v>
      </c>
      <c r="B2805" s="6" t="str">
        <f ca="1">IFERROR(__xludf.DUMMYFUNCTION("GOOGLETRANSLATE(A2805,""bn"",""en"")"),"So I want to force it and send it to you baby")</f>
        <v>So I want to force it and send it to you baby</v>
      </c>
      <c r="C2805" s="7" t="s">
        <v>6</v>
      </c>
      <c r="D2805" s="7" t="s">
        <v>7</v>
      </c>
      <c r="E2805" s="7">
        <v>0</v>
      </c>
    </row>
    <row r="2806" spans="1:5" ht="15.75" customHeight="1" x14ac:dyDescent="0.25">
      <c r="A2806" s="6" t="s">
        <v>2779</v>
      </c>
      <c r="B2806" s="6" t="str">
        <f ca="1">IFERROR(__xludf.DUMMYFUNCTION("GOOGLETRANSLATE(A2806,""bn"",""en"")"),"The mountain jungle tiger is Laiyai Palamau")</f>
        <v>The mountain jungle tiger is Laiyai Palamau</v>
      </c>
      <c r="C2806" s="7" t="s">
        <v>6</v>
      </c>
      <c r="D2806" s="7" t="s">
        <v>7</v>
      </c>
      <c r="E2806" s="7">
        <v>0</v>
      </c>
    </row>
    <row r="2807" spans="1:5" ht="15.75" customHeight="1" x14ac:dyDescent="0.25">
      <c r="A2807" s="6" t="s">
        <v>2780</v>
      </c>
      <c r="B2807" s="6" t="str">
        <f ca="1">IFERROR(__xludf.DUMMYFUNCTION("GOOGLETRANSLATE(A2807,""bn"",""en"")"),"Stretch before and after workouts")</f>
        <v>Stretch before and after workouts</v>
      </c>
      <c r="C2807" s="8" t="s">
        <v>13</v>
      </c>
      <c r="D2807" s="8" t="s">
        <v>14</v>
      </c>
      <c r="E2807" s="8">
        <v>1</v>
      </c>
    </row>
    <row r="2808" spans="1:5" ht="15.75" customHeight="1" x14ac:dyDescent="0.25">
      <c r="A2808" s="6" t="s">
        <v>2781</v>
      </c>
      <c r="B2808" s="6" t="str">
        <f ca="1">IFERROR(__xludf.DUMMYFUNCTION("GOOGLETRANSLATE(A2808,""bn"",""en"")"),"Rony will go to play in the field with Raju")</f>
        <v>Rony will go to play in the field with Raju</v>
      </c>
      <c r="C2808" s="8" t="s">
        <v>13</v>
      </c>
      <c r="D2808" s="8" t="s">
        <v>14</v>
      </c>
      <c r="E2808" s="8">
        <v>1</v>
      </c>
    </row>
    <row r="2809" spans="1:5" ht="15.75" customHeight="1" x14ac:dyDescent="0.25">
      <c r="A2809" s="6" t="s">
        <v>2782</v>
      </c>
      <c r="B2809" s="6" t="str">
        <f ca="1">IFERROR(__xludf.DUMMYFUNCTION("GOOGLETRANSLATE(A2809,""bn"",""en"")"),"Rumi is playing in the school ground")</f>
        <v>Rumi is playing in the school ground</v>
      </c>
      <c r="C2809" s="8" t="s">
        <v>13</v>
      </c>
      <c r="D2809" s="8" t="s">
        <v>14</v>
      </c>
      <c r="E2809" s="8">
        <v>1</v>
      </c>
    </row>
    <row r="2810" spans="1:5" ht="15.75" customHeight="1" x14ac:dyDescent="0.25">
      <c r="A2810" s="6" t="s">
        <v>2783</v>
      </c>
      <c r="B2810" s="6" t="str">
        <f ca="1">IFERROR(__xludf.DUMMYFUNCTION("GOOGLETRANSLATE(A2810,""bn"",""en"")"),"We went there and traveled a lot")</f>
        <v>We went there and traveled a lot</v>
      </c>
      <c r="C2810" s="8" t="s">
        <v>13</v>
      </c>
      <c r="D2810" s="8" t="s">
        <v>14</v>
      </c>
      <c r="E2810" s="8">
        <v>1</v>
      </c>
    </row>
    <row r="2811" spans="1:5" ht="15.75" customHeight="1" x14ac:dyDescent="0.25">
      <c r="A2811" s="6" t="s">
        <v>2784</v>
      </c>
      <c r="B2811" s="6" t="str">
        <f ca="1">IFERROR(__xludf.DUMMYFUNCTION("GOOGLETRANSLATE(A2811,""bn"",""en"")"),"He joined Manchester United in September")</f>
        <v>He joined Manchester United in September</v>
      </c>
      <c r="C2811" s="8" t="s">
        <v>13</v>
      </c>
      <c r="D2811" s="8" t="s">
        <v>14</v>
      </c>
      <c r="E2811" s="8">
        <v>1</v>
      </c>
    </row>
    <row r="2812" spans="1:5" ht="15.75" customHeight="1" x14ac:dyDescent="0.25">
      <c r="A2812" s="6" t="s">
        <v>2785</v>
      </c>
      <c r="B2812" s="6" t="str">
        <f ca="1">IFERROR(__xludf.DUMMYFUNCTION("GOOGLETRANSLATE(A2812,""bn"",""en"")"),"What does Damini look like the next morning?")</f>
        <v>What does Damini look like the next morning?</v>
      </c>
      <c r="C2812" s="7" t="s">
        <v>6</v>
      </c>
      <c r="D2812" s="7" t="s">
        <v>7</v>
      </c>
      <c r="E2812" s="7">
        <v>0</v>
      </c>
    </row>
    <row r="2813" spans="1:5" ht="15.75" customHeight="1" x14ac:dyDescent="0.25">
      <c r="A2813" s="6" t="s">
        <v>2786</v>
      </c>
      <c r="B2813" s="6" t="str">
        <f ca="1">IFERROR(__xludf.DUMMYFUNCTION("GOOGLETRANSLATE(A2813,""bn"",""en"")"),"He looked at me intensely and said it was unbelievable")</f>
        <v>He looked at me intensely and said it was unbelievable</v>
      </c>
      <c r="C2813" s="7" t="s">
        <v>6</v>
      </c>
      <c r="D2813" s="7" t="s">
        <v>7</v>
      </c>
      <c r="E2813" s="7">
        <v>0</v>
      </c>
    </row>
    <row r="2814" spans="1:5" ht="15.75" customHeight="1" x14ac:dyDescent="0.25">
      <c r="A2814" s="6" t="s">
        <v>2787</v>
      </c>
      <c r="B2814" s="6" t="str">
        <f ca="1">IFERROR(__xludf.DUMMYFUNCTION("GOOGLETRANSLATE(A2814,""bn"",""en"")"),"I don't like your story, shut up")</f>
        <v>I don't like your story, shut up</v>
      </c>
      <c r="C2814" s="7" t="s">
        <v>6</v>
      </c>
      <c r="D2814" s="7" t="s">
        <v>7</v>
      </c>
      <c r="E2814" s="7">
        <v>0</v>
      </c>
    </row>
    <row r="2815" spans="1:5" ht="15.75" customHeight="1" x14ac:dyDescent="0.25">
      <c r="A2815" s="6" t="s">
        <v>2788</v>
      </c>
      <c r="B2815" s="6" t="str">
        <f ca="1">IFERROR(__xludf.DUMMYFUNCTION("GOOGLETRANSLATE(A2815,""bn"",""en"")"),"What is there to write about the mountains and forests?")</f>
        <v>What is there to write about the mountains and forests?</v>
      </c>
      <c r="C2815" s="7" t="s">
        <v>6</v>
      </c>
      <c r="D2815" s="7" t="s">
        <v>7</v>
      </c>
      <c r="E2815" s="7">
        <v>0</v>
      </c>
    </row>
    <row r="2816" spans="1:5" ht="15.75" customHeight="1" x14ac:dyDescent="0.25">
      <c r="A2816" s="6" t="s">
        <v>2789</v>
      </c>
      <c r="B2816" s="6" t="str">
        <f ca="1">IFERROR(__xludf.DUMMYFUNCTION("GOOGLETRANSLATE(A2816,""bn"",""en"")"),"After thinking for a long time, he read twice and thrice again")</f>
        <v>After thinking for a long time, he read twice and thrice again</v>
      </c>
      <c r="C2816" s="7" t="s">
        <v>6</v>
      </c>
      <c r="D2816" s="7" t="s">
        <v>7</v>
      </c>
      <c r="E2816" s="7">
        <v>0</v>
      </c>
    </row>
    <row r="2817" spans="1:5" ht="15.75" customHeight="1" x14ac:dyDescent="0.25">
      <c r="A2817" s="6" t="s">
        <v>2790</v>
      </c>
      <c r="B2817" s="6" t="str">
        <f ca="1">IFERROR(__xludf.DUMMYFUNCTION("GOOGLETRANSLATE(A2817,""bn"",""en"")"),"I requested him to come to my house")</f>
        <v>I requested him to come to my house</v>
      </c>
      <c r="C2817" s="8" t="s">
        <v>13</v>
      </c>
      <c r="D2817" s="8" t="s">
        <v>14</v>
      </c>
      <c r="E2817" s="8">
        <v>1</v>
      </c>
    </row>
    <row r="2818" spans="1:5" ht="15.75" customHeight="1" x14ac:dyDescent="0.25">
      <c r="A2818" s="6" t="s">
        <v>2791</v>
      </c>
      <c r="B2818" s="6" t="str">
        <f ca="1">IFERROR(__xludf.DUMMYFUNCTION("GOOGLETRANSLATE(A2818,""bn"",""en"")"),"Photojournalists capture powerful images that accompany news stories")</f>
        <v>Photojournalists capture powerful images that accompany news stories</v>
      </c>
      <c r="C2818" s="8" t="s">
        <v>13</v>
      </c>
      <c r="D2818" s="8" t="s">
        <v>14</v>
      </c>
      <c r="E2818" s="8">
        <v>1</v>
      </c>
    </row>
    <row r="2819" spans="1:5" ht="15.75" customHeight="1" x14ac:dyDescent="0.25">
      <c r="A2819" s="6" t="s">
        <v>2792</v>
      </c>
      <c r="B2819" s="6" t="str">
        <f ca="1">IFERROR(__xludf.DUMMYFUNCTION("GOOGLETRANSLATE(A2819,""bn"",""en"")"),"In this war, Germany was defeated by England and the Allies")</f>
        <v>In this war, Germany was defeated by England and the Allies</v>
      </c>
      <c r="C2819" s="8" t="s">
        <v>13</v>
      </c>
      <c r="D2819" s="8" t="s">
        <v>14</v>
      </c>
      <c r="E2819" s="8">
        <v>1</v>
      </c>
    </row>
    <row r="2820" spans="1:5" ht="15.75" customHeight="1" x14ac:dyDescent="0.25">
      <c r="A2820" s="6" t="s">
        <v>2793</v>
      </c>
      <c r="B2820" s="6" t="str">
        <f ca="1">IFERROR(__xludf.DUMMYFUNCTION("GOOGLETRANSLATE(A2820,""bn"",""en"")"),"The travel agent booked their next flight accommodation")</f>
        <v>The travel agent booked their next flight accommodation</v>
      </c>
      <c r="C2820" s="8" t="s">
        <v>13</v>
      </c>
      <c r="D2820" s="8" t="s">
        <v>14</v>
      </c>
      <c r="E2820" s="8">
        <v>1</v>
      </c>
    </row>
    <row r="2821" spans="1:5" ht="15.75" customHeight="1" x14ac:dyDescent="0.25">
      <c r="A2821" s="6" t="s">
        <v>2794</v>
      </c>
      <c r="B2821" s="6" t="str">
        <f ca="1">IFERROR(__xludf.DUMMYFUNCTION("GOOGLETRANSLATE(A2821,""bn"",""en"")"),"I can clearly remember that none of our children had to go a day without eating")</f>
        <v>I can clearly remember that none of our children had to go a day without eating</v>
      </c>
      <c r="C2821" s="8" t="s">
        <v>13</v>
      </c>
      <c r="D2821" s="8" t="s">
        <v>14</v>
      </c>
      <c r="E2821" s="8">
        <v>1</v>
      </c>
    </row>
    <row r="2822" spans="1:5" ht="15.75" customHeight="1" x14ac:dyDescent="0.25">
      <c r="A2822" s="6" t="s">
        <v>2795</v>
      </c>
      <c r="B2822" s="6" t="str">
        <f ca="1">IFERROR(__xludf.DUMMYFUNCTION("GOOGLETRANSLATE(A2822,""bn"",""en"")"),"These hills are very desolate, there is no small forest anywhere")</f>
        <v>These hills are very desolate, there is no small forest anywhere</v>
      </c>
      <c r="C2822" s="7" t="s">
        <v>6</v>
      </c>
      <c r="D2822" s="7" t="s">
        <v>7</v>
      </c>
      <c r="E2822" s="7">
        <v>0</v>
      </c>
    </row>
    <row r="2823" spans="1:5" ht="15.75" customHeight="1" x14ac:dyDescent="0.25">
      <c r="A2823" s="6" t="s">
        <v>2796</v>
      </c>
      <c r="B2823" s="6" t="str">
        <f ca="1">IFERROR(__xludf.DUMMYFUNCTION("GOOGLETRANSLATE(A2823,""bn"",""en"")"),"On this vacation, the climbers finish the hike on the beach front")</f>
        <v>On this vacation, the climbers finish the hike on the beach front</v>
      </c>
      <c r="C2823" s="7" t="s">
        <v>6</v>
      </c>
      <c r="D2823" s="7" t="s">
        <v>7</v>
      </c>
      <c r="E2823" s="7">
        <v>0</v>
      </c>
    </row>
    <row r="2824" spans="1:5" ht="15.75" customHeight="1" x14ac:dyDescent="0.25">
      <c r="A2824" s="6" t="s">
        <v>2797</v>
      </c>
      <c r="B2824" s="6" t="str">
        <f ca="1">IFERROR(__xludf.DUMMYFUNCTION("GOOGLETRANSLATE(A2824,""bn"",""en"")"),"The gap between is very small")</f>
        <v>The gap between is very small</v>
      </c>
      <c r="C2824" s="7" t="s">
        <v>6</v>
      </c>
      <c r="D2824" s="7" t="s">
        <v>7</v>
      </c>
      <c r="E2824" s="7">
        <v>0</v>
      </c>
    </row>
    <row r="2825" spans="1:5" ht="15.75" customHeight="1" x14ac:dyDescent="0.25">
      <c r="A2825" s="6" t="s">
        <v>2798</v>
      </c>
      <c r="B2825" s="6" t="str">
        <f ca="1">IFERROR(__xludf.DUMMYFUNCTION("GOOGLETRANSLATE(A2825,""bn"",""en"")"),"Mr. Suman will come to our school")</f>
        <v>Mr. Suman will come to our school</v>
      </c>
      <c r="C2825" s="7" t="s">
        <v>6</v>
      </c>
      <c r="D2825" s="7" t="s">
        <v>7</v>
      </c>
      <c r="E2825" s="7">
        <v>0</v>
      </c>
    </row>
    <row r="2826" spans="1:5" ht="15.75" customHeight="1" x14ac:dyDescent="0.25">
      <c r="A2826" s="6" t="s">
        <v>2799</v>
      </c>
      <c r="B2826" s="6" t="str">
        <f ca="1">IFERROR(__xludf.DUMMYFUNCTION("GOOGLETRANSLATE(A2826,""bn"",""en"")"),"Now Nirupma's marriage proposal is going on")</f>
        <v>Now Nirupma's marriage proposal is going on</v>
      </c>
      <c r="C2826" s="7" t="s">
        <v>6</v>
      </c>
      <c r="D2826" s="7" t="s">
        <v>7</v>
      </c>
      <c r="E2826" s="7">
        <v>0</v>
      </c>
    </row>
    <row r="2827" spans="1:5" ht="15.75" customHeight="1" x14ac:dyDescent="0.25">
      <c r="A2827" s="6" t="s">
        <v>2800</v>
      </c>
      <c r="B2827" s="6" t="str">
        <f ca="1">IFERROR(__xludf.DUMMYFUNCTION("GOOGLETRANSLATE(A2827,""bn"",""en"")"),"My elder brother is Suman")</f>
        <v>My elder brother is Suman</v>
      </c>
      <c r="C2827" s="8" t="s">
        <v>13</v>
      </c>
      <c r="D2827" s="8" t="s">
        <v>14</v>
      </c>
      <c r="E2827" s="8">
        <v>1</v>
      </c>
    </row>
    <row r="2828" spans="1:5" ht="15.75" customHeight="1" x14ac:dyDescent="0.25">
      <c r="A2828" s="6" t="s">
        <v>2801</v>
      </c>
      <c r="B2828" s="6" t="str">
        <f ca="1">IFERROR(__xludf.DUMMYFUNCTION("GOOGLETRANSLATE(A2828,""bn"",""en"")"),"I can help you now")</f>
        <v>I can help you now</v>
      </c>
      <c r="C2828" s="8" t="s">
        <v>13</v>
      </c>
      <c r="D2828" s="8" t="s">
        <v>14</v>
      </c>
      <c r="E2828" s="8">
        <v>1</v>
      </c>
    </row>
    <row r="2829" spans="1:5" ht="15.75" customHeight="1" x14ac:dyDescent="0.25">
      <c r="A2829" s="6" t="s">
        <v>2802</v>
      </c>
      <c r="B2829" s="6" t="str">
        <f ca="1">IFERROR(__xludf.DUMMYFUNCTION("GOOGLETRANSLATE(A2829,""bn"",""en"")"),"For my mother to wake up before me to drop me off")</f>
        <v>For my mother to wake up before me to drop me off</v>
      </c>
      <c r="C2829" s="8" t="s">
        <v>13</v>
      </c>
      <c r="D2829" s="8" t="s">
        <v>14</v>
      </c>
      <c r="E2829" s="8">
        <v>1</v>
      </c>
    </row>
    <row r="2830" spans="1:5" ht="15.75" customHeight="1" x14ac:dyDescent="0.25">
      <c r="A2830" s="6" t="s">
        <v>2803</v>
      </c>
      <c r="B2830" s="6" t="str">
        <f ca="1">IFERROR(__xludf.DUMMYFUNCTION("GOOGLETRANSLATE(A2830,""bn"",""en"")"),"The Mughal Empire was a historical empire in the Indian subcontinent")</f>
        <v>The Mughal Empire was a historical empire in the Indian subcontinent</v>
      </c>
      <c r="C2830" s="8" t="s">
        <v>13</v>
      </c>
      <c r="D2830" s="8" t="s">
        <v>14</v>
      </c>
      <c r="E2830" s="8">
        <v>1</v>
      </c>
    </row>
    <row r="2831" spans="1:5" ht="15.75" customHeight="1" x14ac:dyDescent="0.25">
      <c r="A2831" s="6" t="s">
        <v>2804</v>
      </c>
      <c r="B2831" s="6" t="str">
        <f ca="1">IFERROR(__xludf.DUMMYFUNCTION("GOOGLETRANSLATE(A2831,""bn"",""en"")"),"Getting these newspapers into the hands of readers was Shamsuddin's business")</f>
        <v>Getting these newspapers into the hands of readers was Shamsuddin's business</v>
      </c>
      <c r="C2831" s="8" t="s">
        <v>13</v>
      </c>
      <c r="D2831" s="8" t="s">
        <v>14</v>
      </c>
      <c r="E2831" s="8">
        <v>1</v>
      </c>
    </row>
    <row r="2832" spans="1:5" ht="15.75" customHeight="1" x14ac:dyDescent="0.25">
      <c r="A2832" s="6" t="s">
        <v>2805</v>
      </c>
      <c r="B2832" s="6" t="str">
        <f ca="1">IFERROR(__xludf.DUMMYFUNCTION("GOOGLETRANSLATE(A2832,""bn"",""en"")"),"Then it may be possible for those who had previous births")</f>
        <v>Then it may be possible for those who had previous births</v>
      </c>
      <c r="C2832" s="7" t="s">
        <v>6</v>
      </c>
      <c r="D2832" s="7" t="s">
        <v>7</v>
      </c>
      <c r="E2832" s="7">
        <v>0</v>
      </c>
    </row>
    <row r="2833" spans="1:5" ht="15.75" customHeight="1" x14ac:dyDescent="0.25">
      <c r="A2833" s="6" t="s">
        <v>1952</v>
      </c>
      <c r="B2833" s="6" t="str">
        <f ca="1">IFERROR(__xludf.DUMMYFUNCTION("GOOGLETRANSLATE(A2833,""bn"",""en"")"),"I smiled and agreed")</f>
        <v>I smiled and agreed</v>
      </c>
      <c r="C2833" s="7" t="s">
        <v>6</v>
      </c>
      <c r="D2833" s="7" t="s">
        <v>7</v>
      </c>
      <c r="E2833" s="7">
        <v>0</v>
      </c>
    </row>
    <row r="2834" spans="1:5" ht="15.75" customHeight="1" x14ac:dyDescent="0.25">
      <c r="A2834" s="6" t="s">
        <v>2806</v>
      </c>
      <c r="B2834" s="6" t="str">
        <f ca="1">IFERROR(__xludf.DUMMYFUNCTION("GOOGLETRANSLATE(A2834,""bn"",""en"")"),"Then the heavenly angel went to the bald man before")</f>
        <v>Then the heavenly angel went to the bald man before</v>
      </c>
      <c r="C2834" s="7" t="s">
        <v>6</v>
      </c>
      <c r="D2834" s="7" t="s">
        <v>7</v>
      </c>
      <c r="E2834" s="7">
        <v>0</v>
      </c>
    </row>
    <row r="2835" spans="1:5" ht="15.75" customHeight="1" x14ac:dyDescent="0.25">
      <c r="A2835" s="6" t="s">
        <v>2807</v>
      </c>
      <c r="B2835" s="6" t="str">
        <f ca="1">IFERROR(__xludf.DUMMYFUNCTION("GOOGLETRANSLATE(A2835,""bn"",""en"")"),"Hearing this, his anger knew no bounds")</f>
        <v>Hearing this, his anger knew no bounds</v>
      </c>
      <c r="C2835" s="7" t="s">
        <v>6</v>
      </c>
      <c r="D2835" s="7" t="s">
        <v>7</v>
      </c>
      <c r="E2835" s="7">
        <v>0</v>
      </c>
    </row>
    <row r="2836" spans="1:5" ht="15.75" customHeight="1" x14ac:dyDescent="0.25">
      <c r="A2836" s="6" t="s">
        <v>2808</v>
      </c>
      <c r="B2836" s="6" t="str">
        <f ca="1">IFERROR(__xludf.DUMMYFUNCTION("GOOGLETRANSLATE(A2836,""bn"",""en"")"),"Instead of five minutes, I went to a quick retreat")</f>
        <v>Instead of five minutes, I went to a quick retreat</v>
      </c>
      <c r="C2836" s="7" t="s">
        <v>6</v>
      </c>
      <c r="D2836" s="7" t="s">
        <v>7</v>
      </c>
      <c r="E2836" s="7">
        <v>0</v>
      </c>
    </row>
    <row r="2837" spans="1:5" ht="15.75" customHeight="1" x14ac:dyDescent="0.25">
      <c r="A2837" s="6" t="s">
        <v>2809</v>
      </c>
      <c r="B2837" s="6" t="str">
        <f ca="1">IFERROR(__xludf.DUMMYFUNCTION("GOOGLETRANSLATE(A2837,""bn"",""en"")"),"Now Rana will return from school")</f>
        <v>Now Rana will return from school</v>
      </c>
      <c r="C2837" s="8" t="s">
        <v>13</v>
      </c>
      <c r="D2837" s="8" t="s">
        <v>14</v>
      </c>
      <c r="E2837" s="8">
        <v>1</v>
      </c>
    </row>
    <row r="2838" spans="1:5" ht="15.75" customHeight="1" x14ac:dyDescent="0.25">
      <c r="A2838" s="6" t="s">
        <v>2810</v>
      </c>
      <c r="B2838" s="6" t="str">
        <f ca="1">IFERROR(__xludf.DUMMYFUNCTION("GOOGLETRANSLATE(A2838,""bn"",""en"")"),"He died in Berlin at the age of")</f>
        <v>He died in Berlin at the age of</v>
      </c>
      <c r="C2838" s="8" t="s">
        <v>13</v>
      </c>
      <c r="D2838" s="8" t="s">
        <v>14</v>
      </c>
      <c r="E2838" s="8">
        <v>1</v>
      </c>
    </row>
    <row r="2839" spans="1:5" ht="15.75" customHeight="1" x14ac:dyDescent="0.25">
      <c r="A2839" s="6" t="s">
        <v>2811</v>
      </c>
      <c r="B2839" s="6" t="str">
        <f ca="1">IFERROR(__xludf.DUMMYFUNCTION("GOOGLETRANSLATE(A2839,""bn"",""en"")"),"Artisan bread brings rustic charm")</f>
        <v>Artisan bread brings rustic charm</v>
      </c>
      <c r="C2839" s="8" t="s">
        <v>13</v>
      </c>
      <c r="D2839" s="8" t="s">
        <v>14</v>
      </c>
      <c r="E2839" s="8">
        <v>1</v>
      </c>
    </row>
    <row r="2840" spans="1:5" ht="15.75" customHeight="1" x14ac:dyDescent="0.25">
      <c r="A2840" s="6" t="s">
        <v>2812</v>
      </c>
      <c r="B2840" s="6" t="str">
        <f ca="1">IFERROR(__xludf.DUMMYFUNCTION("GOOGLETRANSLATE(A2840,""bn"",""en"")"),"There are clouds in the sky")</f>
        <v>There are clouds in the sky</v>
      </c>
      <c r="C2840" s="8" t="s">
        <v>13</v>
      </c>
      <c r="D2840" s="8" t="s">
        <v>14</v>
      </c>
      <c r="E2840" s="8">
        <v>1</v>
      </c>
    </row>
    <row r="2841" spans="1:5" ht="15.75" customHeight="1" x14ac:dyDescent="0.25">
      <c r="A2841" s="6" t="s">
        <v>2813</v>
      </c>
      <c r="B2841" s="6" t="str">
        <f ca="1">IFERROR(__xludf.DUMMYFUNCTION("GOOGLETRANSLATE(A2841,""bn"",""en"")"),"This truth united the subjects of Titumi with the call of religious jihad")</f>
        <v>This truth united the subjects of Titumi with the call of religious jihad</v>
      </c>
      <c r="C2841" s="8" t="s">
        <v>13</v>
      </c>
      <c r="D2841" s="8" t="s">
        <v>14</v>
      </c>
      <c r="E2841" s="8">
        <v>1</v>
      </c>
    </row>
    <row r="2842" spans="1:5" ht="15.75" customHeight="1" x14ac:dyDescent="0.25">
      <c r="A2842" s="6" t="s">
        <v>2814</v>
      </c>
      <c r="B2842" s="6" t="str">
        <f ca="1">IFERROR(__xludf.DUMMYFUNCTION("GOOGLETRANSLATE(A2842,""bn"",""en"")"),"Finally, after a long time when the Aryas became powerful, they chased away the Asuras")</f>
        <v>Finally, after a long time when the Aryas became powerful, they chased away the Asuras</v>
      </c>
      <c r="C2842" s="7" t="s">
        <v>6</v>
      </c>
      <c r="D2842" s="7" t="s">
        <v>7</v>
      </c>
      <c r="E2842" s="7">
        <v>0</v>
      </c>
    </row>
    <row r="2843" spans="1:5" ht="15.75" customHeight="1" x14ac:dyDescent="0.25">
      <c r="A2843" s="6" t="s">
        <v>2815</v>
      </c>
      <c r="B2843" s="6" t="str">
        <f ca="1">IFERROR(__xludf.DUMMYFUNCTION("GOOGLETRANSLATE(A2843,""bn"",""en"")"),"All is well with you all")</f>
        <v>All is well with you all</v>
      </c>
      <c r="C2843" s="7" t="s">
        <v>6</v>
      </c>
      <c r="D2843" s="7" t="s">
        <v>7</v>
      </c>
      <c r="E2843" s="7">
        <v>0</v>
      </c>
    </row>
    <row r="2844" spans="1:5" ht="15.75" customHeight="1" x14ac:dyDescent="0.25">
      <c r="A2844" s="6" t="s">
        <v>2816</v>
      </c>
      <c r="B2844" s="6" t="str">
        <f ca="1">IFERROR(__xludf.DUMMYFUNCTION("GOOGLETRANSLATE(A2844,""bn"",""en"")"),"It is not wrong to say that the Asura clan has been destroyed")</f>
        <v>It is not wrong to say that the Asura clan has been destroyed</v>
      </c>
      <c r="C2844" s="7" t="s">
        <v>6</v>
      </c>
      <c r="D2844" s="7" t="s">
        <v>7</v>
      </c>
      <c r="E2844" s="7">
        <v>0</v>
      </c>
    </row>
    <row r="2845" spans="1:5" ht="15.75" customHeight="1" x14ac:dyDescent="0.25">
      <c r="A2845" s="6" t="s">
        <v>2817</v>
      </c>
      <c r="B2845" s="6" t="str">
        <f ca="1">IFERROR(__xludf.DUMMYFUNCTION("GOOGLETRANSLATE(A2845,""bn"",""en"")"),"There is no income so work has to be done to meet the expenses")</f>
        <v>There is no income so work has to be done to meet the expenses</v>
      </c>
      <c r="C2845" s="7" t="s">
        <v>6</v>
      </c>
      <c r="D2845" s="7" t="s">
        <v>7</v>
      </c>
      <c r="E2845" s="7">
        <v>0</v>
      </c>
    </row>
    <row r="2846" spans="1:5" ht="15.75" customHeight="1" x14ac:dyDescent="0.25">
      <c r="A2846" s="6" t="s">
        <v>2818</v>
      </c>
      <c r="B2846" s="6" t="str">
        <f ca="1">IFERROR(__xludf.DUMMYFUNCTION("GOOGLETRANSLATE(A2846,""bn"",""en"")"),"I was satisfied that the young man must have thought that I can kill a tiger if I am a gentleman.")</f>
        <v>I was satisfied that the young man must have thought that I can kill a tiger if I am a gentleman.</v>
      </c>
      <c r="C2846" s="7" t="s">
        <v>6</v>
      </c>
      <c r="D2846" s="7" t="s">
        <v>7</v>
      </c>
      <c r="E2846" s="7">
        <v>0</v>
      </c>
    </row>
    <row r="2847" spans="1:5" ht="15.75" customHeight="1" x14ac:dyDescent="0.25">
      <c r="A2847" s="6" t="s">
        <v>2819</v>
      </c>
      <c r="B2847" s="6" t="str">
        <f ca="1">IFERROR(__xludf.DUMMYFUNCTION("GOOGLETRANSLATE(A2847,""bn"",""en"")"),"The concept of dharma represents piety, the central moral duty of many Indian religions")</f>
        <v>The concept of dharma represents piety, the central moral duty of many Indian religions</v>
      </c>
      <c r="C2847" s="8" t="s">
        <v>13</v>
      </c>
      <c r="D2847" s="8" t="s">
        <v>14</v>
      </c>
      <c r="E2847" s="8">
        <v>1</v>
      </c>
    </row>
    <row r="2848" spans="1:5" ht="15.75" customHeight="1" x14ac:dyDescent="0.25">
      <c r="A2848" s="6" t="s">
        <v>2820</v>
      </c>
      <c r="B2848" s="6" t="str">
        <f ca="1">IFERROR(__xludf.DUMMYFUNCTION("GOOGLETRANSLATE(A2848,""bn"",""en"")"),"I went to see Suman")</f>
        <v>I went to see Suman</v>
      </c>
      <c r="C2848" s="8" t="s">
        <v>13</v>
      </c>
      <c r="D2848" s="8" t="s">
        <v>14</v>
      </c>
      <c r="E2848" s="8">
        <v>1</v>
      </c>
    </row>
    <row r="2849" spans="1:5" ht="15.75" customHeight="1" x14ac:dyDescent="0.25">
      <c r="A2849" s="6" t="s">
        <v>2821</v>
      </c>
      <c r="B2849" s="6" t="str">
        <f ca="1">IFERROR(__xludf.DUMMYFUNCTION("GOOGLETRANSLATE(A2849,""bn"",""en"")"),"I made a mistake in the transaction amount")</f>
        <v>I made a mistake in the transaction amount</v>
      </c>
      <c r="C2849" s="8" t="s">
        <v>13</v>
      </c>
      <c r="D2849" s="8" t="s">
        <v>14</v>
      </c>
      <c r="E2849" s="8">
        <v>1</v>
      </c>
    </row>
    <row r="2850" spans="1:5" ht="15.75" customHeight="1" x14ac:dyDescent="0.25">
      <c r="A2850" s="6" t="s">
        <v>2822</v>
      </c>
      <c r="B2850" s="6" t="str">
        <f ca="1">IFERROR(__xludf.DUMMYFUNCTION("GOOGLETRANSLATE(A2850,""bn"",""en"")"),"We are always there for each other")</f>
        <v>We are always there for each other</v>
      </c>
      <c r="C2850" s="8" t="s">
        <v>13</v>
      </c>
      <c r="D2850" s="8" t="s">
        <v>14</v>
      </c>
      <c r="E2850" s="8">
        <v>1</v>
      </c>
    </row>
    <row r="2851" spans="1:5" ht="15.75" customHeight="1" x14ac:dyDescent="0.25">
      <c r="A2851" s="6" t="s">
        <v>2823</v>
      </c>
      <c r="B2851" s="6" t="str">
        <f ca="1">IFERROR(__xludf.DUMMYFUNCTION("GOOGLETRANSLATE(A2851,""bn"",""en"")"),"The concept of samsara refers to the cycle of birth, death and rebirth in Hindu Buddhism")</f>
        <v>The concept of samsara refers to the cycle of birth, death and rebirth in Hindu Buddhism</v>
      </c>
      <c r="C2851" s="8" t="s">
        <v>13</v>
      </c>
      <c r="D2851" s="8" t="s">
        <v>14</v>
      </c>
      <c r="E2851" s="8">
        <v>1</v>
      </c>
    </row>
    <row r="2852" spans="1:5" ht="15.75" customHeight="1" x14ac:dyDescent="0.25">
      <c r="A2852" s="6" t="s">
        <v>2824</v>
      </c>
      <c r="B2852" s="6" t="str">
        <f ca="1">IFERROR(__xludf.DUMMYFUNCTION("GOOGLETRANSLATE(A2852,""bn"",""en"")"),"After that, the young man alone pushed it and took it silently to the edge of the hole")</f>
        <v>After that, the young man alone pushed it and took it silently to the edge of the hole</v>
      </c>
      <c r="C2852" s="7" t="s">
        <v>6</v>
      </c>
      <c r="D2852" s="7" t="s">
        <v>7</v>
      </c>
      <c r="E2852" s="7">
        <v>0</v>
      </c>
    </row>
    <row r="2853" spans="1:5" ht="15.75" customHeight="1" x14ac:dyDescent="0.25">
      <c r="A2853" s="6" t="s">
        <v>1362</v>
      </c>
      <c r="B2853" s="6" t="str">
        <f ca="1">IFERROR(__xludf.DUMMYFUNCTION("GOOGLETRANSLATE(A2853,""bn"",""en"")"),"I stood and the young man left")</f>
        <v>I stood and the young man left</v>
      </c>
      <c r="C2853" s="7" t="s">
        <v>6</v>
      </c>
      <c r="D2853" s="7" t="s">
        <v>7</v>
      </c>
      <c r="E2853" s="7">
        <v>0</v>
      </c>
    </row>
    <row r="2854" spans="1:5" ht="15.75" customHeight="1" x14ac:dyDescent="0.25">
      <c r="A2854" s="6" t="s">
        <v>2825</v>
      </c>
      <c r="B2854" s="6" t="str">
        <f ca="1">IFERROR(__xludf.DUMMYFUNCTION("GOOGLETRANSLATE(A2854,""bn"",""en"")"),"When Giya asked the price of the book, the shopkeeper said fifty taka")</f>
        <v>When Giya asked the price of the book, the shopkeeper said fifty taka</v>
      </c>
      <c r="C2854" s="7" t="s">
        <v>6</v>
      </c>
      <c r="D2854" s="7" t="s">
        <v>7</v>
      </c>
      <c r="E2854" s="7">
        <v>0</v>
      </c>
    </row>
    <row r="2855" spans="1:5" ht="15.75" customHeight="1" x14ac:dyDescent="0.25">
      <c r="A2855" s="6" t="s">
        <v>2826</v>
      </c>
      <c r="B2855" s="6" t="str">
        <f ca="1">IFERROR(__xludf.DUMMYFUNCTION("GOOGLETRANSLATE(A2855,""bn"",""en"")"),"I do not know how far its addictive power")</f>
        <v>I do not know how far its addictive power</v>
      </c>
      <c r="C2855" s="7" t="s">
        <v>6</v>
      </c>
      <c r="D2855" s="7" t="s">
        <v>7</v>
      </c>
      <c r="E2855" s="7">
        <v>0</v>
      </c>
    </row>
    <row r="2856" spans="1:5" ht="15.75" customHeight="1" x14ac:dyDescent="0.25">
      <c r="A2856" s="6" t="s">
        <v>2827</v>
      </c>
      <c r="B2856" s="6" t="str">
        <f ca="1">IFERROR(__xludf.DUMMYFUNCTION("GOOGLETRANSLATE(A2856,""bn"",""en"")"),"I cried for him")</f>
        <v>I cried for him</v>
      </c>
      <c r="C2856" s="7" t="s">
        <v>6</v>
      </c>
      <c r="D2856" s="7" t="s">
        <v>7</v>
      </c>
      <c r="E2856" s="7">
        <v>0</v>
      </c>
    </row>
    <row r="2857" spans="1:5" ht="15.75" customHeight="1" x14ac:dyDescent="0.25">
      <c r="A2857" s="6" t="s">
        <v>2828</v>
      </c>
      <c r="B2857" s="6" t="str">
        <f ca="1">IFERROR(__xludf.DUMMYFUNCTION("GOOGLETRANSLATE(A2857,""bn"",""en"")"),"I proceeded after listening to Suman")</f>
        <v>I proceeded after listening to Suman</v>
      </c>
      <c r="C2857" s="8" t="s">
        <v>13</v>
      </c>
      <c r="D2857" s="8" t="s">
        <v>14</v>
      </c>
      <c r="E2857" s="8">
        <v>1</v>
      </c>
    </row>
    <row r="2858" spans="1:5" ht="15.75" customHeight="1" x14ac:dyDescent="0.25">
      <c r="A2858" s="6" t="s">
        <v>2829</v>
      </c>
      <c r="B2858" s="6" t="str">
        <f ca="1">IFERROR(__xludf.DUMMYFUNCTION("GOOGLETRANSLATE(A2858,""bn"",""en"")"),"He was looking strangely at the mango tree through the window")</f>
        <v>He was looking strangely at the mango tree through the window</v>
      </c>
      <c r="C2858" s="8" t="s">
        <v>13</v>
      </c>
      <c r="D2858" s="8" t="s">
        <v>14</v>
      </c>
      <c r="E2858" s="8">
        <v>1</v>
      </c>
    </row>
    <row r="2859" spans="1:5" ht="15.75" customHeight="1" x14ac:dyDescent="0.25">
      <c r="A2859" s="6" t="s">
        <v>2830</v>
      </c>
      <c r="B2859" s="6" t="str">
        <f ca="1">IFERROR(__xludf.DUMMYFUNCTION("GOOGLETRANSLATE(A2859,""bn"",""en"")"),"Both of them fought valiantly against the British and were defeated")</f>
        <v>Both of them fought valiantly against the British and were defeated</v>
      </c>
      <c r="C2859" s="8" t="s">
        <v>13</v>
      </c>
      <c r="D2859" s="8" t="s">
        <v>14</v>
      </c>
      <c r="E2859" s="8">
        <v>1</v>
      </c>
    </row>
    <row r="2860" spans="1:5" ht="15.75" customHeight="1" x14ac:dyDescent="0.25">
      <c r="A2860" s="6" t="s">
        <v>1579</v>
      </c>
      <c r="B2860" s="6" t="str">
        <f ca="1">IFERROR(__xludf.DUMMYFUNCTION("GOOGLETRANSLATE(A2860,""bn"",""en"")"),"All lived together in unity")</f>
        <v>All lived together in unity</v>
      </c>
      <c r="C2860" s="8" t="s">
        <v>13</v>
      </c>
      <c r="D2860" s="8" t="s">
        <v>14</v>
      </c>
      <c r="E2860" s="8">
        <v>1</v>
      </c>
    </row>
    <row r="2861" spans="1:5" ht="15.75" customHeight="1" x14ac:dyDescent="0.25">
      <c r="A2861" s="6" t="s">
        <v>2831</v>
      </c>
      <c r="B2861" s="6" t="str">
        <f ca="1">IFERROR(__xludf.DUMMYFUNCTION("GOOGLETRANSLATE(A2861,""bn"",""en"")"),"Criminal sentencing guidelines consider factors such as the severity of the offense and the defendant's prior record")</f>
        <v>Criminal sentencing guidelines consider factors such as the severity of the offense and the defendant's prior record</v>
      </c>
      <c r="C2861" s="8" t="s">
        <v>13</v>
      </c>
      <c r="D2861" s="8" t="s">
        <v>14</v>
      </c>
      <c r="E2861" s="8">
        <v>1</v>
      </c>
    </row>
    <row r="2862" spans="1:5" ht="15.75" customHeight="1" x14ac:dyDescent="0.25">
      <c r="A2862" s="6" t="s">
        <v>2832</v>
      </c>
      <c r="B2862" s="6" t="str">
        <f ca="1">IFERROR(__xludf.DUMMYFUNCTION("GOOGLETRANSLATE(A2862,""bn"",""en"")"),"Thinking of you, I understand that the full evening will fade")</f>
        <v>Thinking of you, I understand that the full evening will fade</v>
      </c>
      <c r="C2862" s="7" t="s">
        <v>6</v>
      </c>
      <c r="D2862" s="7" t="s">
        <v>7</v>
      </c>
      <c r="E2862" s="7">
        <v>0</v>
      </c>
    </row>
    <row r="2863" spans="1:5" ht="15.75" customHeight="1" x14ac:dyDescent="0.25">
      <c r="A2863" s="6" t="s">
        <v>2833</v>
      </c>
      <c r="B2863" s="6" t="str">
        <f ca="1">IFERROR(__xludf.DUMMYFUNCTION("GOOGLETRANSLATE(A2863,""bn"",""en"")"),"Their wages are paid only if they get these flowers instead of money")</f>
        <v>Their wages are paid only if they get these flowers instead of money</v>
      </c>
      <c r="C2863" s="7" t="s">
        <v>6</v>
      </c>
      <c r="D2863" s="7" t="s">
        <v>7</v>
      </c>
      <c r="E2863" s="7">
        <v>0</v>
      </c>
    </row>
    <row r="2864" spans="1:5" ht="15.75" customHeight="1" x14ac:dyDescent="0.25">
      <c r="A2864" s="6" t="s">
        <v>2834</v>
      </c>
      <c r="B2864" s="6" t="str">
        <f ca="1">IFERROR(__xludf.DUMMYFUNCTION("GOOGLETRANSLATE(A2864,""bn"",""en"")"),"I have already said that I came to see the sea because it was a great pleasure")</f>
        <v>I have already said that I came to see the sea because it was a great pleasure</v>
      </c>
      <c r="C2864" s="7" t="s">
        <v>6</v>
      </c>
      <c r="D2864" s="7" t="s">
        <v>7</v>
      </c>
      <c r="E2864" s="7">
        <v>0</v>
      </c>
    </row>
    <row r="2865" spans="1:5" ht="15.75" customHeight="1" x14ac:dyDescent="0.25">
      <c r="A2865" s="6" t="s">
        <v>2835</v>
      </c>
      <c r="B2865" s="6" t="str">
        <f ca="1">IFERROR(__xludf.DUMMYFUNCTION("GOOGLETRANSLATE(A2865,""bn"",""en"")"),"After looking carefully, she could not see anyone and came back and said that there is no one, mother")</f>
        <v>After looking carefully, she could not see anyone and came back and said that there is no one, mother</v>
      </c>
      <c r="C2865" s="7" t="s">
        <v>6</v>
      </c>
      <c r="D2865" s="7" t="s">
        <v>7</v>
      </c>
      <c r="E2865" s="7">
        <v>0</v>
      </c>
    </row>
    <row r="2866" spans="1:5" ht="15.75" customHeight="1" x14ac:dyDescent="0.25">
      <c r="A2866" s="6" t="s">
        <v>2836</v>
      </c>
      <c r="B2866" s="6" t="str">
        <f ca="1">IFERROR(__xludf.DUMMYFUNCTION("GOOGLETRANSLATE(A2866,""bn"",""en"")"),"The charioteer received orders from Bhupati")</f>
        <v>The charioteer received orders from Bhupati</v>
      </c>
      <c r="C2866" s="7" t="s">
        <v>6</v>
      </c>
      <c r="D2866" s="7" t="s">
        <v>7</v>
      </c>
      <c r="E2866" s="7">
        <v>0</v>
      </c>
    </row>
    <row r="2867" spans="1:5" ht="15.75" customHeight="1" x14ac:dyDescent="0.25">
      <c r="A2867" s="6" t="s">
        <v>2837</v>
      </c>
      <c r="B2867" s="6" t="str">
        <f ca="1">IFERROR(__xludf.DUMMYFUNCTION("GOOGLETRANSLATE(A2867,""bn"",""en"")"),"The burden of proof in a criminal trial rests with the prosecution")</f>
        <v>The burden of proof in a criminal trial rests with the prosecution</v>
      </c>
      <c r="C2867" s="8" t="s">
        <v>13</v>
      </c>
      <c r="D2867" s="8" t="s">
        <v>14</v>
      </c>
      <c r="E2867" s="8">
        <v>1</v>
      </c>
    </row>
    <row r="2868" spans="1:5" ht="15.75" customHeight="1" x14ac:dyDescent="0.25">
      <c r="A2868" s="6" t="s">
        <v>2838</v>
      </c>
      <c r="B2868" s="6" t="str">
        <f ca="1">IFERROR(__xludf.DUMMYFUNCTION("GOOGLETRANSLATE(A2868,""bn"",""en"")"),"did you hear me")</f>
        <v>did you hear me</v>
      </c>
      <c r="C2868" s="8" t="s">
        <v>13</v>
      </c>
      <c r="D2868" s="8" t="s">
        <v>14</v>
      </c>
      <c r="E2868" s="8">
        <v>1</v>
      </c>
    </row>
    <row r="2869" spans="1:5" ht="15.75" customHeight="1" x14ac:dyDescent="0.25">
      <c r="A2869" s="6" t="s">
        <v>2839</v>
      </c>
      <c r="B2869" s="6" t="str">
        <f ca="1">IFERROR(__xludf.DUMMYFUNCTION("GOOGLETRANSLATE(A2869,""bn"",""en"")"),"We all greeted them.")</f>
        <v>We all greeted them.</v>
      </c>
      <c r="C2869" s="8" t="s">
        <v>13</v>
      </c>
      <c r="D2869" s="8" t="s">
        <v>14</v>
      </c>
      <c r="E2869" s="8">
        <v>1</v>
      </c>
    </row>
    <row r="2870" spans="1:5" ht="15.75" customHeight="1" x14ac:dyDescent="0.25">
      <c r="A2870" s="6" t="s">
        <v>2840</v>
      </c>
      <c r="B2870" s="6" t="str">
        <f ca="1">IFERROR(__xludf.DUMMYFUNCTION("GOOGLETRANSLATE(A2870,""bn"",""en"")"),"Sajib told Suman about me")</f>
        <v>Sajib told Suman about me</v>
      </c>
      <c r="C2870" s="8" t="s">
        <v>13</v>
      </c>
      <c r="D2870" s="8" t="s">
        <v>14</v>
      </c>
      <c r="E2870" s="8">
        <v>1</v>
      </c>
    </row>
    <row r="2871" spans="1:5" ht="15.75" customHeight="1" x14ac:dyDescent="0.25">
      <c r="A2871" s="6" t="s">
        <v>2841</v>
      </c>
      <c r="B2871" s="6" t="str">
        <f ca="1">IFERROR(__xludf.DUMMYFUNCTION("GOOGLETRANSLATE(A2871,""bn"",""en"")"),"He has been able to gain a lot of knowledge by reading books")</f>
        <v>He has been able to gain a lot of knowledge by reading books</v>
      </c>
      <c r="C2871" s="8" t="s">
        <v>13</v>
      </c>
      <c r="D2871" s="8" t="s">
        <v>14</v>
      </c>
      <c r="E2871" s="8">
        <v>1</v>
      </c>
    </row>
    <row r="2872" spans="1:5" ht="15.75" customHeight="1" x14ac:dyDescent="0.25">
      <c r="A2872" s="6" t="s">
        <v>2842</v>
      </c>
      <c r="B2872" s="6" t="str">
        <f ca="1">IFERROR(__xludf.DUMMYFUNCTION("GOOGLETRANSLATE(A2872,""bn"",""en"")"),"I sat with him and talked for a while")</f>
        <v>I sat with him and talked for a while</v>
      </c>
      <c r="C2872" s="7" t="s">
        <v>6</v>
      </c>
      <c r="D2872" s="7" t="s">
        <v>7</v>
      </c>
      <c r="E2872" s="7">
        <v>0</v>
      </c>
    </row>
    <row r="2873" spans="1:5" ht="15.75" customHeight="1" x14ac:dyDescent="0.25">
      <c r="A2873" s="6" t="s">
        <v>2843</v>
      </c>
      <c r="B2873" s="6" t="str">
        <f ca="1">IFERROR(__xludf.DUMMYFUNCTION("GOOGLETRANSLATE(A2873,""bn"",""en"")"),"Exhaling the old postmaster, carrying a carpet bag in his hand, an umbrella on his shoulder, and a blue-and-white stripe on a mutt's head, he slowly walked towards the boat.")</f>
        <v>Exhaling the old postmaster, carrying a carpet bag in his hand, an umbrella on his shoulder, and a blue-and-white stripe on a mutt's head, he slowly walked towards the boat.</v>
      </c>
      <c r="C2873" s="7" t="s">
        <v>6</v>
      </c>
      <c r="D2873" s="7" t="s">
        <v>7</v>
      </c>
      <c r="E2873" s="7">
        <v>0</v>
      </c>
    </row>
    <row r="2874" spans="1:5" ht="15.75" customHeight="1" x14ac:dyDescent="0.25">
      <c r="A2874" s="6" t="s">
        <v>2844</v>
      </c>
      <c r="B2874" s="6" t="str">
        <f ca="1">IFERROR(__xludf.DUMMYFUNCTION("GOOGLETRANSLATE(A2874,""bn"",""en"")"),"Like countless waves of a troubled river")</f>
        <v>Like countless waves of a troubled river</v>
      </c>
      <c r="C2874" s="7" t="s">
        <v>6</v>
      </c>
      <c r="D2874" s="7" t="s">
        <v>7</v>
      </c>
      <c r="E2874" s="7">
        <v>0</v>
      </c>
    </row>
    <row r="2875" spans="1:5" ht="15.75" customHeight="1" x14ac:dyDescent="0.25">
      <c r="A2875" s="6" t="s">
        <v>2845</v>
      </c>
      <c r="B2875" s="6" t="str">
        <f ca="1">IFERROR(__xludf.DUMMYFUNCTION("GOOGLETRANSLATE(A2875,""bn"",""en"")"),"But he firmly believed that everyone was his story")</f>
        <v>But he firmly believed that everyone was his story</v>
      </c>
      <c r="C2875" s="7" t="s">
        <v>6</v>
      </c>
      <c r="D2875" s="7" t="s">
        <v>7</v>
      </c>
      <c r="E2875" s="7">
        <v>0</v>
      </c>
    </row>
    <row r="2876" spans="1:5" ht="15.75" customHeight="1" x14ac:dyDescent="0.25">
      <c r="A2876" s="6" t="s">
        <v>2846</v>
      </c>
      <c r="B2876" s="6" t="str">
        <f ca="1">IFERROR(__xludf.DUMMYFUNCTION("GOOGLETRANSLATE(A2876,""bn"",""en"")"),"During the Mughal rule, the Mughal rulers after Babur also supported the Persian language culture")</f>
        <v>During the Mughal rule, the Mughal rulers after Babur also supported the Persian language culture</v>
      </c>
      <c r="C2876" s="7" t="s">
        <v>6</v>
      </c>
      <c r="D2876" s="7" t="s">
        <v>7</v>
      </c>
      <c r="E2876" s="7">
        <v>0</v>
      </c>
    </row>
    <row r="2877" spans="1:5" ht="15.75" customHeight="1" x14ac:dyDescent="0.25">
      <c r="A2877" s="6" t="s">
        <v>2847</v>
      </c>
      <c r="B2877" s="6" t="str">
        <f ca="1">IFERROR(__xludf.DUMMYFUNCTION("GOOGLETRANSLATE(A2877,""bn"",""en"")"),"The pilot landed the plane safely despite the adverse weather conditions")</f>
        <v>The pilot landed the plane safely despite the adverse weather conditions</v>
      </c>
      <c r="C2877" s="8" t="s">
        <v>13</v>
      </c>
      <c r="D2877" s="8" t="s">
        <v>14</v>
      </c>
      <c r="E2877" s="8">
        <v>1</v>
      </c>
    </row>
    <row r="2878" spans="1:5" ht="15.75" customHeight="1" x14ac:dyDescent="0.25">
      <c r="A2878" s="6" t="s">
        <v>2848</v>
      </c>
      <c r="B2878" s="6" t="str">
        <f ca="1">IFERROR(__xludf.DUMMYFUNCTION("GOOGLETRANSLATE(A2878,""bn"",""en"")"),"I recognized you")</f>
        <v>I recognized you</v>
      </c>
      <c r="C2878" s="8" t="s">
        <v>13</v>
      </c>
      <c r="D2878" s="8" t="s">
        <v>14</v>
      </c>
      <c r="E2878" s="8">
        <v>1</v>
      </c>
    </row>
    <row r="2879" spans="1:5" ht="15.75" customHeight="1" x14ac:dyDescent="0.25">
      <c r="A2879" s="6" t="s">
        <v>2849</v>
      </c>
      <c r="B2879" s="6" t="str">
        <f ca="1">IFERROR(__xludf.DUMMYFUNCTION("GOOGLETRANSLATE(A2879,""bn"",""en"")"),"Writing style Rousseau's writing style is strange")</f>
        <v>Writing style Rousseau's writing style is strange</v>
      </c>
      <c r="C2879" s="8" t="s">
        <v>13</v>
      </c>
      <c r="D2879" s="8" t="s">
        <v>14</v>
      </c>
      <c r="E2879" s="8">
        <v>1</v>
      </c>
    </row>
    <row r="2880" spans="1:5" ht="15.75" customHeight="1" x14ac:dyDescent="0.25">
      <c r="A2880" s="6" t="s">
        <v>2850</v>
      </c>
      <c r="B2880" s="6" t="str">
        <f ca="1">IFERROR(__xludf.DUMMYFUNCTION("GOOGLETRANSLATE(A2880,""bn"",""en"")"),"A few days ago she left the village with her daughter")</f>
        <v>A few days ago she left the village with her daughter</v>
      </c>
      <c r="C2880" s="8" t="s">
        <v>13</v>
      </c>
      <c r="D2880" s="8" t="s">
        <v>14</v>
      </c>
      <c r="E2880" s="8">
        <v>1</v>
      </c>
    </row>
    <row r="2881" spans="1:5" ht="15.75" customHeight="1" x14ac:dyDescent="0.25">
      <c r="A2881" s="6" t="s">
        <v>2851</v>
      </c>
      <c r="B2881" s="6" t="str">
        <f ca="1">IFERROR(__xludf.DUMMYFUNCTION("GOOGLETRANSLATE(A2881,""bn"",""en"")"),"This year he won the Brunei Open title")</f>
        <v>This year he won the Brunei Open title</v>
      </c>
      <c r="C2881" s="8" t="s">
        <v>13</v>
      </c>
      <c r="D2881" s="8" t="s">
        <v>14</v>
      </c>
      <c r="E2881" s="8">
        <v>1</v>
      </c>
    </row>
    <row r="2882" spans="1:5" ht="15.75" customHeight="1" x14ac:dyDescent="0.25">
      <c r="A2882" s="6" t="s">
        <v>2504</v>
      </c>
      <c r="B2882" s="6" t="str">
        <f ca="1">IFERROR(__xludf.DUMMYFUNCTION("GOOGLETRANSLATE(A2882,""bn"",""en"")"),"The young man went without saying a word")</f>
        <v>The young man went without saying a word</v>
      </c>
      <c r="C2882" s="7" t="s">
        <v>6</v>
      </c>
      <c r="D2882" s="7" t="s">
        <v>7</v>
      </c>
      <c r="E2882" s="7">
        <v>0</v>
      </c>
    </row>
    <row r="2883" spans="1:5" ht="15.75" customHeight="1" x14ac:dyDescent="0.25">
      <c r="A2883" s="6" t="s">
        <v>2852</v>
      </c>
      <c r="B2883" s="6" t="str">
        <f ca="1">IFERROR(__xludf.DUMMYFUNCTION("GOOGLETRANSLATE(A2883,""bn"",""en"")"),"I have never been anywhere except Calcutta so my mind wanders around the world")</f>
        <v>I have never been anywhere except Calcutta so my mind wanders around the world</v>
      </c>
      <c r="C2883" s="7" t="s">
        <v>6</v>
      </c>
      <c r="D2883" s="7" t="s">
        <v>7</v>
      </c>
      <c r="E2883" s="7">
        <v>0</v>
      </c>
    </row>
    <row r="2884" spans="1:5" ht="15.75" customHeight="1" x14ac:dyDescent="0.25">
      <c r="A2884" s="6" t="s">
        <v>2853</v>
      </c>
      <c r="B2884" s="6" t="str">
        <f ca="1">IFERROR(__xludf.DUMMYFUNCTION("GOOGLETRANSLATE(A2884,""bn"",""en"")"),"All night long, in his drowsy ears, the unblemished cry came like a stream, and in the eastern sky, gray clouds were rising like mountains from the horizon.")</f>
        <v>All night long, in his drowsy ears, the unblemished cry came like a stream, and in the eastern sky, gray clouds were rising like mountains from the horizon.</v>
      </c>
      <c r="C2884" s="7" t="s">
        <v>6</v>
      </c>
      <c r="D2884" s="7" t="s">
        <v>7</v>
      </c>
      <c r="E2884" s="7">
        <v>0</v>
      </c>
    </row>
    <row r="2885" spans="1:5" ht="15.75" customHeight="1" x14ac:dyDescent="0.25">
      <c r="A2885" s="6" t="s">
        <v>2854</v>
      </c>
      <c r="B2885" s="6" t="str">
        <f ca="1">IFERROR(__xludf.DUMMYFUNCTION("GOOGLETRANSLATE(A2885,""bn"",""en"")"),"That's why it's hard to walk in public")</f>
        <v>That's why it's hard to walk in public</v>
      </c>
      <c r="C2885" s="7" t="s">
        <v>6</v>
      </c>
      <c r="D2885" s="7" t="s">
        <v>7</v>
      </c>
      <c r="E2885" s="7">
        <v>0</v>
      </c>
    </row>
    <row r="2886" spans="1:5" ht="15.75" customHeight="1" x14ac:dyDescent="0.25">
      <c r="A2886" s="6" t="s">
        <v>1704</v>
      </c>
      <c r="B2886" s="6" t="str">
        <f ca="1">IFERROR(__xludf.DUMMYFUNCTION("GOOGLETRANSLATE(A2886,""bn"",""en"")"),"People all around were busy to welcome the victorious heroes")</f>
        <v>People all around were busy to welcome the victorious heroes</v>
      </c>
      <c r="C2886" s="7" t="s">
        <v>6</v>
      </c>
      <c r="D2886" s="7" t="s">
        <v>7</v>
      </c>
      <c r="E2886" s="7">
        <v>0</v>
      </c>
    </row>
    <row r="2887" spans="1:5" ht="15.75" customHeight="1" x14ac:dyDescent="0.25">
      <c r="A2887" s="6" t="s">
        <v>2855</v>
      </c>
      <c r="B2887" s="6" t="str">
        <f ca="1">IFERROR(__xludf.DUMMYFUNCTION("GOOGLETRANSLATE(A2887,""bn"",""en"")"),"The shipping process was smooth and hassle free")</f>
        <v>The shipping process was smooth and hassle free</v>
      </c>
      <c r="C2887" s="8" t="s">
        <v>13</v>
      </c>
      <c r="D2887" s="8" t="s">
        <v>14</v>
      </c>
      <c r="E2887" s="8">
        <v>1</v>
      </c>
    </row>
    <row r="2888" spans="1:5" ht="15.75" customHeight="1" x14ac:dyDescent="0.25">
      <c r="A2888" s="6" t="s">
        <v>2856</v>
      </c>
      <c r="B2888" s="6" t="str">
        <f ca="1">IFERROR(__xludf.DUMMYFUNCTION("GOOGLETRANSLATE(A2888,""bn"",""en"")"),"Robin walks down the street")</f>
        <v>Robin walks down the street</v>
      </c>
      <c r="C2888" s="8" t="s">
        <v>13</v>
      </c>
      <c r="D2888" s="8" t="s">
        <v>14</v>
      </c>
      <c r="E2888" s="8">
        <v>1</v>
      </c>
    </row>
    <row r="2889" spans="1:5" ht="15.75" customHeight="1" x14ac:dyDescent="0.25">
      <c r="A2889" s="6" t="s">
        <v>2857</v>
      </c>
      <c r="B2889" s="6" t="str">
        <f ca="1">IFERROR(__xludf.DUMMYFUNCTION("GOOGLETRANSLATE(A2889,""bn"",""en"")"),"He wants to travel with me.")</f>
        <v>He wants to travel with me.</v>
      </c>
      <c r="C2889" s="8" t="s">
        <v>13</v>
      </c>
      <c r="D2889" s="8" t="s">
        <v>14</v>
      </c>
      <c r="E2889" s="8">
        <v>1</v>
      </c>
    </row>
    <row r="2890" spans="1:5" ht="15.75" customHeight="1" x14ac:dyDescent="0.25">
      <c r="A2890" s="6" t="s">
        <v>2858</v>
      </c>
      <c r="B2890" s="6" t="str">
        <f ca="1">IFERROR(__xludf.DUMMYFUNCTION("GOOGLETRANSLATE(A2890,""bn"",""en"")"),"Beauty in small moments brings joy")</f>
        <v>Beauty in small moments brings joy</v>
      </c>
      <c r="C2890" s="8" t="s">
        <v>13</v>
      </c>
      <c r="D2890" s="8" t="s">
        <v>14</v>
      </c>
      <c r="E2890" s="8">
        <v>1</v>
      </c>
    </row>
    <row r="2891" spans="1:5" ht="15.75" customHeight="1" x14ac:dyDescent="0.25">
      <c r="A2891" s="6" t="s">
        <v>2859</v>
      </c>
      <c r="B2891" s="6" t="str">
        <f ca="1">IFERROR(__xludf.DUMMYFUNCTION("GOOGLETRANSLATE(A2891,""bn"",""en"")"),"I will take a bath and pray")</f>
        <v>I will take a bath and pray</v>
      </c>
      <c r="C2891" s="8" t="s">
        <v>13</v>
      </c>
      <c r="D2891" s="8" t="s">
        <v>14</v>
      </c>
      <c r="E2891" s="8">
        <v>1</v>
      </c>
    </row>
    <row r="2892" spans="1:5" ht="15.75" customHeight="1" x14ac:dyDescent="0.25">
      <c r="A2892" s="6" t="s">
        <v>2860</v>
      </c>
      <c r="B2892" s="6" t="str">
        <f ca="1">IFERROR(__xludf.DUMMYFUNCTION("GOOGLETRANSLATE(A2892,""bn"",""en"")"),"He spent days impatiently waiting for an answer")</f>
        <v>He spent days impatiently waiting for an answer</v>
      </c>
      <c r="C2892" s="7" t="s">
        <v>6</v>
      </c>
      <c r="D2892" s="7" t="s">
        <v>7</v>
      </c>
      <c r="E2892" s="7">
        <v>0</v>
      </c>
    </row>
    <row r="2893" spans="1:5" ht="15.75" customHeight="1" x14ac:dyDescent="0.25">
      <c r="A2893" s="6" t="s">
        <v>2861</v>
      </c>
      <c r="B2893" s="6" t="str">
        <f ca="1">IFERROR(__xludf.DUMMYFUNCTION("GOOGLETRANSLATE(A2893,""bn"",""en"")"),"There is a reason for this")</f>
        <v>There is a reason for this</v>
      </c>
      <c r="C2893" s="7" t="s">
        <v>6</v>
      </c>
      <c r="D2893" s="7" t="s">
        <v>7</v>
      </c>
      <c r="E2893" s="7">
        <v>0</v>
      </c>
    </row>
    <row r="2894" spans="1:5" ht="15.75" customHeight="1" x14ac:dyDescent="0.25">
      <c r="A2894" s="6" t="s">
        <v>2862</v>
      </c>
      <c r="B2894" s="6" t="str">
        <f ca="1">IFERROR(__xludf.DUMMYFUNCTION("GOOGLETRANSLATE(A2894,""bn"",""en"")"),"That is what is written in it")</f>
        <v>That is what is written in it</v>
      </c>
      <c r="C2894" s="7" t="s">
        <v>6</v>
      </c>
      <c r="D2894" s="7" t="s">
        <v>7</v>
      </c>
      <c r="E2894" s="7">
        <v>0</v>
      </c>
    </row>
    <row r="2895" spans="1:5" ht="15.75" customHeight="1" x14ac:dyDescent="0.25">
      <c r="A2895" s="6" t="s">
        <v>2863</v>
      </c>
      <c r="B2895" s="6" t="str">
        <f ca="1">IFERROR(__xludf.DUMMYFUNCTION("GOOGLETRANSLATE(A2895,""bn"",""en"")"),"From where a hermit came and took shelter under a shed")</f>
        <v>From where a hermit came and took shelter under a shed</v>
      </c>
      <c r="C2895" s="7" t="s">
        <v>6</v>
      </c>
      <c r="D2895" s="7" t="s">
        <v>7</v>
      </c>
      <c r="E2895" s="7">
        <v>0</v>
      </c>
    </row>
    <row r="2896" spans="1:5" ht="15.75" customHeight="1" x14ac:dyDescent="0.25">
      <c r="A2896" s="6" t="s">
        <v>2864</v>
      </c>
      <c r="B2896" s="6" t="str">
        <f ca="1">IFERROR(__xludf.DUMMYFUNCTION("GOOGLETRANSLATE(A2896,""bn"",""en"")"),"Father asked me to go to Bogra today")</f>
        <v>Father asked me to go to Bogra today</v>
      </c>
      <c r="C2896" s="7" t="s">
        <v>6</v>
      </c>
      <c r="D2896" s="7" t="s">
        <v>7</v>
      </c>
      <c r="E2896" s="7">
        <v>0</v>
      </c>
    </row>
    <row r="2897" spans="1:5" ht="15.75" customHeight="1" x14ac:dyDescent="0.25">
      <c r="A2897" s="6" t="s">
        <v>2865</v>
      </c>
      <c r="B2897" s="6" t="str">
        <f ca="1">IFERROR(__xludf.DUMMYFUNCTION("GOOGLETRANSLATE(A2897,""bn"",""en"")"),"Push ups strengthen the upper body")</f>
        <v>Push ups strengthen the upper body</v>
      </c>
      <c r="C2897" s="8" t="s">
        <v>13</v>
      </c>
      <c r="D2897" s="8" t="s">
        <v>14</v>
      </c>
      <c r="E2897" s="8">
        <v>1</v>
      </c>
    </row>
    <row r="2898" spans="1:5" ht="15.75" customHeight="1" x14ac:dyDescent="0.25">
      <c r="A2898" s="6" t="s">
        <v>2866</v>
      </c>
      <c r="B2898" s="6" t="str">
        <f ca="1">IFERROR(__xludf.DUMMYFUNCTION("GOOGLETRANSLATE(A2898,""bn"",""en"")"),"Take care of your physical mental health they are all interconnected")</f>
        <v>Take care of your physical mental health they are all interconnected</v>
      </c>
      <c r="C2898" s="8" t="s">
        <v>13</v>
      </c>
      <c r="D2898" s="8" t="s">
        <v>14</v>
      </c>
      <c r="E2898" s="8">
        <v>1</v>
      </c>
    </row>
    <row r="2899" spans="1:5" ht="15.75" customHeight="1" x14ac:dyDescent="0.25">
      <c r="A2899" s="6" t="s">
        <v>2867</v>
      </c>
      <c r="B2899" s="6" t="str">
        <f ca="1">IFERROR(__xludf.DUMMYFUNCTION("GOOGLETRANSLATE(A2899,""bn"",""en"")"),"Knowledge management systems promote skill retention")</f>
        <v>Knowledge management systems promote skill retention</v>
      </c>
      <c r="C2899" s="8" t="s">
        <v>13</v>
      </c>
      <c r="D2899" s="8" t="s">
        <v>14</v>
      </c>
      <c r="E2899" s="8">
        <v>1</v>
      </c>
    </row>
    <row r="2900" spans="1:5" ht="15.75" customHeight="1" x14ac:dyDescent="0.25">
      <c r="A2900" s="6" t="s">
        <v>2868</v>
      </c>
      <c r="B2900" s="6" t="str">
        <f ca="1">IFERROR(__xludf.DUMMYFUNCTION("GOOGLETRANSLATE(A2900,""bn"",""en"")"),"This plant is fresh")</f>
        <v>This plant is fresh</v>
      </c>
      <c r="C2900" s="8" t="s">
        <v>13</v>
      </c>
      <c r="D2900" s="8" t="s">
        <v>14</v>
      </c>
      <c r="E2900" s="8">
        <v>1</v>
      </c>
    </row>
    <row r="2901" spans="1:5" ht="15.75" customHeight="1" x14ac:dyDescent="0.25">
      <c r="A2901" s="6" t="s">
        <v>2869</v>
      </c>
      <c r="B2901" s="6" t="str">
        <f ca="1">IFERROR(__xludf.DUMMYFUNCTION("GOOGLETRANSLATE(A2901,""bn"",""en"")"),"did you talk about me")</f>
        <v>did you talk about me</v>
      </c>
      <c r="C2901" s="8" t="s">
        <v>13</v>
      </c>
      <c r="D2901" s="8" t="s">
        <v>14</v>
      </c>
      <c r="E2901" s="8">
        <v>1</v>
      </c>
    </row>
    <row r="2902" spans="1:5" ht="15.75" customHeight="1" x14ac:dyDescent="0.25">
      <c r="A2902" s="6" t="s">
        <v>2870</v>
      </c>
      <c r="B2902" s="6" t="str">
        <f ca="1">IFERROR(__xludf.DUMMYFUNCTION("GOOGLETRANSLATE(A2902,""bn"",""en"")"),"Suman has got it done")</f>
        <v>Suman has got it done</v>
      </c>
      <c r="C2902" s="7" t="s">
        <v>6</v>
      </c>
      <c r="D2902" s="7" t="s">
        <v>7</v>
      </c>
      <c r="E2902" s="7">
        <v>0</v>
      </c>
    </row>
    <row r="2903" spans="1:5" ht="15.75" customHeight="1" x14ac:dyDescent="0.25">
      <c r="A2903" s="6" t="s">
        <v>2871</v>
      </c>
      <c r="B2903" s="6" t="str">
        <f ca="1">IFERROR(__xludf.DUMMYFUNCTION("GOOGLETRANSLATE(A2903,""bn"",""en"")"),"I proceeded according to their words")</f>
        <v>I proceeded according to their words</v>
      </c>
      <c r="C2903" s="7" t="s">
        <v>6</v>
      </c>
      <c r="D2903" s="7" t="s">
        <v>7</v>
      </c>
      <c r="E2903" s="7">
        <v>0</v>
      </c>
    </row>
    <row r="2904" spans="1:5" ht="15.75" customHeight="1" x14ac:dyDescent="0.25">
      <c r="A2904" s="6" t="s">
        <v>2872</v>
      </c>
      <c r="B2904" s="6" t="str">
        <f ca="1">IFERROR(__xludf.DUMMYFUNCTION("GOOGLETRANSLATE(A2904,""bn"",""en"")"),"Osman saw a shaluk at a distance")</f>
        <v>Osman saw a shaluk at a distance</v>
      </c>
      <c r="C2904" s="7" t="s">
        <v>6</v>
      </c>
      <c r="D2904" s="7" t="s">
        <v>7</v>
      </c>
      <c r="E2904" s="7">
        <v>0</v>
      </c>
    </row>
    <row r="2905" spans="1:5" ht="15.75" customHeight="1" x14ac:dyDescent="0.25">
      <c r="A2905" s="6" t="s">
        <v>2873</v>
      </c>
      <c r="B2905" s="6" t="str">
        <f ca="1">IFERROR(__xludf.DUMMYFUNCTION("GOOGLETRANSLATE(A2905,""bn"",""en"")"),"Sufal worked with me")</f>
        <v>Sufal worked with me</v>
      </c>
      <c r="C2905" s="7" t="s">
        <v>6</v>
      </c>
      <c r="D2905" s="7" t="s">
        <v>7</v>
      </c>
      <c r="E2905" s="7">
        <v>0</v>
      </c>
    </row>
    <row r="2906" spans="1:5" ht="15.75" customHeight="1" x14ac:dyDescent="0.25">
      <c r="A2906" s="6" t="s">
        <v>2757</v>
      </c>
      <c r="B2906" s="6" t="str">
        <f ca="1">IFERROR(__xludf.DUMMYFUNCTION("GOOGLETRANSLATE(A2906,""bn"",""en"")"),"I thought the village is not far when the domesticated buffalo is near")</f>
        <v>I thought the village is not far when the domesticated buffalo is near</v>
      </c>
      <c r="C2906" s="7" t="s">
        <v>6</v>
      </c>
      <c r="D2906" s="7" t="s">
        <v>7</v>
      </c>
      <c r="E2906" s="7">
        <v>0</v>
      </c>
    </row>
    <row r="2907" spans="1:5" ht="15.75" customHeight="1" x14ac:dyDescent="0.25">
      <c r="A2907" s="6" t="s">
        <v>2874</v>
      </c>
      <c r="B2907" s="6" t="str">
        <f ca="1">IFERROR(__xludf.DUMMYFUNCTION("GOOGLETRANSLATE(A2907,""bn"",""en"")"),"The girl was very arrogant so she was sitting angry")</f>
        <v>The girl was very arrogant so she was sitting angry</v>
      </c>
      <c r="C2907" s="8" t="s">
        <v>13</v>
      </c>
      <c r="D2907" s="8" t="s">
        <v>14</v>
      </c>
      <c r="E2907" s="8">
        <v>1</v>
      </c>
    </row>
    <row r="2908" spans="1:5" ht="15.75" customHeight="1" x14ac:dyDescent="0.25">
      <c r="A2908" s="6" t="s">
        <v>2875</v>
      </c>
      <c r="B2908" s="6" t="str">
        <f ca="1">IFERROR(__xludf.DUMMYFUNCTION("GOOGLETRANSLATE(A2908,""bn"",""en"")"),"His candidacy was not entirely successful")</f>
        <v>His candidacy was not entirely successful</v>
      </c>
      <c r="C2908" s="8" t="s">
        <v>13</v>
      </c>
      <c r="D2908" s="8" t="s">
        <v>14</v>
      </c>
      <c r="E2908" s="8">
        <v>1</v>
      </c>
    </row>
    <row r="2909" spans="1:5" ht="15.75" customHeight="1" x14ac:dyDescent="0.25">
      <c r="A2909" s="6" t="s">
        <v>2876</v>
      </c>
      <c r="B2909" s="6" t="str">
        <f ca="1">IFERROR(__xludf.DUMMYFUNCTION("GOOGLETRANSLATE(A2909,""bn"",""en"")"),"At this time Boris Pasternak praised his writing")</f>
        <v>At this time Boris Pasternak praised his writing</v>
      </c>
      <c r="C2909" s="8" t="s">
        <v>13</v>
      </c>
      <c r="D2909" s="8" t="s">
        <v>14</v>
      </c>
      <c r="E2909" s="8">
        <v>1</v>
      </c>
    </row>
    <row r="2910" spans="1:5" ht="15.75" customHeight="1" x14ac:dyDescent="0.25">
      <c r="A2910" s="6" t="s">
        <v>2877</v>
      </c>
      <c r="B2910" s="6" t="str">
        <f ca="1">IFERROR(__xludf.DUMMYFUNCTION("GOOGLETRANSLATE(A2910,""bn"",""en"")"),"Saju is taking me to play")</f>
        <v>Saju is taking me to play</v>
      </c>
      <c r="C2910" s="8" t="s">
        <v>13</v>
      </c>
      <c r="D2910" s="8" t="s">
        <v>14</v>
      </c>
      <c r="E2910" s="8">
        <v>1</v>
      </c>
    </row>
    <row r="2911" spans="1:5" ht="15.75" customHeight="1" x14ac:dyDescent="0.25">
      <c r="A2911" s="6" t="s">
        <v>2878</v>
      </c>
      <c r="B2911" s="6" t="str">
        <f ca="1">IFERROR(__xludf.DUMMYFUNCTION("GOOGLETRANSLATE(A2911,""bn"",""en"")"),"He was a bit surprised to see me")</f>
        <v>He was a bit surprised to see me</v>
      </c>
      <c r="C2911" s="8" t="s">
        <v>13</v>
      </c>
      <c r="D2911" s="8" t="s">
        <v>14</v>
      </c>
      <c r="E2911" s="8">
        <v>1</v>
      </c>
    </row>
    <row r="2912" spans="1:5" ht="15.75" customHeight="1" x14ac:dyDescent="0.25">
      <c r="A2912" s="6" t="s">
        <v>2879</v>
      </c>
      <c r="B2912" s="6" t="str">
        <f ca="1">IFERROR(__xludf.DUMMYFUNCTION("GOOGLETRANSLATE(A2912,""bn"",""en"")"),"There is no food in my house")</f>
        <v>There is no food in my house</v>
      </c>
      <c r="C2912" s="7" t="s">
        <v>6</v>
      </c>
      <c r="D2912" s="7" t="s">
        <v>7</v>
      </c>
      <c r="E2912" s="7">
        <v>0</v>
      </c>
    </row>
    <row r="2913" spans="1:5" ht="15.75" customHeight="1" x14ac:dyDescent="0.25">
      <c r="A2913" s="6" t="s">
        <v>2880</v>
      </c>
      <c r="B2913" s="6" t="str">
        <f ca="1">IFERROR(__xludf.DUMMYFUNCTION("GOOGLETRANSLATE(A2913,""bn"",""en"")"),"The postmaster has to come to Ulapur village as soon as he starts his work")</f>
        <v>The postmaster has to come to Ulapur village as soon as he starts his work</v>
      </c>
      <c r="C2913" s="7" t="s">
        <v>6</v>
      </c>
      <c r="D2913" s="7" t="s">
        <v>7</v>
      </c>
      <c r="E2913" s="7">
        <v>0</v>
      </c>
    </row>
    <row r="2914" spans="1:5" ht="15.75" customHeight="1" x14ac:dyDescent="0.25">
      <c r="A2914" s="6" t="s">
        <v>2881</v>
      </c>
      <c r="B2914" s="6" t="str">
        <f ca="1">IFERROR(__xludf.DUMMYFUNCTION("GOOGLETRANSLATE(A2914,""bn"",""en"")"),"Robin asked me to go to the field")</f>
        <v>Robin asked me to go to the field</v>
      </c>
      <c r="C2914" s="7" t="s">
        <v>6</v>
      </c>
      <c r="D2914" s="7" t="s">
        <v>7</v>
      </c>
      <c r="E2914" s="7">
        <v>0</v>
      </c>
    </row>
    <row r="2915" spans="1:5" ht="15.75" customHeight="1" x14ac:dyDescent="0.25">
      <c r="A2915" s="6" t="s">
        <v>2882</v>
      </c>
      <c r="B2915" s="6" t="str">
        <f ca="1">IFERROR(__xludf.DUMMYFUNCTION("GOOGLETRANSLATE(A2915,""bn"",""en"")"),"Mother again called Ore phatik bapadhan re")</f>
        <v>Mother again called Ore phatik bapadhan re</v>
      </c>
      <c r="C2915" s="7" t="s">
        <v>6</v>
      </c>
      <c r="D2915" s="7" t="s">
        <v>7</v>
      </c>
      <c r="E2915" s="7">
        <v>0</v>
      </c>
    </row>
    <row r="2916" spans="1:5" ht="15.75" customHeight="1" x14ac:dyDescent="0.25">
      <c r="A2916" s="6" t="s">
        <v>2883</v>
      </c>
      <c r="B2916" s="6" t="str">
        <f ca="1">IFERROR(__xludf.DUMMYFUNCTION("GOOGLETRANSLATE(A2916,""bn"",""en"")"),"People with this mind have no pride")</f>
        <v>People with this mind have no pride</v>
      </c>
      <c r="C2916" s="7" t="s">
        <v>6</v>
      </c>
      <c r="D2916" s="7" t="s">
        <v>7</v>
      </c>
      <c r="E2916" s="7">
        <v>0</v>
      </c>
    </row>
    <row r="2917" spans="1:5" ht="15.75" customHeight="1" x14ac:dyDescent="0.25">
      <c r="A2917" s="6" t="s">
        <v>2884</v>
      </c>
      <c r="B2917" s="6" t="str">
        <f ca="1">IFERROR(__xludf.DUMMYFUNCTION("GOOGLETRANSLATE(A2917,""bn"",""en"")"),"Keep workouts fun and enjoyable")</f>
        <v>Keep workouts fun and enjoyable</v>
      </c>
      <c r="C2917" s="8" t="s">
        <v>13</v>
      </c>
      <c r="D2917" s="8" t="s">
        <v>14</v>
      </c>
      <c r="E2917" s="8">
        <v>1</v>
      </c>
    </row>
    <row r="2918" spans="1:5" ht="15.75" customHeight="1" x14ac:dyDescent="0.25">
      <c r="A2918" s="6" t="s">
        <v>2885</v>
      </c>
      <c r="B2918" s="6" t="str">
        <f ca="1">IFERROR(__xludf.DUMMYFUNCTION("GOOGLETRANSLATE(A2918,""bn"",""en"")"),"Sumi will eat rice and talk")</f>
        <v>Sumi will eat rice and talk</v>
      </c>
      <c r="C2918" s="8" t="s">
        <v>13</v>
      </c>
      <c r="D2918" s="8" t="s">
        <v>14</v>
      </c>
      <c r="E2918" s="8">
        <v>1</v>
      </c>
    </row>
    <row r="2919" spans="1:5" ht="15.75" customHeight="1" x14ac:dyDescent="0.25">
      <c r="A2919" s="6" t="s">
        <v>2886</v>
      </c>
      <c r="B2919" s="6" t="str">
        <f ca="1">IFERROR(__xludf.DUMMYFUNCTION("GOOGLETRANSLATE(A2919,""bn"",""en"")"),"Creating multiple streams of income can provide greater financial security")</f>
        <v>Creating multiple streams of income can provide greater financial security</v>
      </c>
      <c r="C2919" s="8" t="s">
        <v>13</v>
      </c>
      <c r="D2919" s="8" t="s">
        <v>14</v>
      </c>
      <c r="E2919" s="8">
        <v>1</v>
      </c>
    </row>
    <row r="2920" spans="1:5" ht="15.75" customHeight="1" x14ac:dyDescent="0.25">
      <c r="A2920" s="6" t="s">
        <v>2887</v>
      </c>
      <c r="B2920" s="6" t="str">
        <f ca="1">IFERROR(__xludf.DUMMYFUNCTION("GOOGLETRANSLATE(A2920,""bn"",""en"")"),"Tag someone you admire")</f>
        <v>Tag someone you admire</v>
      </c>
      <c r="C2920" s="8" t="s">
        <v>13</v>
      </c>
      <c r="D2920" s="8" t="s">
        <v>14</v>
      </c>
      <c r="E2920" s="8">
        <v>1</v>
      </c>
    </row>
    <row r="2921" spans="1:5" ht="15.75" customHeight="1" x14ac:dyDescent="0.25">
      <c r="A2921" s="6" t="s">
        <v>2089</v>
      </c>
      <c r="B2921" s="6" t="str">
        <f ca="1">IFERROR(__xludf.DUMMYFUNCTION("GOOGLETRANSLATE(A2921,""bn"",""en"")"),"Finally one day he found his father")</f>
        <v>Finally one day he found his father</v>
      </c>
      <c r="C2921" s="8" t="s">
        <v>13</v>
      </c>
      <c r="D2921" s="8" t="s">
        <v>14</v>
      </c>
      <c r="E2921" s="8">
        <v>1</v>
      </c>
    </row>
    <row r="2922" spans="1:5" ht="15.75" customHeight="1" x14ac:dyDescent="0.25">
      <c r="A2922" s="6" t="s">
        <v>689</v>
      </c>
      <c r="B2922" s="6" t="str">
        <f ca="1">IFERROR(__xludf.DUMMYFUNCTION("GOOGLETRANSLATE(A2922,""bn"",""en"")"),"There is a great harmony with this verse")</f>
        <v>There is a great harmony with this verse</v>
      </c>
      <c r="C2922" s="7" t="s">
        <v>6</v>
      </c>
      <c r="D2922" s="7" t="s">
        <v>7</v>
      </c>
      <c r="E2922" s="7">
        <v>0</v>
      </c>
    </row>
    <row r="2923" spans="1:5" ht="15.75" customHeight="1" x14ac:dyDescent="0.25">
      <c r="A2923" s="6" t="s">
        <v>2888</v>
      </c>
      <c r="B2923" s="6" t="str">
        <f ca="1">IFERROR(__xludf.DUMMYFUNCTION("GOOGLETRANSLATE(A2923,""bn"",""en"")"),"I wanted to hear his success stories")</f>
        <v>I wanted to hear his success stories</v>
      </c>
      <c r="C2923" s="7" t="s">
        <v>6</v>
      </c>
      <c r="D2923" s="7" t="s">
        <v>7</v>
      </c>
      <c r="E2923" s="7">
        <v>0</v>
      </c>
    </row>
    <row r="2924" spans="1:5" ht="15.75" customHeight="1" x14ac:dyDescent="0.25">
      <c r="A2924" s="6" t="s">
        <v>2889</v>
      </c>
      <c r="B2924" s="6" t="str">
        <f ca="1">IFERROR(__xludf.DUMMYFUNCTION("GOOGLETRANSLATE(A2924,""bn"",""en"")"),"He helped the blind man")</f>
        <v>He helped the blind man</v>
      </c>
      <c r="C2924" s="7" t="s">
        <v>6</v>
      </c>
      <c r="D2924" s="7" t="s">
        <v>7</v>
      </c>
      <c r="E2924" s="7">
        <v>0</v>
      </c>
    </row>
    <row r="2925" spans="1:5" ht="15.75" customHeight="1" x14ac:dyDescent="0.25">
      <c r="A2925" s="6" t="s">
        <v>2890</v>
      </c>
      <c r="B2925" s="6" t="str">
        <f ca="1">IFERROR(__xludf.DUMMYFUNCTION("GOOGLETRANSLATE(A2925,""bn"",""en"")"),"Then sitting in the village to practice medicine, at first he gasped")</f>
        <v>Then sitting in the village to practice medicine, at first he gasped</v>
      </c>
      <c r="C2925" s="7" t="s">
        <v>6</v>
      </c>
      <c r="D2925" s="7" t="s">
        <v>7</v>
      </c>
      <c r="E2925" s="7">
        <v>0</v>
      </c>
    </row>
    <row r="2926" spans="1:5" ht="15.75" customHeight="1" x14ac:dyDescent="0.25">
      <c r="A2926" s="6" t="s">
        <v>2891</v>
      </c>
      <c r="B2926" s="6" t="str">
        <f ca="1">IFERROR(__xludf.DUMMYFUNCTION("GOOGLETRANSLATE(A2926,""bn"",""en"")"),"A long time ago, grandfather went to work in the West")</f>
        <v>A long time ago, grandfather went to work in the West</v>
      </c>
      <c r="C2926" s="7" t="s">
        <v>6</v>
      </c>
      <c r="D2926" s="7" t="s">
        <v>7</v>
      </c>
      <c r="E2926" s="7">
        <v>0</v>
      </c>
    </row>
    <row r="2927" spans="1:5" ht="15.75" customHeight="1" x14ac:dyDescent="0.25">
      <c r="A2927" s="6" t="s">
        <v>2892</v>
      </c>
      <c r="B2927" s="6" t="str">
        <f ca="1">IFERROR(__xludf.DUMMYFUNCTION("GOOGLETRANSLATE(A2927,""bn"",""en"")"),"After the war, Basava started his studies")</f>
        <v>After the war, Basava started his studies</v>
      </c>
      <c r="C2927" s="8" t="s">
        <v>13</v>
      </c>
      <c r="D2927" s="8" t="s">
        <v>14</v>
      </c>
      <c r="E2927" s="8">
        <v>1</v>
      </c>
    </row>
    <row r="2928" spans="1:5" ht="15.75" customHeight="1" x14ac:dyDescent="0.25">
      <c r="A2928" s="6" t="s">
        <v>2893</v>
      </c>
      <c r="B2928" s="6" t="str">
        <f ca="1">IFERROR(__xludf.DUMMYFUNCTION("GOOGLETRANSLATE(A2928,""bn"",""en"")"),"Find joy in life's simple pleasures")</f>
        <v>Find joy in life's simple pleasures</v>
      </c>
      <c r="C2928" s="8" t="s">
        <v>13</v>
      </c>
      <c r="D2928" s="8" t="s">
        <v>14</v>
      </c>
      <c r="E2928" s="8">
        <v>1</v>
      </c>
    </row>
    <row r="2929" spans="1:5" ht="15.75" customHeight="1" x14ac:dyDescent="0.25">
      <c r="A2929" s="6" t="s">
        <v>2894</v>
      </c>
      <c r="B2929" s="6" t="str">
        <f ca="1">IFERROR(__xludf.DUMMYFUNCTION("GOOGLETRANSLATE(A2929,""bn"",""en"")"),"The person I will mention next is my friend")</f>
        <v>The person I will mention next is my friend</v>
      </c>
      <c r="C2929" s="8" t="s">
        <v>13</v>
      </c>
      <c r="D2929" s="8" t="s">
        <v>14</v>
      </c>
      <c r="E2929" s="8">
        <v>1</v>
      </c>
    </row>
    <row r="2930" spans="1:5" ht="15.75" customHeight="1" x14ac:dyDescent="0.25">
      <c r="A2930" s="6" t="s">
        <v>2895</v>
      </c>
      <c r="B2930" s="6" t="str">
        <f ca="1">IFERROR(__xludf.DUMMYFUNCTION("GOOGLETRANSLATE(A2930,""bn"",""en"")"),"Adventure can inspire creativity and innovation through new experiences")</f>
        <v>Adventure can inspire creativity and innovation through new experiences</v>
      </c>
      <c r="C2930" s="8" t="s">
        <v>13</v>
      </c>
      <c r="D2930" s="8" t="s">
        <v>14</v>
      </c>
      <c r="E2930" s="8">
        <v>1</v>
      </c>
    </row>
    <row r="2931" spans="1:5" ht="15.75" customHeight="1" x14ac:dyDescent="0.25">
      <c r="A2931" s="6" t="s">
        <v>2896</v>
      </c>
      <c r="B2931" s="6" t="str">
        <f ca="1">IFERROR(__xludf.DUMMYFUNCTION("GOOGLETRANSLATE(A2931,""bn"",""en"")"),"I will visit Dhaka")</f>
        <v>I will visit Dhaka</v>
      </c>
      <c r="C2931" s="8" t="s">
        <v>13</v>
      </c>
      <c r="D2931" s="8" t="s">
        <v>14</v>
      </c>
      <c r="E2931" s="8">
        <v>1</v>
      </c>
    </row>
    <row r="2932" spans="1:5" ht="15.75" customHeight="1" x14ac:dyDescent="0.25">
      <c r="A2932" s="6" t="s">
        <v>2897</v>
      </c>
      <c r="B2932" s="6" t="str">
        <f ca="1">IFERROR(__xludf.DUMMYFUNCTION("GOOGLETRANSLATE(A2932,""bn"",""en"")"),"You have not lost the habit of giving ripe rice")</f>
        <v>You have not lost the habit of giving ripe rice</v>
      </c>
      <c r="C2932" s="7" t="s">
        <v>6</v>
      </c>
      <c r="D2932" s="7" t="s">
        <v>7</v>
      </c>
      <c r="E2932" s="7">
        <v>0</v>
      </c>
    </row>
    <row r="2933" spans="1:5" ht="15.75" customHeight="1" x14ac:dyDescent="0.25">
      <c r="A2933" s="6" t="s">
        <v>2898</v>
      </c>
      <c r="B2933" s="6" t="str">
        <f ca="1">IFERROR(__xludf.DUMMYFUNCTION("GOOGLETRANSLATE(A2933,""bn"",""en"")"),"It is doubtful whether Haru had ever occupied the space to leave it empty")</f>
        <v>It is doubtful whether Haru had ever occupied the space to leave it empty</v>
      </c>
      <c r="C2933" s="7" t="s">
        <v>6</v>
      </c>
      <c r="D2933" s="7" t="s">
        <v>7</v>
      </c>
      <c r="E2933" s="7">
        <v>0</v>
      </c>
    </row>
    <row r="2934" spans="1:5" ht="15.75" customHeight="1" x14ac:dyDescent="0.25">
      <c r="A2934" s="6" t="s">
        <v>2899</v>
      </c>
      <c r="B2934" s="6" t="str">
        <f ca="1">IFERROR(__xludf.DUMMYFUNCTION("GOOGLETRANSLATE(A2934,""bn"",""en"")"),"The reasons why there may be some doubt about the Coles will be criticized at one point")</f>
        <v>The reasons why there may be some doubt about the Coles will be criticized at one point</v>
      </c>
      <c r="C2934" s="7" t="s">
        <v>6</v>
      </c>
      <c r="D2934" s="7" t="s">
        <v>7</v>
      </c>
      <c r="E2934" s="7">
        <v>0</v>
      </c>
    </row>
    <row r="2935" spans="1:5" ht="15.75" customHeight="1" x14ac:dyDescent="0.25">
      <c r="A2935" s="6" t="s">
        <v>2900</v>
      </c>
      <c r="B2935" s="6" t="str">
        <f ca="1">IFERROR(__xludf.DUMMYFUNCTION("GOOGLETRANSLATE(A2935,""bn"",""en"")"),"He heard me and said")</f>
        <v>He heard me and said</v>
      </c>
      <c r="C2935" s="7" t="s">
        <v>6</v>
      </c>
      <c r="D2935" s="7" t="s">
        <v>7</v>
      </c>
      <c r="E2935" s="7">
        <v>0</v>
      </c>
    </row>
    <row r="2936" spans="1:5" ht="15.75" customHeight="1" x14ac:dyDescent="0.25">
      <c r="A2936" s="6" t="s">
        <v>2901</v>
      </c>
      <c r="B2936" s="6" t="str">
        <f ca="1">IFERROR(__xludf.DUMMYFUNCTION("GOOGLETRANSLATE(A2936,""bn"",""en"")"),"After evening he went for a walk in the street")</f>
        <v>After evening he went for a walk in the street</v>
      </c>
      <c r="C2936" s="7" t="s">
        <v>6</v>
      </c>
      <c r="D2936" s="7" t="s">
        <v>7</v>
      </c>
      <c r="E2936" s="7">
        <v>0</v>
      </c>
    </row>
    <row r="2937" spans="1:5" ht="15.75" customHeight="1" x14ac:dyDescent="0.25">
      <c r="A2937" s="6" t="s">
        <v>2902</v>
      </c>
      <c r="B2937" s="6" t="str">
        <f ca="1">IFERROR(__xludf.DUMMYFUNCTION("GOOGLETRANSLATE(A2937,""bn"",""en"")"),"I sat watching it")</f>
        <v>I sat watching it</v>
      </c>
      <c r="C2937" s="8" t="s">
        <v>13</v>
      </c>
      <c r="D2937" s="8" t="s">
        <v>14</v>
      </c>
      <c r="E2937" s="8">
        <v>1</v>
      </c>
    </row>
    <row r="2938" spans="1:5" ht="15.75" customHeight="1" x14ac:dyDescent="0.25">
      <c r="A2938" s="6" t="s">
        <v>2903</v>
      </c>
      <c r="B2938" s="6" t="str">
        <f ca="1">IFERROR(__xludf.DUMMYFUNCTION("GOOGLETRANSLATE(A2938,""bn"",""en"")"),"Gourmet coffee improves the morning mood")</f>
        <v>Gourmet coffee improves the morning mood</v>
      </c>
      <c r="C2938" s="8" t="s">
        <v>13</v>
      </c>
      <c r="D2938" s="8" t="s">
        <v>14</v>
      </c>
      <c r="E2938" s="8">
        <v>1</v>
      </c>
    </row>
    <row r="2939" spans="1:5" ht="15.75" customHeight="1" x14ac:dyDescent="0.25">
      <c r="A2939" s="6" t="s">
        <v>2904</v>
      </c>
      <c r="B2939" s="6" t="str">
        <f ca="1">IFERROR(__xludf.DUMMYFUNCTION("GOOGLETRANSLATE(A2939,""bn"",""en"")"),"Set realistic fitness goals monthly")</f>
        <v>Set realistic fitness goals monthly</v>
      </c>
      <c r="C2939" s="8" t="s">
        <v>13</v>
      </c>
      <c r="D2939" s="8" t="s">
        <v>14</v>
      </c>
      <c r="E2939" s="8">
        <v>1</v>
      </c>
    </row>
    <row r="2940" spans="1:5" ht="15.75" customHeight="1" x14ac:dyDescent="0.25">
      <c r="A2940" s="6" t="s">
        <v>2905</v>
      </c>
      <c r="B2940" s="6" t="str">
        <f ca="1">IFERROR(__xludf.DUMMYFUNCTION("GOOGLETRANSLATE(A2940,""bn"",""en"")"),"Rupa came and sat near us")</f>
        <v>Rupa came and sat near us</v>
      </c>
      <c r="C2940" s="8" t="s">
        <v>13</v>
      </c>
      <c r="D2940" s="8" t="s">
        <v>14</v>
      </c>
      <c r="E2940" s="8">
        <v>1</v>
      </c>
    </row>
    <row r="2941" spans="1:5" ht="15.75" customHeight="1" x14ac:dyDescent="0.25">
      <c r="A2941" s="6" t="s">
        <v>2906</v>
      </c>
      <c r="B2941" s="6" t="str">
        <f ca="1">IFERROR(__xludf.DUMMYFUNCTION("GOOGLETRANSLATE(A2941,""bn"",""en"")"),"Rumi will eat rice and sit down to read")</f>
        <v>Rumi will eat rice and sit down to read</v>
      </c>
      <c r="C2941" s="8" t="s">
        <v>13</v>
      </c>
      <c r="D2941" s="8" t="s">
        <v>14</v>
      </c>
      <c r="E2941" s="8">
        <v>1</v>
      </c>
    </row>
    <row r="2942" spans="1:5" ht="15.75" customHeight="1" x14ac:dyDescent="0.25">
      <c r="A2942" s="6" t="s">
        <v>2907</v>
      </c>
      <c r="B2942" s="6" t="str">
        <f ca="1">IFERROR(__xludf.DUMMYFUNCTION("GOOGLETRANSLATE(A2942,""bn"",""en"")"),"The bride walked slowly as she went to fetch Luchi")</f>
        <v>The bride walked slowly as she went to fetch Luchi</v>
      </c>
      <c r="C2942" s="7" t="s">
        <v>6</v>
      </c>
      <c r="D2942" s="7" t="s">
        <v>7</v>
      </c>
      <c r="E2942" s="7">
        <v>0</v>
      </c>
    </row>
    <row r="2943" spans="1:5" ht="15.75" customHeight="1" x14ac:dyDescent="0.25">
      <c r="A2943" s="6" t="s">
        <v>2908</v>
      </c>
      <c r="B2943" s="6" t="str">
        <f ca="1">IFERROR(__xludf.DUMMYFUNCTION("GOOGLETRANSLATE(A2943,""bn"",""en"")"),"I could easily pay him two five rupees")</f>
        <v>I could easily pay him two five rupees</v>
      </c>
      <c r="C2943" s="7" t="s">
        <v>6</v>
      </c>
      <c r="D2943" s="7" t="s">
        <v>7</v>
      </c>
      <c r="E2943" s="7">
        <v>0</v>
      </c>
    </row>
    <row r="2944" spans="1:5" ht="15.75" customHeight="1" x14ac:dyDescent="0.25">
      <c r="A2944" s="6" t="s">
        <v>2909</v>
      </c>
      <c r="B2944" s="6" t="str">
        <f ca="1">IFERROR(__xludf.DUMMYFUNCTION("GOOGLETRANSLATE(A2944,""bn"",""en"")"),"I don't know why I should go there if there is no story")</f>
        <v>I don't know why I should go there if there is no story</v>
      </c>
      <c r="C2944" s="7" t="s">
        <v>6</v>
      </c>
      <c r="D2944" s="7" t="s">
        <v>7</v>
      </c>
      <c r="E2944" s="7">
        <v>0</v>
      </c>
    </row>
    <row r="2945" spans="1:5" ht="15.75" customHeight="1" x14ac:dyDescent="0.25">
      <c r="A2945" s="6" t="s">
        <v>2910</v>
      </c>
      <c r="B2945" s="6" t="str">
        <f ca="1">IFERROR(__xludf.DUMMYFUNCTION("GOOGLETRANSLATE(A2945,""bn"",""en"")"),"Just leave Calcutta and go back home")</f>
        <v>Just leave Calcutta and go back home</v>
      </c>
      <c r="C2945" s="7" t="s">
        <v>6</v>
      </c>
      <c r="D2945" s="7" t="s">
        <v>7</v>
      </c>
      <c r="E2945" s="7">
        <v>0</v>
      </c>
    </row>
    <row r="2946" spans="1:5" ht="15.75" customHeight="1" x14ac:dyDescent="0.25">
      <c r="A2946" s="6" t="s">
        <v>2911</v>
      </c>
      <c r="B2946" s="6" t="str">
        <f ca="1">IFERROR(__xludf.DUMMYFUNCTION("GOOGLETRANSLATE(A2946,""bn"",""en"")"),"I took him to the haircut")</f>
        <v>I took him to the haircut</v>
      </c>
      <c r="C2946" s="7" t="s">
        <v>6</v>
      </c>
      <c r="D2946" s="7" t="s">
        <v>7</v>
      </c>
      <c r="E2946" s="7">
        <v>0</v>
      </c>
    </row>
    <row r="2947" spans="1:5" ht="15.75" customHeight="1" x14ac:dyDescent="0.25">
      <c r="A2947" s="6" t="s">
        <v>2912</v>
      </c>
      <c r="B2947" s="6" t="str">
        <f ca="1">IFERROR(__xludf.DUMMYFUNCTION("GOOGLETRANSLATE(A2947,""bn"",""en"")"),"Tag someone who needs it")</f>
        <v>Tag someone who needs it</v>
      </c>
      <c r="C2947" s="8" t="s">
        <v>13</v>
      </c>
      <c r="D2947" s="8" t="s">
        <v>14</v>
      </c>
      <c r="E2947" s="8">
        <v>1</v>
      </c>
    </row>
    <row r="2948" spans="1:5" ht="15.75" customHeight="1" x14ac:dyDescent="0.25">
      <c r="A2948" s="6" t="s">
        <v>2913</v>
      </c>
      <c r="B2948" s="6" t="str">
        <f ca="1">IFERROR(__xludf.DUMMYFUNCTION("GOOGLETRANSLATE(A2948,""bn"",""en"")"),"I need to reconcile the transaction with my records")</f>
        <v>I need to reconcile the transaction with my records</v>
      </c>
      <c r="C2948" s="8" t="s">
        <v>13</v>
      </c>
      <c r="D2948" s="8" t="s">
        <v>14</v>
      </c>
      <c r="E2948" s="8">
        <v>1</v>
      </c>
    </row>
    <row r="2949" spans="1:5" ht="15.75" customHeight="1" x14ac:dyDescent="0.25">
      <c r="A2949" s="6" t="s">
        <v>2914</v>
      </c>
      <c r="B2949" s="6" t="str">
        <f ca="1">IFERROR(__xludf.DUMMYFUNCTION("GOOGLETRANSLATE(A2949,""bn"",""en"")"),"Building an emergency fund can provide peace of mind during uncertain times")</f>
        <v>Building an emergency fund can provide peace of mind during uncertain times</v>
      </c>
      <c r="C2949" s="8" t="s">
        <v>13</v>
      </c>
      <c r="D2949" s="8" t="s">
        <v>14</v>
      </c>
      <c r="E2949" s="8">
        <v>1</v>
      </c>
    </row>
    <row r="2950" spans="1:5" ht="15.75" customHeight="1" x14ac:dyDescent="0.25">
      <c r="A2950" s="6" t="s">
        <v>2915</v>
      </c>
      <c r="B2950" s="6" t="str">
        <f ca="1">IFERROR(__xludf.DUMMYFUNCTION("GOOGLETRANSLATE(A2950,""bn"",""en"")"),"Be patient with yourself. Personal growth takes time")</f>
        <v>Be patient with yourself. Personal growth takes time</v>
      </c>
      <c r="C2950" s="8" t="s">
        <v>13</v>
      </c>
      <c r="D2950" s="8" t="s">
        <v>14</v>
      </c>
      <c r="E2950" s="8">
        <v>1</v>
      </c>
    </row>
    <row r="2951" spans="1:5" ht="15.75" customHeight="1" x14ac:dyDescent="0.25">
      <c r="A2951" s="6" t="s">
        <v>2916</v>
      </c>
      <c r="B2951" s="6" t="str">
        <f ca="1">IFERROR(__xludf.DUMMYFUNCTION("GOOGLETRANSLATE(A2951,""bn"",""en"")"),"By exploring the wreckage of sunken ships they uncover lost treasures hidden beneath the waves.")</f>
        <v>By exploring the wreckage of sunken ships they uncover lost treasures hidden beneath the waves.</v>
      </c>
      <c r="C2951" s="8" t="s">
        <v>13</v>
      </c>
      <c r="D2951" s="8" t="s">
        <v>14</v>
      </c>
      <c r="E2951" s="8">
        <v>1</v>
      </c>
    </row>
    <row r="2952" spans="1:5" ht="15.75" customHeight="1" x14ac:dyDescent="0.25">
      <c r="A2952" s="6" t="s">
        <v>2917</v>
      </c>
      <c r="B2952" s="6" t="str">
        <f ca="1">IFERROR(__xludf.DUMMYFUNCTION("GOOGLETRANSLATE(A2952,""bn"",""en"")"),"The friend's name is Kumud, from Barisal, tall, black, reckless, handsome")</f>
        <v>The friend's name is Kumud, from Barisal, tall, black, reckless, handsome</v>
      </c>
      <c r="C2952" s="7" t="s">
        <v>6</v>
      </c>
      <c r="D2952" s="7" t="s">
        <v>7</v>
      </c>
      <c r="E2952" s="7">
        <v>0</v>
      </c>
    </row>
    <row r="2953" spans="1:5" ht="15.75" customHeight="1" x14ac:dyDescent="0.25">
      <c r="A2953" s="6" t="s">
        <v>2918</v>
      </c>
      <c r="B2953" s="6" t="str">
        <f ca="1">IFERROR(__xludf.DUMMYFUNCTION("GOOGLETRANSLATE(A2953,""bn"",""en"")"),"This man was burning inside")</f>
        <v>This man was burning inside</v>
      </c>
      <c r="C2953" s="7" t="s">
        <v>6</v>
      </c>
      <c r="D2953" s="7" t="s">
        <v>7</v>
      </c>
      <c r="E2953" s="7">
        <v>0</v>
      </c>
    </row>
    <row r="2954" spans="1:5" ht="15.75" customHeight="1" x14ac:dyDescent="0.25">
      <c r="A2954" s="6" t="s">
        <v>2919</v>
      </c>
      <c r="B2954" s="6" t="str">
        <f ca="1">IFERROR(__xludf.DUMMYFUNCTION("GOOGLETRANSLATE(A2954,""bn"",""en"")"),"It doesn't seem true because it's not your behavior like the one below, not your speech, not your shape - so much education or where did you learn it")</f>
        <v>It doesn't seem true because it's not your behavior like the one below, not your speech, not your shape - so much education or where did you learn it</v>
      </c>
      <c r="C2954" s="7" t="s">
        <v>6</v>
      </c>
      <c r="D2954" s="7" t="s">
        <v>7</v>
      </c>
      <c r="E2954" s="7">
        <v>0</v>
      </c>
    </row>
    <row r="2955" spans="1:5" ht="15.75" customHeight="1" x14ac:dyDescent="0.25">
      <c r="A2955" s="6" t="s">
        <v>2920</v>
      </c>
      <c r="B2955" s="6" t="str">
        <f ca="1">IFERROR(__xludf.DUMMYFUNCTION("GOOGLETRANSLATE(A2955,""bn"",""en"")"),"She who could not go in the water is unfortunate")</f>
        <v>She who could not go in the water is unfortunate</v>
      </c>
      <c r="C2955" s="7" t="s">
        <v>6</v>
      </c>
      <c r="D2955" s="7" t="s">
        <v>7</v>
      </c>
      <c r="E2955" s="7">
        <v>0</v>
      </c>
    </row>
    <row r="2956" spans="1:5" ht="15.75" customHeight="1" x14ac:dyDescent="0.25">
      <c r="A2956" s="6" t="s">
        <v>2921</v>
      </c>
      <c r="B2956" s="6" t="str">
        <f ca="1">IFERROR(__xludf.DUMMYFUNCTION("GOOGLETRANSLATE(A2956,""bn"",""en"")"),"These tiny grooves are called beards")</f>
        <v>These tiny grooves are called beards</v>
      </c>
      <c r="C2956" s="7" t="s">
        <v>6</v>
      </c>
      <c r="D2956" s="7" t="s">
        <v>7</v>
      </c>
      <c r="E2956" s="7">
        <v>0</v>
      </c>
    </row>
    <row r="2957" spans="1:5" ht="15.75" customHeight="1" x14ac:dyDescent="0.25">
      <c r="A2957" s="6" t="s">
        <v>2922</v>
      </c>
      <c r="B2957" s="6" t="str">
        <f ca="1">IFERROR(__xludf.DUMMYFUNCTION("GOOGLETRANSLATE(A2957,""bn"",""en"")"),"A splash of hot sauce intensifies the flavor")</f>
        <v>A splash of hot sauce intensifies the flavor</v>
      </c>
      <c r="C2957" s="8" t="s">
        <v>13</v>
      </c>
      <c r="D2957" s="8" t="s">
        <v>14</v>
      </c>
      <c r="E2957" s="8">
        <v>1</v>
      </c>
    </row>
    <row r="2958" spans="1:5" ht="15.75" customHeight="1" x14ac:dyDescent="0.25">
      <c r="A2958" s="6" t="s">
        <v>2923</v>
      </c>
      <c r="B2958" s="6" t="str">
        <f ca="1">IFERROR(__xludf.DUMMYFUNCTION("GOOGLETRANSLATE(A2958,""bn"",""en"")"),"All nondifferential matrices are diagonal matrices")</f>
        <v>All nondifferential matrices are diagonal matrices</v>
      </c>
      <c r="C2958" s="8" t="s">
        <v>13</v>
      </c>
      <c r="D2958" s="8" t="s">
        <v>14</v>
      </c>
      <c r="E2958" s="8">
        <v>1</v>
      </c>
    </row>
    <row r="2959" spans="1:5" ht="15.75" customHeight="1" x14ac:dyDescent="0.25">
      <c r="A2959" s="6" t="s">
        <v>2924</v>
      </c>
      <c r="B2959" s="6" t="str">
        <f ca="1">IFERROR(__xludf.DUMMYFUNCTION("GOOGLETRANSLATE(A2959,""bn"",""en"")"),"Saving for a down payment on a home requires disciplined long-term planning")</f>
        <v>Saving for a down payment on a home requires disciplined long-term planning</v>
      </c>
      <c r="C2959" s="8" t="s">
        <v>13</v>
      </c>
      <c r="D2959" s="8" t="s">
        <v>14</v>
      </c>
      <c r="E2959" s="8">
        <v>1</v>
      </c>
    </row>
    <row r="2960" spans="1:5" ht="15.75" customHeight="1" x14ac:dyDescent="0.25">
      <c r="A2960" s="6" t="s">
        <v>2925</v>
      </c>
      <c r="B2960" s="6" t="str">
        <f ca="1">IFERROR(__xludf.DUMMYFUNCTION("GOOGLETRANSLATE(A2960,""bn"",""en"")"),"Let's start with the book first")</f>
        <v>Let's start with the book first</v>
      </c>
      <c r="C2960" s="8" t="s">
        <v>13</v>
      </c>
      <c r="D2960" s="8" t="s">
        <v>14</v>
      </c>
      <c r="E2960" s="8">
        <v>1</v>
      </c>
    </row>
    <row r="2961" spans="1:5" ht="15.75" customHeight="1" x14ac:dyDescent="0.25">
      <c r="A2961" s="6" t="s">
        <v>2926</v>
      </c>
      <c r="B2961" s="6" t="str">
        <f ca="1">IFERROR(__xludf.DUMMYFUNCTION("GOOGLETRANSLATE(A2961,""bn"",""en"")"),"This evening, Shahed returned from Mohammadpur market after buying rice and pulses")</f>
        <v>This evening, Shahed returned from Mohammadpur market after buying rice and pulses</v>
      </c>
      <c r="C2961" s="8" t="s">
        <v>13</v>
      </c>
      <c r="D2961" s="8" t="s">
        <v>14</v>
      </c>
      <c r="E2961" s="8">
        <v>1</v>
      </c>
    </row>
    <row r="2962" spans="1:5" ht="15.75" customHeight="1" x14ac:dyDescent="0.25">
      <c r="A2962" s="6" t="s">
        <v>2927</v>
      </c>
      <c r="B2962" s="6" t="str">
        <f ca="1">IFERROR(__xludf.DUMMYFUNCTION("GOOGLETRANSLATE(A2962,""bn"",""en"")"),"The struggle for life and death had gradually become a pathetic joke")</f>
        <v>The struggle for life and death had gradually become a pathetic joke</v>
      </c>
      <c r="C2962" s="7" t="s">
        <v>6</v>
      </c>
      <c r="D2962" s="7" t="s">
        <v>7</v>
      </c>
      <c r="E2962" s="7">
        <v>0</v>
      </c>
    </row>
    <row r="2963" spans="1:5" ht="15.75" customHeight="1" x14ac:dyDescent="0.25">
      <c r="A2963" s="6" t="s">
        <v>2928</v>
      </c>
      <c r="B2963" s="6" t="str">
        <f ca="1">IFERROR(__xludf.DUMMYFUNCTION("GOOGLETRANSLATE(A2963,""bn"",""en"")"),"There had never been such a silly, careless boy in school")</f>
        <v>There had never been such a silly, careless boy in school</v>
      </c>
      <c r="C2963" s="7" t="s">
        <v>6</v>
      </c>
      <c r="D2963" s="7" t="s">
        <v>7</v>
      </c>
      <c r="E2963" s="7">
        <v>0</v>
      </c>
    </row>
    <row r="2964" spans="1:5" ht="15.75" customHeight="1" x14ac:dyDescent="0.25">
      <c r="A2964" s="6" t="s">
        <v>2929</v>
      </c>
      <c r="B2964" s="6" t="str">
        <f ca="1">IFERROR(__xludf.DUMMYFUNCTION("GOOGLETRANSLATE(A2964,""bn"",""en"")"),"He puzzled for a while then said I have heard the woman")</f>
        <v>He puzzled for a while then said I have heard the woman</v>
      </c>
      <c r="C2964" s="7" t="s">
        <v>6</v>
      </c>
      <c r="D2964" s="7" t="s">
        <v>7</v>
      </c>
      <c r="E2964" s="7">
        <v>0</v>
      </c>
    </row>
    <row r="2965" spans="1:5" ht="15.75" customHeight="1" x14ac:dyDescent="0.25">
      <c r="A2965" s="6" t="s">
        <v>71</v>
      </c>
      <c r="B2965" s="6" t="str">
        <f ca="1">IFERROR(__xludf.DUMMYFUNCTION("GOOGLETRANSLATE(A2965,""bn"",""en"")"),"All words should be written in Sadhu language for the satisfaction of Sadhus")</f>
        <v>All words should be written in Sadhu language for the satisfaction of Sadhus</v>
      </c>
      <c r="C2965" s="7" t="s">
        <v>6</v>
      </c>
      <c r="D2965" s="7" t="s">
        <v>7</v>
      </c>
      <c r="E2965" s="7">
        <v>0</v>
      </c>
    </row>
    <row r="2966" spans="1:5" ht="15.75" customHeight="1" x14ac:dyDescent="0.25">
      <c r="A2966" s="6" t="s">
        <v>2930</v>
      </c>
      <c r="B2966" s="6" t="str">
        <f ca="1">IFERROR(__xludf.DUMMYFUNCTION("GOOGLETRANSLATE(A2966,""bn"",""en"")"),"There was a great desire in my heart that after the second medical examination, I would be able to walk in the outside world with a certificate of fitness.")</f>
        <v>There was a great desire in my heart that after the second medical examination, I would be able to walk in the outside world with a certificate of fitness.</v>
      </c>
      <c r="C2966" s="7" t="s">
        <v>6</v>
      </c>
      <c r="D2966" s="7" t="s">
        <v>7</v>
      </c>
      <c r="E2966" s="7">
        <v>0</v>
      </c>
    </row>
    <row r="2967" spans="1:5" ht="15.75" customHeight="1" x14ac:dyDescent="0.25">
      <c r="A2967" s="6" t="s">
        <v>2931</v>
      </c>
      <c r="B2967" s="6" t="str">
        <f ca="1">IFERROR(__xludf.DUMMYFUNCTION("GOOGLETRANSLATE(A2967,""bn"",""en"")"),"Sir called him to give a book")</f>
        <v>Sir called him to give a book</v>
      </c>
      <c r="C2967" s="8" t="s">
        <v>13</v>
      </c>
      <c r="D2967" s="8" t="s">
        <v>14</v>
      </c>
      <c r="E2967" s="8">
        <v>1</v>
      </c>
    </row>
    <row r="2968" spans="1:5" ht="15.75" customHeight="1" x14ac:dyDescent="0.25">
      <c r="A2968" s="6" t="s">
        <v>2932</v>
      </c>
      <c r="B2968" s="6" t="str">
        <f ca="1">IFERROR(__xludf.DUMMYFUNCTION("GOOGLETRANSLATE(A2968,""bn"",""en"")"),"The plumber fixed the leaking pipes in the bathroom")</f>
        <v>The plumber fixed the leaking pipes in the bathroom</v>
      </c>
      <c r="C2968" s="8" t="s">
        <v>13</v>
      </c>
      <c r="D2968" s="8" t="s">
        <v>14</v>
      </c>
      <c r="E2968" s="8">
        <v>1</v>
      </c>
    </row>
    <row r="2969" spans="1:5" ht="15.75" customHeight="1" x14ac:dyDescent="0.25">
      <c r="A2969" s="6" t="s">
        <v>2933</v>
      </c>
      <c r="B2969" s="6" t="str">
        <f ca="1">IFERROR(__xludf.DUMMYFUNCTION("GOOGLETRANSLATE(A2969,""bn"",""en"")"),"We had to wait for the train with our eyes and ears open")</f>
        <v>We had to wait for the train with our eyes and ears open</v>
      </c>
      <c r="C2969" s="8" t="s">
        <v>13</v>
      </c>
      <c r="D2969" s="8" t="s">
        <v>14</v>
      </c>
      <c r="E2969" s="8">
        <v>1</v>
      </c>
    </row>
    <row r="2970" spans="1:5" ht="15.75" customHeight="1" x14ac:dyDescent="0.25">
      <c r="A2970" s="6" t="s">
        <v>2934</v>
      </c>
      <c r="B2970" s="6" t="str">
        <f ca="1">IFERROR(__xludf.DUMMYFUNCTION("GOOGLETRANSLATE(A2970,""bn"",""en"")"),"Along with Jalaluddin, Shamsuddin played a big role in my life")</f>
        <v>Along with Jalaluddin, Shamsuddin played a big role in my life</v>
      </c>
      <c r="C2970" s="8" t="s">
        <v>13</v>
      </c>
      <c r="D2970" s="8" t="s">
        <v>14</v>
      </c>
      <c r="E2970" s="8">
        <v>1</v>
      </c>
    </row>
    <row r="2971" spans="1:5" ht="15.75" customHeight="1" x14ac:dyDescent="0.25">
      <c r="A2971" s="6" t="s">
        <v>2935</v>
      </c>
      <c r="B2971" s="6" t="str">
        <f ca="1">IFERROR(__xludf.DUMMYFUNCTION("GOOGLETRANSLATE(A2971,""bn"",""en"")"),"He wanted to go out with me")</f>
        <v>He wanted to go out with me</v>
      </c>
      <c r="C2971" s="8" t="s">
        <v>13</v>
      </c>
      <c r="D2971" s="8" t="s">
        <v>14</v>
      </c>
      <c r="E2971" s="8">
        <v>1</v>
      </c>
    </row>
    <row r="2972" spans="1:5" ht="15.75" customHeight="1" x14ac:dyDescent="0.25">
      <c r="A2972" s="6" t="s">
        <v>2936</v>
      </c>
      <c r="B2972" s="6" t="str">
        <f ca="1">IFERROR(__xludf.DUMMYFUNCTION("GOOGLETRANSLATE(A2972,""bn"",""en"")"),"When the boat left the boat, the rain-swept river began to flow in all directions like the overflowing tears of Dharani.")</f>
        <v>When the boat left the boat, the rain-swept river began to flow in all directions like the overflowing tears of Dharani.</v>
      </c>
      <c r="C2972" s="7" t="s">
        <v>6</v>
      </c>
      <c r="D2972" s="7" t="s">
        <v>7</v>
      </c>
      <c r="E2972" s="7">
        <v>0</v>
      </c>
    </row>
    <row r="2973" spans="1:5" ht="15.75" customHeight="1" x14ac:dyDescent="0.25">
      <c r="A2973" s="6" t="s">
        <v>2937</v>
      </c>
      <c r="B2973" s="6" t="str">
        <f ca="1">IFERROR(__xludf.DUMMYFUNCTION("GOOGLETRANSLATE(A2973,""bn"",""en"")"),"Because soon after that verse was uttered again from the branch of Kumari")</f>
        <v>Because soon after that verse was uttered again from the branch of Kumari</v>
      </c>
      <c r="C2973" s="7" t="s">
        <v>6</v>
      </c>
      <c r="D2973" s="7" t="s">
        <v>7</v>
      </c>
      <c r="E2973" s="7">
        <v>0</v>
      </c>
    </row>
    <row r="2974" spans="1:5" ht="15.75" customHeight="1" x14ac:dyDescent="0.25">
      <c r="A2974" s="6" t="s">
        <v>2938</v>
      </c>
      <c r="B2974" s="6" t="str">
        <f ca="1">IFERROR(__xludf.DUMMYFUNCTION("GOOGLETRANSLATE(A2974,""bn"",""en"")"),"Men always get drunk after drinking that wine")</f>
        <v>Men always get drunk after drinking that wine</v>
      </c>
      <c r="C2974" s="7" t="s">
        <v>6</v>
      </c>
      <c r="D2974" s="7" t="s">
        <v>7</v>
      </c>
      <c r="E2974" s="7">
        <v>0</v>
      </c>
    </row>
    <row r="2975" spans="1:5" ht="15.75" customHeight="1" x14ac:dyDescent="0.25">
      <c r="A2975" s="6" t="s">
        <v>2939</v>
      </c>
      <c r="B2975" s="6" t="str">
        <f ca="1">IFERROR(__xludf.DUMMYFUNCTION("GOOGLETRANSLATE(A2975,""bn"",""en"")"),"He himself is young")</f>
        <v>He himself is young</v>
      </c>
      <c r="C2975" s="7" t="s">
        <v>6</v>
      </c>
      <c r="D2975" s="7" t="s">
        <v>7</v>
      </c>
      <c r="E2975" s="7">
        <v>0</v>
      </c>
    </row>
    <row r="2976" spans="1:5" ht="15.75" customHeight="1" x14ac:dyDescent="0.25">
      <c r="A2976" s="6" t="s">
        <v>2940</v>
      </c>
      <c r="B2976" s="6" t="str">
        <f ca="1">IFERROR(__xludf.DUMMYFUNCTION("GOOGLETRANSLATE(A2976,""bn"",""en"")"),"Then I sat on a pile of stones on the side of the road and began to wipe my sweat and began to abuse the stone girls in anger.")</f>
        <v>Then I sat on a pile of stones on the side of the road and began to wipe my sweat and began to abuse the stone girls in anger.</v>
      </c>
      <c r="C2976" s="7" t="s">
        <v>6</v>
      </c>
      <c r="D2976" s="7" t="s">
        <v>7</v>
      </c>
      <c r="E2976" s="7">
        <v>0</v>
      </c>
    </row>
    <row r="2977" spans="1:5" ht="15.75" customHeight="1" x14ac:dyDescent="0.25">
      <c r="A2977" s="6" t="s">
        <v>2941</v>
      </c>
      <c r="B2977" s="6" t="str">
        <f ca="1">IFERROR(__xludf.DUMMYFUNCTION("GOOGLETRANSLATE(A2977,""bn"",""en"")"),"Find beauty in simplicity Sometimes less is more")</f>
        <v>Find beauty in simplicity Sometimes less is more</v>
      </c>
      <c r="C2977" s="8" t="s">
        <v>13</v>
      </c>
      <c r="D2977" s="8" t="s">
        <v>14</v>
      </c>
      <c r="E2977" s="8">
        <v>1</v>
      </c>
    </row>
    <row r="2978" spans="1:5" ht="15.75" customHeight="1" x14ac:dyDescent="0.25">
      <c r="A2978" s="6" t="s">
        <v>2942</v>
      </c>
      <c r="B2978" s="6" t="str">
        <f ca="1">IFERROR(__xludf.DUMMYFUNCTION("GOOGLETRANSLATE(A2978,""bn"",""en"")"),"Pilgrims from far and wide devote themselves to this temple")</f>
        <v>Pilgrims from far and wide devote themselves to this temple</v>
      </c>
      <c r="C2978" s="8" t="s">
        <v>13</v>
      </c>
      <c r="D2978" s="8" t="s">
        <v>14</v>
      </c>
      <c r="E2978" s="8">
        <v>1</v>
      </c>
    </row>
    <row r="2979" spans="1:5" ht="15.75" customHeight="1" x14ac:dyDescent="0.25">
      <c r="A2979" s="6" t="s">
        <v>2943</v>
      </c>
      <c r="B2979" s="6" t="str">
        <f ca="1">IFERROR(__xludf.DUMMYFUNCTION("GOOGLETRANSLATE(A2979,""bn"",""en"")"),"I need to verify the transaction with the recipient")</f>
        <v>I need to verify the transaction with the recipient</v>
      </c>
      <c r="C2979" s="8" t="s">
        <v>13</v>
      </c>
      <c r="D2979" s="8" t="s">
        <v>14</v>
      </c>
      <c r="E2979" s="8">
        <v>1</v>
      </c>
    </row>
    <row r="2980" spans="1:5" ht="15.75" customHeight="1" x14ac:dyDescent="0.25">
      <c r="A2980" s="6" t="s">
        <v>2944</v>
      </c>
      <c r="B2980" s="6" t="str">
        <f ca="1">IFERROR(__xludf.DUMMYFUNCTION("GOOGLETRANSLATE(A2980,""bn"",""en"")"),"Pearl was abducted in Karachi by supporters of Omar Sheikh")</f>
        <v>Pearl was abducted in Karachi by supporters of Omar Sheikh</v>
      </c>
      <c r="C2980" s="8" t="s">
        <v>13</v>
      </c>
      <c r="D2980" s="8" t="s">
        <v>14</v>
      </c>
      <c r="E2980" s="8">
        <v>1</v>
      </c>
    </row>
    <row r="2981" spans="1:5" ht="15.75" customHeight="1" x14ac:dyDescent="0.25">
      <c r="A2981" s="6" t="s">
        <v>2945</v>
      </c>
      <c r="B2981" s="6" t="str">
        <f ca="1">IFERROR(__xludf.DUMMYFUNCTION("GOOGLETRANSLATE(A2981,""bn"",""en"")"),"Because of this interest he fell under the special notice of Rabindranath Tagore")</f>
        <v>Because of this interest he fell under the special notice of Rabindranath Tagore</v>
      </c>
      <c r="C2981" s="8" t="s">
        <v>13</v>
      </c>
      <c r="D2981" s="8" t="s">
        <v>14</v>
      </c>
      <c r="E2981" s="8">
        <v>1</v>
      </c>
    </row>
    <row r="2982" spans="1:5" ht="15.75" customHeight="1" x14ac:dyDescent="0.25">
      <c r="A2982" s="6" t="s">
        <v>2946</v>
      </c>
      <c r="B2982" s="6" t="str">
        <f ca="1">IFERROR(__xludf.DUMMYFUNCTION("GOOGLETRANSLATE(A2982,""bn"",""en"")"),"I want to introduce him")</f>
        <v>I want to introduce him</v>
      </c>
      <c r="C2982" s="7" t="s">
        <v>6</v>
      </c>
      <c r="D2982" s="7" t="s">
        <v>7</v>
      </c>
      <c r="E2982" s="7">
        <v>0</v>
      </c>
    </row>
    <row r="2983" spans="1:5" ht="15.75" customHeight="1" x14ac:dyDescent="0.25">
      <c r="A2983" s="6" t="s">
        <v>2947</v>
      </c>
      <c r="B2983" s="6" t="str">
        <f ca="1">IFERROR(__xludf.DUMMYFUNCTION("GOOGLETRANSLATE(A2983,""bn"",""en"")"),"played with me")</f>
        <v>played with me</v>
      </c>
      <c r="C2983" s="7" t="s">
        <v>6</v>
      </c>
      <c r="D2983" s="7" t="s">
        <v>7</v>
      </c>
      <c r="E2983" s="7">
        <v>0</v>
      </c>
    </row>
    <row r="2984" spans="1:5" ht="15.75" customHeight="1" x14ac:dyDescent="0.25">
      <c r="A2984" s="6" t="s">
        <v>2948</v>
      </c>
      <c r="B2984" s="6" t="str">
        <f ca="1">IFERROR(__xludf.DUMMYFUNCTION("GOOGLETRANSLATE(A2984,""bn"",""en"")"),"The bride pushed a straw towards him and kept silent looking towards Unan")</f>
        <v>The bride pushed a straw towards him and kept silent looking towards Unan</v>
      </c>
      <c r="C2984" s="7" t="s">
        <v>6</v>
      </c>
      <c r="D2984" s="7" t="s">
        <v>7</v>
      </c>
      <c r="E2984" s="7">
        <v>0</v>
      </c>
    </row>
    <row r="2985" spans="1:5" ht="15.75" customHeight="1" x14ac:dyDescent="0.25">
      <c r="A2985" s="6" t="s">
        <v>2949</v>
      </c>
      <c r="B2985" s="6" t="str">
        <f ca="1">IFERROR(__xludf.DUMMYFUNCTION("GOOGLETRANSLATE(A2985,""bn"",""en"")"),"The boy chewed on the stalk and said, ""Where is he pointing?"" No one could understand.")</f>
        <v>The boy chewed on the stalk and said, "Where is he pointing?" No one could understand.</v>
      </c>
      <c r="C2985" s="7" t="s">
        <v>6</v>
      </c>
      <c r="D2985" s="7" t="s">
        <v>7</v>
      </c>
      <c r="E2985" s="7">
        <v>0</v>
      </c>
    </row>
    <row r="2986" spans="1:5" ht="15.75" customHeight="1" x14ac:dyDescent="0.25">
      <c r="A2986" s="6" t="s">
        <v>2950</v>
      </c>
      <c r="B2986" s="6" t="str">
        <f ca="1">IFERROR(__xludf.DUMMYFUNCTION("GOOGLETRANSLATE(A2986,""bn"",""en"")"),"He heard that Rai Bahadur is not at home and will have to wait for a while")</f>
        <v>He heard that Rai Bahadur is not at home and will have to wait for a while</v>
      </c>
      <c r="C2986" s="7" t="s">
        <v>6</v>
      </c>
      <c r="D2986" s="7" t="s">
        <v>7</v>
      </c>
      <c r="E2986" s="7">
        <v>0</v>
      </c>
    </row>
    <row r="2987" spans="1:5" ht="15.75" customHeight="1" x14ac:dyDescent="0.25">
      <c r="A2987" s="6" t="s">
        <v>2951</v>
      </c>
      <c r="B2987" s="6" t="str">
        <f ca="1">IFERROR(__xludf.DUMMYFUNCTION("GOOGLETRANSLATE(A2987,""bn"",""en"")"),"One of these is proactive security")</f>
        <v>One of these is proactive security</v>
      </c>
      <c r="C2987" s="8" t="s">
        <v>13</v>
      </c>
      <c r="D2987" s="8" t="s">
        <v>14</v>
      </c>
      <c r="E2987" s="8">
        <v>1</v>
      </c>
    </row>
    <row r="2988" spans="1:5" ht="15.75" customHeight="1" x14ac:dyDescent="0.25">
      <c r="A2988" s="6" t="s">
        <v>2952</v>
      </c>
      <c r="B2988" s="6" t="str">
        <f ca="1">IFERROR(__xludf.DUMMYFUNCTION("GOOGLETRANSLATE(A2988,""bn"",""en"")"),"He fled the country to save his life")</f>
        <v>He fled the country to save his life</v>
      </c>
      <c r="C2988" s="8" t="s">
        <v>13</v>
      </c>
      <c r="D2988" s="8" t="s">
        <v>14</v>
      </c>
      <c r="E2988" s="8">
        <v>1</v>
      </c>
    </row>
    <row r="2989" spans="1:5" ht="15.75" customHeight="1" x14ac:dyDescent="0.25">
      <c r="A2989" s="6" t="s">
        <v>2953</v>
      </c>
      <c r="B2989" s="6" t="str">
        <f ca="1">IFERROR(__xludf.DUMMYFUNCTION("GOOGLETRANSLATE(A2989,""bn"",""en"")"),"I was pleasantly surprised by the level of customer service provided by the company")</f>
        <v>I was pleasantly surprised by the level of customer service provided by the company</v>
      </c>
      <c r="C2989" s="8" t="s">
        <v>13</v>
      </c>
      <c r="D2989" s="8" t="s">
        <v>14</v>
      </c>
      <c r="E2989" s="8">
        <v>1</v>
      </c>
    </row>
    <row r="2990" spans="1:5" ht="15.75" customHeight="1" x14ac:dyDescent="0.25">
      <c r="A2990" s="6" t="s">
        <v>1263</v>
      </c>
      <c r="B2990" s="6" t="str">
        <f ca="1">IFERROR(__xludf.DUMMYFUNCTION("GOOGLETRANSLATE(A2990,""bn"",""en"")"),"Our large family also faced difficulties in meeting their needs")</f>
        <v>Our large family also faced difficulties in meeting their needs</v>
      </c>
      <c r="C2990" s="8" t="s">
        <v>13</v>
      </c>
      <c r="D2990" s="8" t="s">
        <v>14</v>
      </c>
      <c r="E2990" s="8">
        <v>1</v>
      </c>
    </row>
    <row r="2991" spans="1:5" ht="15.75" customHeight="1" x14ac:dyDescent="0.25">
      <c r="A2991" s="6" t="s">
        <v>2954</v>
      </c>
      <c r="B2991" s="6" t="str">
        <f ca="1">IFERROR(__xludf.DUMMYFUNCTION("GOOGLETRANSLATE(A2991,""bn"",""en"")"),"This is their destiny")</f>
        <v>This is their destiny</v>
      </c>
      <c r="C2991" s="8" t="s">
        <v>13</v>
      </c>
      <c r="D2991" s="8" t="s">
        <v>14</v>
      </c>
      <c r="E2991" s="8">
        <v>1</v>
      </c>
    </row>
    <row r="2992" spans="1:5" ht="15.75" customHeight="1" x14ac:dyDescent="0.25">
      <c r="A2992" s="6" t="s">
        <v>2955</v>
      </c>
      <c r="B2992" s="6" t="str">
        <f ca="1">IFERROR(__xludf.DUMMYFUNCTION("GOOGLETRANSLATE(A2992,""bn"",""en"")"),"Everything around us")</f>
        <v>Everything around us</v>
      </c>
      <c r="C2992" s="7" t="s">
        <v>6</v>
      </c>
      <c r="D2992" s="7" t="s">
        <v>7</v>
      </c>
      <c r="E2992" s="7">
        <v>0</v>
      </c>
    </row>
    <row r="2993" spans="1:5" ht="15.75" customHeight="1" x14ac:dyDescent="0.25">
      <c r="A2993" s="6" t="s">
        <v>2956</v>
      </c>
      <c r="B2993" s="6" t="str">
        <f ca="1">IFERROR(__xludf.DUMMYFUNCTION("GOOGLETRANSLATE(A2993,""bn"",""en"")"),"Time was running out")</f>
        <v>Time was running out</v>
      </c>
      <c r="C2993" s="7" t="s">
        <v>6</v>
      </c>
      <c r="D2993" s="7" t="s">
        <v>7</v>
      </c>
      <c r="E2993" s="7">
        <v>0</v>
      </c>
    </row>
    <row r="2994" spans="1:5" ht="15.75" customHeight="1" x14ac:dyDescent="0.25">
      <c r="A2994" s="6" t="s">
        <v>2957</v>
      </c>
      <c r="B2994" s="6" t="str">
        <f ca="1">IFERROR(__xludf.DUMMYFUNCTION("GOOGLETRANSLATE(A2994,""bn"",""en"")"),"In the end, they were the ones who put me in danger")</f>
        <v>In the end, they were the ones who put me in danger</v>
      </c>
      <c r="C2994" s="7" t="s">
        <v>6</v>
      </c>
      <c r="D2994" s="7" t="s">
        <v>7</v>
      </c>
      <c r="E2994" s="7">
        <v>0</v>
      </c>
    </row>
    <row r="2995" spans="1:5" ht="15.75" customHeight="1" x14ac:dyDescent="0.25">
      <c r="A2995" s="6" t="s">
        <v>2958</v>
      </c>
      <c r="B2995" s="6" t="str">
        <f ca="1">IFERROR(__xludf.DUMMYFUNCTION("GOOGLETRANSLATE(A2995,""bn"",""en"")"),"I will be sitting in Suravi Udyan")</f>
        <v>I will be sitting in Suravi Udyan</v>
      </c>
      <c r="C2995" s="7" t="s">
        <v>6</v>
      </c>
      <c r="D2995" s="7" t="s">
        <v>7</v>
      </c>
      <c r="E2995" s="7">
        <v>0</v>
      </c>
    </row>
    <row r="2996" spans="1:5" ht="15.75" customHeight="1" x14ac:dyDescent="0.25">
      <c r="A2996" s="6" t="s">
        <v>2959</v>
      </c>
      <c r="B2996" s="6" t="str">
        <f ca="1">IFERROR(__xludf.DUMMYFUNCTION("GOOGLETRANSLATE(A2996,""bn"",""en"")"),"That day he completed the last chapter of his life.")</f>
        <v>That day he completed the last chapter of his life.</v>
      </c>
      <c r="C2996" s="7" t="s">
        <v>6</v>
      </c>
      <c r="D2996" s="7" t="s">
        <v>7</v>
      </c>
      <c r="E2996" s="7">
        <v>0</v>
      </c>
    </row>
    <row r="2997" spans="1:5" ht="15.75" customHeight="1" x14ac:dyDescent="0.25">
      <c r="A2997" s="6" t="s">
        <v>2960</v>
      </c>
      <c r="B2997" s="6" t="str">
        <f ca="1">IFERROR(__xludf.DUMMYFUNCTION("GOOGLETRANSLATE(A2997,""bn"",""en"")"),"Ronnie gave me a letter")</f>
        <v>Ronnie gave me a letter</v>
      </c>
      <c r="C2997" s="8" t="s">
        <v>13</v>
      </c>
      <c r="D2997" s="8" t="s">
        <v>14</v>
      </c>
      <c r="E2997" s="8">
        <v>1</v>
      </c>
    </row>
    <row r="2998" spans="1:5" ht="15.75" customHeight="1" x14ac:dyDescent="0.25">
      <c r="A2998" s="6" t="s">
        <v>2961</v>
      </c>
      <c r="B2998" s="6" t="str">
        <f ca="1">IFERROR(__xludf.DUMMYFUNCTION("GOOGLETRANSLATE(A2998,""bn"",""en"")"),"Incorporate yoga for flexibility")</f>
        <v>Incorporate yoga for flexibility</v>
      </c>
      <c r="C2998" s="8" t="s">
        <v>13</v>
      </c>
      <c r="D2998" s="8" t="s">
        <v>14</v>
      </c>
      <c r="E2998" s="8">
        <v>1</v>
      </c>
    </row>
    <row r="2999" spans="1:5" ht="15.75" customHeight="1" x14ac:dyDescent="0.25">
      <c r="A2999" s="6" t="s">
        <v>2962</v>
      </c>
      <c r="B2999" s="6" t="str">
        <f ca="1">IFERROR(__xludf.DUMMYFUNCTION("GOOGLETRANSLATE(A2999,""bn"",""en"")"),"Taking time to rest and recharge is essential to your well-being")</f>
        <v>Taking time to rest and recharge is essential to your well-being</v>
      </c>
      <c r="C2999" s="8" t="s">
        <v>13</v>
      </c>
      <c r="D2999" s="8" t="s">
        <v>14</v>
      </c>
      <c r="E2999" s="8">
        <v>1</v>
      </c>
    </row>
    <row r="3000" spans="1:5" ht="15.75" customHeight="1" x14ac:dyDescent="0.25">
      <c r="A3000" s="6" t="s">
        <v>2963</v>
      </c>
      <c r="B3000" s="6" t="str">
        <f ca="1">IFERROR(__xludf.DUMMYFUNCTION("GOOGLETRANSLATE(A3000,""bn"",""en"")"),"He died there")</f>
        <v>He died there</v>
      </c>
      <c r="C3000" s="8" t="s">
        <v>13</v>
      </c>
      <c r="D3000" s="8" t="s">
        <v>14</v>
      </c>
      <c r="E3000" s="8">
        <v>1</v>
      </c>
    </row>
    <row r="3001" spans="1:5" ht="15.75" customHeight="1" x14ac:dyDescent="0.25">
      <c r="A3001" s="6" t="s">
        <v>2964</v>
      </c>
      <c r="B3001" s="6" t="str">
        <f ca="1">IFERROR(__xludf.DUMMYFUNCTION("GOOGLETRANSLATE(A3001,""bn"",""en"")"),"A rickshaw puller has a problem with ten rupees, but it is not difficult to blow a thousand rupees for no reason")</f>
        <v>A rickshaw puller has a problem with ten rupees, but it is not difficult to blow a thousand rupees for no reason</v>
      </c>
      <c r="C3001" s="8" t="s">
        <v>13</v>
      </c>
      <c r="D3001" s="8" t="s">
        <v>14</v>
      </c>
      <c r="E3001" s="8">
        <v>1</v>
      </c>
    </row>
    <row r="3002" spans="1:5" ht="15.75" customHeight="1" x14ac:dyDescent="0.25">
      <c r="A3002" s="6" t="s">
        <v>2965</v>
      </c>
      <c r="B3002" s="6" t="str">
        <f ca="1">IFERROR(__xludf.DUMMYFUNCTION("GOOGLETRANSLATE(A3002,""bn"",""en"")"),"They were shouting for the joy of winning the kingdom")</f>
        <v>They were shouting for the joy of winning the kingdom</v>
      </c>
      <c r="C3002" s="7" t="s">
        <v>6</v>
      </c>
      <c r="D3002" s="7" t="s">
        <v>7</v>
      </c>
      <c r="E3002" s="7">
        <v>0</v>
      </c>
    </row>
    <row r="3003" spans="1:5" ht="15.75" customHeight="1" x14ac:dyDescent="0.25">
      <c r="A3003" s="6" t="s">
        <v>2966</v>
      </c>
      <c r="B3003" s="6" t="str">
        <f ca="1">IFERROR(__xludf.DUMMYFUNCTION("GOOGLETRANSLATE(A3003,""bn"",""en"")"),"I went along and saw in one place of the mountain there was a hole or a cave like a great oblong, in the center of which was a hut built of stone, with the four sides of it as its premises.")</f>
        <v>I went along and saw in one place of the mountain there was a hole or a cave like a great oblong, in the center of which was a hut built of stone, with the four sides of it as its premises.</v>
      </c>
      <c r="C3003" s="7" t="s">
        <v>6</v>
      </c>
      <c r="D3003" s="7" t="s">
        <v>7</v>
      </c>
      <c r="E3003" s="7">
        <v>0</v>
      </c>
    </row>
    <row r="3004" spans="1:5" ht="15.75" customHeight="1" x14ac:dyDescent="0.25">
      <c r="A3004" s="6" t="s">
        <v>2967</v>
      </c>
      <c r="B3004" s="6" t="str">
        <f ca="1">IFERROR(__xludf.DUMMYFUNCTION("GOOGLETRANSLATE(A3004,""bn"",""en"")"),"Any other time he would have forgiven")</f>
        <v>Any other time he would have forgiven</v>
      </c>
      <c r="C3004" s="7" t="s">
        <v>6</v>
      </c>
      <c r="D3004" s="7" t="s">
        <v>7</v>
      </c>
      <c r="E3004" s="7">
        <v>0</v>
      </c>
    </row>
    <row r="3005" spans="1:5" ht="15.75" customHeight="1" x14ac:dyDescent="0.25">
      <c r="A3005" s="6" t="s">
        <v>2968</v>
      </c>
      <c r="B3005" s="6" t="str">
        <f ca="1">IFERROR(__xludf.DUMMYFUNCTION("GOOGLETRANSLATE(A3005,""bn"",""en"")"),"The loveless anger on all sides pierced him like a thorn")</f>
        <v>The loveless anger on all sides pierced him like a thorn</v>
      </c>
      <c r="C3005" s="7" t="s">
        <v>6</v>
      </c>
      <c r="D3005" s="7" t="s">
        <v>7</v>
      </c>
      <c r="E3005" s="7">
        <v>0</v>
      </c>
    </row>
    <row r="3006" spans="1:5" ht="15.75" customHeight="1" x14ac:dyDescent="0.25">
      <c r="A3006" s="6" t="s">
        <v>2969</v>
      </c>
      <c r="B3006" s="6" t="str">
        <f ca="1">IFERROR(__xludf.DUMMYFUNCTION("GOOGLETRANSLATE(A3006,""bn"",""en"")"),"Two people were sleeping on the mat")</f>
        <v>Two people were sleeping on the mat</v>
      </c>
      <c r="C3006" s="7" t="s">
        <v>6</v>
      </c>
      <c r="D3006" s="7" t="s">
        <v>7</v>
      </c>
      <c r="E3006" s="7">
        <v>0</v>
      </c>
    </row>
    <row r="3007" spans="1:5" ht="15.75" customHeight="1" x14ac:dyDescent="0.25">
      <c r="A3007" s="6" t="s">
        <v>2970</v>
      </c>
      <c r="B3007" s="6" t="str">
        <f ca="1">IFERROR(__xludf.DUMMYFUNCTION("GOOGLETRANSLATE(A3007,""bn"",""en"")"),"I admire the resilience of my family")</f>
        <v>I admire the resilience of my family</v>
      </c>
      <c r="C3007" s="8" t="s">
        <v>13</v>
      </c>
      <c r="D3007" s="8" t="s">
        <v>14</v>
      </c>
      <c r="E3007" s="8">
        <v>1</v>
      </c>
    </row>
    <row r="3008" spans="1:5" ht="15.75" customHeight="1" x14ac:dyDescent="0.25">
      <c r="A3008" s="6" t="s">
        <v>2971</v>
      </c>
      <c r="B3008" s="6" t="str">
        <f ca="1">IFERROR(__xludf.DUMMYFUNCTION("GOOGLETRANSLATE(A3008,""bn"",""en"")"),"After entering the working life, I realized that the price of an oil worker is much higher than that of a hardworking person")</f>
        <v>After entering the working life, I realized that the price of an oil worker is much higher than that of a hardworking person</v>
      </c>
      <c r="C3008" s="8" t="s">
        <v>13</v>
      </c>
      <c r="D3008" s="8" t="s">
        <v>14</v>
      </c>
      <c r="E3008" s="8">
        <v>1</v>
      </c>
    </row>
    <row r="3009" spans="1:5" ht="15.75" customHeight="1" x14ac:dyDescent="0.25">
      <c r="A3009" s="6" t="s">
        <v>2972</v>
      </c>
      <c r="B3009" s="6" t="str">
        <f ca="1">IFERROR(__xludf.DUMMYFUNCTION("GOOGLETRANSLATE(A3009,""bn"",""en"")"),"Rana Roni will go for a ride in the car")</f>
        <v>Rana Roni will go for a ride in the car</v>
      </c>
      <c r="C3009" s="8" t="s">
        <v>13</v>
      </c>
      <c r="D3009" s="8" t="s">
        <v>14</v>
      </c>
      <c r="E3009" s="8">
        <v>1</v>
      </c>
    </row>
    <row r="3010" spans="1:5" ht="15.75" customHeight="1" x14ac:dyDescent="0.25">
      <c r="A3010" s="6" t="s">
        <v>2973</v>
      </c>
      <c r="B3010" s="6" t="str">
        <f ca="1">IFERROR(__xludf.DUMMYFUNCTION("GOOGLETRANSLATE(A3010,""bn"",""en"")"),"He played a special role in establishing Dhaka University")</f>
        <v>He played a special role in establishing Dhaka University</v>
      </c>
      <c r="C3010" s="8" t="s">
        <v>13</v>
      </c>
      <c r="D3010" s="8" t="s">
        <v>14</v>
      </c>
      <c r="E3010" s="8">
        <v>1</v>
      </c>
    </row>
    <row r="3011" spans="1:5" ht="15.75" customHeight="1" x14ac:dyDescent="0.25">
      <c r="A3011" s="6" t="s">
        <v>2974</v>
      </c>
      <c r="B3011" s="6" t="str">
        <f ca="1">IFERROR(__xludf.DUMMYFUNCTION("GOOGLETRANSLATE(A3011,""bn"",""en"")"),"People can be distinguished from people, shadows cannot be distinguished from shadows")</f>
        <v>People can be distinguished from people, shadows cannot be distinguished from shadows</v>
      </c>
      <c r="C3011" s="8" t="s">
        <v>13</v>
      </c>
      <c r="D3011" s="8" t="s">
        <v>14</v>
      </c>
      <c r="E3011" s="8">
        <v>1</v>
      </c>
    </row>
    <row r="3012" spans="1:5" ht="15.75" customHeight="1" x14ac:dyDescent="0.25">
      <c r="A3012" s="6" t="s">
        <v>2975</v>
      </c>
      <c r="B3012" s="6" t="str">
        <f ca="1">IFERROR(__xludf.DUMMYFUNCTION("GOOGLETRANSLATE(A3012,""bn"",""en"")"),"He said that all work should be completed before sunset")</f>
        <v>He said that all work should be completed before sunset</v>
      </c>
      <c r="C3012" s="7" t="s">
        <v>6</v>
      </c>
      <c r="D3012" s="7" t="s">
        <v>7</v>
      </c>
      <c r="E3012" s="7">
        <v>0</v>
      </c>
    </row>
    <row r="3013" spans="1:5" ht="15.75" customHeight="1" x14ac:dyDescent="0.25">
      <c r="A3013" s="6" t="s">
        <v>2976</v>
      </c>
      <c r="B3013" s="6" t="str">
        <f ca="1">IFERROR(__xludf.DUMMYFUNCTION("GOOGLETRANSLATE(A3013,""bn"",""en"")"),"It seems that the Kols did not have so much food before the Hindustani people lived there")</f>
        <v>It seems that the Kols did not have so much food before the Hindustani people lived there</v>
      </c>
      <c r="C3013" s="7" t="s">
        <v>6</v>
      </c>
      <c r="D3013" s="7" t="s">
        <v>7</v>
      </c>
      <c r="E3013" s="7">
        <v>0</v>
      </c>
    </row>
    <row r="3014" spans="1:5" ht="15.75" customHeight="1" x14ac:dyDescent="0.25">
      <c r="A3014" s="6" t="s">
        <v>2977</v>
      </c>
      <c r="B3014" s="6" t="str">
        <f ca="1">IFERROR(__xludf.DUMMYFUNCTION("GOOGLETRANSLATE(A3014,""bn"",""en"")"),"I used to cut my hair, but it didn't come off")</f>
        <v>I used to cut my hair, but it didn't come off</v>
      </c>
      <c r="C3014" s="7" t="s">
        <v>6</v>
      </c>
      <c r="D3014" s="7" t="s">
        <v>7</v>
      </c>
      <c r="E3014" s="7">
        <v>0</v>
      </c>
    </row>
    <row r="3015" spans="1:5" ht="15.75" customHeight="1" x14ac:dyDescent="0.25">
      <c r="A3015" s="6" t="s">
        <v>2978</v>
      </c>
      <c r="B3015" s="6" t="str">
        <f ca="1">IFERROR(__xludf.DUMMYFUNCTION("GOOGLETRANSLATE(A3015,""bn"",""en"")"),"A virgin who has not reached the time of marriage sleeps freely")</f>
        <v>A virgin who has not reached the time of marriage sleeps freely</v>
      </c>
      <c r="C3015" s="7" t="s">
        <v>6</v>
      </c>
      <c r="D3015" s="7" t="s">
        <v>7</v>
      </c>
      <c r="E3015" s="7">
        <v>0</v>
      </c>
    </row>
    <row r="3016" spans="1:5" ht="15.75" customHeight="1" x14ac:dyDescent="0.25">
      <c r="A3016" s="6" t="s">
        <v>2979</v>
      </c>
      <c r="B3016" s="6" t="str">
        <f ca="1">IFERROR(__xludf.DUMMYFUNCTION("GOOGLETRANSLATE(A3016,""bn"",""en"")"),"You won't even let me stay at home")</f>
        <v>You won't even let me stay at home</v>
      </c>
      <c r="C3016" s="7" t="s">
        <v>6</v>
      </c>
      <c r="D3016" s="7" t="s">
        <v>7</v>
      </c>
      <c r="E3016" s="7">
        <v>0</v>
      </c>
    </row>
    <row r="3017" spans="1:5" ht="15.75" customHeight="1" x14ac:dyDescent="0.25">
      <c r="A3017" s="6" t="s">
        <v>2980</v>
      </c>
      <c r="B3017" s="6" t="str">
        <f ca="1">IFERROR(__xludf.DUMMYFUNCTION("GOOGLETRANSLATE(A3017,""bn"",""en"")"),"Collecting postage stamps is my sock")</f>
        <v>Collecting postage stamps is my sock</v>
      </c>
      <c r="C3017" s="8" t="s">
        <v>13</v>
      </c>
      <c r="D3017" s="8" t="s">
        <v>14</v>
      </c>
      <c r="E3017" s="8">
        <v>1</v>
      </c>
    </row>
    <row r="3018" spans="1:5" ht="15.75" customHeight="1" x14ac:dyDescent="0.25">
      <c r="A3018" s="6" t="s">
        <v>2981</v>
      </c>
      <c r="B3018" s="6" t="str">
        <f ca="1">IFERROR(__xludf.DUMMYFUNCTION("GOOGLETRANSLATE(A3018,""bn"",""en"")"),"Then a few tears of joy fell from his eyes.")</f>
        <v>Then a few tears of joy fell from his eyes.</v>
      </c>
      <c r="C3018" s="8" t="s">
        <v>13</v>
      </c>
      <c r="D3018" s="8" t="s">
        <v>14</v>
      </c>
      <c r="E3018" s="8">
        <v>1</v>
      </c>
    </row>
    <row r="3019" spans="1:5" ht="15.75" customHeight="1" x14ac:dyDescent="0.25">
      <c r="A3019" s="6" t="s">
        <v>2982</v>
      </c>
      <c r="B3019" s="6" t="str">
        <f ca="1">IFERROR(__xludf.DUMMYFUNCTION("GOOGLETRANSLATE(A3019,""bn"",""en"")"),"Engage in active hobbies every day")</f>
        <v>Engage in active hobbies every day</v>
      </c>
      <c r="C3019" s="8" t="s">
        <v>13</v>
      </c>
      <c r="D3019" s="8" t="s">
        <v>14</v>
      </c>
      <c r="E3019" s="8">
        <v>1</v>
      </c>
    </row>
    <row r="3020" spans="1:5" ht="15.75" customHeight="1" x14ac:dyDescent="0.25">
      <c r="A3020" s="6" t="s">
        <v>2983</v>
      </c>
      <c r="B3020" s="6" t="str">
        <f ca="1">IFERROR(__xludf.DUMMYFUNCTION("GOOGLETRANSLATE(A3020,""bn"",""en"")"),"I am facing problem in transaction processing")</f>
        <v>I am facing problem in transaction processing</v>
      </c>
      <c r="C3020" s="8" t="s">
        <v>13</v>
      </c>
      <c r="D3020" s="8" t="s">
        <v>14</v>
      </c>
      <c r="E3020" s="8">
        <v>1</v>
      </c>
    </row>
    <row r="3021" spans="1:5" ht="15.75" customHeight="1" x14ac:dyDescent="0.25">
      <c r="A3021" s="6" t="s">
        <v>2984</v>
      </c>
      <c r="B3021" s="6" t="str">
        <f ca="1">IFERROR(__xludf.DUMMYFUNCTION("GOOGLETRANSLATE(A3021,""bn"",""en"")"),"Lift weights for muscle strength")</f>
        <v>Lift weights for muscle strength</v>
      </c>
      <c r="C3021" s="8" t="s">
        <v>13</v>
      </c>
      <c r="D3021" s="8" t="s">
        <v>14</v>
      </c>
      <c r="E3021" s="8">
        <v>1</v>
      </c>
    </row>
    <row r="3022" spans="1:5" ht="15.75" customHeight="1" x14ac:dyDescent="0.25">
      <c r="A3022" s="6" t="s">
        <v>2985</v>
      </c>
      <c r="B3022" s="6" t="str">
        <f ca="1">IFERROR(__xludf.DUMMYFUNCTION("GOOGLETRANSLATE(A3022,""bn"",""en"")"),"Sajib Rana went to school together")</f>
        <v>Sajib Rana went to school together</v>
      </c>
      <c r="C3022" s="7" t="s">
        <v>6</v>
      </c>
      <c r="D3022" s="7" t="s">
        <v>7</v>
      </c>
      <c r="E3022" s="7">
        <v>0</v>
      </c>
    </row>
    <row r="3023" spans="1:5" ht="15.75" customHeight="1" x14ac:dyDescent="0.25">
      <c r="A3023" s="6" t="s">
        <v>2986</v>
      </c>
      <c r="B3023" s="6" t="str">
        <f ca="1">IFERROR(__xludf.DUMMYFUNCTION("GOOGLETRANSLATE(A3023,""bn"",""en"")"),"Fatima did well in the exam")</f>
        <v>Fatima did well in the exam</v>
      </c>
      <c r="C3023" s="7" t="s">
        <v>6</v>
      </c>
      <c r="D3023" s="7" t="s">
        <v>7</v>
      </c>
      <c r="E3023" s="7">
        <v>0</v>
      </c>
    </row>
    <row r="3024" spans="1:5" ht="15.75" customHeight="1" x14ac:dyDescent="0.25">
      <c r="A3024" s="6" t="s">
        <v>2987</v>
      </c>
      <c r="B3024" s="6" t="str">
        <f ca="1">IFERROR(__xludf.DUMMYFUNCTION("GOOGLETRANSLATE(A3024,""bn"",""en"")"),"They had no idea how long it would take them to reach their destination")</f>
        <v>They had no idea how long it would take them to reach their destination</v>
      </c>
      <c r="C3024" s="7" t="s">
        <v>6</v>
      </c>
      <c r="D3024" s="7" t="s">
        <v>7</v>
      </c>
      <c r="E3024" s="7">
        <v>0</v>
      </c>
    </row>
    <row r="3025" spans="1:5" ht="15.75" customHeight="1" x14ac:dyDescent="0.25">
      <c r="A3025" s="6" t="s">
        <v>2988</v>
      </c>
      <c r="B3025" s="6" t="str">
        <f ca="1">IFERROR(__xludf.DUMMYFUNCTION("GOOGLETRANSLATE(A3025,""bn"",""en"")"),"On asking about the story, the young man said, ""I am going to kill a tiger. My cow has just been killed by a tiger.""")</f>
        <v>On asking about the story, the young man said, "I am going to kill a tiger. My cow has just been killed by a tiger."</v>
      </c>
      <c r="C3025" s="7" t="s">
        <v>6</v>
      </c>
      <c r="D3025" s="7" t="s">
        <v>7</v>
      </c>
      <c r="E3025" s="7">
        <v>0</v>
      </c>
    </row>
    <row r="3026" spans="1:5" ht="15.75" customHeight="1" x14ac:dyDescent="0.25">
      <c r="A3026" s="6" t="s">
        <v>2989</v>
      </c>
      <c r="B3026" s="6" t="str">
        <f ca="1">IFERROR(__xludf.DUMMYFUNCTION("GOOGLETRANSLATE(A3026,""bn"",""en"")"),"The old man spoke with all his heart")</f>
        <v>The old man spoke with all his heart</v>
      </c>
      <c r="C3026" s="7" t="s">
        <v>6</v>
      </c>
      <c r="D3026" s="7" t="s">
        <v>7</v>
      </c>
      <c r="E3026" s="7">
        <v>0</v>
      </c>
    </row>
    <row r="3027" spans="1:5" ht="15.75" customHeight="1" x14ac:dyDescent="0.25">
      <c r="A3027" s="6" t="s">
        <v>2990</v>
      </c>
      <c r="B3027" s="6" t="str">
        <f ca="1">IFERROR(__xludf.DUMMYFUNCTION("GOOGLETRANSLATE(A3027,""bn"",""en"")"),"Roni held Rafi and tied him up")</f>
        <v>Roni held Rafi and tied him up</v>
      </c>
      <c r="C3027" s="8" t="s">
        <v>13</v>
      </c>
      <c r="D3027" s="8" t="s">
        <v>14</v>
      </c>
      <c r="E3027" s="8">
        <v>1</v>
      </c>
    </row>
    <row r="3028" spans="1:5" ht="15.75" customHeight="1" x14ac:dyDescent="0.25">
      <c r="A3028" s="6" t="s">
        <v>2991</v>
      </c>
      <c r="B3028" s="6" t="str">
        <f ca="1">IFERROR(__xludf.DUMMYFUNCTION("GOOGLETRANSLATE(A3028,""bn"",""en"")"),"Getting encouragement from a mentor boosted my confidence")</f>
        <v>Getting encouragement from a mentor boosted my confidence</v>
      </c>
      <c r="C3028" s="8" t="s">
        <v>13</v>
      </c>
      <c r="D3028" s="8" t="s">
        <v>14</v>
      </c>
      <c r="E3028" s="8">
        <v>1</v>
      </c>
    </row>
    <row r="3029" spans="1:5" ht="15.75" customHeight="1" x14ac:dyDescent="0.25">
      <c r="A3029" s="6" t="s">
        <v>2992</v>
      </c>
      <c r="B3029" s="6" t="str">
        <f ca="1">IFERROR(__xludf.DUMMYFUNCTION("GOOGLETRANSLATE(A3029,""bn"",""en"")"),"Rahim asked Sujan to go study")</f>
        <v>Rahim asked Sujan to go study</v>
      </c>
      <c r="C3029" s="8" t="s">
        <v>13</v>
      </c>
      <c r="D3029" s="8" t="s">
        <v>14</v>
      </c>
      <c r="E3029" s="8">
        <v>1</v>
      </c>
    </row>
    <row r="3030" spans="1:5" ht="15.75" customHeight="1" x14ac:dyDescent="0.25">
      <c r="A3030" s="6" t="s">
        <v>2993</v>
      </c>
      <c r="B3030" s="6" t="str">
        <f ca="1">IFERROR(__xludf.DUMMYFUNCTION("GOOGLETRANSLATE(A3030,""bn"",""en"")"),"Be kind to yourself you are doing the best you can")</f>
        <v>Be kind to yourself you are doing the best you can</v>
      </c>
      <c r="C3030" s="8" t="s">
        <v>13</v>
      </c>
      <c r="D3030" s="8" t="s">
        <v>14</v>
      </c>
      <c r="E3030" s="8">
        <v>1</v>
      </c>
    </row>
    <row r="3031" spans="1:5" ht="15.75" customHeight="1" x14ac:dyDescent="0.25">
      <c r="A3031" s="6" t="s">
        <v>2994</v>
      </c>
      <c r="B3031" s="6" t="str">
        <f ca="1">IFERROR(__xludf.DUMMYFUNCTION("GOOGLETRANSLATE(A3031,""bn"",""en"")"),"Reconnecting with nature brings tranquility")</f>
        <v>Reconnecting with nature brings tranquility</v>
      </c>
      <c r="C3031" s="8" t="s">
        <v>13</v>
      </c>
      <c r="D3031" s="8" t="s">
        <v>14</v>
      </c>
      <c r="E3031" s="8">
        <v>1</v>
      </c>
    </row>
    <row r="3032" spans="1:5" ht="15.75" customHeight="1" x14ac:dyDescent="0.25">
      <c r="A3032" s="6" t="s">
        <v>2995</v>
      </c>
      <c r="B3032" s="6" t="str">
        <f ca="1">IFERROR(__xludf.DUMMYFUNCTION("GOOGLETRANSLATE(A3032,""bn"",""en"")"),"He told me the story of his bird")</f>
        <v>He told me the story of his bird</v>
      </c>
      <c r="C3032" s="7" t="s">
        <v>6</v>
      </c>
      <c r="D3032" s="7" t="s">
        <v>7</v>
      </c>
      <c r="E3032" s="7">
        <v>0</v>
      </c>
    </row>
    <row r="3033" spans="1:5" ht="15.75" customHeight="1" x14ac:dyDescent="0.25">
      <c r="A3033" s="6" t="s">
        <v>2996</v>
      </c>
      <c r="B3033" s="6" t="str">
        <f ca="1">IFERROR(__xludf.DUMMYFUNCTION("GOOGLETRANSLATE(A3033,""bn"",""en"")"),"You used to go towards the river without saying anything to anyone")</f>
        <v>You used to go towards the river without saying anything to anyone</v>
      </c>
      <c r="C3033" s="7" t="s">
        <v>6</v>
      </c>
      <c r="D3033" s="7" t="s">
        <v>7</v>
      </c>
      <c r="E3033" s="7">
        <v>0</v>
      </c>
    </row>
    <row r="3034" spans="1:5" ht="15.75" customHeight="1" x14ac:dyDescent="0.25">
      <c r="A3034" s="6" t="s">
        <v>2997</v>
      </c>
      <c r="B3034" s="6" t="str">
        <f ca="1">IFERROR(__xludf.DUMMYFUNCTION("GOOGLETRANSLATE(A3034,""bn"",""en"")"),"His shadow was very cold")</f>
        <v>His shadow was very cold</v>
      </c>
      <c r="C3034" s="7" t="s">
        <v>6</v>
      </c>
      <c r="D3034" s="7" t="s">
        <v>7</v>
      </c>
      <c r="E3034" s="7">
        <v>0</v>
      </c>
    </row>
    <row r="3035" spans="1:5" ht="15.75" customHeight="1" x14ac:dyDescent="0.25">
      <c r="A3035" s="6" t="s">
        <v>2998</v>
      </c>
      <c r="B3035" s="6" t="str">
        <f ca="1">IFERROR(__xludf.DUMMYFUNCTION("GOOGLETRANSLATE(A3035,""bn"",""en"")"),"Each place has a different tone of voice")</f>
        <v>Each place has a different tone of voice</v>
      </c>
      <c r="C3035" s="7" t="s">
        <v>6</v>
      </c>
      <c r="D3035" s="7" t="s">
        <v>7</v>
      </c>
      <c r="E3035" s="7">
        <v>0</v>
      </c>
    </row>
    <row r="3036" spans="1:5" ht="15.75" customHeight="1" x14ac:dyDescent="0.25">
      <c r="A3036" s="6" t="s">
        <v>2999</v>
      </c>
      <c r="B3036" s="6" t="str">
        <f ca="1">IFERROR(__xludf.DUMMYFUNCTION("GOOGLETRANSLATE(A3036,""bn"",""en"")"),"The postmaster was surprised as he had never seen Ratan used like this")</f>
        <v>The postmaster was surprised as he had never seen Ratan used like this</v>
      </c>
      <c r="C3036" s="7" t="s">
        <v>6</v>
      </c>
      <c r="D3036" s="7" t="s">
        <v>7</v>
      </c>
      <c r="E3036" s="7">
        <v>0</v>
      </c>
    </row>
    <row r="3037" spans="1:5" ht="15.75" customHeight="1" x14ac:dyDescent="0.25">
      <c r="A3037" s="6" t="s">
        <v>3000</v>
      </c>
      <c r="B3037" s="6" t="str">
        <f ca="1">IFERROR(__xludf.DUMMYFUNCTION("GOOGLETRANSLATE(A3037,""bn"",""en"")"),"Monitoring your spending habits can help you identify areas where you can save more by spending less")</f>
        <v>Monitoring your spending habits can help you identify areas where you can save more by spending less</v>
      </c>
      <c r="C3037" s="8" t="s">
        <v>13</v>
      </c>
      <c r="D3037" s="8" t="s">
        <v>14</v>
      </c>
      <c r="E3037" s="8">
        <v>1</v>
      </c>
    </row>
    <row r="3038" spans="1:5" ht="15.75" customHeight="1" x14ac:dyDescent="0.25">
      <c r="A3038" s="6" t="s">
        <v>3001</v>
      </c>
      <c r="B3038" s="6" t="str">
        <f ca="1">IFERROR(__xludf.DUMMYFUNCTION("GOOGLETRANSLATE(A3038,""bn"",""en"")"),"Subscribe for productivity tips")</f>
        <v>Subscribe for productivity tips</v>
      </c>
      <c r="C3038" s="8" t="s">
        <v>13</v>
      </c>
      <c r="D3038" s="8" t="s">
        <v>14</v>
      </c>
      <c r="E3038" s="8">
        <v>1</v>
      </c>
    </row>
    <row r="3039" spans="1:5" ht="15.75" customHeight="1" x14ac:dyDescent="0.25">
      <c r="A3039" s="6" t="s">
        <v>3002</v>
      </c>
      <c r="B3039" s="6" t="str">
        <f ca="1">IFERROR(__xludf.DUMMYFUNCTION("GOOGLETRANSLATE(A3039,""bn"",""en"")"),"Stay hydrated during workouts")</f>
        <v>Stay hydrated during workouts</v>
      </c>
      <c r="C3039" s="8" t="s">
        <v>13</v>
      </c>
      <c r="D3039" s="8" t="s">
        <v>14</v>
      </c>
      <c r="E3039" s="8">
        <v>1</v>
      </c>
    </row>
    <row r="3040" spans="1:5" ht="15.75" customHeight="1" x14ac:dyDescent="0.25">
      <c r="A3040" s="6" t="s">
        <v>3003</v>
      </c>
      <c r="B3040" s="6" t="str">
        <f ca="1">IFERROR(__xludf.DUMMYFUNCTION("GOOGLETRANSLATE(A3040,""bn"",""en"")"),"I want to spend some time with you now")</f>
        <v>I want to spend some time with you now</v>
      </c>
      <c r="C3040" s="8" t="s">
        <v>13</v>
      </c>
      <c r="D3040" s="8" t="s">
        <v>14</v>
      </c>
      <c r="E3040" s="8">
        <v>1</v>
      </c>
    </row>
    <row r="3041" spans="1:5" ht="15.75" customHeight="1" x14ac:dyDescent="0.25">
      <c r="A3041" s="6" t="s">
        <v>3004</v>
      </c>
      <c r="B3041" s="6" t="str">
        <f ca="1">IFERROR(__xludf.DUMMYFUNCTION("GOOGLETRANSLATE(A3041,""bn"",""en"")"),"Fitness instructor leads a high energy cardio workout class at the gym")</f>
        <v>Fitness instructor leads a high energy cardio workout class at the gym</v>
      </c>
      <c r="C3041" s="8" t="s">
        <v>13</v>
      </c>
      <c r="D3041" s="8" t="s">
        <v>14</v>
      </c>
      <c r="E3041" s="8">
        <v>1</v>
      </c>
    </row>
    <row r="3042" spans="1:5" ht="15.75" customHeight="1" x14ac:dyDescent="0.25">
      <c r="A3042" s="6" t="s">
        <v>3005</v>
      </c>
      <c r="B3042" s="6" t="str">
        <f ca="1">IFERROR(__xludf.DUMMYFUNCTION("GOOGLETRANSLATE(A3042,""bn"",""en"")"),"Rana will leave for Rajshahi tomorrow")</f>
        <v>Rana will leave for Rajshahi tomorrow</v>
      </c>
      <c r="C3042" s="7" t="s">
        <v>6</v>
      </c>
      <c r="D3042" s="7" t="s">
        <v>7</v>
      </c>
      <c r="E3042" s="7">
        <v>0</v>
      </c>
    </row>
    <row r="3043" spans="1:5" ht="15.75" customHeight="1" x14ac:dyDescent="0.25">
      <c r="A3043" s="6" t="s">
        <v>3006</v>
      </c>
      <c r="B3043" s="6" t="str">
        <f ca="1">IFERROR(__xludf.DUMMYFUNCTION("GOOGLETRANSLATE(A3043,""bn"",""en"")"),"There were two old men who said that there is no need for teaching ethics")</f>
        <v>There were two old men who said that there is no need for teaching ethics</v>
      </c>
      <c r="C3043" s="7" t="s">
        <v>6</v>
      </c>
      <c r="D3043" s="7" t="s">
        <v>7</v>
      </c>
      <c r="E3043" s="7">
        <v>0</v>
      </c>
    </row>
    <row r="3044" spans="1:5" ht="15.75" customHeight="1" x14ac:dyDescent="0.25">
      <c r="A3044" s="6" t="s">
        <v>3007</v>
      </c>
      <c r="B3044" s="6" t="str">
        <f ca="1">IFERROR(__xludf.DUMMYFUNCTION("GOOGLETRANSLATE(A3044,""bn"",""en"")"),"So what's the use of scrambling to prove that a slander is not true")</f>
        <v>So what's the use of scrambling to prove that a slander is not true</v>
      </c>
      <c r="C3044" s="7" t="s">
        <v>6</v>
      </c>
      <c r="D3044" s="7" t="s">
        <v>7</v>
      </c>
      <c r="E3044" s="7">
        <v>0</v>
      </c>
    </row>
    <row r="3045" spans="1:5" ht="15.75" customHeight="1" x14ac:dyDescent="0.25">
      <c r="A3045" s="6" t="s">
        <v>3008</v>
      </c>
      <c r="B3045" s="6" t="str">
        <f ca="1">IFERROR(__xludf.DUMMYFUNCTION("GOOGLETRANSLATE(A3045,""bn"",""en"")"),"After that, the forest gradually became clearer")</f>
        <v>After that, the forest gradually became clearer</v>
      </c>
      <c r="C3045" s="7" t="s">
        <v>6</v>
      </c>
      <c r="D3045" s="7" t="s">
        <v>7</v>
      </c>
      <c r="E3045" s="7">
        <v>0</v>
      </c>
    </row>
    <row r="3046" spans="1:5" ht="15.75" customHeight="1" x14ac:dyDescent="0.25">
      <c r="A3046" s="6" t="s">
        <v>3009</v>
      </c>
      <c r="B3046" s="6" t="str">
        <f ca="1">IFERROR(__xludf.DUMMYFUNCTION("GOOGLETRANSLATE(A3046,""bn"",""en"")"),"In the afternoon I walk in the garden")</f>
        <v>In the afternoon I walk in the garden</v>
      </c>
      <c r="C3046" s="7" t="s">
        <v>6</v>
      </c>
      <c r="D3046" s="7" t="s">
        <v>7</v>
      </c>
      <c r="E3046" s="7">
        <v>0</v>
      </c>
    </row>
    <row r="3047" spans="1:5" ht="15.75" customHeight="1" x14ac:dyDescent="0.25">
      <c r="A3047" s="6" t="s">
        <v>3010</v>
      </c>
      <c r="B3047" s="6" t="str">
        <f ca="1">IFERROR(__xludf.DUMMYFUNCTION("GOOGLETRANSLATE(A3047,""bn"",""en"")"),"In the end, Rahim wanted to put Karim in danger")</f>
        <v>In the end, Rahim wanted to put Karim in danger</v>
      </c>
      <c r="C3047" s="8" t="s">
        <v>13</v>
      </c>
      <c r="D3047" s="8" t="s">
        <v>14</v>
      </c>
      <c r="E3047" s="8">
        <v>1</v>
      </c>
    </row>
    <row r="3048" spans="1:5" ht="15.75" customHeight="1" x14ac:dyDescent="0.25">
      <c r="A3048" s="6" t="s">
        <v>3011</v>
      </c>
      <c r="B3048" s="6" t="str">
        <f ca="1">IFERROR(__xludf.DUMMYFUNCTION("GOOGLETRANSLATE(A3048,""bn"",""en"")"),"He gained special fame in teaching")</f>
        <v>He gained special fame in teaching</v>
      </c>
      <c r="C3048" s="8" t="s">
        <v>13</v>
      </c>
      <c r="D3048" s="8" t="s">
        <v>14</v>
      </c>
      <c r="E3048" s="8">
        <v>1</v>
      </c>
    </row>
    <row r="3049" spans="1:5" ht="15.75" customHeight="1" x14ac:dyDescent="0.25">
      <c r="A3049" s="6" t="s">
        <v>3012</v>
      </c>
      <c r="B3049" s="6" t="str">
        <f ca="1">IFERROR(__xludf.DUMMYFUNCTION("GOOGLETRANSLATE(A3049,""bn"",""en"")"),"He worked so hard that he could not pass the cruel irony of fate.")</f>
        <v>He worked so hard that he could not pass the cruel irony of fate.</v>
      </c>
      <c r="C3049" s="8" t="s">
        <v>13</v>
      </c>
      <c r="D3049" s="8" t="s">
        <v>14</v>
      </c>
      <c r="E3049" s="8">
        <v>1</v>
      </c>
    </row>
    <row r="3050" spans="1:5" ht="15.75" customHeight="1" x14ac:dyDescent="0.25">
      <c r="A3050" s="6" t="s">
        <v>3013</v>
      </c>
      <c r="B3050" s="6" t="str">
        <f ca="1">IFERROR(__xludf.DUMMYFUNCTION("GOOGLETRANSLATE(A3050,""bn"",""en"")"),"The girl's mother will question what you do")</f>
        <v>The girl's mother will question what you do</v>
      </c>
      <c r="C3050" s="8" t="s">
        <v>13</v>
      </c>
      <c r="D3050" s="8" t="s">
        <v>14</v>
      </c>
      <c r="E3050" s="8">
        <v>1</v>
      </c>
    </row>
    <row r="3051" spans="1:5" ht="15.75" customHeight="1" x14ac:dyDescent="0.25">
      <c r="A3051" s="6" t="s">
        <v>3014</v>
      </c>
      <c r="B3051" s="6" t="str">
        <f ca="1">IFERROR(__xludf.DUMMYFUNCTION("GOOGLETRANSLATE(A3051,""bn"",""en"")"),"Riding my scooter to work is both fun and eco-friendly")</f>
        <v>Riding my scooter to work is both fun and eco-friendly</v>
      </c>
      <c r="C3051" s="8" t="s">
        <v>13</v>
      </c>
      <c r="D3051" s="8" t="s">
        <v>14</v>
      </c>
      <c r="E3051" s="8">
        <v>1</v>
      </c>
    </row>
    <row r="3052" spans="1:5" ht="15.75" customHeight="1" x14ac:dyDescent="0.25">
      <c r="A3052" s="6" t="s">
        <v>3015</v>
      </c>
      <c r="B3052" s="6" t="str">
        <f ca="1">IFERROR(__xludf.DUMMYFUNCTION("GOOGLETRANSLATE(A3052,""bn"",""en"")"),"Mokshada cursed with his throat slit")</f>
        <v>Mokshada cursed with his throat slit</v>
      </c>
      <c r="C3052" s="7" t="s">
        <v>6</v>
      </c>
      <c r="D3052" s="7" t="s">
        <v>7</v>
      </c>
      <c r="E3052" s="7">
        <v>0</v>
      </c>
    </row>
    <row r="3053" spans="1:5" ht="15.75" customHeight="1" x14ac:dyDescent="0.25">
      <c r="A3053" s="6" t="s">
        <v>3016</v>
      </c>
      <c r="B3053" s="6" t="str">
        <f ca="1">IFERROR(__xludf.DUMMYFUNCTION("GOOGLETRANSLATE(A3053,""bn"",""en"")"),"Such abduction of a daughter is their marriage")</f>
        <v>Such abduction of a daughter is their marriage</v>
      </c>
      <c r="C3053" s="7" t="s">
        <v>6</v>
      </c>
      <c r="D3053" s="7" t="s">
        <v>7</v>
      </c>
      <c r="E3053" s="7">
        <v>0</v>
      </c>
    </row>
    <row r="3054" spans="1:5" ht="15.75" customHeight="1" x14ac:dyDescent="0.25">
      <c r="A3054" s="6" t="s">
        <v>3017</v>
      </c>
      <c r="B3054" s="6" t="str">
        <f ca="1">IFERROR(__xludf.DUMMYFUNCTION("GOOGLETRANSLATE(A3054,""bn"",""en"")"),"Again, it seems as if Avni's inner fire had raised that wave in one day")</f>
        <v>Again, it seems as if Avni's inner fire had raised that wave in one day</v>
      </c>
      <c r="C3054" s="7" t="s">
        <v>6</v>
      </c>
      <c r="D3054" s="7" t="s">
        <v>7</v>
      </c>
      <c r="E3054" s="7">
        <v>0</v>
      </c>
    </row>
    <row r="3055" spans="1:5" ht="15.75" customHeight="1" x14ac:dyDescent="0.25">
      <c r="A3055" s="6" t="s">
        <v>3018</v>
      </c>
      <c r="B3055" s="6" t="str">
        <f ca="1">IFERROR(__xludf.DUMMYFUNCTION("GOOGLETRANSLATE(A3055,""bn"",""en"")"),"Sufal goes to the mosque to pray")</f>
        <v>Sufal goes to the mosque to pray</v>
      </c>
      <c r="C3055" s="7" t="s">
        <v>6</v>
      </c>
      <c r="D3055" s="7" t="s">
        <v>7</v>
      </c>
      <c r="E3055" s="7">
        <v>0</v>
      </c>
    </row>
    <row r="3056" spans="1:5" ht="15.75" customHeight="1" x14ac:dyDescent="0.25">
      <c r="A3056" s="6" t="s">
        <v>3019</v>
      </c>
      <c r="B3056" s="6" t="str">
        <f ca="1">IFERROR(__xludf.DUMMYFUNCTION("GOOGLETRANSLATE(A3056,""bn"",""en"")"),"That afternoon we went for a walk")</f>
        <v>That afternoon we went for a walk</v>
      </c>
      <c r="C3056" s="7" t="s">
        <v>6</v>
      </c>
      <c r="D3056" s="7" t="s">
        <v>7</v>
      </c>
      <c r="E3056" s="7">
        <v>0</v>
      </c>
    </row>
    <row r="3057" spans="1:5" ht="15.75" customHeight="1" x14ac:dyDescent="0.25">
      <c r="A3057" s="6" t="s">
        <v>3020</v>
      </c>
      <c r="B3057" s="6" t="str">
        <f ca="1">IFERROR(__xludf.DUMMYFUNCTION("GOOGLETRANSLATE(A3057,""bn"",""en"")"),"I went to his house one day")</f>
        <v>I went to his house one day</v>
      </c>
      <c r="C3057" s="8" t="s">
        <v>13</v>
      </c>
      <c r="D3057" s="8" t="s">
        <v>14</v>
      </c>
      <c r="E3057" s="8">
        <v>1</v>
      </c>
    </row>
    <row r="3058" spans="1:5" ht="15.75" customHeight="1" x14ac:dyDescent="0.25">
      <c r="A3058" s="6" t="s">
        <v>3021</v>
      </c>
      <c r="B3058" s="6" t="str">
        <f ca="1">IFERROR(__xludf.DUMMYFUNCTION("GOOGLETRANSLATE(A3058,""bn"",""en"")"),"Agritourism promotes tourism activities on farms to educate agricultural tourists about agriculture")</f>
        <v>Agritourism promotes tourism activities on farms to educate agricultural tourists about agriculture</v>
      </c>
      <c r="C3058" s="8" t="s">
        <v>13</v>
      </c>
      <c r="D3058" s="8" t="s">
        <v>14</v>
      </c>
      <c r="E3058" s="8">
        <v>1</v>
      </c>
    </row>
    <row r="3059" spans="1:5" ht="15.75" customHeight="1" x14ac:dyDescent="0.25">
      <c r="A3059" s="6" t="s">
        <v>3022</v>
      </c>
      <c r="B3059" s="6" t="str">
        <f ca="1">IFERROR(__xludf.DUMMYFUNCTION("GOOGLETRANSLATE(A3059,""bn"",""en"")"),"The transaction has been flagged for possible fraud")</f>
        <v>The transaction has been flagged for possible fraud</v>
      </c>
      <c r="C3059" s="8" t="s">
        <v>13</v>
      </c>
      <c r="D3059" s="8" t="s">
        <v>14</v>
      </c>
      <c r="E3059" s="8">
        <v>1</v>
      </c>
    </row>
    <row r="3060" spans="1:5" ht="15.75" customHeight="1" x14ac:dyDescent="0.25">
      <c r="A3060" s="6" t="s">
        <v>3023</v>
      </c>
      <c r="B3060" s="6" t="str">
        <f ca="1">IFERROR(__xludf.DUMMYFUNCTION("GOOGLETRANSLATE(A3060,""bn"",""en"")"),"Misunderstanding by others leads to frustration")</f>
        <v>Misunderstanding by others leads to frustration</v>
      </c>
      <c r="C3060" s="8" t="s">
        <v>13</v>
      </c>
      <c r="D3060" s="8" t="s">
        <v>14</v>
      </c>
      <c r="E3060" s="8">
        <v>1</v>
      </c>
    </row>
    <row r="3061" spans="1:5" ht="15.75" customHeight="1" x14ac:dyDescent="0.25">
      <c r="A3061" s="6" t="s">
        <v>3024</v>
      </c>
      <c r="B3061" s="6" t="str">
        <f ca="1">IFERROR(__xludf.DUMMYFUNCTION("GOOGLETRANSLATE(A3061,""bn"",""en"")"),"Their marriage was not a happy one")</f>
        <v>Their marriage was not a happy one</v>
      </c>
      <c r="C3061" s="8" t="s">
        <v>13</v>
      </c>
      <c r="D3061" s="8" t="s">
        <v>14</v>
      </c>
      <c r="E3061" s="8">
        <v>1</v>
      </c>
    </row>
    <row r="3062" spans="1:5" ht="15.75" customHeight="1" x14ac:dyDescent="0.25">
      <c r="A3062" s="6" t="s">
        <v>3025</v>
      </c>
      <c r="B3062" s="6" t="str">
        <f ca="1">IFERROR(__xludf.DUMMYFUNCTION("GOOGLETRANSLATE(A3062,""bn"",""en"")"),"Did you come with them?")</f>
        <v>Did you come with them?</v>
      </c>
      <c r="C3062" s="7" t="s">
        <v>6</v>
      </c>
      <c r="D3062" s="7" t="s">
        <v>7</v>
      </c>
      <c r="E3062" s="7">
        <v>0</v>
      </c>
    </row>
    <row r="3063" spans="1:5" ht="15.75" customHeight="1" x14ac:dyDescent="0.25">
      <c r="A3063" s="6" t="s">
        <v>3026</v>
      </c>
      <c r="B3063" s="6" t="str">
        <f ca="1">IFERROR(__xludf.DUMMYFUNCTION("GOOGLETRANSLATE(A3063,""bn"",""en"")"),"The hut was clean and well-furnished")</f>
        <v>The hut was clean and well-furnished</v>
      </c>
      <c r="C3063" s="7" t="s">
        <v>6</v>
      </c>
      <c r="D3063" s="7" t="s">
        <v>7</v>
      </c>
      <c r="E3063" s="7">
        <v>0</v>
      </c>
    </row>
    <row r="3064" spans="1:5" ht="15.75" customHeight="1" x14ac:dyDescent="0.25">
      <c r="A3064" s="6" t="s">
        <v>3027</v>
      </c>
      <c r="B3064" s="6" t="str">
        <f ca="1">IFERROR(__xludf.DUMMYFUNCTION("GOOGLETRANSLATE(A3064,""bn"",""en"")"),"The long-forgotten happiness appears anew")</f>
        <v>The long-forgotten happiness appears anew</v>
      </c>
      <c r="C3064" s="7" t="s">
        <v>6</v>
      </c>
      <c r="D3064" s="7" t="s">
        <v>7</v>
      </c>
      <c r="E3064" s="7">
        <v>0</v>
      </c>
    </row>
    <row r="3065" spans="1:5" ht="15.75" customHeight="1" x14ac:dyDescent="0.25">
      <c r="A3065" s="6" t="s">
        <v>3028</v>
      </c>
      <c r="B3065" s="6" t="str">
        <f ca="1">IFERROR(__xludf.DUMMYFUNCTION("GOOGLETRANSLATE(A3065,""bn"",""en"")"),"Don't go ahead and say anything")</f>
        <v>Don't go ahead and say anything</v>
      </c>
      <c r="C3065" s="7" t="s">
        <v>6</v>
      </c>
      <c r="D3065" s="7" t="s">
        <v>7</v>
      </c>
      <c r="E3065" s="7">
        <v>0</v>
      </c>
    </row>
    <row r="3066" spans="1:5" ht="15.75" customHeight="1" x14ac:dyDescent="0.25">
      <c r="A3066" s="6" t="s">
        <v>3029</v>
      </c>
      <c r="B3066" s="6" t="str">
        <f ca="1">IFERROR(__xludf.DUMMYFUNCTION("GOOGLETRANSLATE(A3066,""bn"",""en"")"),"Moti did not reply")</f>
        <v>Moti did not reply</v>
      </c>
      <c r="C3066" s="7" t="s">
        <v>6</v>
      </c>
      <c r="D3066" s="7" t="s">
        <v>7</v>
      </c>
      <c r="E3066" s="7">
        <v>0</v>
      </c>
    </row>
    <row r="3067" spans="1:5" ht="15.75" customHeight="1" x14ac:dyDescent="0.25">
      <c r="A3067" s="6" t="s">
        <v>3030</v>
      </c>
      <c r="B3067" s="6" t="str">
        <f ca="1">IFERROR(__xludf.DUMMYFUNCTION("GOOGLETRANSLATE(A3067,""bn"",""en"")"),"Today's cloudy sky looks very beautiful")</f>
        <v>Today's cloudy sky looks very beautiful</v>
      </c>
      <c r="C3067" s="8" t="s">
        <v>13</v>
      </c>
      <c r="D3067" s="8" t="s">
        <v>14</v>
      </c>
      <c r="E3067" s="8">
        <v>1</v>
      </c>
    </row>
    <row r="3068" spans="1:5" ht="15.75" customHeight="1" x14ac:dyDescent="0.25">
      <c r="A3068" s="6" t="s">
        <v>3031</v>
      </c>
      <c r="B3068" s="6" t="str">
        <f ca="1">IFERROR(__xludf.DUMMYFUNCTION("GOOGLETRANSLATE(A3068,""bn"",""en"")"),"It is more commonly known to literary people as Giti Kavita")</f>
        <v>It is more commonly known to literary people as Giti Kavita</v>
      </c>
      <c r="C3068" s="8" t="s">
        <v>13</v>
      </c>
      <c r="D3068" s="8" t="s">
        <v>14</v>
      </c>
      <c r="E3068" s="8">
        <v>1</v>
      </c>
    </row>
    <row r="3069" spans="1:5" ht="15.75" customHeight="1" x14ac:dyDescent="0.25">
      <c r="A3069" s="6" t="s">
        <v>3032</v>
      </c>
      <c r="B3069" s="6" t="str">
        <f ca="1">IFERROR(__xludf.DUMMYFUNCTION("GOOGLETRANSLATE(A3069,""bn"",""en"")"),"Forensic evidence is often important in solving criminal cases")</f>
        <v>Forensic evidence is often important in solving criminal cases</v>
      </c>
      <c r="C3069" s="8" t="s">
        <v>13</v>
      </c>
      <c r="D3069" s="8" t="s">
        <v>14</v>
      </c>
      <c r="E3069" s="8">
        <v>1</v>
      </c>
    </row>
    <row r="3070" spans="1:5" ht="15.75" customHeight="1" x14ac:dyDescent="0.25">
      <c r="A3070" s="6" t="s">
        <v>3033</v>
      </c>
      <c r="B3070" s="6" t="str">
        <f ca="1">IFERROR(__xludf.DUMMYFUNCTION("GOOGLETRANSLATE(A3070,""bn"",""en"")"),"It did not gain much popularity")</f>
        <v>It did not gain much popularity</v>
      </c>
      <c r="C3070" s="8" t="s">
        <v>13</v>
      </c>
      <c r="D3070" s="8" t="s">
        <v>14</v>
      </c>
      <c r="E3070" s="8">
        <v>1</v>
      </c>
    </row>
    <row r="3071" spans="1:5" ht="15.75" customHeight="1" x14ac:dyDescent="0.25">
      <c r="A3071" s="6" t="s">
        <v>3034</v>
      </c>
      <c r="B3071" s="6" t="str">
        <f ca="1">IFERROR(__xludf.DUMMYFUNCTION("GOOGLETRANSLATE(A3071,""bn"",""en"")"),"That ship of theirs ran like an arrow with the unblinking speed of a star falling from the sky")</f>
        <v>That ship of theirs ran like an arrow with the unblinking speed of a star falling from the sky</v>
      </c>
      <c r="C3071" s="8" t="s">
        <v>13</v>
      </c>
      <c r="D3071" s="8" t="s">
        <v>14</v>
      </c>
      <c r="E3071" s="8">
        <v>1</v>
      </c>
    </row>
    <row r="3072" spans="1:5" ht="15.75" customHeight="1" x14ac:dyDescent="0.25">
      <c r="A3072" s="6" t="s">
        <v>3035</v>
      </c>
      <c r="B3072" s="6" t="str">
        <f ca="1">IFERROR(__xludf.DUMMYFUNCTION("GOOGLETRANSLATE(A3072,""bn"",""en"")"),"On the second day the resident's cow will break Kamandalu and on the third day the resident's housewife will come and present the ornaments to the sage's wife.")</f>
        <v>On the second day the resident's cow will break Kamandalu and on the third day the resident's housewife will come and present the ornaments to the sage's wife.</v>
      </c>
      <c r="C3072" s="7" t="s">
        <v>6</v>
      </c>
      <c r="D3072" s="7" t="s">
        <v>7</v>
      </c>
      <c r="E3072" s="7">
        <v>0</v>
      </c>
    </row>
    <row r="3073" spans="1:5" ht="15.75" customHeight="1" x14ac:dyDescent="0.25">
      <c r="A3073" s="6" t="s">
        <v>1178</v>
      </c>
      <c r="B3073" s="6" t="str">
        <f ca="1">IFERROR(__xludf.DUMMYFUNCTION("GOOGLETRANSLATE(A3073,""bn"",""en"")"),"The young women grabbed each other's shoulders and started looking only to see Palki Behara")</f>
        <v>The young women grabbed each other's shoulders and started looking only to see Palki Behara</v>
      </c>
      <c r="C3073" s="7" t="s">
        <v>6</v>
      </c>
      <c r="D3073" s="7" t="s">
        <v>7</v>
      </c>
      <c r="E3073" s="7">
        <v>0</v>
      </c>
    </row>
    <row r="3074" spans="1:5" ht="15.75" customHeight="1" x14ac:dyDescent="0.25">
      <c r="A3074" s="6" t="s">
        <v>3036</v>
      </c>
      <c r="B3074" s="6" t="str">
        <f ca="1">IFERROR(__xludf.DUMMYFUNCTION("GOOGLETRANSLATE(A3074,""bn"",""en"")"),"Rumi wanted to play chess")</f>
        <v>Rumi wanted to play chess</v>
      </c>
      <c r="C3074" s="7" t="s">
        <v>6</v>
      </c>
      <c r="D3074" s="7" t="s">
        <v>7</v>
      </c>
      <c r="E3074" s="7">
        <v>0</v>
      </c>
    </row>
    <row r="3075" spans="1:5" ht="15.75" customHeight="1" x14ac:dyDescent="0.25">
      <c r="A3075" s="6" t="s">
        <v>3037</v>
      </c>
      <c r="B3075" s="6" t="str">
        <f ca="1">IFERROR(__xludf.DUMMYFUNCTION("GOOGLETRANSLATE(A3075,""bn"",""en"")"),"This alcohol is so condemned that it does not stay drunk")</f>
        <v>This alcohol is so condemned that it does not stay drunk</v>
      </c>
      <c r="C3075" s="7" t="s">
        <v>6</v>
      </c>
      <c r="D3075" s="7" t="s">
        <v>7</v>
      </c>
      <c r="E3075" s="7">
        <v>0</v>
      </c>
    </row>
    <row r="3076" spans="1:5" ht="15.75" customHeight="1" x14ac:dyDescent="0.25">
      <c r="A3076" s="6" t="s">
        <v>3038</v>
      </c>
      <c r="B3076" s="6" t="str">
        <f ca="1">IFERROR(__xludf.DUMMYFUNCTION("GOOGLETRANSLATE(A3076,""bn"",""en"")"),"Can the flavor of Ravi Tagore's poetry be found in other poems?")</f>
        <v>Can the flavor of Ravi Tagore's poetry be found in other poems?</v>
      </c>
      <c r="C3076" s="7" t="s">
        <v>6</v>
      </c>
      <c r="D3076" s="7" t="s">
        <v>7</v>
      </c>
      <c r="E3076" s="7">
        <v>0</v>
      </c>
    </row>
    <row r="3077" spans="1:5" ht="15.75" customHeight="1" x14ac:dyDescent="0.25">
      <c r="A3077" s="6" t="s">
        <v>3039</v>
      </c>
      <c r="B3077" s="6" t="str">
        <f ca="1">IFERROR(__xludf.DUMMYFUNCTION("GOOGLETRANSLATE(A3077,""bn"",""en"")"),"The old website design was difficult to navigate")</f>
        <v>The old website design was difficult to navigate</v>
      </c>
      <c r="C3077" s="8" t="s">
        <v>13</v>
      </c>
      <c r="D3077" s="8" t="s">
        <v>14</v>
      </c>
      <c r="E3077" s="8">
        <v>1</v>
      </c>
    </row>
    <row r="3078" spans="1:5" ht="15.75" customHeight="1" x14ac:dyDescent="0.25">
      <c r="A3078" s="6" t="s">
        <v>3040</v>
      </c>
      <c r="B3078" s="6" t="str">
        <f ca="1">IFERROR(__xludf.DUMMYFUNCTION("GOOGLETRANSLATE(A3078,""bn"",""en"")"),"I love spending lazy Sundays with my family")</f>
        <v>I love spending lazy Sundays with my family</v>
      </c>
      <c r="C3078" s="8" t="s">
        <v>13</v>
      </c>
      <c r="D3078" s="8" t="s">
        <v>14</v>
      </c>
      <c r="E3078" s="8">
        <v>1</v>
      </c>
    </row>
    <row r="3079" spans="1:5" ht="15.75" customHeight="1" x14ac:dyDescent="0.25">
      <c r="A3079" s="6" t="s">
        <v>3041</v>
      </c>
      <c r="B3079" s="6" t="str">
        <f ca="1">IFERROR(__xludf.DUMMYFUNCTION("GOOGLETRANSLATE(A3079,""bn"",""en"")"),"Agritourism promotes rural tourism development by providing visitors with hands-on experience on farms")</f>
        <v>Agritourism promotes rural tourism development by providing visitors with hands-on experience on farms</v>
      </c>
      <c r="C3079" s="8" t="s">
        <v>13</v>
      </c>
      <c r="D3079" s="8" t="s">
        <v>14</v>
      </c>
      <c r="E3079" s="8">
        <v>1</v>
      </c>
    </row>
    <row r="3080" spans="1:5" ht="15.75" customHeight="1" x14ac:dyDescent="0.25">
      <c r="A3080" s="6" t="s">
        <v>3042</v>
      </c>
      <c r="B3080" s="6" t="str">
        <f ca="1">IFERROR(__xludf.DUMMYFUNCTION("GOOGLETRANSLATE(A3080,""bn"",""en"")"),"Green smoothness packs a nutritious punch")</f>
        <v>Green smoothness packs a nutritious punch</v>
      </c>
      <c r="C3080" s="8" t="s">
        <v>13</v>
      </c>
      <c r="D3080" s="8" t="s">
        <v>14</v>
      </c>
      <c r="E3080" s="8">
        <v>1</v>
      </c>
    </row>
    <row r="3081" spans="1:5" ht="15.75" customHeight="1" x14ac:dyDescent="0.25">
      <c r="A3081" s="6" t="s">
        <v>3043</v>
      </c>
      <c r="B3081" s="6" t="str">
        <f ca="1">IFERROR(__xludf.DUMMYFUNCTION("GOOGLETRANSLATE(A3081,""bn"",""en"")"),"Tag a friend who loves adventure")</f>
        <v>Tag a friend who loves adventure</v>
      </c>
      <c r="C3081" s="8" t="s">
        <v>13</v>
      </c>
      <c r="D3081" s="8" t="s">
        <v>14</v>
      </c>
      <c r="E3081" s="8">
        <v>1</v>
      </c>
    </row>
    <row r="3082" spans="1:5" ht="15.75" customHeight="1" x14ac:dyDescent="0.25">
      <c r="A3082" s="6" t="s">
        <v>3044</v>
      </c>
      <c r="B3082" s="6" t="str">
        <f ca="1">IFERROR(__xludf.DUMMYFUNCTION("GOOGLETRANSLATE(A3082,""bn"",""en"")"),"After a while he slowly said I wonder why you came today")</f>
        <v>After a while he slowly said I wonder why you came today</v>
      </c>
      <c r="C3082" s="7" t="s">
        <v>6</v>
      </c>
      <c r="D3082" s="7" t="s">
        <v>7</v>
      </c>
      <c r="E3082" s="7">
        <v>0</v>
      </c>
    </row>
    <row r="3083" spans="1:5" ht="15.75" customHeight="1" x14ac:dyDescent="0.25">
      <c r="A3083" s="6" t="s">
        <v>3045</v>
      </c>
      <c r="B3083" s="6" t="str">
        <f ca="1">IFERROR(__xludf.DUMMYFUNCTION("GOOGLETRANSLATE(A3083,""bn"",""en"")"),"I didn't pay attention to anything")</f>
        <v>I didn't pay attention to anything</v>
      </c>
      <c r="C3083" s="7" t="s">
        <v>6</v>
      </c>
      <c r="D3083" s="7" t="s">
        <v>7</v>
      </c>
      <c r="E3083" s="7">
        <v>0</v>
      </c>
    </row>
    <row r="3084" spans="1:5" ht="15.75" customHeight="1" x14ac:dyDescent="0.25">
      <c r="A3084" s="6" t="s">
        <v>3046</v>
      </c>
      <c r="B3084" s="6" t="str">
        <f ca="1">IFERROR(__xludf.DUMMYFUNCTION("GOOGLETRANSLATE(A3084,""bn"",""en"")"),"Those who walk so hard are young again")</f>
        <v>Those who walk so hard are young again</v>
      </c>
      <c r="C3084" s="7" t="s">
        <v>6</v>
      </c>
      <c r="D3084" s="7" t="s">
        <v>7</v>
      </c>
      <c r="E3084" s="7">
        <v>0</v>
      </c>
    </row>
    <row r="3085" spans="1:5" ht="15.75" customHeight="1" x14ac:dyDescent="0.25">
      <c r="A3085" s="6" t="s">
        <v>3047</v>
      </c>
      <c r="B3085" s="6" t="str">
        <f ca="1">IFERROR(__xludf.DUMMYFUNCTION("GOOGLETRANSLATE(A3085,""bn"",""en"")"),"He said this and laughed")</f>
        <v>He said this and laughed</v>
      </c>
      <c r="C3085" s="7" t="s">
        <v>6</v>
      </c>
      <c r="D3085" s="7" t="s">
        <v>7</v>
      </c>
      <c r="E3085" s="7">
        <v>0</v>
      </c>
    </row>
    <row r="3086" spans="1:5" ht="15.75" customHeight="1" x14ac:dyDescent="0.25">
      <c r="A3086" s="6" t="s">
        <v>3048</v>
      </c>
      <c r="B3086" s="6" t="str">
        <f ca="1">IFERROR(__xludf.DUMMYFUNCTION("GOOGLETRANSLATE(A3086,""bn"",""en"")"),"People don't think that they won't like it")</f>
        <v>People don't think that they won't like it</v>
      </c>
      <c r="C3086" s="7" t="s">
        <v>6</v>
      </c>
      <c r="D3086" s="7" t="s">
        <v>7</v>
      </c>
      <c r="E3086" s="7">
        <v>0</v>
      </c>
    </row>
    <row r="3087" spans="1:5" ht="15.75" customHeight="1" x14ac:dyDescent="0.25">
      <c r="A3087" s="6" t="s">
        <v>3049</v>
      </c>
      <c r="B3087" s="6" t="str">
        <f ca="1">IFERROR(__xludf.DUMMYFUNCTION("GOOGLETRANSLATE(A3087,""bn"",""en"")"),"He told me his mother was very ill")</f>
        <v>He told me his mother was very ill</v>
      </c>
      <c r="C3087" s="8" t="s">
        <v>13</v>
      </c>
      <c r="D3087" s="8" t="s">
        <v>14</v>
      </c>
      <c r="E3087" s="8">
        <v>1</v>
      </c>
    </row>
    <row r="3088" spans="1:5" ht="15.75" customHeight="1" x14ac:dyDescent="0.25">
      <c r="A3088" s="6" t="s">
        <v>3050</v>
      </c>
      <c r="B3088" s="6" t="str">
        <f ca="1">IFERROR(__xludf.DUMMYFUNCTION("GOOGLETRANSLATE(A3088,""bn"",""en"")"),"Mr. Suman has now left the house")</f>
        <v>Mr. Suman has now left the house</v>
      </c>
      <c r="C3088" s="8" t="s">
        <v>13</v>
      </c>
      <c r="D3088" s="8" t="s">
        <v>14</v>
      </c>
      <c r="E3088" s="8">
        <v>1</v>
      </c>
    </row>
    <row r="3089" spans="1:5" ht="15.75" customHeight="1" x14ac:dyDescent="0.25">
      <c r="A3089" s="6" t="s">
        <v>3051</v>
      </c>
      <c r="B3089" s="6" t="str">
        <f ca="1">IFERROR(__xludf.DUMMYFUNCTION("GOOGLETRANSLATE(A3089,""bn"",""en"")"),"The experience of losing a loved one brings grief")</f>
        <v>The experience of losing a loved one brings grief</v>
      </c>
      <c r="C3089" s="8" t="s">
        <v>13</v>
      </c>
      <c r="D3089" s="8" t="s">
        <v>14</v>
      </c>
      <c r="E3089" s="8">
        <v>1</v>
      </c>
    </row>
    <row r="3090" spans="1:5" ht="15.75" customHeight="1" x14ac:dyDescent="0.25">
      <c r="A3090" s="6" t="s">
        <v>3052</v>
      </c>
      <c r="B3090" s="6" t="str">
        <f ca="1">IFERROR(__xludf.DUMMYFUNCTION("GOOGLETRANSLATE(A3090,""bn"",""en"")"),"Criminal law outlines specific actions that constitute illegal conduct")</f>
        <v>Criminal law outlines specific actions that constitute illegal conduct</v>
      </c>
      <c r="C3090" s="8" t="s">
        <v>13</v>
      </c>
      <c r="D3090" s="8" t="s">
        <v>14</v>
      </c>
      <c r="E3090" s="8">
        <v>1</v>
      </c>
    </row>
    <row r="3091" spans="1:5" ht="15.75" customHeight="1" x14ac:dyDescent="0.25">
      <c r="A3091" s="6" t="s">
        <v>3053</v>
      </c>
      <c r="B3091" s="6" t="str">
        <f ca="1">IFERROR(__xludf.DUMMYFUNCTION("GOOGLETRANSLATE(A3091,""bn"",""en"")"),"A popular film composed by him is Amanush")</f>
        <v>A popular film composed by him is Amanush</v>
      </c>
      <c r="C3091" s="8" t="s">
        <v>13</v>
      </c>
      <c r="D3091" s="8" t="s">
        <v>14</v>
      </c>
      <c r="E3091" s="8">
        <v>1</v>
      </c>
    </row>
    <row r="3092" spans="1:5" ht="15.75" customHeight="1" x14ac:dyDescent="0.25">
      <c r="A3092" s="6" t="s">
        <v>3054</v>
      </c>
      <c r="B3092" s="6" t="str">
        <f ca="1">IFERROR(__xludf.DUMMYFUNCTION("GOOGLETRANSLATE(A3092,""bn"",""en"")"),"How does it feel inside the soul when you hear the sound of wooden bells?")</f>
        <v>How does it feel inside the soul when you hear the sound of wooden bells?</v>
      </c>
      <c r="C3092" s="7" t="s">
        <v>6</v>
      </c>
      <c r="D3092" s="7" t="s">
        <v>7</v>
      </c>
      <c r="E3092" s="7">
        <v>0</v>
      </c>
    </row>
    <row r="3093" spans="1:5" ht="15.75" customHeight="1" x14ac:dyDescent="0.25">
      <c r="A3093" s="6" t="s">
        <v>552</v>
      </c>
      <c r="B3093" s="6" t="str">
        <f ca="1">IFERROR(__xludf.DUMMYFUNCTION("GOOGLETRANSLATE(A3093,""bn"",""en"")"),"His hand was severely injured after falling from the rickshaw")</f>
        <v>His hand was severely injured after falling from the rickshaw</v>
      </c>
      <c r="C3093" s="7" t="s">
        <v>6</v>
      </c>
      <c r="D3093" s="7" t="s">
        <v>7</v>
      </c>
      <c r="E3093" s="7">
        <v>0</v>
      </c>
    </row>
    <row r="3094" spans="1:5" ht="15.75" customHeight="1" x14ac:dyDescent="0.25">
      <c r="A3094" s="6" t="s">
        <v>3055</v>
      </c>
      <c r="B3094" s="6" t="str">
        <f ca="1">IFERROR(__xludf.DUMMYFUNCTION("GOOGLETRANSLATE(A3094,""bn"",""en"")"),"After finishing the chores we went for a walk")</f>
        <v>After finishing the chores we went for a walk</v>
      </c>
      <c r="C3094" s="7" t="s">
        <v>6</v>
      </c>
      <c r="D3094" s="7" t="s">
        <v>7</v>
      </c>
      <c r="E3094" s="7">
        <v>0</v>
      </c>
    </row>
    <row r="3095" spans="1:5" ht="15.75" customHeight="1" x14ac:dyDescent="0.25">
      <c r="A3095" s="6" t="s">
        <v>3056</v>
      </c>
      <c r="B3095" s="6" t="str">
        <f ca="1">IFERROR(__xludf.DUMMYFUNCTION("GOOGLETRANSLATE(A3095,""bn"",""en"")"),"I can help you.")</f>
        <v>I can help you.</v>
      </c>
      <c r="C3095" s="7" t="s">
        <v>6</v>
      </c>
      <c r="D3095" s="7" t="s">
        <v>7</v>
      </c>
      <c r="E3095" s="7">
        <v>0</v>
      </c>
    </row>
    <row r="3096" spans="1:5" ht="15.75" customHeight="1" x14ac:dyDescent="0.25">
      <c r="A3096" s="6" t="s">
        <v>3057</v>
      </c>
      <c r="B3096" s="6" t="str">
        <f ca="1">IFERROR(__xludf.DUMMYFUNCTION("GOOGLETRANSLATE(A3096,""bn"",""en"")"),"I asked her to go to my school function")</f>
        <v>I asked her to go to my school function</v>
      </c>
      <c r="C3096" s="7" t="s">
        <v>6</v>
      </c>
      <c r="D3096" s="7" t="s">
        <v>7</v>
      </c>
      <c r="E3096" s="7">
        <v>0</v>
      </c>
    </row>
    <row r="3097" spans="1:5" ht="15.75" customHeight="1" x14ac:dyDescent="0.25">
      <c r="A3097" s="6" t="s">
        <v>3058</v>
      </c>
      <c r="B3097" s="6" t="str">
        <f ca="1">IFERROR(__xludf.DUMMYFUNCTION("GOOGLETRANSLATE(A3097,""bn"",""en"")"),"There for like an hour")</f>
        <v>There for like an hour</v>
      </c>
      <c r="C3097" s="8" t="s">
        <v>13</v>
      </c>
      <c r="D3097" s="8" t="s">
        <v>14</v>
      </c>
      <c r="E3097" s="8">
        <v>1</v>
      </c>
    </row>
    <row r="3098" spans="1:5" ht="15.75" customHeight="1" x14ac:dyDescent="0.25">
      <c r="A3098" s="6" t="s">
        <v>3059</v>
      </c>
      <c r="B3098" s="6" t="str">
        <f ca="1">IFERROR(__xludf.DUMMYFUNCTION("GOOGLETRANSLATE(A3098,""bn"",""en"")"),"Rana cannot run away from school and become Ishwarchandra")</f>
        <v>Rana cannot run away from school and become Ishwarchandra</v>
      </c>
      <c r="C3098" s="8" t="s">
        <v>13</v>
      </c>
      <c r="D3098" s="8" t="s">
        <v>14</v>
      </c>
      <c r="E3098" s="8">
        <v>1</v>
      </c>
    </row>
    <row r="3099" spans="1:5" ht="15.75" customHeight="1" x14ac:dyDescent="0.25">
      <c r="A3099" s="6" t="s">
        <v>3060</v>
      </c>
      <c r="B3099" s="6" t="str">
        <f ca="1">IFERROR(__xludf.DUMMYFUNCTION("GOOGLETRANSLATE(A3099,""bn"",""en"")"),"Fresh seafood epitomizes coastal cuisine")</f>
        <v>Fresh seafood epitomizes coastal cuisine</v>
      </c>
      <c r="C3099" s="8" t="s">
        <v>13</v>
      </c>
      <c r="D3099" s="8" t="s">
        <v>14</v>
      </c>
      <c r="E3099" s="8">
        <v>1</v>
      </c>
    </row>
    <row r="3100" spans="1:5" ht="15.75" customHeight="1" x14ac:dyDescent="0.25">
      <c r="A3100" s="6" t="s">
        <v>3061</v>
      </c>
      <c r="B3100" s="6" t="str">
        <f ca="1">IFERROR(__xludf.DUMMYFUNCTION("GOOGLETRANSLATE(A3100,""bn"",""en"")"),"Planning for health care expenses in retirement is essential to maintaining financial security")</f>
        <v>Planning for health care expenses in retirement is essential to maintaining financial security</v>
      </c>
      <c r="C3100" s="8" t="s">
        <v>13</v>
      </c>
      <c r="D3100" s="8" t="s">
        <v>14</v>
      </c>
      <c r="E3100" s="8">
        <v>1</v>
      </c>
    </row>
    <row r="3101" spans="1:5" ht="15.75" customHeight="1" x14ac:dyDescent="0.25">
      <c r="A3101" s="6" t="s">
        <v>3062</v>
      </c>
      <c r="B3101" s="6" t="str">
        <f ca="1">IFERROR(__xludf.DUMMYFUNCTION("GOOGLETRANSLATE(A3101,""bn"",""en"")"),"I shook my head and smiled at my mother")</f>
        <v>I shook my head and smiled at my mother</v>
      </c>
      <c r="C3101" s="8" t="s">
        <v>13</v>
      </c>
      <c r="D3101" s="8" t="s">
        <v>14</v>
      </c>
      <c r="E3101" s="8">
        <v>1</v>
      </c>
    </row>
    <row r="3102" spans="1:5" ht="15.75" customHeight="1" x14ac:dyDescent="0.25">
      <c r="A3102" s="6" t="s">
        <v>3063</v>
      </c>
      <c r="B3102" s="6" t="str">
        <f ca="1">IFERROR(__xludf.DUMMYFUNCTION("GOOGLETRANSLATE(A3102,""bn"",""en"")"),"I asked him to go for a walk")</f>
        <v>I asked him to go for a walk</v>
      </c>
      <c r="C3102" s="7" t="s">
        <v>6</v>
      </c>
      <c r="D3102" s="7" t="s">
        <v>7</v>
      </c>
      <c r="E3102" s="7">
        <v>0</v>
      </c>
    </row>
    <row r="3103" spans="1:5" ht="15.75" customHeight="1" x14ac:dyDescent="0.25">
      <c r="A3103" s="6" t="s">
        <v>3064</v>
      </c>
      <c r="B3103" s="6" t="str">
        <f ca="1">IFERROR(__xludf.DUMMYFUNCTION("GOOGLETRANSLATE(A3103,""bn"",""en"")"),"Other than that, you can see if you can catch any other story")</f>
        <v>Other than that, you can see if you can catch any other story</v>
      </c>
      <c r="C3103" s="7" t="s">
        <v>6</v>
      </c>
      <c r="D3103" s="7" t="s">
        <v>7</v>
      </c>
      <c r="E3103" s="7">
        <v>0</v>
      </c>
    </row>
    <row r="3104" spans="1:5" ht="15.75" customHeight="1" x14ac:dyDescent="0.25">
      <c r="A3104" s="6" t="s">
        <v>3065</v>
      </c>
      <c r="B3104" s="6" t="str">
        <f ca="1">IFERROR(__xludf.DUMMYFUNCTION("GOOGLETRANSLATE(A3104,""bn"",""en"")"),"How far is the water at the edge of the forest?")</f>
        <v>How far is the water at the edge of the forest?</v>
      </c>
      <c r="C3104" s="7" t="s">
        <v>6</v>
      </c>
      <c r="D3104" s="7" t="s">
        <v>7</v>
      </c>
      <c r="E3104" s="7">
        <v>0</v>
      </c>
    </row>
    <row r="3105" spans="1:5" ht="15.75" customHeight="1" x14ac:dyDescent="0.25">
      <c r="A3105" s="6" t="s">
        <v>3066</v>
      </c>
      <c r="B3105" s="6" t="str">
        <f ca="1">IFERROR(__xludf.DUMMYFUNCTION("GOOGLETRANSLATE(A3105,""bn"",""en"")"),"Then a few tears of joy fell from his eyes")</f>
        <v>Then a few tears of joy fell from his eyes</v>
      </c>
      <c r="C3105" s="7" t="s">
        <v>6</v>
      </c>
      <c r="D3105" s="7" t="s">
        <v>7</v>
      </c>
      <c r="E3105" s="7">
        <v>0</v>
      </c>
    </row>
    <row r="3106" spans="1:5" ht="15.75" customHeight="1" x14ac:dyDescent="0.25">
      <c r="A3106" s="6" t="s">
        <v>3067</v>
      </c>
      <c r="B3106" s="6" t="str">
        <f ca="1">IFERROR(__xludf.DUMMYFUNCTION("GOOGLETRANSLATE(A3106,""bn"",""en"")"),"All have bare chests")</f>
        <v>All have bare chests</v>
      </c>
      <c r="C3106" s="7" t="s">
        <v>6</v>
      </c>
      <c r="D3106" s="7" t="s">
        <v>7</v>
      </c>
      <c r="E3106" s="7">
        <v>0</v>
      </c>
    </row>
    <row r="3107" spans="1:5" ht="15.75" customHeight="1" x14ac:dyDescent="0.25">
      <c r="A3107" s="6" t="s">
        <v>3068</v>
      </c>
      <c r="B3107" s="6" t="str">
        <f ca="1">IFERROR(__xludf.DUMMYFUNCTION("GOOGLETRANSLATE(A3107,""bn"",""en"")"),"Their seeds are poisonous")</f>
        <v>Their seeds are poisonous</v>
      </c>
      <c r="C3107" s="8" t="s">
        <v>13</v>
      </c>
      <c r="D3107" s="8" t="s">
        <v>14</v>
      </c>
      <c r="E3107" s="8">
        <v>1</v>
      </c>
    </row>
    <row r="3108" spans="1:5" ht="15.75" customHeight="1" x14ac:dyDescent="0.25">
      <c r="A3108" s="6" t="s">
        <v>1802</v>
      </c>
      <c r="B3108" s="6" t="str">
        <f ca="1">IFERROR(__xludf.DUMMYFUNCTION("GOOGLETRANSLATE(A3108,""bn"",""en"")"),"I requested my mother to go on this holiday")</f>
        <v>I requested my mother to go on this holiday</v>
      </c>
      <c r="C3108" s="8" t="s">
        <v>13</v>
      </c>
      <c r="D3108" s="8" t="s">
        <v>14</v>
      </c>
      <c r="E3108" s="8">
        <v>1</v>
      </c>
    </row>
    <row r="3109" spans="1:5" ht="15.75" customHeight="1" x14ac:dyDescent="0.25">
      <c r="A3109" s="6" t="s">
        <v>3069</v>
      </c>
      <c r="B3109" s="6" t="str">
        <f ca="1">IFERROR(__xludf.DUMMYFUNCTION("GOOGLETRANSLATE(A3109,""bn"",""en"")"),"He went to visit Sylhet during the last vacation")</f>
        <v>He went to visit Sylhet during the last vacation</v>
      </c>
      <c r="C3109" s="8" t="s">
        <v>13</v>
      </c>
      <c r="D3109" s="8" t="s">
        <v>14</v>
      </c>
      <c r="E3109" s="8">
        <v>1</v>
      </c>
    </row>
    <row r="3110" spans="1:5" ht="15.75" customHeight="1" x14ac:dyDescent="0.25">
      <c r="A3110" s="6" t="s">
        <v>3070</v>
      </c>
      <c r="B3110" s="6" t="str">
        <f ca="1">IFERROR(__xludf.DUMMYFUNCTION("GOOGLETRANSLATE(A3110,""bn"",""en"")"),"Practicing environmental sustainability reduces our environmental footprint")</f>
        <v>Practicing environmental sustainability reduces our environmental footprint</v>
      </c>
      <c r="C3110" s="8" t="s">
        <v>13</v>
      </c>
      <c r="D3110" s="8" t="s">
        <v>14</v>
      </c>
      <c r="E3110" s="8">
        <v>1</v>
      </c>
    </row>
    <row r="3111" spans="1:5" ht="15.75" customHeight="1" x14ac:dyDescent="0.25">
      <c r="A3111" s="6" t="s">
        <v>3071</v>
      </c>
      <c r="B3111" s="6" t="str">
        <f ca="1">IFERROR(__xludf.DUMMYFUNCTION("GOOGLETRANSLATE(A3111,""bn"",""en"")"),"He was liberal in all respects")</f>
        <v>He was liberal in all respects</v>
      </c>
      <c r="C3111" s="8" t="s">
        <v>13</v>
      </c>
      <c r="D3111" s="8" t="s">
        <v>14</v>
      </c>
      <c r="E3111" s="8">
        <v>1</v>
      </c>
    </row>
    <row r="3112" spans="1:5" ht="15.75" customHeight="1" x14ac:dyDescent="0.25">
      <c r="A3112" s="6" t="s">
        <v>3072</v>
      </c>
      <c r="B3112" s="6" t="str">
        <f ca="1">IFERROR(__xludf.DUMMYFUNCTION("GOOGLETRANSLATE(A3112,""bn"",""en"")"),"I took a note and gave it to him")</f>
        <v>I took a note and gave it to him</v>
      </c>
      <c r="C3112" s="7" t="s">
        <v>6</v>
      </c>
      <c r="D3112" s="7" t="s">
        <v>7</v>
      </c>
      <c r="E3112" s="7">
        <v>0</v>
      </c>
    </row>
    <row r="3113" spans="1:5" ht="15.75" customHeight="1" x14ac:dyDescent="0.25">
      <c r="A3113" s="6" t="s">
        <v>3073</v>
      </c>
      <c r="B3113" s="6" t="str">
        <f ca="1">IFERROR(__xludf.DUMMYFUNCTION("GOOGLETRANSLATE(A3113,""bn"",""en"")"),"The girl looked into his eyes for a while")</f>
        <v>The girl looked into his eyes for a while</v>
      </c>
      <c r="C3113" s="7" t="s">
        <v>6</v>
      </c>
      <c r="D3113" s="7" t="s">
        <v>7</v>
      </c>
      <c r="E3113" s="7">
        <v>0</v>
      </c>
    </row>
    <row r="3114" spans="1:5" ht="15.75" customHeight="1" x14ac:dyDescent="0.25">
      <c r="A3114" s="6" t="s">
        <v>3074</v>
      </c>
      <c r="B3114" s="6" t="str">
        <f ca="1">IFERROR(__xludf.DUMMYFUNCTION("GOOGLETRANSLATE(A3114,""bn"",""en"")"),"He kept it a secret from the boys that he was living in a homeless shelter")</f>
        <v>He kept it a secret from the boys that he was living in a homeless shelter</v>
      </c>
      <c r="C3114" s="7" t="s">
        <v>6</v>
      </c>
      <c r="D3114" s="7" t="s">
        <v>7</v>
      </c>
      <c r="E3114" s="7">
        <v>0</v>
      </c>
    </row>
    <row r="3115" spans="1:5" ht="15.75" customHeight="1" x14ac:dyDescent="0.25">
      <c r="A3115" s="6" t="s">
        <v>3075</v>
      </c>
      <c r="B3115" s="6" t="str">
        <f ca="1">IFERROR(__xludf.DUMMYFUNCTION("GOOGLETRANSLATE(A3115,""bn"",""en"")"),"Only the younger brother Badrul was an exception")</f>
        <v>Only the younger brother Badrul was an exception</v>
      </c>
      <c r="C3115" s="7" t="s">
        <v>6</v>
      </c>
      <c r="D3115" s="7" t="s">
        <v>7</v>
      </c>
      <c r="E3115" s="7">
        <v>0</v>
      </c>
    </row>
    <row r="3116" spans="1:5" ht="15.75" customHeight="1" x14ac:dyDescent="0.25">
      <c r="A3116" s="6" t="s">
        <v>3076</v>
      </c>
      <c r="B3116" s="6" t="str">
        <f ca="1">IFERROR(__xludf.DUMMYFUNCTION("GOOGLETRANSLATE(A3116,""bn"",""en"")"),"I was dissatisfied with his work")</f>
        <v>I was dissatisfied with his work</v>
      </c>
      <c r="C3116" s="7" t="s">
        <v>6</v>
      </c>
      <c r="D3116" s="7" t="s">
        <v>7</v>
      </c>
      <c r="E3116" s="7">
        <v>0</v>
      </c>
    </row>
    <row r="3117" spans="1:5" ht="15.75" customHeight="1" x14ac:dyDescent="0.25">
      <c r="A3117" s="6" t="s">
        <v>3077</v>
      </c>
      <c r="B3117" s="6" t="str">
        <f ca="1">IFERROR(__xludf.DUMMYFUNCTION("GOOGLETRANSLATE(A3117,""bn"",""en"")"),"A family of bears wandered through the forest foraging for food to sustain them through the winter")</f>
        <v>A family of bears wandered through the forest foraging for food to sustain them through the winter</v>
      </c>
      <c r="C3117" s="8" t="s">
        <v>13</v>
      </c>
      <c r="D3117" s="8" t="s">
        <v>14</v>
      </c>
      <c r="E3117" s="8">
        <v>1</v>
      </c>
    </row>
    <row r="3118" spans="1:5" ht="15.75" customHeight="1" x14ac:dyDescent="0.25">
      <c r="A3118" s="6" t="s">
        <v>3078</v>
      </c>
      <c r="B3118" s="6" t="str">
        <f ca="1">IFERROR(__xludf.DUMMYFUNCTION("GOOGLETRANSLATE(A3118,""bn"",""en"")"),"I got the address of one of your colleagues from the doorman of the office, Mr. Rahman")</f>
        <v>I got the address of one of your colleagues from the doorman of the office, Mr. Rahman</v>
      </c>
      <c r="C3118" s="8" t="s">
        <v>13</v>
      </c>
      <c r="D3118" s="8" t="s">
        <v>14</v>
      </c>
      <c r="E3118" s="8">
        <v>1</v>
      </c>
    </row>
    <row r="3119" spans="1:5" ht="15.75" customHeight="1" x14ac:dyDescent="0.25">
      <c r="A3119" s="6" t="s">
        <v>3079</v>
      </c>
      <c r="B3119" s="6" t="str">
        <f ca="1">IFERROR(__xludf.DUMMYFUNCTION("GOOGLETRANSLATE(A3119,""bn"",""en"")"),"If you work hard in your student life, you will be able to see success")</f>
        <v>If you work hard in your student life, you will be able to see success</v>
      </c>
      <c r="C3119" s="8" t="s">
        <v>13</v>
      </c>
      <c r="D3119" s="8" t="s">
        <v>14</v>
      </c>
      <c r="E3119" s="8">
        <v>1</v>
      </c>
    </row>
    <row r="3120" spans="1:5" ht="15.75" customHeight="1" x14ac:dyDescent="0.25">
      <c r="A3120" s="6" t="s">
        <v>3080</v>
      </c>
      <c r="B3120" s="6" t="str">
        <f ca="1">IFERROR(__xludf.DUMMYFUNCTION("GOOGLETRANSLATE(A3120,""bn"",""en"")"),"Share it with your network")</f>
        <v>Share it with your network</v>
      </c>
      <c r="C3120" s="8" t="s">
        <v>13</v>
      </c>
      <c r="D3120" s="8" t="s">
        <v>14</v>
      </c>
      <c r="E3120" s="8">
        <v>1</v>
      </c>
    </row>
    <row r="3121" spans="1:5" ht="15.75" customHeight="1" x14ac:dyDescent="0.25">
      <c r="A3121" s="6" t="s">
        <v>3081</v>
      </c>
      <c r="B3121" s="6" t="str">
        <f ca="1">IFERROR(__xludf.DUMMYFUNCTION("GOOGLETRANSLATE(A3121,""bn"",""en"")"),"Agroecosystem services include pollination pest control nutrient cycling water purification")</f>
        <v>Agroecosystem services include pollination pest control nutrient cycling water purification</v>
      </c>
      <c r="C3121" s="8" t="s">
        <v>13</v>
      </c>
      <c r="D3121" s="8" t="s">
        <v>14</v>
      </c>
      <c r="E3121" s="8">
        <v>1</v>
      </c>
    </row>
    <row r="3122" spans="1:5" ht="15.75" customHeight="1" x14ac:dyDescent="0.25">
      <c r="A3122" s="6" t="s">
        <v>3082</v>
      </c>
      <c r="B3122" s="6" t="str">
        <f ca="1">IFERROR(__xludf.DUMMYFUNCTION("GOOGLETRANSLATE(A3122,""bn"",""en"")"),"Bishu got Akka to remember his friend Ibrahim")</f>
        <v>Bishu got Akka to remember his friend Ibrahim</v>
      </c>
      <c r="C3122" s="7" t="s">
        <v>6</v>
      </c>
      <c r="D3122" s="7" t="s">
        <v>7</v>
      </c>
      <c r="E3122" s="7">
        <v>0</v>
      </c>
    </row>
    <row r="3123" spans="1:5" ht="15.75" customHeight="1" x14ac:dyDescent="0.25">
      <c r="A3123" s="6" t="s">
        <v>3083</v>
      </c>
      <c r="B3123" s="6" t="str">
        <f ca="1">IFERROR(__xludf.DUMMYFUNCTION("GOOGLETRANSLATE(A3123,""bn"",""en"")"),"I don't want to account for what I didn't get")</f>
        <v>I don't want to account for what I didn't get</v>
      </c>
      <c r="C3123" s="7" t="s">
        <v>6</v>
      </c>
      <c r="D3123" s="7" t="s">
        <v>7</v>
      </c>
      <c r="E3123" s="7">
        <v>0</v>
      </c>
    </row>
    <row r="3124" spans="1:5" ht="15.75" customHeight="1" x14ac:dyDescent="0.25">
      <c r="A3124" s="6" t="s">
        <v>3084</v>
      </c>
      <c r="B3124" s="6" t="str">
        <f ca="1">IFERROR(__xludf.DUMMYFUNCTION("GOOGLETRANSLATE(A3124,""bn"",""en"")"),"The smell comes out of the flower like the air harboring it")</f>
        <v>The smell comes out of the flower like the air harboring it</v>
      </c>
      <c r="C3124" s="7" t="s">
        <v>6</v>
      </c>
      <c r="D3124" s="7" t="s">
        <v>7</v>
      </c>
      <c r="E3124" s="7">
        <v>0</v>
      </c>
    </row>
    <row r="3125" spans="1:5" ht="15.75" customHeight="1" x14ac:dyDescent="0.25">
      <c r="A3125" s="6" t="s">
        <v>3085</v>
      </c>
      <c r="B3125" s="6" t="str">
        <f ca="1">IFERROR(__xludf.DUMMYFUNCTION("GOOGLETRANSLATE(A3125,""bn"",""en"")"),"Everyone is showing their strength in different ways")</f>
        <v>Everyone is showing their strength in different ways</v>
      </c>
      <c r="C3125" s="7" t="s">
        <v>6</v>
      </c>
      <c r="D3125" s="7" t="s">
        <v>7</v>
      </c>
      <c r="E3125" s="7">
        <v>0</v>
      </c>
    </row>
    <row r="3126" spans="1:5" ht="15.75" customHeight="1" x14ac:dyDescent="0.25">
      <c r="A3126" s="6" t="s">
        <v>3086</v>
      </c>
      <c r="B3126" s="6" t="str">
        <f ca="1">IFERROR(__xludf.DUMMYFUNCTION("GOOGLETRANSLATE(A3126,""bn"",""en"")"),"Some have brought mats, some have brought long sticks")</f>
        <v>Some have brought mats, some have brought long sticks</v>
      </c>
      <c r="C3126" s="7" t="s">
        <v>6</v>
      </c>
      <c r="D3126" s="7" t="s">
        <v>7</v>
      </c>
      <c r="E3126" s="7">
        <v>0</v>
      </c>
    </row>
    <row r="3127" spans="1:5" ht="15.75" customHeight="1" x14ac:dyDescent="0.25">
      <c r="A3127" s="6" t="s">
        <v>3087</v>
      </c>
      <c r="B3127" s="6" t="str">
        <f ca="1">IFERROR(__xludf.DUMMYFUNCTION("GOOGLETRANSLATE(A3127,""bn"",""en"")"),"Brain cells die within minutes of somatic death")</f>
        <v>Brain cells die within minutes of somatic death</v>
      </c>
      <c r="C3127" s="8" t="s">
        <v>13</v>
      </c>
      <c r="D3127" s="8" t="s">
        <v>14</v>
      </c>
      <c r="E3127" s="8">
        <v>1</v>
      </c>
    </row>
    <row r="3128" spans="1:5" ht="15.75" customHeight="1" x14ac:dyDescent="0.25">
      <c r="A3128" s="6" t="s">
        <v>3088</v>
      </c>
      <c r="B3128" s="6" t="str">
        <f ca="1">IFERROR(__xludf.DUMMYFUNCTION("GOOGLETRANSLATE(A3128,""bn"",""en"")"),"Sajeev told his father about me")</f>
        <v>Sajeev told his father about me</v>
      </c>
      <c r="C3128" s="8" t="s">
        <v>13</v>
      </c>
      <c r="D3128" s="8" t="s">
        <v>14</v>
      </c>
      <c r="E3128" s="8">
        <v>1</v>
      </c>
    </row>
    <row r="3129" spans="1:5" ht="15.75" customHeight="1" x14ac:dyDescent="0.25">
      <c r="A3129" s="6" t="s">
        <v>3089</v>
      </c>
      <c r="B3129" s="6" t="str">
        <f ca="1">IFERROR(__xludf.DUMMYFUNCTION("GOOGLETRANSLATE(A3129,""bn"",""en"")"),"Engage frequently in team sports")</f>
        <v>Engage frequently in team sports</v>
      </c>
      <c r="C3129" s="8" t="s">
        <v>13</v>
      </c>
      <c r="D3129" s="8" t="s">
        <v>14</v>
      </c>
      <c r="E3129" s="8">
        <v>1</v>
      </c>
    </row>
    <row r="3130" spans="1:5" ht="15.75" customHeight="1" x14ac:dyDescent="0.25">
      <c r="A3130" s="6" t="s">
        <v>3090</v>
      </c>
      <c r="B3130" s="6" t="str">
        <f ca="1">IFERROR(__xludf.DUMMYFUNCTION("GOOGLETRANSLATE(A3130,""bn"",""en"")"),"Khadija went to school with me")</f>
        <v>Khadija went to school with me</v>
      </c>
      <c r="C3130" s="8" t="s">
        <v>13</v>
      </c>
      <c r="D3130" s="8" t="s">
        <v>14</v>
      </c>
      <c r="E3130" s="8">
        <v>1</v>
      </c>
    </row>
    <row r="3131" spans="1:5" ht="15.75" customHeight="1" x14ac:dyDescent="0.25">
      <c r="A3131" s="6" t="s">
        <v>3091</v>
      </c>
      <c r="B3131" s="6" t="str">
        <f ca="1">IFERROR(__xludf.DUMMYFUNCTION("GOOGLETRANSLATE(A3131,""bn"",""en"")"),"Supply chain management enhances operational efficiency")</f>
        <v>Supply chain management enhances operational efficiency</v>
      </c>
      <c r="C3131" s="8" t="s">
        <v>13</v>
      </c>
      <c r="D3131" s="8" t="s">
        <v>14</v>
      </c>
      <c r="E3131" s="8">
        <v>1</v>
      </c>
    </row>
    <row r="3132" spans="1:5" ht="15.75" customHeight="1" x14ac:dyDescent="0.25">
      <c r="A3132" s="6" t="s">
        <v>3092</v>
      </c>
      <c r="B3132" s="6" t="str">
        <f ca="1">IFERROR(__xludf.DUMMYFUNCTION("GOOGLETRANSLATE(A3132,""bn"",""en"")"),"The man told me to stop")</f>
        <v>The man told me to stop</v>
      </c>
      <c r="C3132" s="7" t="s">
        <v>6</v>
      </c>
      <c r="D3132" s="7" t="s">
        <v>7</v>
      </c>
      <c r="E3132" s="7">
        <v>0</v>
      </c>
    </row>
    <row r="3133" spans="1:5" ht="15.75" customHeight="1" x14ac:dyDescent="0.25">
      <c r="A3133" s="6" t="s">
        <v>3093</v>
      </c>
      <c r="B3133" s="6" t="str">
        <f ca="1">IFERROR(__xludf.DUMMYFUNCTION("GOOGLETRANSLATE(A3133,""bn"",""en"")"),"I asked Soma to meet me")</f>
        <v>I asked Soma to meet me</v>
      </c>
      <c r="C3133" s="7" t="s">
        <v>6</v>
      </c>
      <c r="D3133" s="7" t="s">
        <v>7</v>
      </c>
      <c r="E3133" s="7">
        <v>0</v>
      </c>
    </row>
    <row r="3134" spans="1:5" ht="15.75" customHeight="1" x14ac:dyDescent="0.25">
      <c r="A3134" s="6" t="s">
        <v>3094</v>
      </c>
      <c r="B3134" s="6" t="str">
        <f ca="1">IFERROR(__xludf.DUMMYFUNCTION("GOOGLETRANSLATE(A3134,""bn"",""en"")"),"He said it must be different")</f>
        <v>He said it must be different</v>
      </c>
      <c r="C3134" s="7" t="s">
        <v>6</v>
      </c>
      <c r="D3134" s="7" t="s">
        <v>7</v>
      </c>
      <c r="E3134" s="7">
        <v>0</v>
      </c>
    </row>
    <row r="3135" spans="1:5" ht="15.75" customHeight="1" x14ac:dyDescent="0.25">
      <c r="A3135" s="6" t="s">
        <v>3095</v>
      </c>
      <c r="B3135" s="6" t="str">
        <f ca="1">IFERROR(__xludf.DUMMYFUNCTION("GOOGLETRANSLATE(A3135,""bn"",""en"")"),"At that moment, all the gentlemen have taken the seeds from me and planted them in the garden")</f>
        <v>At that moment, all the gentlemen have taken the seeds from me and planted them in the garden</v>
      </c>
      <c r="C3135" s="7" t="s">
        <v>6</v>
      </c>
      <c r="D3135" s="7" t="s">
        <v>7</v>
      </c>
      <c r="E3135" s="7">
        <v>0</v>
      </c>
    </row>
    <row r="3136" spans="1:5" ht="15.75" customHeight="1" x14ac:dyDescent="0.25">
      <c r="A3136" s="6" t="s">
        <v>3096</v>
      </c>
      <c r="B3136" s="6" t="str">
        <f ca="1">IFERROR(__xludf.DUMMYFUNCTION("GOOGLETRANSLATE(A3136,""bn"",""en"")"),"Why don't I have my own capital")</f>
        <v>Why don't I have my own capital</v>
      </c>
      <c r="C3136" s="7" t="s">
        <v>6</v>
      </c>
      <c r="D3136" s="7" t="s">
        <v>7</v>
      </c>
      <c r="E3136" s="7">
        <v>0</v>
      </c>
    </row>
    <row r="3137" spans="1:5" ht="15.75" customHeight="1" x14ac:dyDescent="0.25">
      <c r="A3137" s="6" t="s">
        <v>3097</v>
      </c>
      <c r="B3137" s="6" t="str">
        <f ca="1">IFERROR(__xludf.DUMMYFUNCTION("GOOGLETRANSLATE(A3137,""bn"",""en"")"),"Different body parts die at different rates")</f>
        <v>Different body parts die at different rates</v>
      </c>
      <c r="C3137" s="8" t="s">
        <v>13</v>
      </c>
      <c r="D3137" s="8" t="s">
        <v>14</v>
      </c>
      <c r="E3137" s="8">
        <v>1</v>
      </c>
    </row>
    <row r="3138" spans="1:5" ht="15.75" customHeight="1" x14ac:dyDescent="0.25">
      <c r="A3138" s="6" t="s">
        <v>3098</v>
      </c>
      <c r="B3138" s="6" t="str">
        <f ca="1">IFERROR(__xludf.DUMMYFUNCTION("GOOGLETRANSLATE(A3138,""bn"",""en"")"),"I called Sunny to me")</f>
        <v>I called Sunny to me</v>
      </c>
      <c r="C3138" s="8" t="s">
        <v>13</v>
      </c>
      <c r="D3138" s="8" t="s">
        <v>14</v>
      </c>
      <c r="E3138" s="8">
        <v>1</v>
      </c>
    </row>
    <row r="3139" spans="1:5" ht="15.75" customHeight="1" x14ac:dyDescent="0.25">
      <c r="A3139" s="6" t="s">
        <v>3099</v>
      </c>
      <c r="B3139" s="6" t="str">
        <f ca="1">IFERROR(__xludf.DUMMYFUNCTION("GOOGLETRANSLATE(A3139,""bn"",""en"")"),"The sound of the train horn was deafening")</f>
        <v>The sound of the train horn was deafening</v>
      </c>
      <c r="C3139" s="8" t="s">
        <v>13</v>
      </c>
      <c r="D3139" s="8" t="s">
        <v>14</v>
      </c>
      <c r="E3139" s="8">
        <v>1</v>
      </c>
    </row>
    <row r="3140" spans="1:5" ht="15.75" customHeight="1" x14ac:dyDescent="0.25">
      <c r="A3140" s="6" t="s">
        <v>3100</v>
      </c>
      <c r="B3140" s="6" t="str">
        <f ca="1">IFERROR(__xludf.DUMMYFUNCTION("GOOGLETRANSLATE(A3140,""bn"",""en"")"),"I left the room without disturbing him")</f>
        <v>I left the room without disturbing him</v>
      </c>
      <c r="C3140" s="8" t="s">
        <v>13</v>
      </c>
      <c r="D3140" s="8" t="s">
        <v>14</v>
      </c>
      <c r="E3140" s="8">
        <v>1</v>
      </c>
    </row>
    <row r="3141" spans="1:5" ht="15.75" customHeight="1" x14ac:dyDescent="0.25">
      <c r="A3141" s="6" t="s">
        <v>3101</v>
      </c>
      <c r="B3141" s="6" t="str">
        <f ca="1">IFERROR(__xludf.DUMMYFUNCTION("GOOGLETRANSLATE(A3141,""bn"",""en"")"),"So if there were any kind of misunderstandings or rumours, they would resolve them")</f>
        <v>So if there were any kind of misunderstandings or rumours, they would resolve them</v>
      </c>
      <c r="C3141" s="8" t="s">
        <v>13</v>
      </c>
      <c r="D3141" s="8" t="s">
        <v>14</v>
      </c>
      <c r="E3141" s="8">
        <v>1</v>
      </c>
    </row>
    <row r="3142" spans="1:5" ht="15.75" customHeight="1" x14ac:dyDescent="0.25">
      <c r="A3142" s="6" t="s">
        <v>3102</v>
      </c>
      <c r="B3142" s="6" t="str">
        <f ca="1">IFERROR(__xludf.DUMMYFUNCTION("GOOGLETRANSLATE(A3142,""bn"",""en"")"),"At that time it seemed that the horse-tree was drawing sap even from this dull rock.")</f>
        <v>At that time it seemed that the horse-tree was drawing sap even from this dull rock.</v>
      </c>
      <c r="C3142" s="7" t="s">
        <v>6</v>
      </c>
      <c r="D3142" s="7" t="s">
        <v>7</v>
      </c>
      <c r="E3142" s="7">
        <v>0</v>
      </c>
    </row>
    <row r="3143" spans="1:5" ht="15.75" customHeight="1" x14ac:dyDescent="0.25">
      <c r="A3143" s="6" t="s">
        <v>3103</v>
      </c>
      <c r="B3143" s="6" t="str">
        <f ca="1">IFERROR(__xludf.DUMMYFUNCTION("GOOGLETRANSLATE(A3143,""bn"",""en"")"),"I used to see a military gentleman in the English newspaper Harkara of that time")</f>
        <v>I used to see a military gentleman in the English newspaper Harkara of that time</v>
      </c>
      <c r="C3143" s="7" t="s">
        <v>6</v>
      </c>
      <c r="D3143" s="7" t="s">
        <v>7</v>
      </c>
      <c r="E3143" s="7">
        <v>0</v>
      </c>
    </row>
    <row r="3144" spans="1:5" ht="15.75" customHeight="1" x14ac:dyDescent="0.25">
      <c r="A3144" s="6" t="s">
        <v>3104</v>
      </c>
      <c r="B3144" s="6" t="str">
        <f ca="1">IFERROR(__xludf.DUMMYFUNCTION("GOOGLETRANSLATE(A3144,""bn"",""en"")"),"After the first greeting was over, we went to take a bath")</f>
        <v>After the first greeting was over, we went to take a bath</v>
      </c>
      <c r="C3144" s="7" t="s">
        <v>6</v>
      </c>
      <c r="D3144" s="7" t="s">
        <v>7</v>
      </c>
      <c r="E3144" s="7">
        <v>0</v>
      </c>
    </row>
    <row r="3145" spans="1:5" ht="15.75" customHeight="1" x14ac:dyDescent="0.25">
      <c r="A3145" s="6" t="s">
        <v>3105</v>
      </c>
      <c r="B3145" s="6" t="str">
        <f ca="1">IFERROR(__xludf.DUMMYFUNCTION("GOOGLETRANSLATE(A3145,""bn"",""en"")"),"He could not complete my work")</f>
        <v>He could not complete my work</v>
      </c>
      <c r="C3145" s="7" t="s">
        <v>6</v>
      </c>
      <c r="D3145" s="7" t="s">
        <v>7</v>
      </c>
      <c r="E3145" s="7">
        <v>0</v>
      </c>
    </row>
    <row r="3146" spans="1:5" ht="15.75" customHeight="1" x14ac:dyDescent="0.25">
      <c r="A3146" s="6" t="s">
        <v>3106</v>
      </c>
      <c r="B3146" s="6" t="str">
        <f ca="1">IFERROR(__xludf.DUMMYFUNCTION("GOOGLETRANSLATE(A3146,""bn"",""en"")"),"Rumi had come to see Rana")</f>
        <v>Rumi had come to see Rana</v>
      </c>
      <c r="C3146" s="7" t="s">
        <v>6</v>
      </c>
      <c r="D3146" s="7" t="s">
        <v>7</v>
      </c>
      <c r="E3146" s="7">
        <v>0</v>
      </c>
    </row>
    <row r="3147" spans="1:5" ht="15.75" customHeight="1" x14ac:dyDescent="0.25">
      <c r="A3147" s="6" t="s">
        <v>3107</v>
      </c>
      <c r="B3147" s="6" t="str">
        <f ca="1">IFERROR(__xludf.DUMMYFUNCTION("GOOGLETRANSLATE(A3147,""bn"",""en"")"),"Former Nawab Sirajuddaula was defeated and killed in a battle near Palashi in Nadia")</f>
        <v>Former Nawab Sirajuddaula was defeated and killed in a battle near Palashi in Nadia</v>
      </c>
      <c r="C3147" s="8" t="s">
        <v>13</v>
      </c>
      <c r="D3147" s="8" t="s">
        <v>14</v>
      </c>
      <c r="E3147" s="8">
        <v>1</v>
      </c>
    </row>
    <row r="3148" spans="1:5" ht="15.75" customHeight="1" x14ac:dyDescent="0.25">
      <c r="A3148" s="6" t="s">
        <v>3108</v>
      </c>
      <c r="B3148" s="6" t="str">
        <f ca="1">IFERROR(__xludf.DUMMYFUNCTION("GOOGLETRANSLATE(A3148,""bn"",""en"")"),"Apart from this, this cadet college has achieved special success in the field of education")</f>
        <v>Apart from this, this cadet college has achieved special success in the field of education</v>
      </c>
      <c r="C3148" s="8" t="s">
        <v>13</v>
      </c>
      <c r="D3148" s="8" t="s">
        <v>14</v>
      </c>
      <c r="E3148" s="8">
        <v>1</v>
      </c>
    </row>
    <row r="3149" spans="1:5" ht="15.75" customHeight="1" x14ac:dyDescent="0.25">
      <c r="A3149" s="6" t="s">
        <v>3109</v>
      </c>
      <c r="B3149" s="6" t="str">
        <f ca="1">IFERROR(__xludf.DUMMYFUNCTION("GOOGLETRANSLATE(A3149,""bn"",""en"")"),"Asmani quarreled with Shahed over this spill")</f>
        <v>Asmani quarreled with Shahed over this spill</v>
      </c>
      <c r="C3149" s="8" t="s">
        <v>13</v>
      </c>
      <c r="D3149" s="8" t="s">
        <v>14</v>
      </c>
      <c r="E3149" s="8">
        <v>1</v>
      </c>
    </row>
    <row r="3150" spans="1:5" ht="15.75" customHeight="1" x14ac:dyDescent="0.25">
      <c r="A3150" s="6" t="s">
        <v>3110</v>
      </c>
      <c r="B3150" s="6" t="str">
        <f ca="1">IFERROR(__xludf.DUMMYFUNCTION("GOOGLETRANSLATE(A3150,""bn"",""en"")"),"Congress of India did not want to engage in any kind of war")</f>
        <v>Congress of India did not want to engage in any kind of war</v>
      </c>
      <c r="C3150" s="8" t="s">
        <v>13</v>
      </c>
      <c r="D3150" s="8" t="s">
        <v>14</v>
      </c>
      <c r="E3150" s="8">
        <v>1</v>
      </c>
    </row>
    <row r="3151" spans="1:5" ht="15.75" customHeight="1" x14ac:dyDescent="0.25">
      <c r="A3151" s="6" t="s">
        <v>3111</v>
      </c>
      <c r="B3151" s="6" t="str">
        <f ca="1">IFERROR(__xludf.DUMMYFUNCTION("GOOGLETRANSLATE(A3151,""bn"",""en"")"),"Click for more information")</f>
        <v>Click for more information</v>
      </c>
      <c r="C3151" s="8" t="s">
        <v>13</v>
      </c>
      <c r="D3151" s="8" t="s">
        <v>14</v>
      </c>
      <c r="E3151" s="8">
        <v>1</v>
      </c>
    </row>
    <row r="3152" spans="1:5" ht="15.75" customHeight="1" x14ac:dyDescent="0.25">
      <c r="A3152" s="6" t="s">
        <v>3112</v>
      </c>
      <c r="B3152" s="6" t="str">
        <f ca="1">IFERROR(__xludf.DUMMYFUNCTION("GOOGLETRANSLATE(A3152,""bn"",""en"")"),"I never thought why")</f>
        <v>I never thought why</v>
      </c>
      <c r="C3152" s="7" t="s">
        <v>6</v>
      </c>
      <c r="D3152" s="7" t="s">
        <v>7</v>
      </c>
      <c r="E3152" s="7">
        <v>0</v>
      </c>
    </row>
    <row r="3153" spans="1:5" ht="15.75" customHeight="1" x14ac:dyDescent="0.25">
      <c r="A3153" s="6" t="s">
        <v>3113</v>
      </c>
      <c r="B3153" s="6" t="str">
        <f ca="1">IFERROR(__xludf.DUMMYFUNCTION("GOOGLETRANSLATE(A3153,""bn"",""en"")"),"Suman and I go to school together")</f>
        <v>Suman and I go to school together</v>
      </c>
      <c r="C3153" s="7" t="s">
        <v>6</v>
      </c>
      <c r="D3153" s="7" t="s">
        <v>7</v>
      </c>
      <c r="E3153" s="7">
        <v>0</v>
      </c>
    </row>
    <row r="3154" spans="1:5" ht="15.75" customHeight="1" x14ac:dyDescent="0.25">
      <c r="A3154" s="6" t="s">
        <v>3114</v>
      </c>
      <c r="B3154" s="6" t="str">
        <f ca="1">IFERROR(__xludf.DUMMYFUNCTION("GOOGLETRANSLATE(A3154,""bn"",""en"")"),"He enjoyed reading the story book I gave him")</f>
        <v>He enjoyed reading the story book I gave him</v>
      </c>
      <c r="C3154" s="7" t="s">
        <v>6</v>
      </c>
      <c r="D3154" s="7" t="s">
        <v>7</v>
      </c>
      <c r="E3154" s="7">
        <v>0</v>
      </c>
    </row>
    <row r="3155" spans="1:5" ht="15.75" customHeight="1" x14ac:dyDescent="0.25">
      <c r="A3155" s="6" t="s">
        <v>3115</v>
      </c>
      <c r="B3155" s="6" t="str">
        <f ca="1">IFERROR(__xludf.DUMMYFUNCTION("GOOGLETRANSLATE(A3155,""bn"",""en"")"),"I trusted him a lot.")</f>
        <v>I trusted him a lot.</v>
      </c>
      <c r="C3155" s="7" t="s">
        <v>6</v>
      </c>
      <c r="D3155" s="7" t="s">
        <v>7</v>
      </c>
      <c r="E3155" s="7">
        <v>0</v>
      </c>
    </row>
    <row r="3156" spans="1:5" ht="15.75" customHeight="1" x14ac:dyDescent="0.25">
      <c r="A3156" s="6" t="s">
        <v>3116</v>
      </c>
      <c r="B3156" s="6" t="str">
        <f ca="1">IFERROR(__xludf.DUMMYFUNCTION("GOOGLETRANSLATE(A3156,""bn"",""en"")"),"Robin is walking along the road")</f>
        <v>Robin is walking along the road</v>
      </c>
      <c r="C3156" s="7" t="s">
        <v>6</v>
      </c>
      <c r="D3156" s="7" t="s">
        <v>7</v>
      </c>
      <c r="E3156" s="7">
        <v>0</v>
      </c>
    </row>
    <row r="3157" spans="1:5" ht="15.75" customHeight="1" x14ac:dyDescent="0.25">
      <c r="A3157" s="6" t="s">
        <v>3117</v>
      </c>
      <c r="B3157" s="6" t="str">
        <f ca="1">IFERROR(__xludf.DUMMYFUNCTION("GOOGLETRANSLATE(A3157,""bn"",""en"")"),"Homemade pickles add zesty crunch")</f>
        <v>Homemade pickles add zesty crunch</v>
      </c>
      <c r="C3157" s="8" t="s">
        <v>13</v>
      </c>
      <c r="D3157" s="8" t="s">
        <v>14</v>
      </c>
      <c r="E3157" s="8">
        <v>1</v>
      </c>
    </row>
    <row r="3158" spans="1:5" ht="15.75" customHeight="1" x14ac:dyDescent="0.25">
      <c r="A3158" s="6" t="s">
        <v>3118</v>
      </c>
      <c r="B3158" s="6" t="str">
        <f ca="1">IFERROR(__xludf.DUMMYFUNCTION("GOOGLETRANSLATE(A3158,""bn"",""en"")"),"History Rasakadamba is a pre-modern era dessert")</f>
        <v>History Rasakadamba is a pre-modern era dessert</v>
      </c>
      <c r="C3158" s="8" t="s">
        <v>13</v>
      </c>
      <c r="D3158" s="8" t="s">
        <v>14</v>
      </c>
      <c r="E3158" s="8">
        <v>1</v>
      </c>
    </row>
    <row r="3159" spans="1:5" ht="15.75" customHeight="1" x14ac:dyDescent="0.25">
      <c r="A3159" s="6" t="s">
        <v>3119</v>
      </c>
      <c r="B3159" s="6" t="str">
        <f ca="1">IFERROR(__xludf.DUMMYFUNCTION("GOOGLETRANSLATE(A3159,""bn"",""en"")"),"The interface of the app was complicated and difficult to use")</f>
        <v>The interface of the app was complicated and difficult to use</v>
      </c>
      <c r="C3159" s="8" t="s">
        <v>13</v>
      </c>
      <c r="D3159" s="8" t="s">
        <v>14</v>
      </c>
      <c r="E3159" s="8">
        <v>1</v>
      </c>
    </row>
    <row r="3160" spans="1:5" ht="15.75" customHeight="1" x14ac:dyDescent="0.25">
      <c r="A3160" s="6" t="s">
        <v>3120</v>
      </c>
      <c r="B3160" s="6" t="str">
        <f ca="1">IFERROR(__xludf.DUMMYFUNCTION("GOOGLETRANSLATE(A3160,""bn"",""en"")"),"I requested him to go to school")</f>
        <v>I requested him to go to school</v>
      </c>
      <c r="C3160" s="8" t="s">
        <v>13</v>
      </c>
      <c r="D3160" s="8" t="s">
        <v>14</v>
      </c>
      <c r="E3160" s="8">
        <v>1</v>
      </c>
    </row>
    <row r="3161" spans="1:5" ht="15.75" customHeight="1" x14ac:dyDescent="0.25">
      <c r="A3161" s="6" t="s">
        <v>3121</v>
      </c>
      <c r="B3161" s="6" t="str">
        <f ca="1">IFERROR(__xludf.DUMMYFUNCTION("GOOGLETRANSLATE(A3161,""bn"",""en"")"),"I let him read my story book.")</f>
        <v>I let him read my story book.</v>
      </c>
      <c r="C3161" s="8" t="s">
        <v>13</v>
      </c>
      <c r="D3161" s="8" t="s">
        <v>14</v>
      </c>
      <c r="E3161" s="8">
        <v>1</v>
      </c>
    </row>
    <row r="3162" spans="1:5" ht="15.75" customHeight="1" x14ac:dyDescent="0.25">
      <c r="A3162" s="6" t="s">
        <v>3122</v>
      </c>
      <c r="B3162" s="6" t="str">
        <f ca="1">IFERROR(__xludf.DUMMYFUNCTION("GOOGLETRANSLATE(A3162,""bn"",""en"")"),"Immediately the moneylenders took all their possessions")</f>
        <v>Immediately the moneylenders took all their possessions</v>
      </c>
      <c r="C3162" s="7" t="s">
        <v>6</v>
      </c>
      <c r="D3162" s="7" t="s">
        <v>7</v>
      </c>
      <c r="E3162" s="7">
        <v>0</v>
      </c>
    </row>
    <row r="3163" spans="1:5" ht="15.75" customHeight="1" x14ac:dyDescent="0.25">
      <c r="A3163" s="6" t="s">
        <v>3123</v>
      </c>
      <c r="B3163" s="6" t="str">
        <f ca="1">IFERROR(__xludf.DUMMYFUNCTION("GOOGLETRANSLATE(A3163,""bn"",""en"")"),"The morning sun coming through the window and falling on my feet under the table feels so sweet.")</f>
        <v>The morning sun coming through the window and falling on my feet under the table feels so sweet.</v>
      </c>
      <c r="C3163" s="7" t="s">
        <v>6</v>
      </c>
      <c r="D3163" s="7" t="s">
        <v>7</v>
      </c>
      <c r="E3163" s="7">
        <v>0</v>
      </c>
    </row>
    <row r="3164" spans="1:5" ht="15.75" customHeight="1" x14ac:dyDescent="0.25">
      <c r="A3164" s="6" t="s">
        <v>3124</v>
      </c>
      <c r="B3164" s="6" t="str">
        <f ca="1">IFERROR(__xludf.DUMMYFUNCTION("GOOGLETRANSLATE(A3164,""bn"",""en"")"),"Just to make our child cry")</f>
        <v>Just to make our child cry</v>
      </c>
      <c r="C3164" s="7" t="s">
        <v>6</v>
      </c>
      <c r="D3164" s="7" t="s">
        <v>7</v>
      </c>
      <c r="E3164" s="7">
        <v>0</v>
      </c>
    </row>
    <row r="3165" spans="1:5" ht="15.75" customHeight="1" x14ac:dyDescent="0.25">
      <c r="A3165" s="6" t="s">
        <v>3125</v>
      </c>
      <c r="B3165" s="6" t="str">
        <f ca="1">IFERROR(__xludf.DUMMYFUNCTION("GOOGLETRANSLATE(A3165,""bn"",""en"")"),"The young women on the road are sitting in the wine cellar drinking alcohol")</f>
        <v>The young women on the road are sitting in the wine cellar drinking alcohol</v>
      </c>
      <c r="C3165" s="7" t="s">
        <v>6</v>
      </c>
      <c r="D3165" s="7" t="s">
        <v>7</v>
      </c>
      <c r="E3165" s="7">
        <v>0</v>
      </c>
    </row>
    <row r="3166" spans="1:5" ht="15.75" customHeight="1" x14ac:dyDescent="0.25">
      <c r="A3166" s="6" t="s">
        <v>3126</v>
      </c>
      <c r="B3166" s="6" t="str">
        <f ca="1">IFERROR(__xludf.DUMMYFUNCTION("GOOGLETRANSLATE(A3166,""bn"",""en"")"),"Rafiq is now walking on the street")</f>
        <v>Rafiq is now walking on the street</v>
      </c>
      <c r="C3166" s="7" t="s">
        <v>6</v>
      </c>
      <c r="D3166" s="7" t="s">
        <v>7</v>
      </c>
      <c r="E3166" s="7">
        <v>0</v>
      </c>
    </row>
    <row r="3167" spans="1:5" ht="15.75" customHeight="1" x14ac:dyDescent="0.25">
      <c r="A3167" s="6" t="s">
        <v>3127</v>
      </c>
      <c r="B3167" s="6" t="str">
        <f ca="1">IFERROR(__xludf.DUMMYFUNCTION("GOOGLETRANSLATE(A3167,""bn"",""en"")"),"Suman bhai came to my house")</f>
        <v>Suman bhai came to my house</v>
      </c>
      <c r="C3167" s="8" t="s">
        <v>13</v>
      </c>
      <c r="D3167" s="8" t="s">
        <v>14</v>
      </c>
      <c r="E3167" s="8">
        <v>1</v>
      </c>
    </row>
    <row r="3168" spans="1:5" ht="15.75" customHeight="1" x14ac:dyDescent="0.25">
      <c r="A3168" s="6" t="s">
        <v>1917</v>
      </c>
      <c r="B3168" s="6" t="str">
        <f ca="1">IFERROR(__xludf.DUMMYFUNCTION("GOOGLETRANSLATE(A3168,""bn"",""en"")"),"I was also doing my duty with a smile on my face without saying anything")</f>
        <v>I was also doing my duty with a smile on my face without saying anything</v>
      </c>
      <c r="C3168" s="8" t="s">
        <v>13</v>
      </c>
      <c r="D3168" s="8" t="s">
        <v>14</v>
      </c>
      <c r="E3168" s="8">
        <v>1</v>
      </c>
    </row>
    <row r="3169" spans="1:5" ht="15.75" customHeight="1" x14ac:dyDescent="0.25">
      <c r="A3169" s="6" t="s">
        <v>3128</v>
      </c>
      <c r="B3169" s="6" t="str">
        <f ca="1">IFERROR(__xludf.DUMMYFUNCTION("GOOGLETRANSLATE(A3169,""bn"",""en"")"),"Comment with your pet's name")</f>
        <v>Comment with your pet's name</v>
      </c>
      <c r="C3169" s="8" t="s">
        <v>13</v>
      </c>
      <c r="D3169" s="8" t="s">
        <v>14</v>
      </c>
      <c r="E3169" s="8">
        <v>1</v>
      </c>
    </row>
    <row r="3170" spans="1:5" ht="15.75" customHeight="1" x14ac:dyDescent="0.25">
      <c r="A3170" s="6" t="s">
        <v>3129</v>
      </c>
      <c r="B3170" s="6" t="str">
        <f ca="1">IFERROR(__xludf.DUMMYFUNCTION("GOOGLETRANSLATE(A3170,""bn"",""en"")"),"Sujan saw it and sat down")</f>
        <v>Sujan saw it and sat down</v>
      </c>
      <c r="C3170" s="8" t="s">
        <v>13</v>
      </c>
      <c r="D3170" s="8" t="s">
        <v>14</v>
      </c>
      <c r="E3170" s="8">
        <v>1</v>
      </c>
    </row>
    <row r="3171" spans="1:5" ht="15.75" customHeight="1" x14ac:dyDescent="0.25">
      <c r="A3171" s="6" t="s">
        <v>3130</v>
      </c>
      <c r="B3171" s="6" t="str">
        <f ca="1">IFERROR(__xludf.DUMMYFUNCTION("GOOGLETRANSLATE(A3171,""bn"",""en"")"),"Traveling to new cultures is fascinating")</f>
        <v>Traveling to new cultures is fascinating</v>
      </c>
      <c r="C3171" s="8" t="s">
        <v>13</v>
      </c>
      <c r="D3171" s="8" t="s">
        <v>14</v>
      </c>
      <c r="E3171" s="8">
        <v>1</v>
      </c>
    </row>
    <row r="3172" spans="1:5" ht="15.75" customHeight="1" x14ac:dyDescent="0.25">
      <c r="A3172" s="6" t="s">
        <v>3131</v>
      </c>
      <c r="B3172" s="6" t="str">
        <f ca="1">IFERROR(__xludf.DUMMYFUNCTION("GOOGLETRANSLATE(A3172,""bn"",""en"")"),"From the east side, I saw that on the other side of the ghat, a gentleman was sitting in a bungalow smoking a pipe")</f>
        <v>From the east side, I saw that on the other side of the ghat, a gentleman was sitting in a bungalow smoking a pipe</v>
      </c>
      <c r="C3172" s="7" t="s">
        <v>6</v>
      </c>
      <c r="D3172" s="7" t="s">
        <v>7</v>
      </c>
      <c r="E3172" s="7">
        <v>0</v>
      </c>
    </row>
    <row r="3173" spans="1:5" ht="15.75" customHeight="1" x14ac:dyDescent="0.25">
      <c r="A3173" s="6" t="s">
        <v>3132</v>
      </c>
      <c r="B3173" s="6" t="str">
        <f ca="1">IFERROR(__xludf.DUMMYFUNCTION("GOOGLETRANSLATE(A3173,""bn"",""en"")"),"He was worried about me")</f>
        <v>He was worried about me</v>
      </c>
      <c r="C3173" s="7" t="s">
        <v>6</v>
      </c>
      <c r="D3173" s="7" t="s">
        <v>7</v>
      </c>
      <c r="E3173" s="7">
        <v>0</v>
      </c>
    </row>
    <row r="3174" spans="1:5" ht="15.75" customHeight="1" x14ac:dyDescent="0.25">
      <c r="A3174" s="6" t="s">
        <v>3133</v>
      </c>
      <c r="B3174" s="6" t="str">
        <f ca="1">IFERROR(__xludf.DUMMYFUNCTION("GOOGLETRANSLATE(A3174,""bn"",""en"")"),"Suman asked me to go near him")</f>
        <v>Suman asked me to go near him</v>
      </c>
      <c r="C3174" s="7" t="s">
        <v>6</v>
      </c>
      <c r="D3174" s="7" t="s">
        <v>7</v>
      </c>
      <c r="E3174" s="7">
        <v>0</v>
      </c>
    </row>
    <row r="3175" spans="1:5" ht="15.75" customHeight="1" x14ac:dyDescent="0.25">
      <c r="A3175" s="6" t="s">
        <v>1668</v>
      </c>
      <c r="B3175" s="6" t="str">
        <f ca="1">IFERROR(__xludf.DUMMYFUNCTION("GOOGLETRANSLATE(A3175,""bn"",""en"")"),"Baba very wisely settled the quarrel between the two brothers")</f>
        <v>Baba very wisely settled the quarrel between the two brothers</v>
      </c>
      <c r="C3175" s="7" t="s">
        <v>6</v>
      </c>
      <c r="D3175" s="7" t="s">
        <v>7</v>
      </c>
      <c r="E3175" s="7">
        <v>0</v>
      </c>
    </row>
    <row r="3176" spans="1:5" ht="15.75" customHeight="1" x14ac:dyDescent="0.25">
      <c r="A3176" s="6" t="s">
        <v>3134</v>
      </c>
      <c r="B3176" s="6" t="str">
        <f ca="1">IFERROR(__xludf.DUMMYFUNCTION("GOOGLETRANSLATE(A3176,""bn"",""en"")"),"Every afternoon he goes to play in the field")</f>
        <v>Every afternoon he goes to play in the field</v>
      </c>
      <c r="C3176" s="7" t="s">
        <v>6</v>
      </c>
      <c r="D3176" s="7" t="s">
        <v>7</v>
      </c>
      <c r="E3176" s="7">
        <v>0</v>
      </c>
    </row>
    <row r="3177" spans="1:5" ht="15.75" customHeight="1" x14ac:dyDescent="0.25">
      <c r="A3177" s="6" t="s">
        <v>3135</v>
      </c>
      <c r="B3177" s="6" t="str">
        <f ca="1">IFERROR(__xludf.DUMMYFUNCTION("GOOGLETRANSLATE(A3177,""bn"",""en"")"),"He does not understand how to break the man's fear")</f>
        <v>He does not understand how to break the man's fear</v>
      </c>
      <c r="C3177" s="8" t="s">
        <v>13</v>
      </c>
      <c r="D3177" s="8" t="s">
        <v>14</v>
      </c>
      <c r="E3177" s="8">
        <v>1</v>
      </c>
    </row>
    <row r="3178" spans="1:5" ht="15.75" customHeight="1" x14ac:dyDescent="0.25">
      <c r="A3178" s="6" t="s">
        <v>3136</v>
      </c>
      <c r="B3178" s="6" t="str">
        <f ca="1">IFERROR(__xludf.DUMMYFUNCTION("GOOGLETRANSLATE(A3178,""bn"",""en"")"),"The customer support team went above and beyond to resolve my concerns")</f>
        <v>The customer support team went above and beyond to resolve my concerns</v>
      </c>
      <c r="C3178" s="8" t="s">
        <v>13</v>
      </c>
      <c r="D3178" s="8" t="s">
        <v>14</v>
      </c>
      <c r="E3178" s="8">
        <v>1</v>
      </c>
    </row>
    <row r="3179" spans="1:5" ht="15.75" customHeight="1" x14ac:dyDescent="0.25">
      <c r="A3179" s="6" t="s">
        <v>3137</v>
      </c>
      <c r="B3179" s="6" t="str">
        <f ca="1">IFERROR(__xludf.DUMMYFUNCTION("GOOGLETRANSLATE(A3179,""bn"",""en"")"),"Swans are calm when they are together")</f>
        <v>Swans are calm when they are together</v>
      </c>
      <c r="C3179" s="8" t="s">
        <v>13</v>
      </c>
      <c r="D3179" s="8" t="s">
        <v>14</v>
      </c>
      <c r="E3179" s="8">
        <v>1</v>
      </c>
    </row>
    <row r="3180" spans="1:5" ht="15.75" customHeight="1" x14ac:dyDescent="0.25">
      <c r="A3180" s="6" t="s">
        <v>3138</v>
      </c>
      <c r="B3180" s="6" t="str">
        <f ca="1">IFERROR(__xludf.DUMMYFUNCTION("GOOGLETRANSLATE(A3180,""bn"",""en"")"),"Therapists listen carefully to their client's concerns")</f>
        <v>Therapists listen carefully to their client's concerns</v>
      </c>
      <c r="C3180" s="8" t="s">
        <v>13</v>
      </c>
      <c r="D3180" s="8" t="s">
        <v>14</v>
      </c>
      <c r="E3180" s="8">
        <v>1</v>
      </c>
    </row>
    <row r="3181" spans="1:5" ht="15.75" customHeight="1" x14ac:dyDescent="0.25">
      <c r="A3181" s="6" t="s">
        <v>3139</v>
      </c>
      <c r="B3181" s="6" t="str">
        <f ca="1">IFERROR(__xludf.DUMMYFUNCTION("GOOGLETRANSLATE(A3181,""bn"",""en"")"),"Cupid was ready")</f>
        <v>Cupid was ready</v>
      </c>
      <c r="C3181" s="8" t="s">
        <v>13</v>
      </c>
      <c r="D3181" s="8" t="s">
        <v>14</v>
      </c>
      <c r="E3181" s="8">
        <v>1</v>
      </c>
    </row>
    <row r="3182" spans="1:5" ht="15.75" customHeight="1" x14ac:dyDescent="0.25">
      <c r="A3182" s="6" t="s">
        <v>3140</v>
      </c>
      <c r="B3182" s="6" t="str">
        <f ca="1">IFERROR(__xludf.DUMMYFUNCTION("GOOGLETRANSLATE(A3182,""bn"",""en"")"),"Come with your head bowed or shadows will fall on the premises")</f>
        <v>Come with your head bowed or shadows will fall on the premises</v>
      </c>
      <c r="C3182" s="7" t="s">
        <v>6</v>
      </c>
      <c r="D3182" s="7" t="s">
        <v>7</v>
      </c>
      <c r="E3182" s="7">
        <v>0</v>
      </c>
    </row>
    <row r="3183" spans="1:5" ht="15.75" customHeight="1" x14ac:dyDescent="0.25">
      <c r="A3183" s="6" t="s">
        <v>3141</v>
      </c>
      <c r="B3183" s="6" t="str">
        <f ca="1">IFERROR(__xludf.DUMMYFUNCTION("GOOGLETRANSLATE(A3183,""bn"",""en"")"),"I sat down helplessly and suddenly realized he was trying to hypnotize me")</f>
        <v>I sat down helplessly and suddenly realized he was trying to hypnotize me</v>
      </c>
      <c r="C3183" s="7" t="s">
        <v>6</v>
      </c>
      <c r="D3183" s="7" t="s">
        <v>7</v>
      </c>
      <c r="E3183" s="7">
        <v>0</v>
      </c>
    </row>
    <row r="3184" spans="1:5" ht="15.75" customHeight="1" x14ac:dyDescent="0.25">
      <c r="A3184" s="6" t="s">
        <v>3142</v>
      </c>
      <c r="B3184" s="6" t="str">
        <f ca="1">IFERROR(__xludf.DUMMYFUNCTION("GOOGLETRANSLATE(A3184,""bn"",""en"")"),"The road to Kayet Para leads out past Srinath Das's grocery store.")</f>
        <v>The road to Kayet Para leads out past Srinath Das's grocery store.</v>
      </c>
      <c r="C3184" s="7" t="s">
        <v>6</v>
      </c>
      <c r="D3184" s="7" t="s">
        <v>7</v>
      </c>
      <c r="E3184" s="7">
        <v>0</v>
      </c>
    </row>
    <row r="3185" spans="1:5" ht="15.75" customHeight="1" x14ac:dyDescent="0.25">
      <c r="A3185" s="6" t="s">
        <v>3143</v>
      </c>
      <c r="B3185" s="6" t="str">
        <f ca="1">IFERROR(__xludf.DUMMYFUNCTION("GOOGLETRANSLATE(A3185,""bn"",""en"")"),"Bhupati's own ears were struck by the utter incoherence of the words.")</f>
        <v>Bhupati's own ears were struck by the utter incoherence of the words.</v>
      </c>
      <c r="C3185" s="7" t="s">
        <v>6</v>
      </c>
      <c r="D3185" s="7" t="s">
        <v>7</v>
      </c>
      <c r="E3185" s="7">
        <v>0</v>
      </c>
    </row>
    <row r="3186" spans="1:5" ht="15.75" customHeight="1" x14ac:dyDescent="0.25">
      <c r="A3186" s="6" t="s">
        <v>3144</v>
      </c>
      <c r="B3186" s="6" t="str">
        <f ca="1">IFERROR(__xludf.DUMMYFUNCTION("GOOGLETRANSLATE(A3186,""bn"",""en"")"),"When Gopal heard it, he said in a low voice, Lakshmichara's team")</f>
        <v>When Gopal heard it, he said in a low voice, Lakshmichara's team</v>
      </c>
      <c r="C3186" s="7" t="s">
        <v>6</v>
      </c>
      <c r="D3186" s="7" t="s">
        <v>7</v>
      </c>
      <c r="E3186" s="7">
        <v>0</v>
      </c>
    </row>
    <row r="3187" spans="1:5" ht="15.75" customHeight="1" x14ac:dyDescent="0.25">
      <c r="A3187" s="6" t="s">
        <v>3145</v>
      </c>
      <c r="B3187" s="6" t="str">
        <f ca="1">IFERROR(__xludf.DUMMYFUNCTION("GOOGLETRANSLATE(A3187,""bn"",""en"")"),"It is not only the body that breaks down with age but also the spirit that lives inside the body")</f>
        <v>It is not only the body that breaks down with age but also the spirit that lives inside the body</v>
      </c>
      <c r="C3187" s="8" t="s">
        <v>13</v>
      </c>
      <c r="D3187" s="8" t="s">
        <v>14</v>
      </c>
      <c r="E3187" s="8">
        <v>1</v>
      </c>
    </row>
    <row r="3188" spans="1:5" ht="15.75" customHeight="1" x14ac:dyDescent="0.25">
      <c r="A3188" s="6" t="s">
        <v>3146</v>
      </c>
      <c r="B3188" s="6" t="str">
        <f ca="1">IFERROR(__xludf.DUMMYFUNCTION("GOOGLETRANSLATE(A3188,""bn"",""en"")"),"Practice gratitude daily to shift your focus from lack to abundance")</f>
        <v>Practice gratitude daily to shift your focus from lack to abundance</v>
      </c>
      <c r="C3188" s="8" t="s">
        <v>13</v>
      </c>
      <c r="D3188" s="8" t="s">
        <v>14</v>
      </c>
      <c r="E3188" s="8">
        <v>1</v>
      </c>
    </row>
    <row r="3189" spans="1:5" ht="15.75" customHeight="1" x14ac:dyDescent="0.25">
      <c r="A3189" s="6" t="s">
        <v>3147</v>
      </c>
      <c r="B3189" s="6" t="str">
        <f ca="1">IFERROR(__xludf.DUMMYFUNCTION("GOOGLETRANSLATE(A3189,""bn"",""en"")"),"On the way to leave the train station, Shamsuddin's man used to wave goodbye to me")</f>
        <v>On the way to leave the train station, Shamsuddin's man used to wave goodbye to me</v>
      </c>
      <c r="C3189" s="8" t="s">
        <v>13</v>
      </c>
      <c r="D3189" s="8" t="s">
        <v>14</v>
      </c>
      <c r="E3189" s="8">
        <v>1</v>
      </c>
    </row>
    <row r="3190" spans="1:5" ht="15.75" customHeight="1" x14ac:dyDescent="0.25">
      <c r="A3190" s="6" t="s">
        <v>3148</v>
      </c>
      <c r="B3190" s="6" t="str">
        <f ca="1">IFERROR(__xludf.DUMMYFUNCTION("GOOGLETRANSLATE(A3190,""bn"",""en"")"),"My father's immense faith in Allah Ta'ala Qur'an Sharif")</f>
        <v>My father's immense faith in Allah Ta'ala Qur'an Sharif</v>
      </c>
      <c r="C3190" s="8" t="s">
        <v>13</v>
      </c>
      <c r="D3190" s="8" t="s">
        <v>14</v>
      </c>
      <c r="E3190" s="8">
        <v>1</v>
      </c>
    </row>
    <row r="3191" spans="1:5" ht="15.75" customHeight="1" x14ac:dyDescent="0.25">
      <c r="A3191" s="6" t="s">
        <v>3149</v>
      </c>
      <c r="B3191" s="6" t="str">
        <f ca="1">IFERROR(__xludf.DUMMYFUNCTION("GOOGLETRANSLATE(A3191,""bn"",""en"")"),"Hands and feet became cold")</f>
        <v>Hands and feet became cold</v>
      </c>
      <c r="C3191" s="8" t="s">
        <v>13</v>
      </c>
      <c r="D3191" s="8" t="s">
        <v>14</v>
      </c>
      <c r="E3191" s="8">
        <v>1</v>
      </c>
    </row>
    <row r="3192" spans="1:5" ht="15.75" customHeight="1" x14ac:dyDescent="0.25">
      <c r="A3192" s="6" t="s">
        <v>3150</v>
      </c>
      <c r="B3192" s="6" t="str">
        <f ca="1">IFERROR(__xludf.DUMMYFUNCTION("GOOGLETRANSLATE(A3192,""bn"",""en"")"),"He closed his eyes and kept his head on the square")</f>
        <v>He closed his eyes and kept his head on the square</v>
      </c>
      <c r="C3192" s="7" t="s">
        <v>6</v>
      </c>
      <c r="D3192" s="7" t="s">
        <v>7</v>
      </c>
      <c r="E3192" s="7">
        <v>0</v>
      </c>
    </row>
    <row r="3193" spans="1:5" ht="15.75" customHeight="1" x14ac:dyDescent="0.25">
      <c r="A3193" s="6" t="s">
        <v>3151</v>
      </c>
      <c r="B3193" s="6" t="str">
        <f ca="1">IFERROR(__xludf.DUMMYFUNCTION("GOOGLETRANSLATE(A3193,""bn"",""en"")"),"Sajal will go to school after praying")</f>
        <v>Sajal will go to school after praying</v>
      </c>
      <c r="C3193" s="7" t="s">
        <v>6</v>
      </c>
      <c r="D3193" s="7" t="s">
        <v>7</v>
      </c>
      <c r="E3193" s="7">
        <v>0</v>
      </c>
    </row>
    <row r="3194" spans="1:5" ht="15.75" customHeight="1" x14ac:dyDescent="0.25">
      <c r="A3194" s="6" t="s">
        <v>3152</v>
      </c>
      <c r="B3194" s="6" t="str">
        <f ca="1">IFERROR(__xludf.DUMMYFUNCTION("GOOGLETRANSLATE(A3194,""bn"",""en"")"),"He suddenly said these cities have become like isolated islands")</f>
        <v>He suddenly said these cities have become like isolated islands</v>
      </c>
      <c r="C3194" s="7" t="s">
        <v>6</v>
      </c>
      <c r="D3194" s="7" t="s">
        <v>7</v>
      </c>
      <c r="E3194" s="7">
        <v>0</v>
      </c>
    </row>
    <row r="3195" spans="1:5" ht="15.75" customHeight="1" x14ac:dyDescent="0.25">
      <c r="A3195" s="6" t="s">
        <v>3153</v>
      </c>
      <c r="B3195" s="6" t="str">
        <f ca="1">IFERROR(__xludf.DUMMYFUNCTION("GOOGLETRANSLATE(A3195,""bn"",""en"")"),"The story is careful to win people's trust, the truth is not afraid of being strange because it is not responsible for the truth")</f>
        <v>The story is careful to win people's trust, the truth is not afraid of being strange because it is not responsible for the truth</v>
      </c>
      <c r="C3195" s="7" t="s">
        <v>6</v>
      </c>
      <c r="D3195" s="7" t="s">
        <v>7</v>
      </c>
      <c r="E3195" s="7">
        <v>0</v>
      </c>
    </row>
    <row r="3196" spans="1:5" ht="15.75" customHeight="1" x14ac:dyDescent="0.25">
      <c r="A3196" s="6" t="s">
        <v>3154</v>
      </c>
      <c r="B3196" s="6" t="str">
        <f ca="1">IFERROR(__xludf.DUMMYFUNCTION("GOOGLETRANSLATE(A3196,""bn"",""en"")"),"Soon they started dancing")</f>
        <v>Soon they started dancing</v>
      </c>
      <c r="C3196" s="7" t="s">
        <v>6</v>
      </c>
      <c r="D3196" s="7" t="s">
        <v>7</v>
      </c>
      <c r="E3196" s="7">
        <v>0</v>
      </c>
    </row>
    <row r="3197" spans="1:5" ht="15.75" customHeight="1" x14ac:dyDescent="0.25">
      <c r="A3197" s="6" t="s">
        <v>3155</v>
      </c>
      <c r="B3197" s="6" t="str">
        <f ca="1">IFERROR(__xludf.DUMMYFUNCTION("GOOGLETRANSLATE(A3197,""bn"",""en"")"),"Suman picked it up")</f>
        <v>Suman picked it up</v>
      </c>
      <c r="C3197" s="8" t="s">
        <v>13</v>
      </c>
      <c r="D3197" s="8" t="s">
        <v>14</v>
      </c>
      <c r="E3197" s="8">
        <v>1</v>
      </c>
    </row>
    <row r="3198" spans="1:5" ht="15.75" customHeight="1" x14ac:dyDescent="0.25">
      <c r="A3198" s="6" t="s">
        <v>3156</v>
      </c>
      <c r="B3198" s="6" t="str">
        <f ca="1">IFERROR(__xludf.DUMMYFUNCTION("GOOGLETRANSLATE(A3198,""bn"",""en"")"),"He died shortly after his retirement")</f>
        <v>He died shortly after his retirement</v>
      </c>
      <c r="C3198" s="8" t="s">
        <v>13</v>
      </c>
      <c r="D3198" s="8" t="s">
        <v>14</v>
      </c>
      <c r="E3198" s="8">
        <v>1</v>
      </c>
    </row>
    <row r="3199" spans="1:5" ht="15.75" customHeight="1" x14ac:dyDescent="0.25">
      <c r="A3199" s="6" t="s">
        <v>3157</v>
      </c>
      <c r="B3199" s="6" t="str">
        <f ca="1">IFERROR(__xludf.DUMMYFUNCTION("GOOGLETRANSLATE(A3199,""bn"",""en"")"),"Take responsibility for your own happiness. Someone else can do it for you")</f>
        <v>Take responsibility for your own happiness. Someone else can do it for you</v>
      </c>
      <c r="C3199" s="8" t="s">
        <v>13</v>
      </c>
      <c r="D3199" s="8" t="s">
        <v>14</v>
      </c>
      <c r="E3199" s="8">
        <v>1</v>
      </c>
    </row>
    <row r="3200" spans="1:5" ht="15.75" customHeight="1" x14ac:dyDescent="0.25">
      <c r="A3200" s="6" t="s">
        <v>3158</v>
      </c>
      <c r="B3200" s="6" t="str">
        <f ca="1">IFERROR(__xludf.DUMMYFUNCTION("GOOGLETRANSLATE(A3200,""bn"",""en"")"),"Risk management strategies mitigate potential threats to our business")</f>
        <v>Risk management strategies mitigate potential threats to our business</v>
      </c>
      <c r="C3200" s="8" t="s">
        <v>13</v>
      </c>
      <c r="D3200" s="8" t="s">
        <v>14</v>
      </c>
      <c r="E3200" s="8">
        <v>1</v>
      </c>
    </row>
    <row r="3201" spans="1:5" ht="15.75" customHeight="1" x14ac:dyDescent="0.25">
      <c r="A3201" s="6" t="s">
        <v>3159</v>
      </c>
      <c r="B3201" s="6" t="str">
        <f ca="1">IFERROR(__xludf.DUMMYFUNCTION("GOOGLETRANSLATE(A3201,""bn"",""en"")"),"Farid promised me")</f>
        <v>Farid promised me</v>
      </c>
      <c r="C3201" s="8" t="s">
        <v>13</v>
      </c>
      <c r="D3201" s="8" t="s">
        <v>14</v>
      </c>
      <c r="E3201" s="8">
        <v>1</v>
      </c>
    </row>
    <row r="3202" spans="1:5" ht="15.75" customHeight="1" x14ac:dyDescent="0.25">
      <c r="A3202" s="6" t="s">
        <v>3160</v>
      </c>
      <c r="B3202" s="6" t="str">
        <f ca="1">IFERROR(__xludf.DUMMYFUNCTION("GOOGLETRANSLATE(A3202,""bn"",""en"")"),"Now I see that this speed is not mine alone")</f>
        <v>Now I see that this speed is not mine alone</v>
      </c>
      <c r="C3202" s="7" t="s">
        <v>6</v>
      </c>
      <c r="D3202" s="7" t="s">
        <v>7</v>
      </c>
      <c r="E3202" s="7">
        <v>0</v>
      </c>
    </row>
    <row r="3203" spans="1:5" ht="15.75" customHeight="1" x14ac:dyDescent="0.25">
      <c r="A3203" s="6" t="s">
        <v>3161</v>
      </c>
      <c r="B3203" s="6" t="str">
        <f ca="1">IFERROR(__xludf.DUMMYFUNCTION("GOOGLETRANSLATE(A3203,""bn"",""en"")"),"This time I take a little opportunity to describe your current situation")</f>
        <v>This time I take a little opportunity to describe your current situation</v>
      </c>
      <c r="C3203" s="7" t="s">
        <v>6</v>
      </c>
      <c r="D3203" s="7" t="s">
        <v>7</v>
      </c>
      <c r="E3203" s="7">
        <v>0</v>
      </c>
    </row>
    <row r="3204" spans="1:5" ht="15.75" customHeight="1" x14ac:dyDescent="0.25">
      <c r="A3204" s="6" t="s">
        <v>3162</v>
      </c>
      <c r="B3204" s="6" t="str">
        <f ca="1">IFERROR(__xludf.DUMMYFUNCTION("GOOGLETRANSLATE(A3204,""bn"",""en"")"),"So I couldn't stop talking about Kadali tree")</f>
        <v>So I couldn't stop talking about Kadali tree</v>
      </c>
      <c r="C3204" s="7" t="s">
        <v>6</v>
      </c>
      <c r="D3204" s="7" t="s">
        <v>7</v>
      </c>
      <c r="E3204" s="7">
        <v>0</v>
      </c>
    </row>
    <row r="3205" spans="1:5" ht="15.75" customHeight="1" x14ac:dyDescent="0.25">
      <c r="A3205" s="6" t="s">
        <v>3163</v>
      </c>
      <c r="B3205" s="6" t="str">
        <f ca="1">IFERROR(__xludf.DUMMYFUNCTION("GOOGLETRANSLATE(A3205,""bn"",""en"")"),"I will kill the tiger with my own hands")</f>
        <v>I will kill the tiger with my own hands</v>
      </c>
      <c r="C3205" s="7" t="s">
        <v>6</v>
      </c>
      <c r="D3205" s="7" t="s">
        <v>7</v>
      </c>
      <c r="E3205" s="7">
        <v>0</v>
      </c>
    </row>
    <row r="3206" spans="1:5" ht="15.75" customHeight="1" x14ac:dyDescent="0.25">
      <c r="A3206" s="6" t="s">
        <v>3164</v>
      </c>
      <c r="B3206" s="6" t="str">
        <f ca="1">IFERROR(__xludf.DUMMYFUNCTION("GOOGLETRANSLATE(A3206,""bn"",""en"")"),"An inquisitive neighbor told this news to Niru's mother-in-law")</f>
        <v>An inquisitive neighbor told this news to Niru's mother-in-law</v>
      </c>
      <c r="C3206" s="7" t="s">
        <v>6</v>
      </c>
      <c r="D3206" s="7" t="s">
        <v>7</v>
      </c>
      <c r="E3206" s="7">
        <v>0</v>
      </c>
    </row>
    <row r="3207" spans="1:5" ht="15.75" customHeight="1" x14ac:dyDescent="0.25">
      <c r="A3207" s="6" t="s">
        <v>3165</v>
      </c>
      <c r="B3207" s="6" t="str">
        <f ca="1">IFERROR(__xludf.DUMMYFUNCTION("GOOGLETRANSLATE(A3207,""bn"",""en"")"),"Warm gingerbread cookies evoke nostalgia")</f>
        <v>Warm gingerbread cookies evoke nostalgia</v>
      </c>
      <c r="C3207" s="8" t="s">
        <v>13</v>
      </c>
      <c r="D3207" s="8" t="s">
        <v>14</v>
      </c>
      <c r="E3207" s="8">
        <v>1</v>
      </c>
    </row>
    <row r="3208" spans="1:5" ht="15.75" customHeight="1" x14ac:dyDescent="0.25">
      <c r="A3208" s="6" t="s">
        <v>3166</v>
      </c>
      <c r="B3208" s="6" t="str">
        <f ca="1">IFERROR(__xludf.DUMMYFUNCTION("GOOGLETRANSLATE(A3208,""bn"",""en"")"),"Flight attendants serve food and drinks to passengers on board")</f>
        <v>Flight attendants serve food and drinks to passengers on board</v>
      </c>
      <c r="C3208" s="8" t="s">
        <v>13</v>
      </c>
      <c r="D3208" s="8" t="s">
        <v>14</v>
      </c>
      <c r="E3208" s="8">
        <v>1</v>
      </c>
    </row>
    <row r="3209" spans="1:5" ht="15.75" customHeight="1" x14ac:dyDescent="0.25">
      <c r="A3209" s="6" t="s">
        <v>3167</v>
      </c>
      <c r="B3209" s="6" t="str">
        <f ca="1">IFERROR(__xludf.DUMMYFUNCTION("GOOGLETRANSLATE(A3209,""bn"",""en"")"),"The war on drugs is a controversial topic in criminal justice policy")</f>
        <v>The war on drugs is a controversial topic in criminal justice policy</v>
      </c>
      <c r="C3209" s="8" t="s">
        <v>13</v>
      </c>
      <c r="D3209" s="8" t="s">
        <v>14</v>
      </c>
      <c r="E3209" s="8">
        <v>1</v>
      </c>
    </row>
    <row r="3210" spans="1:5" ht="15.75" customHeight="1" x14ac:dyDescent="0.25">
      <c r="A3210" s="6" t="s">
        <v>3168</v>
      </c>
      <c r="B3210" s="6" t="str">
        <f ca="1">IFERROR(__xludf.DUMMYFUNCTION("GOOGLETRANSLATE(A3210,""bn"",""en"")"),"The work he did was truly commendable")</f>
        <v>The work he did was truly commendable</v>
      </c>
      <c r="C3210" s="8" t="s">
        <v>13</v>
      </c>
      <c r="D3210" s="8" t="s">
        <v>14</v>
      </c>
      <c r="E3210" s="8">
        <v>1</v>
      </c>
    </row>
    <row r="3211" spans="1:5" ht="15.75" customHeight="1" x14ac:dyDescent="0.25">
      <c r="A3211" s="6" t="s">
        <v>3169</v>
      </c>
      <c r="B3211" s="6" t="str">
        <f ca="1">IFERROR(__xludf.DUMMYFUNCTION("GOOGLETRANSLATE(A3211,""bn"",""en"")"),"My brother always knows how to make me laugh")</f>
        <v>My brother always knows how to make me laugh</v>
      </c>
      <c r="C3211" s="8" t="s">
        <v>13</v>
      </c>
      <c r="D3211" s="8" t="s">
        <v>14</v>
      </c>
      <c r="E3211" s="8">
        <v>1</v>
      </c>
    </row>
    <row r="3212" spans="1:5" ht="15.75" customHeight="1" x14ac:dyDescent="0.25">
      <c r="A3212" s="6" t="s">
        <v>3170</v>
      </c>
      <c r="B3212" s="6" t="str">
        <f ca="1">IFERROR(__xludf.DUMMYFUNCTION("GOOGLETRANSLATE(A3212,""bn"",""en"")"),"I started looking at the beauty of Animish Lochan")</f>
        <v>I started looking at the beauty of Animish Lochan</v>
      </c>
      <c r="C3212" s="7" t="s">
        <v>6</v>
      </c>
      <c r="D3212" s="7" t="s">
        <v>7</v>
      </c>
      <c r="E3212" s="7">
        <v>0</v>
      </c>
    </row>
    <row r="3213" spans="1:5" ht="15.75" customHeight="1" x14ac:dyDescent="0.25">
      <c r="A3213" s="6" t="s">
        <v>3171</v>
      </c>
      <c r="B3213" s="6" t="str">
        <f ca="1">IFERROR(__xludf.DUMMYFUNCTION("GOOGLETRANSLATE(A3213,""bn"",""en"")"),"After this incident, the proposal to bring the girl home does not come to anyone's mouth")</f>
        <v>After this incident, the proposal to bring the girl home does not come to anyone's mouth</v>
      </c>
      <c r="C3213" s="7" t="s">
        <v>6</v>
      </c>
      <c r="D3213" s="7" t="s">
        <v>7</v>
      </c>
      <c r="E3213" s="7">
        <v>0</v>
      </c>
    </row>
    <row r="3214" spans="1:5" ht="15.75" customHeight="1" x14ac:dyDescent="0.25">
      <c r="A3214" s="6" t="s">
        <v>3172</v>
      </c>
      <c r="B3214" s="6" t="str">
        <f ca="1">IFERROR(__xludf.DUMMYFUNCTION("GOOGLETRANSLATE(A3214,""bn"",""en"")"),"Sujan will eat rice and come to play")</f>
        <v>Sujan will eat rice and come to play</v>
      </c>
      <c r="C3214" s="7" t="s">
        <v>6</v>
      </c>
      <c r="D3214" s="7" t="s">
        <v>7</v>
      </c>
      <c r="E3214" s="7">
        <v>0</v>
      </c>
    </row>
    <row r="3215" spans="1:5" ht="15.75" customHeight="1" x14ac:dyDescent="0.25">
      <c r="A3215" s="6" t="s">
        <v>3173</v>
      </c>
      <c r="B3215" s="6" t="str">
        <f ca="1">IFERROR(__xludf.DUMMYFUNCTION("GOOGLETRANSLATE(A3215,""bn"",""en"")"),"The doctor said with a worried face that the situation is very bad")</f>
        <v>The doctor said with a worried face that the situation is very bad</v>
      </c>
      <c r="C3215" s="7" t="s">
        <v>6</v>
      </c>
      <c r="D3215" s="7" t="s">
        <v>7</v>
      </c>
      <c r="E3215" s="7">
        <v>0</v>
      </c>
    </row>
    <row r="3216" spans="1:5" ht="15.75" customHeight="1" x14ac:dyDescent="0.25">
      <c r="A3216" s="6" t="s">
        <v>3174</v>
      </c>
      <c r="B3216" s="6" t="str">
        <f ca="1">IFERROR(__xludf.DUMMYFUNCTION("GOOGLETRANSLATE(A3216,""bn"",""en"")"),"One day at two o'clock in the afternoon in the garden of Titagarh")</f>
        <v>One day at two o'clock in the afternoon in the garden of Titagarh</v>
      </c>
      <c r="C3216" s="7" t="s">
        <v>6</v>
      </c>
      <c r="D3216" s="7" t="s">
        <v>7</v>
      </c>
      <c r="E3216" s="7">
        <v>0</v>
      </c>
    </row>
    <row r="3217" spans="1:5" ht="15.75" customHeight="1" x14ac:dyDescent="0.25">
      <c r="A3217" s="6" t="s">
        <v>3175</v>
      </c>
      <c r="B3217" s="6" t="str">
        <f ca="1">IFERROR(__xludf.DUMMYFUNCTION("GOOGLETRANSLATE(A3217,""bn"",""en"")"),"have you eaten")</f>
        <v>have you eaten</v>
      </c>
      <c r="C3217" s="8" t="s">
        <v>13</v>
      </c>
      <c r="D3217" s="8" t="s">
        <v>14</v>
      </c>
      <c r="E3217" s="8">
        <v>1</v>
      </c>
    </row>
    <row r="3218" spans="1:5" ht="15.75" customHeight="1" x14ac:dyDescent="0.25">
      <c r="A3218" s="6" t="s">
        <v>3176</v>
      </c>
      <c r="B3218" s="6" t="str">
        <f ca="1">IFERROR(__xludf.DUMMYFUNCTION("GOOGLETRANSLATE(A3218,""bn"",""en"")"),"No one showed any interest in going to work or maybe no one had any work")</f>
        <v>No one showed any interest in going to work or maybe no one had any work</v>
      </c>
      <c r="C3218" s="8" t="s">
        <v>13</v>
      </c>
      <c r="D3218" s="8" t="s">
        <v>14</v>
      </c>
      <c r="E3218" s="8">
        <v>1</v>
      </c>
    </row>
    <row r="3219" spans="1:5" ht="15.75" customHeight="1" x14ac:dyDescent="0.25">
      <c r="A3219" s="6" t="s">
        <v>3177</v>
      </c>
      <c r="B3219" s="6" t="str">
        <f ca="1">IFERROR(__xludf.DUMMYFUNCTION("GOOGLETRANSLATE(A3219,""bn"",""en"")"),"Hachan Raja loved birds")</f>
        <v>Hachan Raja loved birds</v>
      </c>
      <c r="C3219" s="8" t="s">
        <v>13</v>
      </c>
      <c r="D3219" s="8" t="s">
        <v>14</v>
      </c>
      <c r="E3219" s="8">
        <v>1</v>
      </c>
    </row>
    <row r="3220" spans="1:5" ht="15.75" customHeight="1" x14ac:dyDescent="0.25">
      <c r="A3220" s="6" t="s">
        <v>3178</v>
      </c>
      <c r="B3220" s="6" t="str">
        <f ca="1">IFERROR(__xludf.DUMMYFUNCTION("GOOGLETRANSLATE(A3220,""bn"",""en"")"),"Butterflies danced among the flowers, their delicate wings shining in the sunlight")</f>
        <v>Butterflies danced among the flowers, their delicate wings shining in the sunlight</v>
      </c>
      <c r="C3220" s="8" t="s">
        <v>13</v>
      </c>
      <c r="D3220" s="8" t="s">
        <v>14</v>
      </c>
      <c r="E3220" s="8">
        <v>1</v>
      </c>
    </row>
    <row r="3221" spans="1:5" ht="15.75" customHeight="1" x14ac:dyDescent="0.25">
      <c r="A3221" s="6" t="s">
        <v>3179</v>
      </c>
      <c r="B3221" s="6" t="str">
        <f ca="1">IFERROR(__xludf.DUMMYFUNCTION("GOOGLETRANSLATE(A3221,""bn"",""en"")"),"World conquerors piled wealth")</f>
        <v>World conquerors piled wealth</v>
      </c>
      <c r="C3221" s="8" t="s">
        <v>13</v>
      </c>
      <c r="D3221" s="8" t="s">
        <v>14</v>
      </c>
      <c r="E3221" s="8">
        <v>1</v>
      </c>
    </row>
    <row r="3222" spans="1:5" ht="15.75" customHeight="1" x14ac:dyDescent="0.25">
      <c r="A3222" s="6" t="s">
        <v>3180</v>
      </c>
      <c r="B3222" s="6" t="str">
        <f ca="1">IFERROR(__xludf.DUMMYFUNCTION("GOOGLETRANSLATE(A3222,""bn"",""en"")"),"Three months of accumulated dung has rotted on the back of Jamini Kaviraj's cow")</f>
        <v>Three months of accumulated dung has rotted on the back of Jamini Kaviraj's cow</v>
      </c>
      <c r="C3222" s="7" t="s">
        <v>6</v>
      </c>
      <c r="D3222" s="7" t="s">
        <v>7</v>
      </c>
      <c r="E3222" s="7">
        <v>0</v>
      </c>
    </row>
    <row r="3223" spans="1:5" ht="15.75" customHeight="1" x14ac:dyDescent="0.25">
      <c r="A3223" s="6" t="s">
        <v>3181</v>
      </c>
      <c r="B3223" s="6" t="str">
        <f ca="1">IFERROR(__xludf.DUMMYFUNCTION("GOOGLETRANSLATE(A3223,""bn"",""en"")"),"It happened that the expenses of the family did not go")</f>
        <v>It happened that the expenses of the family did not go</v>
      </c>
      <c r="C3223" s="7" t="s">
        <v>6</v>
      </c>
      <c r="D3223" s="7" t="s">
        <v>7</v>
      </c>
      <c r="E3223" s="7">
        <v>0</v>
      </c>
    </row>
    <row r="3224" spans="1:5" ht="15.75" customHeight="1" x14ac:dyDescent="0.25">
      <c r="A3224" s="6" t="s">
        <v>3182</v>
      </c>
      <c r="B3224" s="6" t="str">
        <f ca="1">IFERROR(__xludf.DUMMYFUNCTION("GOOGLETRANSLATE(A3224,""bn"",""en"")"),"He confirmed the matter very discreetly")</f>
        <v>He confirmed the matter very discreetly</v>
      </c>
      <c r="C3224" s="7" t="s">
        <v>6</v>
      </c>
      <c r="D3224" s="7" t="s">
        <v>7</v>
      </c>
      <c r="E3224" s="7">
        <v>0</v>
      </c>
    </row>
    <row r="3225" spans="1:5" ht="15.75" customHeight="1" x14ac:dyDescent="0.25">
      <c r="A3225" s="6" t="s">
        <v>3183</v>
      </c>
      <c r="B3225" s="6" t="str">
        <f ca="1">IFERROR(__xludf.DUMMYFUNCTION("GOOGLETRANSLATE(A3225,""bn"",""en"")"),"Roni called me")</f>
        <v>Roni called me</v>
      </c>
      <c r="C3225" s="7" t="s">
        <v>6</v>
      </c>
      <c r="D3225" s="7" t="s">
        <v>7</v>
      </c>
      <c r="E3225" s="7">
        <v>0</v>
      </c>
    </row>
    <row r="3226" spans="1:5" ht="15.75" customHeight="1" x14ac:dyDescent="0.25">
      <c r="A3226" s="6" t="s">
        <v>3184</v>
      </c>
      <c r="B3226" s="6" t="str">
        <f ca="1">IFERROR(__xludf.DUMMYFUNCTION("GOOGLETRANSLATE(A3226,""bn"",""en"")"),"Tears rolled down his eyes")</f>
        <v>Tears rolled down his eyes</v>
      </c>
      <c r="C3226" s="7" t="s">
        <v>6</v>
      </c>
      <c r="D3226" s="7" t="s">
        <v>7</v>
      </c>
      <c r="E3226" s="7">
        <v>0</v>
      </c>
    </row>
    <row r="3227" spans="1:5" ht="15.75" customHeight="1" x14ac:dyDescent="0.25">
      <c r="A3227" s="6" t="s">
        <v>3185</v>
      </c>
      <c r="B3227" s="6" t="str">
        <f ca="1">IFERROR(__xludf.DUMMYFUNCTION("GOOGLETRANSLATE(A3227,""bn"",""en"")"),"If he sees something good, he will ask the price first")</f>
        <v>If he sees something good, he will ask the price first</v>
      </c>
      <c r="C3227" s="8" t="s">
        <v>13</v>
      </c>
      <c r="D3227" s="8" t="s">
        <v>14</v>
      </c>
      <c r="E3227" s="8">
        <v>1</v>
      </c>
    </row>
    <row r="3228" spans="1:5" ht="15.75" customHeight="1" x14ac:dyDescent="0.25">
      <c r="A3228" s="6" t="s">
        <v>3186</v>
      </c>
      <c r="B3228" s="6" t="str">
        <f ca="1">IFERROR(__xludf.DUMMYFUNCTION("GOOGLETRANSLATE(A3228,""bn"",""en"")"),"I need to change a book")</f>
        <v>I need to change a book</v>
      </c>
      <c r="C3228" s="8" t="s">
        <v>13</v>
      </c>
      <c r="D3228" s="8" t="s">
        <v>14</v>
      </c>
      <c r="E3228" s="8">
        <v>1</v>
      </c>
    </row>
    <row r="3229" spans="1:5" ht="15.75" customHeight="1" x14ac:dyDescent="0.25">
      <c r="A3229" s="6" t="s">
        <v>3187</v>
      </c>
      <c r="B3229" s="6" t="str">
        <f ca="1">IFERROR(__xludf.DUMMYFUNCTION("GOOGLETRANSLATE(A3229,""bn"",""en"")"),"This organization was created by the main free thinker of Bangladesh, Ahmad Sharif")</f>
        <v>This organization was created by the main free thinker of Bangladesh, Ahmad Sharif</v>
      </c>
      <c r="C3229" s="8" t="s">
        <v>13</v>
      </c>
      <c r="D3229" s="8" t="s">
        <v>14</v>
      </c>
      <c r="E3229" s="8">
        <v>1</v>
      </c>
    </row>
    <row r="3230" spans="1:5" ht="15.75" customHeight="1" x14ac:dyDescent="0.25">
      <c r="A3230" s="6" t="s">
        <v>3188</v>
      </c>
      <c r="B3230" s="6" t="str">
        <f ca="1">IFERROR(__xludf.DUMMYFUNCTION("GOOGLETRANSLATE(A3230,""bn"",""en"")"),"Many friendships have been lost due to distance")</f>
        <v>Many friendships have been lost due to distance</v>
      </c>
      <c r="C3230" s="8" t="s">
        <v>13</v>
      </c>
      <c r="D3230" s="8" t="s">
        <v>14</v>
      </c>
      <c r="E3230" s="8">
        <v>1</v>
      </c>
    </row>
    <row r="3231" spans="1:5" ht="15.75" customHeight="1" x14ac:dyDescent="0.25">
      <c r="A3231" s="6" t="s">
        <v>2712</v>
      </c>
      <c r="B3231" s="6" t="str">
        <f ca="1">IFERROR(__xludf.DUMMYFUNCTION("GOOGLETRANSLATE(A3231,""bn"",""en"")"),"I went with him to the market to buy his favorite book")</f>
        <v>I went with him to the market to buy his favorite book</v>
      </c>
      <c r="C3231" s="8" t="s">
        <v>13</v>
      </c>
      <c r="D3231" s="8" t="s">
        <v>14</v>
      </c>
      <c r="E3231" s="8">
        <v>1</v>
      </c>
    </row>
    <row r="3232" spans="1:5" ht="15.75" customHeight="1" x14ac:dyDescent="0.25">
      <c r="A3232" s="6" t="s">
        <v>3189</v>
      </c>
      <c r="B3232" s="6" t="str">
        <f ca="1">IFERROR(__xludf.DUMMYFUNCTION("GOOGLETRANSLATE(A3232,""bn"",""en"")"),"Well, I'll come, you sleep")</f>
        <v>Well, I'll come, you sleep</v>
      </c>
      <c r="C3232" s="7" t="s">
        <v>6</v>
      </c>
      <c r="D3232" s="7" t="s">
        <v>7</v>
      </c>
      <c r="E3232" s="7">
        <v>0</v>
      </c>
    </row>
    <row r="3233" spans="1:5" ht="15.75" customHeight="1" x14ac:dyDescent="0.25">
      <c r="A3233" s="6" t="s">
        <v>3190</v>
      </c>
      <c r="B3233" s="6" t="str">
        <f ca="1">IFERROR(__xludf.DUMMYFUNCTION("GOOGLETRANSLATE(A3233,""bn"",""en"")"),"By taking pictures like this, the conversation progressed far")</f>
        <v>By taking pictures like this, the conversation progressed far</v>
      </c>
      <c r="C3233" s="7" t="s">
        <v>6</v>
      </c>
      <c r="D3233" s="7" t="s">
        <v>7</v>
      </c>
      <c r="E3233" s="7">
        <v>0</v>
      </c>
    </row>
    <row r="3234" spans="1:5" ht="15.75" customHeight="1" x14ac:dyDescent="0.25">
      <c r="A3234" s="6" t="s">
        <v>3191</v>
      </c>
      <c r="B3234" s="6" t="str">
        <f ca="1">IFERROR(__xludf.DUMMYFUNCTION("GOOGLETRANSLATE(A3234,""bn"",""en"")"),"I can't even say that their alcohol is not addictive")</f>
        <v>I can't even say that their alcohol is not addictive</v>
      </c>
      <c r="C3234" s="7" t="s">
        <v>6</v>
      </c>
      <c r="D3234" s="7" t="s">
        <v>7</v>
      </c>
      <c r="E3234" s="7">
        <v>0</v>
      </c>
    </row>
    <row r="3235" spans="1:5" ht="15.75" customHeight="1" x14ac:dyDescent="0.25">
      <c r="A3235" s="6" t="s">
        <v>3192</v>
      </c>
      <c r="B3235" s="6" t="str">
        <f ca="1">IFERROR(__xludf.DUMMYFUNCTION("GOOGLETRANSLATE(A3235,""bn"",""en"")"),"Kolera spends two to three months eating only these flowers during the rainy season")</f>
        <v>Kolera spends two to three months eating only these flowers during the rainy season</v>
      </c>
      <c r="C3235" s="7" t="s">
        <v>6</v>
      </c>
      <c r="D3235" s="7" t="s">
        <v>7</v>
      </c>
      <c r="E3235" s="7">
        <v>0</v>
      </c>
    </row>
    <row r="3236" spans="1:5" ht="15.75" customHeight="1" x14ac:dyDescent="0.25">
      <c r="A3236" s="6" t="s">
        <v>3193</v>
      </c>
      <c r="B3236" s="6" t="str">
        <f ca="1">IFERROR(__xludf.DUMMYFUNCTION("GOOGLETRANSLATE(A3236,""bn"",""en"")"),"I went to his house to see him")</f>
        <v>I went to his house to see him</v>
      </c>
      <c r="C3236" s="7" t="s">
        <v>6</v>
      </c>
      <c r="D3236" s="7" t="s">
        <v>7</v>
      </c>
      <c r="E3236" s="7">
        <v>0</v>
      </c>
    </row>
    <row r="3237" spans="1:5" ht="15.75" customHeight="1" x14ac:dyDescent="0.25">
      <c r="A3237" s="6" t="s">
        <v>3194</v>
      </c>
      <c r="B3237" s="6" t="str">
        <f ca="1">IFERROR(__xludf.DUMMYFUNCTION("GOOGLETRANSLATE(A3237,""bn"",""en"")"),"Almost all customers had one or two conversations while delivering newspapers")</f>
        <v>Almost all customers had one or two conversations while delivering newspapers</v>
      </c>
      <c r="C3237" s="8" t="s">
        <v>13</v>
      </c>
      <c r="D3237" s="8" t="s">
        <v>14</v>
      </c>
      <c r="E3237" s="8">
        <v>1</v>
      </c>
    </row>
    <row r="3238" spans="1:5" ht="15.75" customHeight="1" x14ac:dyDescent="0.25">
      <c r="A3238" s="6" t="s">
        <v>3195</v>
      </c>
      <c r="B3238" s="6" t="str">
        <f ca="1">IFERROR(__xludf.DUMMYFUNCTION("GOOGLETRANSLATE(A3238,""bn"",""en"")"),"News outlets must adhere to ethical guidelines to ensure fair and accurate reporting")</f>
        <v>News outlets must adhere to ethical guidelines to ensure fair and accurate reporting</v>
      </c>
      <c r="C3238" s="8" t="s">
        <v>13</v>
      </c>
      <c r="D3238" s="8" t="s">
        <v>14</v>
      </c>
      <c r="E3238" s="8">
        <v>1</v>
      </c>
    </row>
    <row r="3239" spans="1:5" ht="15.75" customHeight="1" x14ac:dyDescent="0.25">
      <c r="A3239" s="6" t="s">
        <v>3196</v>
      </c>
      <c r="B3239" s="6" t="str">
        <f ca="1">IFERROR(__xludf.DUMMYFUNCTION("GOOGLETRANSLATE(A3239,""bn"",""en"")"),"Employee recognition programs encourage a culture of appreciation")</f>
        <v>Employee recognition programs encourage a culture of appreciation</v>
      </c>
      <c r="C3239" s="8" t="s">
        <v>13</v>
      </c>
      <c r="D3239" s="8" t="s">
        <v>14</v>
      </c>
      <c r="E3239" s="8">
        <v>1</v>
      </c>
    </row>
    <row r="3240" spans="1:5" ht="15.75" customHeight="1" x14ac:dyDescent="0.25">
      <c r="A3240" s="6" t="s">
        <v>3197</v>
      </c>
      <c r="B3240" s="6" t="str">
        <f ca="1">IFERROR(__xludf.DUMMYFUNCTION("GOOGLETRANSLATE(A3240,""bn"",""en"")"),"Green manure is used to add nutrient organic matter to the soil")</f>
        <v>Green manure is used to add nutrient organic matter to the soil</v>
      </c>
      <c r="C3240" s="8" t="s">
        <v>13</v>
      </c>
      <c r="D3240" s="8" t="s">
        <v>14</v>
      </c>
      <c r="E3240" s="8">
        <v>1</v>
      </c>
    </row>
    <row r="3241" spans="1:5" ht="15.75" customHeight="1" x14ac:dyDescent="0.25">
      <c r="A3241" s="6" t="s">
        <v>3198</v>
      </c>
      <c r="B3241" s="6" t="str">
        <f ca="1">IFERROR(__xludf.DUMMYFUNCTION("GOOGLETRANSLATE(A3241,""bn"",""en"")"),"It is native to China")</f>
        <v>It is native to China</v>
      </c>
      <c r="C3241" s="8" t="s">
        <v>13</v>
      </c>
      <c r="D3241" s="8" t="s">
        <v>14</v>
      </c>
      <c r="E3241" s="8">
        <v>1</v>
      </c>
    </row>
    <row r="3242" spans="1:5" ht="15.75" customHeight="1" x14ac:dyDescent="0.25">
      <c r="A3242" s="6" t="s">
        <v>3199</v>
      </c>
      <c r="B3242" s="6" t="str">
        <f ca="1">IFERROR(__xludf.DUMMYFUNCTION("GOOGLETRANSLATE(A3242,""bn"",""en"")"),"Again, a snake hood has been constructed on the side of the highest peak and it has been painted in green and yellow colors so that people do not see the snake, so the hood has to be made bigger.")</f>
        <v>Again, a snake hood has been constructed on the side of the highest peak and it has been painted in green and yellow colors so that people do not see the snake, so the hood has to be made bigger.</v>
      </c>
      <c r="C3242" s="7" t="s">
        <v>6</v>
      </c>
      <c r="D3242" s="7" t="s">
        <v>7</v>
      </c>
      <c r="E3242" s="7">
        <v>0</v>
      </c>
    </row>
    <row r="3243" spans="1:5" ht="15.75" customHeight="1" x14ac:dyDescent="0.25">
      <c r="A3243" s="6" t="s">
        <v>3200</v>
      </c>
      <c r="B3243" s="6" t="str">
        <f ca="1">IFERROR(__xludf.DUMMYFUNCTION("GOOGLETRANSLATE(A3243,""bn"",""en"")"),"Don't forget to look at Ronnie's beautiful face")</f>
        <v>Don't forget to look at Ronnie's beautiful face</v>
      </c>
      <c r="C3243" s="7" t="s">
        <v>6</v>
      </c>
      <c r="D3243" s="7" t="s">
        <v>7</v>
      </c>
      <c r="E3243" s="7">
        <v>0</v>
      </c>
    </row>
    <row r="3244" spans="1:5" ht="15.75" customHeight="1" x14ac:dyDescent="0.25">
      <c r="A3244" s="6" t="s">
        <v>3201</v>
      </c>
      <c r="B3244" s="6" t="str">
        <f ca="1">IFERROR(__xludf.DUMMYFUNCTION("GOOGLETRANSLATE(A3244,""bn"",""en"")"),"Sujan Pahar was praying at home")</f>
        <v>Sujan Pahar was praying at home</v>
      </c>
      <c r="C3244" s="7" t="s">
        <v>6</v>
      </c>
      <c r="D3244" s="7" t="s">
        <v>7</v>
      </c>
      <c r="E3244" s="7">
        <v>0</v>
      </c>
    </row>
    <row r="3245" spans="1:5" ht="15.75" customHeight="1" x14ac:dyDescent="0.25">
      <c r="A3245" s="6" t="s">
        <v>3202</v>
      </c>
      <c r="B3245" s="6" t="str">
        <f ca="1">IFERROR(__xludf.DUMMYFUNCTION("GOOGLETRANSLATE(A3245,""bn"",""en"")"),"Divya did not disappoint anyone in this regard and remained alive")</f>
        <v>Divya did not disappoint anyone in this regard and remained alive</v>
      </c>
      <c r="C3245" s="7" t="s">
        <v>6</v>
      </c>
      <c r="D3245" s="7" t="s">
        <v>7</v>
      </c>
      <c r="E3245" s="7">
        <v>0</v>
      </c>
    </row>
    <row r="3246" spans="1:5" ht="15.75" customHeight="1" x14ac:dyDescent="0.25">
      <c r="A3246" s="6" t="s">
        <v>3203</v>
      </c>
      <c r="B3246" s="6" t="str">
        <f ca="1">IFERROR(__xludf.DUMMYFUNCTION("GOOGLETRANSLATE(A3246,""bn"",""en"")"),"Before entering the village a pool falls on the canal connected to the canal")</f>
        <v>Before entering the village a pool falls on the canal connected to the canal</v>
      </c>
      <c r="C3246" s="7" t="s">
        <v>6</v>
      </c>
      <c r="D3246" s="7" t="s">
        <v>7</v>
      </c>
      <c r="E3246" s="7">
        <v>0</v>
      </c>
    </row>
    <row r="3247" spans="1:5" ht="15.75" customHeight="1" x14ac:dyDescent="0.25">
      <c r="A3247" s="6" t="s">
        <v>3204</v>
      </c>
      <c r="B3247" s="6" t="str">
        <f ca="1">IFERROR(__xludf.DUMMYFUNCTION("GOOGLETRANSLATE(A3247,""bn"",""en"")"),"Compound interest can grow your savings significantly over time")</f>
        <v>Compound interest can grow your savings significantly over time</v>
      </c>
      <c r="C3247" s="8" t="s">
        <v>13</v>
      </c>
      <c r="D3247" s="8" t="s">
        <v>14</v>
      </c>
      <c r="E3247" s="8">
        <v>1</v>
      </c>
    </row>
    <row r="3248" spans="1:5" ht="15.75" customHeight="1" x14ac:dyDescent="0.25">
      <c r="A3248" s="6" t="s">
        <v>3205</v>
      </c>
      <c r="B3248" s="6" t="str">
        <f ca="1">IFERROR(__xludf.DUMMYFUNCTION("GOOGLETRANSLATE(A3248,""bn"",""en"")"),"Organized crime syndicates are involved in complex illegal businesses")</f>
        <v>Organized crime syndicates are involved in complex illegal businesses</v>
      </c>
      <c r="C3248" s="8" t="s">
        <v>13</v>
      </c>
      <c r="D3248" s="8" t="s">
        <v>14</v>
      </c>
      <c r="E3248" s="8">
        <v>1</v>
      </c>
    </row>
    <row r="3249" spans="1:5" ht="15.75" customHeight="1" x14ac:dyDescent="0.25">
      <c r="A3249" s="6" t="s">
        <v>3206</v>
      </c>
      <c r="B3249" s="6" t="str">
        <f ca="1">IFERROR(__xludf.DUMMYFUNCTION("GOOGLETRANSLATE(A3249,""bn"",""en"")"),"The cause of death is still in dispute")</f>
        <v>The cause of death is still in dispute</v>
      </c>
      <c r="C3249" s="8" t="s">
        <v>13</v>
      </c>
      <c r="D3249" s="8" t="s">
        <v>14</v>
      </c>
      <c r="E3249" s="8">
        <v>1</v>
      </c>
    </row>
    <row r="3250" spans="1:5" ht="15.75" customHeight="1" x14ac:dyDescent="0.25">
      <c r="A3250" s="6" t="s">
        <v>3207</v>
      </c>
      <c r="B3250" s="6" t="str">
        <f ca="1">IFERROR(__xludf.DUMMYFUNCTION("GOOGLETRANSLATE(A3250,""bn"",""en"")"),"He stared at her blankly")</f>
        <v>He stared at her blankly</v>
      </c>
      <c r="C3250" s="8" t="s">
        <v>13</v>
      </c>
      <c r="D3250" s="8" t="s">
        <v>14</v>
      </c>
      <c r="E3250" s="8">
        <v>1</v>
      </c>
    </row>
    <row r="3251" spans="1:5" ht="15.75" customHeight="1" x14ac:dyDescent="0.25">
      <c r="A3251" s="6" t="s">
        <v>3208</v>
      </c>
      <c r="B3251" s="6" t="str">
        <f ca="1">IFERROR(__xludf.DUMMYFUNCTION("GOOGLETRANSLATE(A3251,""bn"",""en"")"),"Rana will not go to market now")</f>
        <v>Rana will not go to market now</v>
      </c>
      <c r="C3251" s="8" t="s">
        <v>13</v>
      </c>
      <c r="D3251" s="8" t="s">
        <v>14</v>
      </c>
      <c r="E3251" s="8">
        <v>1</v>
      </c>
    </row>
    <row r="3252" spans="1:5" ht="15.75" customHeight="1" x14ac:dyDescent="0.25">
      <c r="A3252" s="6" t="s">
        <v>3209</v>
      </c>
      <c r="B3252" s="6" t="str">
        <f ca="1">IFERROR(__xludf.DUMMYFUNCTION("GOOGLETRANSLATE(A3252,""bn"",""en"")"),"He also sat down and said that he would cut his hair")</f>
        <v>He also sat down and said that he would cut his hair</v>
      </c>
      <c r="C3252" s="7" t="s">
        <v>6</v>
      </c>
      <c r="D3252" s="7" t="s">
        <v>7</v>
      </c>
      <c r="E3252" s="7">
        <v>0</v>
      </c>
    </row>
    <row r="3253" spans="1:5" ht="15.75" customHeight="1" x14ac:dyDescent="0.25">
      <c r="A3253" s="6" t="s">
        <v>2629</v>
      </c>
      <c r="B3253" s="6" t="str">
        <f ca="1">IFERROR(__xludf.DUMMYFUNCTION("GOOGLETRANSLATE(A3253,""bn"",""en"")"),"My heart was stunned by his smile")</f>
        <v>My heart was stunned by his smile</v>
      </c>
      <c r="C3253" s="7" t="s">
        <v>6</v>
      </c>
      <c r="D3253" s="7" t="s">
        <v>7</v>
      </c>
      <c r="E3253" s="7">
        <v>0</v>
      </c>
    </row>
    <row r="3254" spans="1:5" ht="15.75" customHeight="1" x14ac:dyDescent="0.25">
      <c r="A3254" s="6" t="s">
        <v>3210</v>
      </c>
      <c r="B3254" s="6" t="str">
        <f ca="1">IFERROR(__xludf.DUMMYFUNCTION("GOOGLETRANSLATE(A3254,""bn"",""en"")"),"All black as ebony, all the young women tied small cloths around their waists")</f>
        <v>All black as ebony, all the young women tied small cloths around their waists</v>
      </c>
      <c r="C3254" s="7" t="s">
        <v>6</v>
      </c>
      <c r="D3254" s="7" t="s">
        <v>7</v>
      </c>
      <c r="E3254" s="7">
        <v>0</v>
      </c>
    </row>
    <row r="3255" spans="1:5" ht="15.75" customHeight="1" x14ac:dyDescent="0.25">
      <c r="A3255" s="6" t="s">
        <v>3211</v>
      </c>
      <c r="B3255" s="6" t="str">
        <f ca="1">IFERROR(__xludf.DUMMYFUNCTION("GOOGLETRANSLATE(A3255,""bn"",""en"")"),"I have to go to prayer before the call to prayer")</f>
        <v>I have to go to prayer before the call to prayer</v>
      </c>
      <c r="C3255" s="7" t="s">
        <v>6</v>
      </c>
      <c r="D3255" s="7" t="s">
        <v>7</v>
      </c>
      <c r="E3255" s="7">
        <v>0</v>
      </c>
    </row>
    <row r="3256" spans="1:5" ht="15.75" customHeight="1" x14ac:dyDescent="0.25">
      <c r="A3256" s="6" t="s">
        <v>3212</v>
      </c>
      <c r="B3256" s="6" t="str">
        <f ca="1">IFERROR(__xludf.DUMMYFUNCTION("GOOGLETRANSLATE(A3256,""bn"",""en"")"),"A heavy, musty sea scent permeated the space")</f>
        <v>A heavy, musty sea scent permeated the space</v>
      </c>
      <c r="C3256" s="7" t="s">
        <v>6</v>
      </c>
      <c r="D3256" s="7" t="s">
        <v>7</v>
      </c>
      <c r="E3256" s="7">
        <v>0</v>
      </c>
    </row>
    <row r="3257" spans="1:5" ht="15.75" customHeight="1" x14ac:dyDescent="0.25">
      <c r="A3257" s="6" t="s">
        <v>3213</v>
      </c>
      <c r="B3257" s="6" t="str">
        <f ca="1">IFERROR(__xludf.DUMMYFUNCTION("GOOGLETRANSLATE(A3257,""bn"",""en"")"),"Here is a wonderful scene")</f>
        <v>Here is a wonderful scene</v>
      </c>
      <c r="C3257" s="8" t="s">
        <v>13</v>
      </c>
      <c r="D3257" s="8" t="s">
        <v>14</v>
      </c>
      <c r="E3257" s="8">
        <v>1</v>
      </c>
    </row>
    <row r="3258" spans="1:5" ht="15.75" customHeight="1" x14ac:dyDescent="0.25">
      <c r="A3258" s="6" t="s">
        <v>3214</v>
      </c>
      <c r="B3258" s="6" t="str">
        <f ca="1">IFERROR(__xludf.DUMMYFUNCTION("GOOGLETRANSLATE(A3258,""bn"",""en"")"),"Vir Pratika is the fourth highest title")</f>
        <v>Vir Pratika is the fourth highest title</v>
      </c>
      <c r="C3258" s="8" t="s">
        <v>13</v>
      </c>
      <c r="D3258" s="8" t="s">
        <v>14</v>
      </c>
      <c r="E3258" s="8">
        <v>1</v>
      </c>
    </row>
    <row r="3259" spans="1:5" ht="15.75" customHeight="1" x14ac:dyDescent="0.25">
      <c r="A3259" s="6" t="s">
        <v>3215</v>
      </c>
      <c r="B3259" s="6" t="str">
        <f ca="1">IFERROR(__xludf.DUMMYFUNCTION("GOOGLETRANSLATE(A3259,""bn"",""en"")"),"That incident that day destroyed them")</f>
        <v>That incident that day destroyed them</v>
      </c>
      <c r="C3259" s="8" t="s">
        <v>13</v>
      </c>
      <c r="D3259" s="8" t="s">
        <v>14</v>
      </c>
      <c r="E3259" s="8">
        <v>1</v>
      </c>
    </row>
    <row r="3260" spans="1:5" ht="15.75" customHeight="1" x14ac:dyDescent="0.25">
      <c r="A3260" s="6" t="s">
        <v>3216</v>
      </c>
      <c r="B3260" s="6" t="str">
        <f ca="1">IFERROR(__xludf.DUMMYFUNCTION("GOOGLETRANSLATE(A3260,""bn"",""en"")"),"My grandparents love for each other is unbreakable")</f>
        <v>My grandparents love for each other is unbreakable</v>
      </c>
      <c r="C3260" s="8" t="s">
        <v>13</v>
      </c>
      <c r="D3260" s="8" t="s">
        <v>14</v>
      </c>
      <c r="E3260" s="8">
        <v>1</v>
      </c>
    </row>
    <row r="3261" spans="1:5" ht="15.75" customHeight="1" x14ac:dyDescent="0.25">
      <c r="A3261" s="6" t="s">
        <v>3217</v>
      </c>
      <c r="B3261" s="6" t="str">
        <f ca="1">IFERROR(__xludf.DUMMYFUNCTION("GOOGLETRANSLATE(A3261,""bn"",""en"")"),"The club went through its worst period in the year")</f>
        <v>The club went through its worst period in the year</v>
      </c>
      <c r="C3261" s="8" t="s">
        <v>13</v>
      </c>
      <c r="D3261" s="8" t="s">
        <v>14</v>
      </c>
      <c r="E3261" s="8">
        <v>1</v>
      </c>
    </row>
    <row r="3262" spans="1:5" ht="15.75" customHeight="1" x14ac:dyDescent="0.25">
      <c r="A3262" s="6" t="s">
        <v>3218</v>
      </c>
      <c r="B3262" s="6" t="str">
        <f ca="1">IFERROR(__xludf.DUMMYFUNCTION("GOOGLETRANSLATE(A3262,""bn"",""en"")"),"They are sitting and playing various games")</f>
        <v>They are sitting and playing various games</v>
      </c>
      <c r="C3262" s="7" t="s">
        <v>6</v>
      </c>
      <c r="D3262" s="7" t="s">
        <v>7</v>
      </c>
      <c r="E3262" s="7">
        <v>0</v>
      </c>
    </row>
    <row r="3263" spans="1:5" ht="15.75" customHeight="1" x14ac:dyDescent="0.25">
      <c r="A3263" s="6" t="s">
        <v>3219</v>
      </c>
      <c r="B3263" s="6" t="str">
        <f ca="1">IFERROR(__xludf.DUMMYFUNCTION("GOOGLETRANSLATE(A3263,""bn"",""en"")"),"Those who say they forgot the young woman's body are lying")</f>
        <v>Those who say they forgot the young woman's body are lying</v>
      </c>
      <c r="C3263" s="7" t="s">
        <v>6</v>
      </c>
      <c r="D3263" s="7" t="s">
        <v>7</v>
      </c>
      <c r="E3263" s="7">
        <v>0</v>
      </c>
    </row>
    <row r="3264" spans="1:5" ht="15.75" customHeight="1" x14ac:dyDescent="0.25">
      <c r="A3264" s="6" t="s">
        <v>3220</v>
      </c>
      <c r="B3264" s="6" t="str">
        <f ca="1">IFERROR(__xludf.DUMMYFUNCTION("GOOGLETRANSLATE(A3264,""bn"",""en"")"),"I prayed at home")</f>
        <v>I prayed at home</v>
      </c>
      <c r="C3264" s="7" t="s">
        <v>6</v>
      </c>
      <c r="D3264" s="7" t="s">
        <v>7</v>
      </c>
      <c r="E3264" s="7">
        <v>0</v>
      </c>
    </row>
    <row r="3265" spans="1:5" ht="15.75" customHeight="1" x14ac:dyDescent="0.25">
      <c r="A3265" s="6" t="s">
        <v>3221</v>
      </c>
      <c r="B3265" s="6" t="str">
        <f ca="1">IFERROR(__xludf.DUMMYFUNCTION("GOOGLETRANSLATE(A3265,""bn"",""en"")"),"After wiping the water, the bride slowly went to the mother's room and brought the milk and gave it to Kukkuri")</f>
        <v>After wiping the water, the bride slowly went to the mother's room and brought the milk and gave it to Kukkuri</v>
      </c>
      <c r="C3265" s="7" t="s">
        <v>6</v>
      </c>
      <c r="D3265" s="7" t="s">
        <v>7</v>
      </c>
      <c r="E3265" s="7">
        <v>0</v>
      </c>
    </row>
    <row r="3266" spans="1:5" ht="15.75" customHeight="1" x14ac:dyDescent="0.25">
      <c r="A3266" s="6" t="s">
        <v>3222</v>
      </c>
      <c r="B3266" s="6" t="str">
        <f ca="1">IFERROR(__xludf.DUMMYFUNCTION("GOOGLETRANSLATE(A3266,""bn"",""en"")"),"Bombay people like us do not dare to visit these places after dusk")</f>
        <v>Bombay people like us do not dare to visit these places after dusk</v>
      </c>
      <c r="C3266" s="7" t="s">
        <v>6</v>
      </c>
      <c r="D3266" s="7" t="s">
        <v>7</v>
      </c>
      <c r="E3266" s="7">
        <v>0</v>
      </c>
    </row>
    <row r="3267" spans="1:5" ht="15.75" customHeight="1" x14ac:dyDescent="0.25">
      <c r="A3267" s="6" t="s">
        <v>3223</v>
      </c>
      <c r="B3267" s="6" t="str">
        <f ca="1">IFERROR(__xludf.DUMMYFUNCTION("GOOGLETRANSLATE(A3267,""bn"",""en"")"),"Khanna died shortly after this")</f>
        <v>Khanna died shortly after this</v>
      </c>
      <c r="C3267" s="8" t="s">
        <v>13</v>
      </c>
      <c r="D3267" s="8" t="s">
        <v>14</v>
      </c>
      <c r="E3267" s="8">
        <v>1</v>
      </c>
    </row>
    <row r="3268" spans="1:5" ht="15.75" customHeight="1" x14ac:dyDescent="0.25">
      <c r="A3268" s="6" t="s">
        <v>3224</v>
      </c>
      <c r="B3268" s="6" t="str">
        <f ca="1">IFERROR(__xludf.DUMMYFUNCTION("GOOGLETRANSLATE(A3268,""bn"",""en"")"),"If you had come today, I would have gone with you")</f>
        <v>If you had come today, I would have gone with you</v>
      </c>
      <c r="C3268" s="8" t="s">
        <v>13</v>
      </c>
      <c r="D3268" s="8" t="s">
        <v>14</v>
      </c>
      <c r="E3268" s="8">
        <v>1</v>
      </c>
    </row>
    <row r="3269" spans="1:5" ht="15.75" customHeight="1" x14ac:dyDescent="0.25">
      <c r="A3269" s="6" t="s">
        <v>3225</v>
      </c>
      <c r="B3269" s="6" t="str">
        <f ca="1">IFERROR(__xludf.DUMMYFUNCTION("GOOGLETRANSLATE(A3269,""bn"",""en"")"),"He does not want to deceive anyone")</f>
        <v>He does not want to deceive anyone</v>
      </c>
      <c r="C3269" s="8" t="s">
        <v>13</v>
      </c>
      <c r="D3269" s="8" t="s">
        <v>14</v>
      </c>
      <c r="E3269" s="8">
        <v>1</v>
      </c>
    </row>
    <row r="3270" spans="1:5" ht="15.75" customHeight="1" x14ac:dyDescent="0.25">
      <c r="A3270" s="6" t="s">
        <v>3226</v>
      </c>
      <c r="B3270" s="6" t="str">
        <f ca="1">IFERROR(__xludf.DUMMYFUNCTION("GOOGLETRANSLATE(A3270,""bn"",""en"")"),"He thought that man needed three hands and he gave them all three")</f>
        <v>He thought that man needed three hands and he gave them all three</v>
      </c>
      <c r="C3270" s="8" t="s">
        <v>13</v>
      </c>
      <c r="D3270" s="8" t="s">
        <v>14</v>
      </c>
      <c r="E3270" s="8">
        <v>1</v>
      </c>
    </row>
    <row r="3271" spans="1:5" ht="15.75" customHeight="1" x14ac:dyDescent="0.25">
      <c r="A3271" s="6" t="s">
        <v>3227</v>
      </c>
      <c r="B3271" s="6" t="str">
        <f ca="1">IFERROR(__xludf.DUMMYFUNCTION("GOOGLETRANSLATE(A3271,""bn"",""en"")"),"Sujan came to give me her book")</f>
        <v>Sujan came to give me her book</v>
      </c>
      <c r="C3271" s="8" t="s">
        <v>13</v>
      </c>
      <c r="D3271" s="8" t="s">
        <v>14</v>
      </c>
      <c r="E3271" s="8">
        <v>1</v>
      </c>
    </row>
    <row r="3272" spans="1:5" ht="15.75" customHeight="1" x14ac:dyDescent="0.25">
      <c r="A3272" s="6" t="s">
        <v>3228</v>
      </c>
      <c r="B3272" s="6" t="str">
        <f ca="1">IFERROR(__xludf.DUMMYFUNCTION("GOOGLETRANSLATE(A3272,""bn"",""en"")"),"All my life I have only wished for the well-being of the children")</f>
        <v>All my life I have only wished for the well-being of the children</v>
      </c>
      <c r="C3272" s="7" t="s">
        <v>6</v>
      </c>
      <c r="D3272" s="7" t="s">
        <v>7</v>
      </c>
      <c r="E3272" s="7">
        <v>0</v>
      </c>
    </row>
    <row r="3273" spans="1:5" ht="15.75" customHeight="1" x14ac:dyDescent="0.25">
      <c r="A3273" s="6" t="s">
        <v>3229</v>
      </c>
      <c r="B3273" s="6" t="str">
        <f ca="1">IFERROR(__xludf.DUMMYFUNCTION("GOOGLETRANSLATE(A3273,""bn"",""en"")"),"Hope to start talking about old things soon")</f>
        <v>Hope to start talking about old things soon</v>
      </c>
      <c r="C3273" s="7" t="s">
        <v>6</v>
      </c>
      <c r="D3273" s="7" t="s">
        <v>7</v>
      </c>
      <c r="E3273" s="7">
        <v>0</v>
      </c>
    </row>
    <row r="3274" spans="1:5" ht="15.75" customHeight="1" x14ac:dyDescent="0.25">
      <c r="A3274" s="6" t="s">
        <v>3230</v>
      </c>
      <c r="B3274" s="6" t="str">
        <f ca="1">IFERROR(__xludf.DUMMYFUNCTION("GOOGLETRANSLATE(A3274,""bn"",""en"")"),"I have been writing for a long time")</f>
        <v>I have been writing for a long time</v>
      </c>
      <c r="C3274" s="7" t="s">
        <v>6</v>
      </c>
      <c r="D3274" s="7" t="s">
        <v>7</v>
      </c>
      <c r="E3274" s="7">
        <v>0</v>
      </c>
    </row>
    <row r="3275" spans="1:5" ht="15.75" customHeight="1" x14ac:dyDescent="0.25">
      <c r="A3275" s="6" t="s">
        <v>3231</v>
      </c>
      <c r="B3275" s="6" t="str">
        <f ca="1">IFERROR(__xludf.DUMMYFUNCTION("GOOGLETRANSLATE(A3275,""bn"",""en"")"),"Met with a crocodile while bathing in the river")</f>
        <v>Met with a crocodile while bathing in the river</v>
      </c>
      <c r="C3275" s="7" t="s">
        <v>6</v>
      </c>
      <c r="D3275" s="7" t="s">
        <v>7</v>
      </c>
      <c r="E3275" s="7">
        <v>0</v>
      </c>
    </row>
    <row r="3276" spans="1:5" ht="15.75" customHeight="1" x14ac:dyDescent="0.25">
      <c r="A3276" s="6" t="s">
        <v>3232</v>
      </c>
      <c r="B3276" s="6" t="str">
        <f ca="1">IFERROR(__xludf.DUMMYFUNCTION("GOOGLETRANSLATE(A3276,""bn"",""en"")"),"There is noise in the body, that noise fell in the body of young women")</f>
        <v>There is noise in the body, that noise fell in the body of young women</v>
      </c>
      <c r="C3276" s="7" t="s">
        <v>6</v>
      </c>
      <c r="D3276" s="7" t="s">
        <v>7</v>
      </c>
      <c r="E3276" s="7">
        <v>0</v>
      </c>
    </row>
    <row r="3277" spans="1:5" ht="15.75" customHeight="1" x14ac:dyDescent="0.25">
      <c r="A3277" s="6" t="s">
        <v>3233</v>
      </c>
      <c r="B3277" s="6" t="str">
        <f ca="1">IFERROR(__xludf.DUMMYFUNCTION("GOOGLETRANSLATE(A3277,""bn"",""en"")"),"Build resilience and persistence in the face of challenges")</f>
        <v>Build resilience and persistence in the face of challenges</v>
      </c>
      <c r="C3277" s="8" t="s">
        <v>13</v>
      </c>
      <c r="D3277" s="8" t="s">
        <v>14</v>
      </c>
      <c r="E3277" s="8">
        <v>1</v>
      </c>
    </row>
    <row r="3278" spans="1:5" ht="15.75" customHeight="1" x14ac:dyDescent="0.25">
      <c r="A3278" s="6" t="s">
        <v>3234</v>
      </c>
      <c r="B3278" s="6" t="str">
        <f ca="1">IFERROR(__xludf.DUMMYFUNCTION("GOOGLETRANSLATE(A3278,""bn"",""en"")"),"Witnessing kindness restores my faith in humanity")</f>
        <v>Witnessing kindness restores my faith in humanity</v>
      </c>
      <c r="C3278" s="8" t="s">
        <v>13</v>
      </c>
      <c r="D3278" s="8" t="s">
        <v>14</v>
      </c>
      <c r="E3278" s="8">
        <v>1</v>
      </c>
    </row>
    <row r="3279" spans="1:5" ht="15.75" customHeight="1" x14ac:dyDescent="0.25">
      <c r="A3279" s="6" t="s">
        <v>3235</v>
      </c>
      <c r="B3279" s="6" t="str">
        <f ca="1">IFERROR(__xludf.DUMMYFUNCTION("GOOGLETRANSLATE(A3279,""bn"",""en"")"),"The beggar was sitting on the side of the road with empty hands.")</f>
        <v>The beggar was sitting on the side of the road with empty hands.</v>
      </c>
      <c r="C3279" s="8" t="s">
        <v>13</v>
      </c>
      <c r="D3279" s="8" t="s">
        <v>14</v>
      </c>
      <c r="E3279" s="8">
        <v>1</v>
      </c>
    </row>
    <row r="3280" spans="1:5" ht="15.75" customHeight="1" x14ac:dyDescent="0.25">
      <c r="A3280" s="6" t="s">
        <v>3236</v>
      </c>
      <c r="B3280" s="6" t="str">
        <f ca="1">IFERROR(__xludf.DUMMYFUNCTION("GOOGLETRANSLATE(A3280,""bn"",""en"")"),"A well-diversified investment portfolio can help you weather market downturns")</f>
        <v>A well-diversified investment portfolio can help you weather market downturns</v>
      </c>
      <c r="C3280" s="8" t="s">
        <v>13</v>
      </c>
      <c r="D3280" s="8" t="s">
        <v>14</v>
      </c>
      <c r="E3280" s="8">
        <v>1</v>
      </c>
    </row>
    <row r="3281" spans="1:5" ht="15.75" customHeight="1" x14ac:dyDescent="0.25">
      <c r="A3281" s="6" t="s">
        <v>3237</v>
      </c>
      <c r="B3281" s="6" t="str">
        <f ca="1">IFERROR(__xludf.DUMMYFUNCTION("GOOGLETRANSLATE(A3281,""bn"",""en"")"),"Problem solving skills are essential to overcome challenges")</f>
        <v>Problem solving skills are essential to overcome challenges</v>
      </c>
      <c r="C3281" s="8" t="s">
        <v>13</v>
      </c>
      <c r="D3281" s="8" t="s">
        <v>14</v>
      </c>
      <c r="E3281" s="8">
        <v>1</v>
      </c>
    </row>
    <row r="3282" spans="1:5" ht="15.75" customHeight="1" x14ac:dyDescent="0.25">
      <c r="A3282" s="6" t="s">
        <v>3238</v>
      </c>
      <c r="B3282" s="6" t="str">
        <f ca="1">IFERROR(__xludf.DUMMYFUNCTION("GOOGLETRANSLATE(A3282,""bn"",""en"")"),"This is how they spent their solitary days")</f>
        <v>This is how they spent their solitary days</v>
      </c>
      <c r="C3282" s="7" t="s">
        <v>6</v>
      </c>
      <c r="D3282" s="7" t="s">
        <v>7</v>
      </c>
      <c r="E3282" s="7">
        <v>0</v>
      </c>
    </row>
    <row r="3283" spans="1:5" ht="15.75" customHeight="1" x14ac:dyDescent="0.25">
      <c r="A3283" s="6" t="s">
        <v>3239</v>
      </c>
      <c r="B3283" s="6" t="str">
        <f ca="1">IFERROR(__xludf.DUMMYFUNCTION("GOOGLETRANSLATE(A3283,""bn"",""en"")"),"Navakumar's companions were abandoned in such a bleak place")</f>
        <v>Navakumar's companions were abandoned in such a bleak place</v>
      </c>
      <c r="C3283" s="7" t="s">
        <v>6</v>
      </c>
      <c r="D3283" s="7" t="s">
        <v>7</v>
      </c>
      <c r="E3283" s="7">
        <v>0</v>
      </c>
    </row>
    <row r="3284" spans="1:5" ht="15.75" customHeight="1" x14ac:dyDescent="0.25">
      <c r="A3284" s="6" t="s">
        <v>3240</v>
      </c>
      <c r="B3284" s="6" t="str">
        <f ca="1">IFERROR(__xludf.DUMMYFUNCTION("GOOGLETRANSLATE(A3284,""bn"",""en"")"),"There is no such thing as East Malibagh")</f>
        <v>There is no such thing as East Malibagh</v>
      </c>
      <c r="C3284" s="7" t="s">
        <v>6</v>
      </c>
      <c r="D3284" s="7" t="s">
        <v>7</v>
      </c>
      <c r="E3284" s="7">
        <v>0</v>
      </c>
    </row>
    <row r="3285" spans="1:5" ht="15.75" customHeight="1" x14ac:dyDescent="0.25">
      <c r="A3285" s="6" t="s">
        <v>3241</v>
      </c>
      <c r="B3285" s="6" t="str">
        <f ca="1">IFERROR(__xludf.DUMMYFUNCTION("GOOGLETRANSLATE(A3285,""bn"",""en"")"),"That's why his mother-in-law cannot be completely blamed")</f>
        <v>That's why his mother-in-law cannot be completely blamed</v>
      </c>
      <c r="C3285" s="7" t="s">
        <v>6</v>
      </c>
      <c r="D3285" s="7" t="s">
        <v>7</v>
      </c>
      <c r="E3285" s="7">
        <v>0</v>
      </c>
    </row>
    <row r="3286" spans="1:5" ht="15.75" customHeight="1" x14ac:dyDescent="0.25">
      <c r="A3286" s="6" t="s">
        <v>3242</v>
      </c>
      <c r="B3286" s="6" t="str">
        <f ca="1">IFERROR(__xludf.DUMMYFUNCTION("GOOGLETRANSLATE(A3286,""bn"",""en"")"),"are you listening to me")</f>
        <v>are you listening to me</v>
      </c>
      <c r="C3286" s="7" t="s">
        <v>6</v>
      </c>
      <c r="D3286" s="7" t="s">
        <v>7</v>
      </c>
      <c r="E3286" s="7">
        <v>0</v>
      </c>
    </row>
    <row r="3287" spans="1:5" ht="15.75" customHeight="1" x14ac:dyDescent="0.25">
      <c r="A3287" s="6" t="s">
        <v>3243</v>
      </c>
      <c r="B3287" s="6" t="str">
        <f ca="1">IFERROR(__xludf.DUMMYFUNCTION("GOOGLETRANSLATE(A3287,""bn"",""en"")"),"At the end, Shakib put Rahim in danger")</f>
        <v>At the end, Shakib put Rahim in danger</v>
      </c>
      <c r="C3287" s="8" t="s">
        <v>13</v>
      </c>
      <c r="D3287" s="8" t="s">
        <v>14</v>
      </c>
      <c r="E3287" s="8">
        <v>1</v>
      </c>
    </row>
    <row r="3288" spans="1:5" ht="15.75" customHeight="1" x14ac:dyDescent="0.25">
      <c r="A3288" s="6" t="s">
        <v>3244</v>
      </c>
      <c r="B3288" s="6" t="str">
        <f ca="1">IFERROR(__xludf.DUMMYFUNCTION("GOOGLETRANSLATE(A3288,""bn"",""en"")"),"Armin then kills him")</f>
        <v>Armin then kills him</v>
      </c>
      <c r="C3288" s="8" t="s">
        <v>13</v>
      </c>
      <c r="D3288" s="8" t="s">
        <v>14</v>
      </c>
      <c r="E3288" s="8">
        <v>1</v>
      </c>
    </row>
    <row r="3289" spans="1:5" ht="15.75" customHeight="1" x14ac:dyDescent="0.25">
      <c r="A3289" s="6" t="s">
        <v>3245</v>
      </c>
      <c r="B3289" s="6" t="str">
        <f ca="1">IFERROR(__xludf.DUMMYFUNCTION("GOOGLETRANSLATE(A3289,""bn"",""en"")"),"The face of a beautiful fourteen-year-old girl appeared in the doorway")</f>
        <v>The face of a beautiful fourteen-year-old girl appeared in the doorway</v>
      </c>
      <c r="C3289" s="8" t="s">
        <v>13</v>
      </c>
      <c r="D3289" s="8" t="s">
        <v>14</v>
      </c>
      <c r="E3289" s="8">
        <v>1</v>
      </c>
    </row>
    <row r="3290" spans="1:5" ht="15.75" customHeight="1" x14ac:dyDescent="0.25">
      <c r="A3290" s="6" t="s">
        <v>3246</v>
      </c>
      <c r="B3290" s="6" t="str">
        <f ca="1">IFERROR(__xludf.DUMMYFUNCTION("GOOGLETRANSLATE(A3290,""bn"",""en"")"),"Aerobic exercise increases heart rate")</f>
        <v>Aerobic exercise increases heart rate</v>
      </c>
      <c r="C3290" s="8" t="s">
        <v>13</v>
      </c>
      <c r="D3290" s="8" t="s">
        <v>14</v>
      </c>
      <c r="E3290" s="8">
        <v>1</v>
      </c>
    </row>
    <row r="3291" spans="1:5" ht="15.75" customHeight="1" x14ac:dyDescent="0.25">
      <c r="A3291" s="6" t="s">
        <v>3247</v>
      </c>
      <c r="B3291" s="6" t="str">
        <f ca="1">IFERROR(__xludf.DUMMYFUNCTION("GOOGLETRANSLATE(A3291,""bn"",""en"")"),"He received the symbol of bravery")</f>
        <v>He received the symbol of bravery</v>
      </c>
      <c r="C3291" s="8" t="s">
        <v>13</v>
      </c>
      <c r="D3291" s="8" t="s">
        <v>14</v>
      </c>
      <c r="E3291" s="8">
        <v>1</v>
      </c>
    </row>
    <row r="3292" spans="1:5" ht="15.75" customHeight="1" x14ac:dyDescent="0.25">
      <c r="A3292" s="6" t="s">
        <v>3248</v>
      </c>
      <c r="B3292" s="6" t="str">
        <f ca="1">IFERROR(__xludf.DUMMYFUNCTION("GOOGLETRANSLATE(A3292,""bn"",""en"")"),"Meanwhile, he did not miserly")</f>
        <v>Meanwhile, he did not miserly</v>
      </c>
      <c r="C3292" s="7" t="s">
        <v>6</v>
      </c>
      <c r="D3292" s="7" t="s">
        <v>7</v>
      </c>
      <c r="E3292" s="7">
        <v>0</v>
      </c>
    </row>
    <row r="3293" spans="1:5" ht="15.75" customHeight="1" x14ac:dyDescent="0.25">
      <c r="A3293" s="6" t="s">
        <v>3249</v>
      </c>
      <c r="B3293" s="6" t="str">
        <f ca="1">IFERROR(__xludf.DUMMYFUNCTION("GOOGLETRANSLATE(A3293,""bn"",""en"")"),"Green came to give me books")</f>
        <v>Green came to give me books</v>
      </c>
      <c r="C3293" s="7" t="s">
        <v>6</v>
      </c>
      <c r="D3293" s="7" t="s">
        <v>7</v>
      </c>
      <c r="E3293" s="7">
        <v>0</v>
      </c>
    </row>
    <row r="3294" spans="1:5" ht="15.75" customHeight="1" x14ac:dyDescent="0.25">
      <c r="A3294" s="6" t="s">
        <v>3250</v>
      </c>
      <c r="B3294" s="6" t="str">
        <f ca="1">IFERROR(__xludf.DUMMYFUNCTION("GOOGLETRANSLATE(A3294,""bn"",""en"")"),"He said how far away you stand here")</f>
        <v>He said how far away you stand here</v>
      </c>
      <c r="C3294" s="7" t="s">
        <v>6</v>
      </c>
      <c r="D3294" s="7" t="s">
        <v>7</v>
      </c>
      <c r="E3294" s="7">
        <v>0</v>
      </c>
    </row>
    <row r="3295" spans="1:5" ht="15.75" customHeight="1" x14ac:dyDescent="0.25">
      <c r="A3295" s="6" t="s">
        <v>3251</v>
      </c>
      <c r="B3295" s="6" t="str">
        <f ca="1">IFERROR(__xludf.DUMMYFUNCTION("GOOGLETRANSLATE(A3295,""bn"",""en"")"),"I called him for a consultation")</f>
        <v>I called him for a consultation</v>
      </c>
      <c r="C3295" s="7" t="s">
        <v>6</v>
      </c>
      <c r="D3295" s="7" t="s">
        <v>7</v>
      </c>
      <c r="E3295" s="7">
        <v>0</v>
      </c>
    </row>
    <row r="3296" spans="1:5" ht="15.75" customHeight="1" x14ac:dyDescent="0.25">
      <c r="A3296" s="6" t="s">
        <v>3252</v>
      </c>
      <c r="B3296" s="6" t="str">
        <f ca="1">IFERROR(__xludf.DUMMYFUNCTION("GOOGLETRANSLATE(A3296,""bn"",""en"")"),"I said, mercy, go back to your daughter in the country, may the happiness of your union be the welfare of my mini.")</f>
        <v>I said, mercy, go back to your daughter in the country, may the happiness of your union be the welfare of my mini.</v>
      </c>
      <c r="C3296" s="7" t="s">
        <v>6</v>
      </c>
      <c r="D3296" s="7" t="s">
        <v>7</v>
      </c>
      <c r="E3296" s="7">
        <v>0</v>
      </c>
    </row>
    <row r="3297" spans="1:5" ht="15.75" customHeight="1" x14ac:dyDescent="0.25">
      <c r="A3297" s="6" t="s">
        <v>3253</v>
      </c>
      <c r="B3297" s="6" t="str">
        <f ca="1">IFERROR(__xludf.DUMMYFUNCTION("GOOGLETRANSLATE(A3297,""bn"",""en"")"),"Educational Equity Ensuring equity and justice in education")</f>
        <v>Educational Equity Ensuring equity and justice in education</v>
      </c>
      <c r="C3297" s="8" t="s">
        <v>13</v>
      </c>
      <c r="D3297" s="8" t="s">
        <v>14</v>
      </c>
      <c r="E3297" s="8">
        <v>1</v>
      </c>
    </row>
    <row r="3298" spans="1:5" ht="15.75" customHeight="1" x14ac:dyDescent="0.25">
      <c r="A3298" s="6" t="s">
        <v>3254</v>
      </c>
      <c r="B3298" s="6" t="str">
        <f ca="1">IFERROR(__xludf.DUMMYFUNCTION("GOOGLETRANSLATE(A3298,""bn"",""en"")"),"Sometimes, however, they are like mermaids")</f>
        <v>Sometimes, however, they are like mermaids</v>
      </c>
      <c r="C3298" s="8" t="s">
        <v>13</v>
      </c>
      <c r="D3298" s="8" t="s">
        <v>14</v>
      </c>
      <c r="E3298" s="8">
        <v>1</v>
      </c>
    </row>
    <row r="3299" spans="1:5" ht="15.75" customHeight="1" x14ac:dyDescent="0.25">
      <c r="A3299" s="6" t="s">
        <v>2846</v>
      </c>
      <c r="B3299" s="6" t="str">
        <f ca="1">IFERROR(__xludf.DUMMYFUNCTION("GOOGLETRANSLATE(A3299,""bn"",""en"")"),"During the Mughal rule, the Mughal rulers after Babur also supported the Persian language culture")</f>
        <v>During the Mughal rule, the Mughal rulers after Babur also supported the Persian language culture</v>
      </c>
      <c r="C3299" s="8" t="s">
        <v>13</v>
      </c>
      <c r="D3299" s="8" t="s">
        <v>14</v>
      </c>
      <c r="E3299" s="8">
        <v>1</v>
      </c>
    </row>
    <row r="3300" spans="1:5" ht="15.75" customHeight="1" x14ac:dyDescent="0.25">
      <c r="A3300" s="6" t="s">
        <v>3255</v>
      </c>
      <c r="B3300" s="6" t="str">
        <f ca="1">IFERROR(__xludf.DUMMYFUNCTION("GOOGLETRANSLATE(A3300,""bn"",""en"")"),"He is thirsty for water")</f>
        <v>He is thirsty for water</v>
      </c>
      <c r="C3300" s="8" t="s">
        <v>13</v>
      </c>
      <c r="D3300" s="8" t="s">
        <v>14</v>
      </c>
      <c r="E3300" s="8">
        <v>1</v>
      </c>
    </row>
    <row r="3301" spans="1:5" ht="15.75" customHeight="1" x14ac:dyDescent="0.25">
      <c r="A3301" s="6" t="s">
        <v>3256</v>
      </c>
      <c r="B3301" s="6" t="str">
        <f ca="1">IFERROR(__xludf.DUMMYFUNCTION("GOOGLETRANSLATE(A3301,""bn"",""en"")"),"Like share this post")</f>
        <v>Like share this post</v>
      </c>
      <c r="C3301" s="8" t="s">
        <v>13</v>
      </c>
      <c r="D3301" s="8" t="s">
        <v>14</v>
      </c>
      <c r="E3301" s="8">
        <v>1</v>
      </c>
    </row>
    <row r="3302" spans="1:5" ht="15.75" customHeight="1" x14ac:dyDescent="0.25">
      <c r="A3302" s="6" t="s">
        <v>3257</v>
      </c>
      <c r="B3302" s="6" t="str">
        <f ca="1">IFERROR(__xludf.DUMMYFUNCTION("GOOGLETRANSLATE(A3302,""bn"",""en"")"),"Then sat down on the groove of the ghat and started the tangle")</f>
        <v>Then sat down on the groove of the ghat and started the tangle</v>
      </c>
      <c r="C3302" s="7" t="s">
        <v>6</v>
      </c>
      <c r="D3302" s="7" t="s">
        <v>7</v>
      </c>
      <c r="E3302" s="7">
        <v>0</v>
      </c>
    </row>
    <row r="3303" spans="1:5" ht="15.75" customHeight="1" x14ac:dyDescent="0.25">
      <c r="A3303" s="6" t="s">
        <v>3258</v>
      </c>
      <c r="B3303" s="6" t="str">
        <f ca="1">IFERROR(__xludf.DUMMYFUNCTION("GOOGLETRANSLATE(A3303,""bn"",""en"")"),"The man looked at me like an unnatural person and smiled.")</f>
        <v>The man looked at me like an unnatural person and smiled.</v>
      </c>
      <c r="C3303" s="7" t="s">
        <v>6</v>
      </c>
      <c r="D3303" s="7" t="s">
        <v>7</v>
      </c>
      <c r="E3303" s="7">
        <v>0</v>
      </c>
    </row>
    <row r="3304" spans="1:5" ht="15.75" customHeight="1" x14ac:dyDescent="0.25">
      <c r="A3304" s="6" t="s">
        <v>3259</v>
      </c>
      <c r="B3304" s="6" t="str">
        <f ca="1">IFERROR(__xludf.DUMMYFUNCTION("GOOGLETRANSLATE(A3304,""bn"",""en"")"),"The people sat there for a while stunned")</f>
        <v>The people sat there for a while stunned</v>
      </c>
      <c r="C3304" s="7" t="s">
        <v>6</v>
      </c>
      <c r="D3304" s="7" t="s">
        <v>7</v>
      </c>
      <c r="E3304" s="7">
        <v>0</v>
      </c>
    </row>
    <row r="3305" spans="1:5" ht="15.75" customHeight="1" x14ac:dyDescent="0.25">
      <c r="A3305" s="6" t="s">
        <v>3260</v>
      </c>
      <c r="B3305" s="6" t="str">
        <f ca="1">IFERROR(__xludf.DUMMYFUNCTION("GOOGLETRANSLATE(A3305,""bn"",""en"")"),"I will go to school after the game")</f>
        <v>I will go to school after the game</v>
      </c>
      <c r="C3305" s="7" t="s">
        <v>6</v>
      </c>
      <c r="D3305" s="7" t="s">
        <v>7</v>
      </c>
      <c r="E3305" s="7">
        <v>0</v>
      </c>
    </row>
    <row r="3306" spans="1:5" ht="15.75" customHeight="1" x14ac:dyDescent="0.25">
      <c r="A3306" s="6" t="s">
        <v>3261</v>
      </c>
      <c r="B3306" s="6" t="str">
        <f ca="1">IFERROR(__xludf.DUMMYFUNCTION("GOOGLETRANSLATE(A3306,""bn"",""en"")"),"I want to observe a Hariyal and see if it says Radhe Manyung Parihar or not")</f>
        <v>I want to observe a Hariyal and see if it says Radhe Manyung Parihar or not</v>
      </c>
      <c r="C3306" s="7" t="s">
        <v>6</v>
      </c>
      <c r="D3306" s="7" t="s">
        <v>7</v>
      </c>
      <c r="E3306" s="7">
        <v>0</v>
      </c>
    </row>
    <row r="3307" spans="1:5" ht="15.75" customHeight="1" x14ac:dyDescent="0.25">
      <c r="A3307" s="6" t="s">
        <v>3262</v>
      </c>
      <c r="B3307" s="6" t="str">
        <f ca="1">IFERROR(__xludf.DUMMYFUNCTION("GOOGLETRANSLATE(A3307,""bn"",""en"")"),"The heavenly smell of freshly baked bread")</f>
        <v>The heavenly smell of freshly baked bread</v>
      </c>
      <c r="C3307" s="8" t="s">
        <v>13</v>
      </c>
      <c r="D3307" s="8" t="s">
        <v>14</v>
      </c>
      <c r="E3307" s="8">
        <v>1</v>
      </c>
    </row>
    <row r="3308" spans="1:5" ht="15.75" customHeight="1" x14ac:dyDescent="0.25">
      <c r="A3308" s="6" t="s">
        <v>3263</v>
      </c>
      <c r="B3308" s="6" t="str">
        <f ca="1">IFERROR(__xludf.DUMMYFUNCTION("GOOGLETRANSLATE(A3308,""bn"",""en"")"),"I can meet my brothers and sisters like my dear friends")</f>
        <v>I can meet my brothers and sisters like my dear friends</v>
      </c>
      <c r="C3308" s="8" t="s">
        <v>13</v>
      </c>
      <c r="D3308" s="8" t="s">
        <v>14</v>
      </c>
      <c r="E3308" s="8">
        <v>1</v>
      </c>
    </row>
    <row r="3309" spans="1:5" ht="15.75" customHeight="1" x14ac:dyDescent="0.25">
      <c r="A3309" s="6" t="s">
        <v>3264</v>
      </c>
      <c r="B3309" s="6" t="str">
        <f ca="1">IFERROR(__xludf.DUMMYFUNCTION("GOOGLETRANSLATE(A3309,""bn"",""en"")"),"I went to market")</f>
        <v>I went to market</v>
      </c>
      <c r="C3309" s="8" t="s">
        <v>13</v>
      </c>
      <c r="D3309" s="8" t="s">
        <v>14</v>
      </c>
      <c r="E3309" s="8">
        <v>1</v>
      </c>
    </row>
    <row r="3310" spans="1:5" ht="15.75" customHeight="1" x14ac:dyDescent="0.25">
      <c r="A3310" s="6" t="s">
        <v>3265</v>
      </c>
      <c r="B3310" s="6" t="str">
        <f ca="1">IFERROR(__xludf.DUMMYFUNCTION("GOOGLETRANSLATE(A3310,""bn"",""en"")"),"In this unrepentant state he killed his wife and sons")</f>
        <v>In this unrepentant state he killed his wife and sons</v>
      </c>
      <c r="C3310" s="8" t="s">
        <v>13</v>
      </c>
      <c r="D3310" s="8" t="s">
        <v>14</v>
      </c>
      <c r="E3310" s="8">
        <v>1</v>
      </c>
    </row>
    <row r="3311" spans="1:5" ht="15.75" customHeight="1" x14ac:dyDescent="0.25">
      <c r="A3311" s="6" t="s">
        <v>3266</v>
      </c>
      <c r="B3311" s="6" t="str">
        <f ca="1">IFERROR(__xludf.DUMMYFUNCTION("GOOGLETRANSLATE(A3311,""bn"",""en"")"),"Fields Two are Best Visual Effects Best Original Music Score")</f>
        <v>Fields Two are Best Visual Effects Best Original Music Score</v>
      </c>
      <c r="C3311" s="8" t="s">
        <v>13</v>
      </c>
      <c r="D3311" s="8" t="s">
        <v>14</v>
      </c>
      <c r="E3311" s="8">
        <v>1</v>
      </c>
    </row>
    <row r="3312" spans="1:5" ht="15.75" customHeight="1" x14ac:dyDescent="0.25">
      <c r="A3312" s="6" t="s">
        <v>3267</v>
      </c>
      <c r="B3312" s="6" t="str">
        <f ca="1">IFERROR(__xludf.DUMMYFUNCTION("GOOGLETRANSLATE(A3312,""bn"",""en"")"),"I will call him back when I see him coming back")</f>
        <v>I will call him back when I see him coming back</v>
      </c>
      <c r="C3312" s="7" t="s">
        <v>6</v>
      </c>
      <c r="D3312" s="7" t="s">
        <v>7</v>
      </c>
      <c r="E3312" s="7">
        <v>0</v>
      </c>
    </row>
    <row r="3313" spans="1:5" ht="15.75" customHeight="1" x14ac:dyDescent="0.25">
      <c r="A3313" s="6" t="s">
        <v>3268</v>
      </c>
      <c r="B3313" s="6" t="str">
        <f ca="1">IFERROR(__xludf.DUMMYFUNCTION("GOOGLETRANSLATE(A3313,""bn"",""en"")"),"It is doubtful whether anyone in the house will have the sense to suppress the news to Moti for a few days now")</f>
        <v>It is doubtful whether anyone in the house will have the sense to suppress the news to Moti for a few days now</v>
      </c>
      <c r="C3313" s="7" t="s">
        <v>6</v>
      </c>
      <c r="D3313" s="7" t="s">
        <v>7</v>
      </c>
      <c r="E3313" s="7">
        <v>0</v>
      </c>
    </row>
    <row r="3314" spans="1:5" ht="15.75" customHeight="1" x14ac:dyDescent="0.25">
      <c r="A3314" s="6" t="s">
        <v>3269</v>
      </c>
      <c r="B3314" s="6" t="str">
        <f ca="1">IFERROR(__xludf.DUMMYFUNCTION("GOOGLETRANSLATE(A3314,""bn"",""en"")"),"Both remained silent for a long time")</f>
        <v>Both remained silent for a long time</v>
      </c>
      <c r="C3314" s="7" t="s">
        <v>6</v>
      </c>
      <c r="D3314" s="7" t="s">
        <v>7</v>
      </c>
      <c r="E3314" s="7">
        <v>0</v>
      </c>
    </row>
    <row r="3315" spans="1:5" ht="15.75" customHeight="1" x14ac:dyDescent="0.25">
      <c r="A3315" s="6" t="s">
        <v>3270</v>
      </c>
      <c r="B3315" s="6" t="str">
        <f ca="1">IFERROR(__xludf.DUMMYFUNCTION("GOOGLETRANSLATE(A3315,""bn"",""en"")"),"He was upset with me")</f>
        <v>He was upset with me</v>
      </c>
      <c r="C3315" s="7" t="s">
        <v>6</v>
      </c>
      <c r="D3315" s="7" t="s">
        <v>7</v>
      </c>
      <c r="E3315" s="7">
        <v>0</v>
      </c>
    </row>
    <row r="3316" spans="1:5" ht="15.75" customHeight="1" x14ac:dyDescent="0.25">
      <c r="A3316" s="6" t="s">
        <v>3271</v>
      </c>
      <c r="B3316" s="6" t="str">
        <f ca="1">IFERROR(__xludf.DUMMYFUNCTION("GOOGLETRANSLATE(A3316,""bn"",""en"")"),"I could see you")</f>
        <v>I could see you</v>
      </c>
      <c r="C3316" s="7" t="s">
        <v>6</v>
      </c>
      <c r="D3316" s="7" t="s">
        <v>7</v>
      </c>
      <c r="E3316" s="7">
        <v>0</v>
      </c>
    </row>
    <row r="3317" spans="1:5" ht="15.75" customHeight="1" x14ac:dyDescent="0.25">
      <c r="A3317" s="6" t="s">
        <v>3272</v>
      </c>
      <c r="B3317" s="6" t="str">
        <f ca="1">IFERROR(__xludf.DUMMYFUNCTION("GOOGLETRANSLATE(A3317,""bn"",""en"")"),"Death occurs at different levels")</f>
        <v>Death occurs at different levels</v>
      </c>
      <c r="C3317" s="8" t="s">
        <v>13</v>
      </c>
      <c r="D3317" s="8" t="s">
        <v>14</v>
      </c>
      <c r="E3317" s="8">
        <v>1</v>
      </c>
    </row>
    <row r="3318" spans="1:5" ht="15.75" customHeight="1" x14ac:dyDescent="0.25">
      <c r="A3318" s="6" t="s">
        <v>3273</v>
      </c>
      <c r="B3318" s="6" t="str">
        <f ca="1">IFERROR(__xludf.DUMMYFUNCTION("GOOGLETRANSLATE(A3318,""bn"",""en"")"),"Late at night he heard a noise near the window")</f>
        <v>Late at night he heard a noise near the window</v>
      </c>
      <c r="C3318" s="8" t="s">
        <v>13</v>
      </c>
      <c r="D3318" s="8" t="s">
        <v>14</v>
      </c>
      <c r="E3318" s="8">
        <v>1</v>
      </c>
    </row>
    <row r="3319" spans="1:5" ht="15.75" customHeight="1" x14ac:dyDescent="0.25">
      <c r="A3319" s="6" t="s">
        <v>3274</v>
      </c>
      <c r="B3319" s="6" t="str">
        <f ca="1">IFERROR(__xludf.DUMMYFUNCTION("GOOGLETRANSLATE(A3319,""bn"",""en"")"),"Sunny's mother asked me to sit at home")</f>
        <v>Sunny's mother asked me to sit at home</v>
      </c>
      <c r="C3319" s="8" t="s">
        <v>13</v>
      </c>
      <c r="D3319" s="8" t="s">
        <v>14</v>
      </c>
      <c r="E3319" s="8">
        <v>1</v>
      </c>
    </row>
    <row r="3320" spans="1:5" ht="15.75" customHeight="1" x14ac:dyDescent="0.25">
      <c r="A3320" s="6" t="s">
        <v>3275</v>
      </c>
      <c r="B3320" s="6" t="str">
        <f ca="1">IFERROR(__xludf.DUMMYFUNCTION("GOOGLETRANSLATE(A3320,""bn"",""en"")"),"I look forward to new possibilities in the future")</f>
        <v>I look forward to new possibilities in the future</v>
      </c>
      <c r="C3320" s="8" t="s">
        <v>13</v>
      </c>
      <c r="D3320" s="8" t="s">
        <v>14</v>
      </c>
      <c r="E3320" s="8">
        <v>1</v>
      </c>
    </row>
    <row r="3321" spans="1:5" ht="15.75" customHeight="1" x14ac:dyDescent="0.25">
      <c r="A3321" s="6" t="s">
        <v>3276</v>
      </c>
      <c r="B3321" s="6" t="str">
        <f ca="1">IFERROR(__xludf.DUMMYFUNCTION("GOOGLETRANSLATE(A3321,""bn"",""en"")"),"Rana is going to school")</f>
        <v>Rana is going to school</v>
      </c>
      <c r="C3321" s="8" t="s">
        <v>13</v>
      </c>
      <c r="D3321" s="8" t="s">
        <v>14</v>
      </c>
      <c r="E3321" s="8">
        <v>1</v>
      </c>
    </row>
    <row r="3322" spans="1:5" ht="15.75" customHeight="1" x14ac:dyDescent="0.25">
      <c r="A3322" s="6" t="s">
        <v>3277</v>
      </c>
      <c r="B3322" s="6" t="str">
        <f ca="1">IFERROR(__xludf.DUMMYFUNCTION("GOOGLETRANSLATE(A3322,""bn"",""en"")"),"Sanai is playing in my room till the end of the night")</f>
        <v>Sanai is playing in my room till the end of the night</v>
      </c>
      <c r="C3322" s="7" t="s">
        <v>6</v>
      </c>
      <c r="D3322" s="7" t="s">
        <v>7</v>
      </c>
      <c r="E3322" s="7">
        <v>0</v>
      </c>
    </row>
    <row r="3323" spans="1:5" ht="15.75" customHeight="1" x14ac:dyDescent="0.25">
      <c r="A3323" s="6" t="s">
        <v>3278</v>
      </c>
      <c r="B3323" s="6" t="str">
        <f ca="1">IFERROR(__xludf.DUMMYFUNCTION("GOOGLETRANSLATE(A3323,""bn"",""en"")"),"In this language, there is no swearing, no quarrels, and many words of the mind are not spoken")</f>
        <v>In this language, there is no swearing, no quarrels, and many words of the mind are not spoken</v>
      </c>
      <c r="C3323" s="7" t="s">
        <v>6</v>
      </c>
      <c r="D3323" s="7" t="s">
        <v>7</v>
      </c>
      <c r="E3323" s="7">
        <v>0</v>
      </c>
    </row>
    <row r="3324" spans="1:5" ht="15.75" customHeight="1" x14ac:dyDescent="0.25">
      <c r="A3324" s="6" t="s">
        <v>392</v>
      </c>
      <c r="B3324" s="6" t="str">
        <f ca="1">IFERROR(__xludf.DUMMYFUNCTION("GOOGLETRANSLATE(A3324,""bn"",""en"")"),"No level is uniform, each rises somewhere and descends somewhere")</f>
        <v>No level is uniform, each rises somewhere and descends somewhere</v>
      </c>
      <c r="C3324" s="7" t="s">
        <v>6</v>
      </c>
      <c r="D3324" s="7" t="s">
        <v>7</v>
      </c>
      <c r="E3324" s="7">
        <v>0</v>
      </c>
    </row>
    <row r="3325" spans="1:5" ht="15.75" customHeight="1" x14ac:dyDescent="0.25">
      <c r="A3325" s="6" t="s">
        <v>3279</v>
      </c>
      <c r="B3325" s="6" t="str">
        <f ca="1">IFERROR(__xludf.DUMMYFUNCTION("GOOGLETRANSLATE(A3325,""bn"",""en"")"),"I watched it sitting down")</f>
        <v>I watched it sitting down</v>
      </c>
      <c r="C3325" s="7" t="s">
        <v>6</v>
      </c>
      <c r="D3325" s="7" t="s">
        <v>7</v>
      </c>
      <c r="E3325" s="7">
        <v>0</v>
      </c>
    </row>
    <row r="3326" spans="1:5" ht="15.75" customHeight="1" x14ac:dyDescent="0.25">
      <c r="A3326" s="6" t="s">
        <v>3280</v>
      </c>
      <c r="B3326" s="6" t="str">
        <f ca="1">IFERROR(__xludf.DUMMYFUNCTION("GOOGLETRANSLATE(A3326,""bn"",""en"")"),"How far I went as a bridegroom in the wedding of one of his people")</f>
        <v>How far I went as a bridegroom in the wedding of one of his people</v>
      </c>
      <c r="C3326" s="7" t="s">
        <v>6</v>
      </c>
      <c r="D3326" s="7" t="s">
        <v>7</v>
      </c>
      <c r="E3326" s="7">
        <v>0</v>
      </c>
    </row>
    <row r="3327" spans="1:5" ht="15.75" customHeight="1" x14ac:dyDescent="0.25">
      <c r="A3327" s="6" t="s">
        <v>3281</v>
      </c>
      <c r="B3327" s="6" t="str">
        <f ca="1">IFERROR(__xludf.DUMMYFUNCTION("GOOGLETRANSLATE(A3327,""bn"",""en"")"),"The city is hot with human body heat")</f>
        <v>The city is hot with human body heat</v>
      </c>
      <c r="C3327" s="8" t="s">
        <v>13</v>
      </c>
      <c r="D3327" s="8" t="s">
        <v>14</v>
      </c>
      <c r="E3327" s="8">
        <v>1</v>
      </c>
    </row>
    <row r="3328" spans="1:5" ht="15.75" customHeight="1" x14ac:dyDescent="0.25">
      <c r="A3328" s="6" t="s">
        <v>3282</v>
      </c>
      <c r="B3328" s="6" t="str">
        <f ca="1">IFERROR(__xludf.DUMMYFUNCTION("GOOGLETRANSLATE(A3328,""bn"",""en"")"),"Running away is in danger")</f>
        <v>Running away is in danger</v>
      </c>
      <c r="C3328" s="8" t="s">
        <v>13</v>
      </c>
      <c r="D3328" s="8" t="s">
        <v>14</v>
      </c>
      <c r="E3328" s="8">
        <v>1</v>
      </c>
    </row>
    <row r="3329" spans="1:5" ht="15.75" customHeight="1" x14ac:dyDescent="0.25">
      <c r="A3329" s="6" t="s">
        <v>3283</v>
      </c>
      <c r="B3329" s="6" t="str">
        <f ca="1">IFERROR(__xludf.DUMMYFUNCTION("GOOGLETRANSLATE(A3329,""bn"",""en"")"),"They play in the Premier League")</f>
        <v>They play in the Premier League</v>
      </c>
      <c r="C3329" s="8" t="s">
        <v>13</v>
      </c>
      <c r="D3329" s="8" t="s">
        <v>14</v>
      </c>
      <c r="E3329" s="8">
        <v>1</v>
      </c>
    </row>
    <row r="3330" spans="1:5" ht="15.75" customHeight="1" x14ac:dyDescent="0.25">
      <c r="A3330" s="6" t="s">
        <v>3284</v>
      </c>
      <c r="B3330" s="6" t="str">
        <f ca="1">IFERROR(__xludf.DUMMYFUNCTION("GOOGLETRANSLATE(A3330,""bn"",""en"")"),"Rheumatoid arthritis is an autoimmune disorder that causes joint pain and stiffness")</f>
        <v>Rheumatoid arthritis is an autoimmune disorder that causes joint pain and stiffness</v>
      </c>
      <c r="C3330" s="8" t="s">
        <v>13</v>
      </c>
      <c r="D3330" s="8" t="s">
        <v>14</v>
      </c>
      <c r="E3330" s="8">
        <v>1</v>
      </c>
    </row>
    <row r="3331" spans="1:5" ht="15.75" customHeight="1" x14ac:dyDescent="0.25">
      <c r="A3331" s="6" t="s">
        <v>3285</v>
      </c>
      <c r="B3331" s="6" t="str">
        <f ca="1">IFERROR(__xludf.DUMMYFUNCTION("GOOGLETRANSLATE(A3331,""bn"",""en"")"),"He saw a wonderful beauty through the window of the train")</f>
        <v>He saw a wonderful beauty through the window of the train</v>
      </c>
      <c r="C3331" s="8" t="s">
        <v>13</v>
      </c>
      <c r="D3331" s="8" t="s">
        <v>14</v>
      </c>
      <c r="E3331" s="8">
        <v>1</v>
      </c>
    </row>
    <row r="3332" spans="1:5" ht="15.75" customHeight="1" x14ac:dyDescent="0.25">
      <c r="A3332" s="6" t="s">
        <v>3286</v>
      </c>
      <c r="B3332" s="6" t="str">
        <f ca="1">IFERROR(__xludf.DUMMYFUNCTION("GOOGLETRANSLATE(A3332,""bn"",""en"")"),"Haru's house is at the end of this path")</f>
        <v>Haru's house is at the end of this path</v>
      </c>
      <c r="C3332" s="7" t="s">
        <v>6</v>
      </c>
      <c r="D3332" s="7" t="s">
        <v>7</v>
      </c>
      <c r="E3332" s="7">
        <v>0</v>
      </c>
    </row>
    <row r="3333" spans="1:5" ht="15.75" customHeight="1" x14ac:dyDescent="0.25">
      <c r="A3333" s="6" t="s">
        <v>3287</v>
      </c>
      <c r="B3333" s="6" t="str">
        <f ca="1">IFERROR(__xludf.DUMMYFUNCTION("GOOGLETRANSLATE(A3333,""bn"",""en"")"),"I thought, Alas, you have gone to the country")</f>
        <v>I thought, Alas, you have gone to the country</v>
      </c>
      <c r="C3333" s="7" t="s">
        <v>6</v>
      </c>
      <c r="D3333" s="7" t="s">
        <v>7</v>
      </c>
      <c r="E3333" s="7">
        <v>0</v>
      </c>
    </row>
    <row r="3334" spans="1:5" ht="15.75" customHeight="1" x14ac:dyDescent="0.25">
      <c r="A3334" s="6" t="s">
        <v>3288</v>
      </c>
      <c r="B3334" s="6" t="str">
        <f ca="1">IFERROR(__xludf.DUMMYFUNCTION("GOOGLETRANSLATE(A3334,""bn"",""en"")"),"I felt the hot touch of the machine on my head")</f>
        <v>I felt the hot touch of the machine on my head</v>
      </c>
      <c r="C3334" s="7" t="s">
        <v>6</v>
      </c>
      <c r="D3334" s="7" t="s">
        <v>7</v>
      </c>
      <c r="E3334" s="7">
        <v>0</v>
      </c>
    </row>
    <row r="3335" spans="1:5" ht="15.75" customHeight="1" x14ac:dyDescent="0.25">
      <c r="A3335" s="6" t="s">
        <v>3289</v>
      </c>
      <c r="B3335" s="6" t="str">
        <f ca="1">IFERROR(__xludf.DUMMYFUNCTION("GOOGLETRANSLATE(A3335,""bn"",""en"")"),"A couple of sparrows were whispering encouragement to each other to build a nest in a corner of his balcony")</f>
        <v>A couple of sparrows were whispering encouragement to each other to build a nest in a corner of his balcony</v>
      </c>
      <c r="C3335" s="7" t="s">
        <v>6</v>
      </c>
      <c r="D3335" s="7" t="s">
        <v>7</v>
      </c>
      <c r="E3335" s="7">
        <v>0</v>
      </c>
    </row>
    <row r="3336" spans="1:5" ht="15.75" customHeight="1" x14ac:dyDescent="0.25">
      <c r="A3336" s="6" t="s">
        <v>3290</v>
      </c>
      <c r="B3336" s="6" t="str">
        <f ca="1">IFERROR(__xludf.DUMMYFUNCTION("GOOGLETRANSLATE(A3336,""bn"",""en"")"),"He saw a man of extraordinary beauty standing by the river")</f>
        <v>He saw a man of extraordinary beauty standing by the river</v>
      </c>
      <c r="C3336" s="7" t="s">
        <v>6</v>
      </c>
      <c r="D3336" s="7" t="s">
        <v>7</v>
      </c>
      <c r="E3336" s="7">
        <v>0</v>
      </c>
    </row>
    <row r="3337" spans="1:5" ht="15.75" customHeight="1" x14ac:dyDescent="0.25">
      <c r="A3337" s="6" t="s">
        <v>3291</v>
      </c>
      <c r="B3337" s="6" t="str">
        <f ca="1">IFERROR(__xludf.DUMMYFUNCTION("GOOGLETRANSLATE(A3337,""bn"",""en"")"),"It is a part of the Gajan festival of the Hindu god Shiva celebrated in the month of Chaitra")</f>
        <v>It is a part of the Gajan festival of the Hindu god Shiva celebrated in the month of Chaitra</v>
      </c>
      <c r="C3337" s="8" t="s">
        <v>13</v>
      </c>
      <c r="D3337" s="8" t="s">
        <v>14</v>
      </c>
      <c r="E3337" s="8">
        <v>1</v>
      </c>
    </row>
    <row r="3338" spans="1:5" ht="15.75" customHeight="1" x14ac:dyDescent="0.25">
      <c r="A3338" s="6" t="s">
        <v>3292</v>
      </c>
      <c r="B3338" s="6" t="str">
        <f ca="1">IFERROR(__xludf.DUMMYFUNCTION("GOOGLETRANSLATE(A3338,""bn"",""en"")"),"They came to meet me")</f>
        <v>They came to meet me</v>
      </c>
      <c r="C3338" s="8" t="s">
        <v>13</v>
      </c>
      <c r="D3338" s="8" t="s">
        <v>14</v>
      </c>
      <c r="E3338" s="8">
        <v>1</v>
      </c>
    </row>
    <row r="3339" spans="1:5" ht="15.75" customHeight="1" x14ac:dyDescent="0.25">
      <c r="A3339" s="6" t="s">
        <v>3293</v>
      </c>
      <c r="B3339" s="6" t="str">
        <f ca="1">IFERROR(__xludf.DUMMYFUNCTION("GOOGLETRANSLATE(A3339,""bn"",""en"")"),"Their adventure was a journey of self discovery pushing them to their limits")</f>
        <v>Their adventure was a journey of self discovery pushing them to their limits</v>
      </c>
      <c r="C3339" s="8" t="s">
        <v>13</v>
      </c>
      <c r="D3339" s="8" t="s">
        <v>14</v>
      </c>
      <c r="E3339" s="8">
        <v>1</v>
      </c>
    </row>
    <row r="3340" spans="1:5" ht="15.75" customHeight="1" x14ac:dyDescent="0.25">
      <c r="A3340" s="6" t="s">
        <v>3294</v>
      </c>
      <c r="B3340" s="6" t="str">
        <f ca="1">IFERROR(__xludf.DUMMYFUNCTION("GOOGLETRANSLATE(A3340,""bn"",""en"")"),"Agricultural cooperatives enable small-scale farmers to pool resources for collective bargaining")</f>
        <v>Agricultural cooperatives enable small-scale farmers to pool resources for collective bargaining</v>
      </c>
      <c r="C3340" s="8" t="s">
        <v>13</v>
      </c>
      <c r="D3340" s="8" t="s">
        <v>14</v>
      </c>
      <c r="E3340" s="8">
        <v>1</v>
      </c>
    </row>
    <row r="3341" spans="1:5" ht="15.75" customHeight="1" x14ac:dyDescent="0.25">
      <c r="A3341" s="6" t="s">
        <v>3295</v>
      </c>
      <c r="B3341" s="6" t="str">
        <f ca="1">IFERROR(__xludf.DUMMYFUNCTION("GOOGLETRANSLATE(A3341,""bn"",""en"")"),"Shamsuddin found a way")</f>
        <v>Shamsuddin found a way</v>
      </c>
      <c r="C3341" s="8" t="s">
        <v>13</v>
      </c>
      <c r="D3341" s="8" t="s">
        <v>14</v>
      </c>
      <c r="E3341" s="8">
        <v>1</v>
      </c>
    </row>
    <row r="3342" spans="1:5" ht="15.75" customHeight="1" x14ac:dyDescent="0.25">
      <c r="A3342" s="6" t="s">
        <v>3296</v>
      </c>
      <c r="B3342" s="6" t="str">
        <f ca="1">IFERROR(__xludf.DUMMYFUNCTION("GOOGLETRANSLATE(A3342,""bn"",""en"")"),"Phatik again begged and said, ""Mom beat me, Mom, I am telling the truth, I have not done anything wrong.""")</f>
        <v>Phatik again begged and said, "Mom beat me, Mom, I am telling the truth, I have not done anything wrong."</v>
      </c>
      <c r="C3342" s="7" t="s">
        <v>6</v>
      </c>
      <c r="D3342" s="7" t="s">
        <v>7</v>
      </c>
      <c r="E3342" s="7">
        <v>0</v>
      </c>
    </row>
    <row r="3343" spans="1:5" ht="15.75" customHeight="1" x14ac:dyDescent="0.25">
      <c r="A3343" s="6" t="s">
        <v>3297</v>
      </c>
      <c r="B3343" s="6" t="str">
        <f ca="1">IFERROR(__xludf.DUMMYFUNCTION("GOOGLETRANSLATE(A3343,""bn"",""en"")"),"The truth is that those who are like ten do not quarrel with ten for no reason")</f>
        <v>The truth is that those who are like ten do not quarrel with ten for no reason</v>
      </c>
      <c r="C3343" s="7" t="s">
        <v>6</v>
      </c>
      <c r="D3343" s="7" t="s">
        <v>7</v>
      </c>
      <c r="E3343" s="7">
        <v>0</v>
      </c>
    </row>
    <row r="3344" spans="1:5" ht="15.75" customHeight="1" x14ac:dyDescent="0.25">
      <c r="A3344" s="6" t="s">
        <v>3298</v>
      </c>
      <c r="B3344" s="6" t="str">
        <f ca="1">IFERROR(__xludf.DUMMYFUNCTION("GOOGLETRANSLATE(A3344,""bn"",""en"")"),"In our scriptures this marriage is called Asurika marriage")</f>
        <v>In our scriptures this marriage is called Asurika marriage</v>
      </c>
      <c r="C3344" s="7" t="s">
        <v>6</v>
      </c>
      <c r="D3344" s="7" t="s">
        <v>7</v>
      </c>
      <c r="E3344" s="7">
        <v>0</v>
      </c>
    </row>
    <row r="3345" spans="1:5" ht="15.75" customHeight="1" x14ac:dyDescent="0.25">
      <c r="A3345" s="6" t="s">
        <v>3299</v>
      </c>
      <c r="B3345" s="6" t="str">
        <f ca="1">IFERROR(__xludf.DUMMYFUNCTION("GOOGLETRANSLATE(A3345,""bn"",""en"")"),"Kiranmayi's two eyes burned like fire")</f>
        <v>Kiranmayi's two eyes burned like fire</v>
      </c>
      <c r="C3345" s="7" t="s">
        <v>6</v>
      </c>
      <c r="D3345" s="7" t="s">
        <v>7</v>
      </c>
      <c r="E3345" s="7">
        <v>0</v>
      </c>
    </row>
    <row r="3346" spans="1:5" ht="15.75" customHeight="1" x14ac:dyDescent="0.25">
      <c r="A3346" s="6" t="s">
        <v>3300</v>
      </c>
      <c r="B3346" s="6" t="str">
        <f ca="1">IFERROR(__xludf.DUMMYFUNCTION("GOOGLETRANSLATE(A3346,""bn"",""en"")"),"Why don't you pay attention to that praise, only Bengalis are noble")</f>
        <v>Why don't you pay attention to that praise, only Bengalis are noble</v>
      </c>
      <c r="C3346" s="7" t="s">
        <v>6</v>
      </c>
      <c r="D3346" s="7" t="s">
        <v>7</v>
      </c>
      <c r="E3346" s="7">
        <v>0</v>
      </c>
    </row>
    <row r="3347" spans="1:5" ht="15.75" customHeight="1" x14ac:dyDescent="0.25">
      <c r="A3347" s="6" t="s">
        <v>3301</v>
      </c>
      <c r="B3347" s="6" t="str">
        <f ca="1">IFERROR(__xludf.DUMMYFUNCTION("GOOGLETRANSLATE(A3347,""bn"",""en"")"),"I liked school very much")</f>
        <v>I liked school very much</v>
      </c>
      <c r="C3347" s="8" t="s">
        <v>13</v>
      </c>
      <c r="D3347" s="8" t="s">
        <v>14</v>
      </c>
      <c r="E3347" s="8">
        <v>1</v>
      </c>
    </row>
    <row r="3348" spans="1:5" ht="15.75" customHeight="1" x14ac:dyDescent="0.25">
      <c r="A3348" s="6" t="s">
        <v>3302</v>
      </c>
      <c r="B3348" s="6" t="str">
        <f ca="1">IFERROR(__xludf.DUMMYFUNCTION("GOOGLETRANSLATE(A3348,""bn"",""en"")"),"Death Kluge died in Freiburg in May")</f>
        <v>Death Kluge died in Freiburg in May</v>
      </c>
      <c r="C3348" s="8" t="s">
        <v>13</v>
      </c>
      <c r="D3348" s="8" t="s">
        <v>14</v>
      </c>
      <c r="E3348" s="8">
        <v>1</v>
      </c>
    </row>
    <row r="3349" spans="1:5" ht="15.75" customHeight="1" x14ac:dyDescent="0.25">
      <c r="A3349" s="6" t="s">
        <v>3303</v>
      </c>
      <c r="B3349" s="6" t="str">
        <f ca="1">IFERROR(__xludf.DUMMYFUNCTION("GOOGLETRANSLATE(A3349,""bn"",""en"")"),"My parents taught me the importance of honesty and hard work")</f>
        <v>My parents taught me the importance of honesty and hard work</v>
      </c>
      <c r="C3349" s="8" t="s">
        <v>13</v>
      </c>
      <c r="D3349" s="8" t="s">
        <v>14</v>
      </c>
      <c r="E3349" s="8">
        <v>1</v>
      </c>
    </row>
    <row r="3350" spans="1:5" ht="15.75" customHeight="1" x14ac:dyDescent="0.25">
      <c r="A3350" s="6" t="s">
        <v>3304</v>
      </c>
      <c r="B3350" s="6" t="str">
        <f ca="1">IFERROR(__xludf.DUMMYFUNCTION("GOOGLETRANSLATE(A3350,""bn"",""en"")"),"Neruda was awarded the Nobel Prize in Literature")</f>
        <v>Neruda was awarded the Nobel Prize in Literature</v>
      </c>
      <c r="C3350" s="8" t="s">
        <v>13</v>
      </c>
      <c r="D3350" s="8" t="s">
        <v>14</v>
      </c>
      <c r="E3350" s="8">
        <v>1</v>
      </c>
    </row>
    <row r="3351" spans="1:5" ht="15.75" customHeight="1" x14ac:dyDescent="0.25">
      <c r="A3351" s="6" t="s">
        <v>3305</v>
      </c>
      <c r="B3351" s="6" t="str">
        <f ca="1">IFERROR(__xludf.DUMMYFUNCTION("GOOGLETRANSLATE(A3351,""bn"",""en"")"),"Seeing that incident, I stood silently for a while")</f>
        <v>Seeing that incident, I stood silently for a while</v>
      </c>
      <c r="C3351" s="8" t="s">
        <v>13</v>
      </c>
      <c r="D3351" s="8" t="s">
        <v>14</v>
      </c>
      <c r="E3351" s="8">
        <v>1</v>
      </c>
    </row>
    <row r="3352" spans="1:5" ht="15.75" customHeight="1" x14ac:dyDescent="0.25">
      <c r="A3352" s="6" t="s">
        <v>3306</v>
      </c>
      <c r="B3352" s="6" t="str">
        <f ca="1">IFERROR(__xludf.DUMMYFUNCTION("GOOGLETRANSLATE(A3352,""bn"",""en"")"),"Again it is necessary to do food service to the moneylender")</f>
        <v>Again it is necessary to do food service to the moneylender</v>
      </c>
      <c r="C3352" s="7" t="s">
        <v>6</v>
      </c>
      <c r="D3352" s="7" t="s">
        <v>7</v>
      </c>
      <c r="E3352" s="7">
        <v>0</v>
      </c>
    </row>
    <row r="3353" spans="1:5" ht="15.75" customHeight="1" x14ac:dyDescent="0.25">
      <c r="A3353" s="6" t="s">
        <v>3307</v>
      </c>
      <c r="B3353" s="6" t="str">
        <f ca="1">IFERROR(__xludf.DUMMYFUNCTION("GOOGLETRANSLATE(A3353,""bn"",""en"")"),"He sat up trembling and said in a tone of artificial anger, ""Don't tell me how to cut a good deed.""")</f>
        <v>He sat up trembling and said in a tone of artificial anger, "Don't tell me how to cut a good deed."</v>
      </c>
      <c r="C3353" s="7" t="s">
        <v>6</v>
      </c>
      <c r="D3353" s="7" t="s">
        <v>7</v>
      </c>
      <c r="E3353" s="7">
        <v>0</v>
      </c>
    </row>
    <row r="3354" spans="1:5" ht="15.75" customHeight="1" x14ac:dyDescent="0.25">
      <c r="A3354" s="6" t="s">
        <v>3308</v>
      </c>
      <c r="B3354" s="6" t="str">
        <f ca="1">IFERROR(__xludf.DUMMYFUNCTION("GOOGLETRANSLATE(A3354,""bn"",""en"")"),"He easily forgot his old friend and first befriended Nabi Sahis")</f>
        <v>He easily forgot his old friend and first befriended Nabi Sahis</v>
      </c>
      <c r="C3354" s="7" t="s">
        <v>6</v>
      </c>
      <c r="D3354" s="7" t="s">
        <v>7</v>
      </c>
      <c r="E3354" s="7">
        <v>0</v>
      </c>
    </row>
    <row r="3355" spans="1:5" ht="15.75" customHeight="1" x14ac:dyDescent="0.25">
      <c r="A3355" s="6" t="s">
        <v>3309</v>
      </c>
      <c r="B3355" s="6" t="str">
        <f ca="1">IFERROR(__xludf.DUMMYFUNCTION("GOOGLETRANSLATE(A3355,""bn"",""en"")"),"There were several large folds of leather in the neighborhood")</f>
        <v>There were several large folds of leather in the neighborhood</v>
      </c>
      <c r="C3355" s="7" t="s">
        <v>6</v>
      </c>
      <c r="D3355" s="7" t="s">
        <v>7</v>
      </c>
      <c r="E3355" s="7">
        <v>0</v>
      </c>
    </row>
    <row r="3356" spans="1:5" ht="15.75" customHeight="1" x14ac:dyDescent="0.25">
      <c r="A3356" s="6" t="s">
        <v>3310</v>
      </c>
      <c r="B3356" s="6" t="str">
        <f ca="1">IFERROR(__xludf.DUMMYFUNCTION("GOOGLETRANSLATE(A3356,""bn"",""en"")"),"After trying in vain for a long time to focus on studies, she returned home early in the morning")</f>
        <v>After trying in vain for a long time to focus on studies, she returned home early in the morning</v>
      </c>
      <c r="C3356" s="7" t="s">
        <v>6</v>
      </c>
      <c r="D3356" s="7" t="s">
        <v>7</v>
      </c>
      <c r="E3356" s="7">
        <v>0</v>
      </c>
    </row>
    <row r="3357" spans="1:5" ht="15.75" customHeight="1" x14ac:dyDescent="0.25">
      <c r="A3357" s="6" t="s">
        <v>3311</v>
      </c>
      <c r="B3357" s="6" t="str">
        <f ca="1">IFERROR(__xludf.DUMMYFUNCTION("GOOGLETRANSLATE(A3357,""bn"",""en"")"),"He was imprisoned for writing seditious prose")</f>
        <v>He was imprisoned for writing seditious prose</v>
      </c>
      <c r="C3357" s="8" t="s">
        <v>13</v>
      </c>
      <c r="D3357" s="8" t="s">
        <v>14</v>
      </c>
      <c r="E3357" s="8">
        <v>1</v>
      </c>
    </row>
    <row r="3358" spans="1:5" ht="15.75" customHeight="1" x14ac:dyDescent="0.25">
      <c r="A3358" s="6" t="s">
        <v>3312</v>
      </c>
      <c r="B3358" s="6" t="str">
        <f ca="1">IFERROR(__xludf.DUMMYFUNCTION("GOOGLETRANSLATE(A3358,""bn"",""en"")"),"There is nothing better than a single life")</f>
        <v>There is nothing better than a single life</v>
      </c>
      <c r="C3358" s="8" t="s">
        <v>13</v>
      </c>
      <c r="D3358" s="8" t="s">
        <v>14</v>
      </c>
      <c r="E3358" s="8">
        <v>1</v>
      </c>
    </row>
    <row r="3359" spans="1:5" ht="15.75" customHeight="1" x14ac:dyDescent="0.25">
      <c r="A3359" s="6" t="s">
        <v>3313</v>
      </c>
      <c r="B3359" s="6" t="str">
        <f ca="1">IFERROR(__xludf.DUMMYFUNCTION("GOOGLETRANSLATE(A3359,""bn"",""en"")"),"Not all succubus are parasympathetic")</f>
        <v>Not all succubus are parasympathetic</v>
      </c>
      <c r="C3359" s="8" t="s">
        <v>13</v>
      </c>
      <c r="D3359" s="8" t="s">
        <v>14</v>
      </c>
      <c r="E3359" s="8">
        <v>1</v>
      </c>
    </row>
    <row r="3360" spans="1:5" ht="15.75" customHeight="1" x14ac:dyDescent="0.25">
      <c r="A3360" s="6" t="s">
        <v>3314</v>
      </c>
      <c r="B3360" s="6" t="str">
        <f ca="1">IFERROR(__xludf.DUMMYFUNCTION("GOOGLETRANSLATE(A3360,""bn"",""en"")"),"Strategic planning lays the foundation for long-term success")</f>
        <v>Strategic planning lays the foundation for long-term success</v>
      </c>
      <c r="C3360" s="8" t="s">
        <v>13</v>
      </c>
      <c r="D3360" s="8" t="s">
        <v>14</v>
      </c>
      <c r="E3360" s="8">
        <v>1</v>
      </c>
    </row>
    <row r="3361" spans="1:5" ht="15.75" customHeight="1" x14ac:dyDescent="0.25">
      <c r="A3361" s="6" t="s">
        <v>3315</v>
      </c>
      <c r="B3361" s="6" t="str">
        <f ca="1">IFERROR(__xludf.DUMMYFUNCTION("GOOGLETRANSLATE(A3361,""bn"",""en"")"),"In the middle of the night a saintly looking man comes and wants to give them a swan")</f>
        <v>In the middle of the night a saintly looking man comes and wants to give them a swan</v>
      </c>
      <c r="C3361" s="8" t="s">
        <v>13</v>
      </c>
      <c r="D3361" s="8" t="s">
        <v>14</v>
      </c>
      <c r="E3361" s="8">
        <v>1</v>
      </c>
    </row>
    <row r="3362" spans="1:5" ht="15.75" customHeight="1" x14ac:dyDescent="0.25">
      <c r="A3362" s="6" t="s">
        <v>3316</v>
      </c>
      <c r="B3362" s="6" t="str">
        <f ca="1">IFERROR(__xludf.DUMMYFUNCTION("GOOGLETRANSLATE(A3362,""bn"",""en"")"),"I don't appreciate them")</f>
        <v>I don't appreciate them</v>
      </c>
      <c r="C3362" s="7" t="s">
        <v>6</v>
      </c>
      <c r="D3362" s="7" t="s">
        <v>7</v>
      </c>
      <c r="E3362" s="7">
        <v>0</v>
      </c>
    </row>
    <row r="3363" spans="1:5" ht="15.75" customHeight="1" x14ac:dyDescent="0.25">
      <c r="A3363" s="6" t="s">
        <v>3317</v>
      </c>
      <c r="B3363" s="6" t="str">
        <f ca="1">IFERROR(__xludf.DUMMYFUNCTION("GOOGLETRANSLATE(A3363,""bn"",""en"")"),"That is why I used to travel a lot in the morning sitting in front of the table in my small room and talking with this Kabuli.")</f>
        <v>That is why I used to travel a lot in the morning sitting in front of the table in my small room and talking with this Kabuli.</v>
      </c>
      <c r="C3363" s="7" t="s">
        <v>6</v>
      </c>
      <c r="D3363" s="7" t="s">
        <v>7</v>
      </c>
      <c r="E3363" s="7">
        <v>0</v>
      </c>
    </row>
    <row r="3364" spans="1:5" ht="15.75" customHeight="1" x14ac:dyDescent="0.25">
      <c r="A3364" s="6" t="s">
        <v>3318</v>
      </c>
      <c r="B3364" s="6" t="str">
        <f ca="1">IFERROR(__xludf.DUMMYFUNCTION("GOOGLETRANSLATE(A3364,""bn"",""en"")"),"After going to Annapurna, Behara took leave and no one saw the bird")</f>
        <v>After going to Annapurna, Behara took leave and no one saw the bird</v>
      </c>
      <c r="C3364" s="7" t="s">
        <v>6</v>
      </c>
      <c r="D3364" s="7" t="s">
        <v>7</v>
      </c>
      <c r="E3364" s="7">
        <v>0</v>
      </c>
    </row>
    <row r="3365" spans="1:5" ht="15.75" customHeight="1" x14ac:dyDescent="0.25">
      <c r="A3365" s="6" t="s">
        <v>3319</v>
      </c>
      <c r="B3365" s="6" t="str">
        <f ca="1">IFERROR(__xludf.DUMMYFUNCTION("GOOGLETRANSLATE(A3365,""bn"",""en"")"),"Shaun's mother was coming to me")</f>
        <v>Shaun's mother was coming to me</v>
      </c>
      <c r="C3365" s="7" t="s">
        <v>6</v>
      </c>
      <c r="D3365" s="7" t="s">
        <v>7</v>
      </c>
      <c r="E3365" s="7">
        <v>0</v>
      </c>
    </row>
    <row r="3366" spans="1:5" ht="15.75" customHeight="1" x14ac:dyDescent="0.25">
      <c r="A3366" s="6" t="s">
        <v>3320</v>
      </c>
      <c r="B3366" s="6" t="str">
        <f ca="1">IFERROR(__xludf.DUMMYFUNCTION("GOOGLETRANSLATE(A3366,""bn"",""en"")"),"Among the Kalankinis of the village, Shashir Sendidi is more popular")</f>
        <v>Among the Kalankinis of the village, Shashir Sendidi is more popular</v>
      </c>
      <c r="C3366" s="7" t="s">
        <v>6</v>
      </c>
      <c r="D3366" s="7" t="s">
        <v>7</v>
      </c>
      <c r="E3366" s="7">
        <v>0</v>
      </c>
    </row>
    <row r="3367" spans="1:5" ht="15.75" customHeight="1" x14ac:dyDescent="0.25">
      <c r="A3367" s="6" t="s">
        <v>3321</v>
      </c>
      <c r="B3367" s="6" t="str">
        <f ca="1">IFERROR(__xludf.DUMMYFUNCTION("GOOGLETRANSLATE(A3367,""bn"",""en"")"),"Family dinner is a time to share stories and laughs")</f>
        <v>Family dinner is a time to share stories and laughs</v>
      </c>
      <c r="C3367" s="8" t="s">
        <v>13</v>
      </c>
      <c r="D3367" s="8" t="s">
        <v>14</v>
      </c>
      <c r="E3367" s="8">
        <v>1</v>
      </c>
    </row>
    <row r="3368" spans="1:5" ht="15.75" customHeight="1" x14ac:dyDescent="0.25">
      <c r="A3368" s="6" t="s">
        <v>3322</v>
      </c>
      <c r="B3368" s="6" t="str">
        <f ca="1">IFERROR(__xludf.DUMMYFUNCTION("GOOGLETRANSLATE(A3368,""bn"",""en"")"),"The interaction of local people was very good")</f>
        <v>The interaction of local people was very good</v>
      </c>
      <c r="C3368" s="8" t="s">
        <v>13</v>
      </c>
      <c r="D3368" s="8" t="s">
        <v>14</v>
      </c>
      <c r="E3368" s="8">
        <v>1</v>
      </c>
    </row>
    <row r="3369" spans="1:5" ht="15.75" customHeight="1" x14ac:dyDescent="0.25">
      <c r="A3369" s="6" t="s">
        <v>3323</v>
      </c>
      <c r="B3369" s="6" t="str">
        <f ca="1">IFERROR(__xludf.DUMMYFUNCTION("GOOGLETRANSLATE(A3369,""bn"",""en"")"),"Remote work policies are changing work trends")</f>
        <v>Remote work policies are changing work trends</v>
      </c>
      <c r="C3369" s="8" t="s">
        <v>13</v>
      </c>
      <c r="D3369" s="8" t="s">
        <v>14</v>
      </c>
      <c r="E3369" s="8">
        <v>1</v>
      </c>
    </row>
    <row r="3370" spans="1:5" ht="15.75" customHeight="1" x14ac:dyDescent="0.25">
      <c r="A3370" s="6" t="s">
        <v>3324</v>
      </c>
      <c r="B3370" s="6" t="str">
        <f ca="1">IFERROR(__xludf.DUMMYFUNCTION("GOOGLETRANSLATE(A3370,""bn"",""en"")"),"I took a detour through scenic paths to enjoy the countryside")</f>
        <v>I took a detour through scenic paths to enjoy the countryside</v>
      </c>
      <c r="C3370" s="8" t="s">
        <v>13</v>
      </c>
      <c r="D3370" s="8" t="s">
        <v>14</v>
      </c>
      <c r="E3370" s="8">
        <v>1</v>
      </c>
    </row>
    <row r="3371" spans="1:5" ht="15.75" customHeight="1" x14ac:dyDescent="0.25">
      <c r="A3371" s="6" t="s">
        <v>3325</v>
      </c>
      <c r="B3371" s="6" t="str">
        <f ca="1">IFERROR(__xludf.DUMMYFUNCTION("GOOGLETRANSLATE(A3371,""bn"",""en"")"),"Then a deep shadow descended everywhere")</f>
        <v>Then a deep shadow descended everywhere</v>
      </c>
      <c r="C3371" s="8" t="s">
        <v>13</v>
      </c>
      <c r="D3371" s="8" t="s">
        <v>14</v>
      </c>
      <c r="E3371" s="8">
        <v>1</v>
      </c>
    </row>
    <row r="3372" spans="1:5" ht="15.75" customHeight="1" x14ac:dyDescent="0.25">
      <c r="A3372" s="6" t="s">
        <v>3326</v>
      </c>
      <c r="B3372" s="6" t="str">
        <f ca="1">IFERROR(__xludf.DUMMYFUNCTION("GOOGLETRANSLATE(A3372,""bn"",""en"")"),"He was surprised to see her different clothes")</f>
        <v>He was surprised to see her different clothes</v>
      </c>
      <c r="C3372" s="7" t="s">
        <v>6</v>
      </c>
      <c r="D3372" s="7" t="s">
        <v>7</v>
      </c>
      <c r="E3372" s="7">
        <v>0</v>
      </c>
    </row>
    <row r="3373" spans="1:5" ht="15.75" customHeight="1" x14ac:dyDescent="0.25">
      <c r="A3373" s="6" t="s">
        <v>3327</v>
      </c>
      <c r="B3373" s="6" t="str">
        <f ca="1">IFERROR(__xludf.DUMMYFUNCTION("GOOGLETRANSLATE(A3373,""bn"",""en"")"),"Boys are lap children")</f>
        <v>Boys are lap children</v>
      </c>
      <c r="C3373" s="7" t="s">
        <v>6</v>
      </c>
      <c r="D3373" s="7" t="s">
        <v>7</v>
      </c>
      <c r="E3373" s="7">
        <v>0</v>
      </c>
    </row>
    <row r="3374" spans="1:5" ht="15.75" customHeight="1" x14ac:dyDescent="0.25">
      <c r="A3374" s="6" t="s">
        <v>3328</v>
      </c>
      <c r="B3374" s="6" t="str">
        <f ca="1">IFERROR(__xludf.DUMMYFUNCTION("GOOGLETRANSLATE(A3374,""bn"",""en"")"),"I was asked to go to them")</f>
        <v>I was asked to go to them</v>
      </c>
      <c r="C3374" s="7" t="s">
        <v>6</v>
      </c>
      <c r="D3374" s="7" t="s">
        <v>7</v>
      </c>
      <c r="E3374" s="7">
        <v>0</v>
      </c>
    </row>
    <row r="3375" spans="1:5" ht="15.75" customHeight="1" x14ac:dyDescent="0.25">
      <c r="A3375" s="6" t="s">
        <v>3329</v>
      </c>
      <c r="B3375" s="6" t="str">
        <f ca="1">IFERROR(__xludf.DUMMYFUNCTION("GOOGLETRANSLATE(A3375,""bn"",""en"")"),"I told him the stories of my failures.")</f>
        <v>I told him the stories of my failures.</v>
      </c>
      <c r="C3375" s="7" t="s">
        <v>6</v>
      </c>
      <c r="D3375" s="7" t="s">
        <v>7</v>
      </c>
      <c r="E3375" s="7">
        <v>0</v>
      </c>
    </row>
    <row r="3376" spans="1:5" ht="15.75" customHeight="1" x14ac:dyDescent="0.25">
      <c r="A3376" s="6" t="s">
        <v>3330</v>
      </c>
      <c r="B3376" s="6" t="str">
        <f ca="1">IFERROR(__xludf.DUMMYFUNCTION("GOOGLETRANSLATE(A3376,""bn"",""en"")"),"Even if he did not eat, he was in no hurry to return the bowl")</f>
        <v>Even if he did not eat, he was in no hurry to return the bowl</v>
      </c>
      <c r="C3376" s="7" t="s">
        <v>6</v>
      </c>
      <c r="D3376" s="7" t="s">
        <v>7</v>
      </c>
      <c r="E3376" s="7">
        <v>0</v>
      </c>
    </row>
    <row r="3377" spans="1:5" ht="15.75" customHeight="1" x14ac:dyDescent="0.25">
      <c r="A3377" s="6" t="s">
        <v>3331</v>
      </c>
      <c r="B3377" s="6" t="str">
        <f ca="1">IFERROR(__xludf.DUMMYFUNCTION("GOOGLETRANSLATE(A3377,""bn"",""en"")"),"My father asked me to go to school")</f>
        <v>My father asked me to go to school</v>
      </c>
      <c r="C3377" s="8" t="s">
        <v>13</v>
      </c>
      <c r="D3377" s="8" t="s">
        <v>14</v>
      </c>
      <c r="E3377" s="8">
        <v>1</v>
      </c>
    </row>
    <row r="3378" spans="1:5" ht="15.75" customHeight="1" x14ac:dyDescent="0.25">
      <c r="A3378" s="6" t="s">
        <v>3332</v>
      </c>
      <c r="B3378" s="6" t="str">
        <f ca="1">IFERROR(__xludf.DUMMYFUNCTION("GOOGLETRANSLATE(A3378,""bn"",""en"")"),"Educational technology enhances instructional delivery engagement")</f>
        <v>Educational technology enhances instructional delivery engagement</v>
      </c>
      <c r="C3378" s="8" t="s">
        <v>13</v>
      </c>
      <c r="D3378" s="8" t="s">
        <v>14</v>
      </c>
      <c r="E3378" s="8">
        <v>1</v>
      </c>
    </row>
    <row r="3379" spans="1:5" ht="15.75" customHeight="1" x14ac:dyDescent="0.25">
      <c r="A3379" s="6" t="s">
        <v>3333</v>
      </c>
      <c r="B3379" s="6" t="str">
        <f ca="1">IFERROR(__xludf.DUMMYFUNCTION("GOOGLETRANSLATE(A3379,""bn"",""en"")"),"During this decade Babel's short stories brought him widespread fame")</f>
        <v>During this decade Babel's short stories brought him widespread fame</v>
      </c>
      <c r="C3379" s="8" t="s">
        <v>13</v>
      </c>
      <c r="D3379" s="8" t="s">
        <v>14</v>
      </c>
      <c r="E3379" s="8">
        <v>1</v>
      </c>
    </row>
    <row r="3380" spans="1:5" ht="15.75" customHeight="1" x14ac:dyDescent="0.25">
      <c r="A3380" s="6" t="s">
        <v>3334</v>
      </c>
      <c r="B3380" s="6" t="str">
        <f ca="1">IFERROR(__xludf.DUMMYFUNCTION("GOOGLETRANSLATE(A3380,""bn"",""en"")"),"Zoroastrianism originated in ancient Persia focusing on the struggle between good and evil")</f>
        <v>Zoroastrianism originated in ancient Persia focusing on the struggle between good and evil</v>
      </c>
      <c r="C3380" s="8" t="s">
        <v>13</v>
      </c>
      <c r="D3380" s="8" t="s">
        <v>14</v>
      </c>
      <c r="E3380" s="8">
        <v>1</v>
      </c>
    </row>
    <row r="3381" spans="1:5" ht="15.75" customHeight="1" x14ac:dyDescent="0.25">
      <c r="A3381" s="6" t="s">
        <v>3335</v>
      </c>
      <c r="B3381" s="6" t="str">
        <f ca="1">IFERROR(__xludf.DUMMYFUNCTION("GOOGLETRANSLATE(A3381,""bn"",""en"")"),"People are not like people's shadows")</f>
        <v>People are not like people's shadows</v>
      </c>
      <c r="C3381" s="8" t="s">
        <v>13</v>
      </c>
      <c r="D3381" s="8" t="s">
        <v>14</v>
      </c>
      <c r="E3381" s="8">
        <v>1</v>
      </c>
    </row>
    <row r="3382" spans="1:5" ht="15.75" customHeight="1" x14ac:dyDescent="0.25">
      <c r="A3382" s="6" t="s">
        <v>3336</v>
      </c>
      <c r="B3382" s="6" t="str">
        <f ca="1">IFERROR(__xludf.DUMMYFUNCTION("GOOGLETRANSLATE(A3382,""bn"",""en"")"),"In the stream of this group, I also started to float from village to village")</f>
        <v>In the stream of this group, I also started to float from village to village</v>
      </c>
      <c r="C3382" s="7" t="s">
        <v>6</v>
      </c>
      <c r="D3382" s="7" t="s">
        <v>7</v>
      </c>
      <c r="E3382" s="7">
        <v>0</v>
      </c>
    </row>
    <row r="3383" spans="1:5" ht="15.75" customHeight="1" x14ac:dyDescent="0.25">
      <c r="A3383" s="6" t="s">
        <v>3337</v>
      </c>
      <c r="B3383" s="6" t="str">
        <f ca="1">IFERROR(__xludf.DUMMYFUNCTION("GOOGLETRANSLATE(A3383,""bn"",""en"")"),"There was a great commotion at the wedding")</f>
        <v>There was a great commotion at the wedding</v>
      </c>
      <c r="C3383" s="7" t="s">
        <v>6</v>
      </c>
      <c r="D3383" s="7" t="s">
        <v>7</v>
      </c>
      <c r="E3383" s="7">
        <v>0</v>
      </c>
    </row>
    <row r="3384" spans="1:5" ht="15.75" customHeight="1" x14ac:dyDescent="0.25">
      <c r="A3384" s="6" t="s">
        <v>3338</v>
      </c>
      <c r="B3384" s="6" t="str">
        <f ca="1">IFERROR(__xludf.DUMMYFUNCTION("GOOGLETRANSLATE(A3384,""bn"",""en"")"),"Rumi talked a lot about me")</f>
        <v>Rumi talked a lot about me</v>
      </c>
      <c r="C3384" s="7" t="s">
        <v>6</v>
      </c>
      <c r="D3384" s="7" t="s">
        <v>7</v>
      </c>
      <c r="E3384" s="7">
        <v>0</v>
      </c>
    </row>
    <row r="3385" spans="1:5" ht="15.75" customHeight="1" x14ac:dyDescent="0.25">
      <c r="A3385" s="6" t="s">
        <v>3339</v>
      </c>
      <c r="B3385" s="6" t="str">
        <f ca="1">IFERROR(__xludf.DUMMYFUNCTION("GOOGLETRANSLATE(A3385,""bn"",""en"")"),"My father used to come to Dhaka from Lahore")</f>
        <v>My father used to come to Dhaka from Lahore</v>
      </c>
      <c r="C3385" s="7" t="s">
        <v>6</v>
      </c>
      <c r="D3385" s="7" t="s">
        <v>7</v>
      </c>
      <c r="E3385" s="7">
        <v>0</v>
      </c>
    </row>
    <row r="3386" spans="1:5" ht="15.75" customHeight="1" x14ac:dyDescent="0.25">
      <c r="A3386" s="6" t="s">
        <v>3340</v>
      </c>
      <c r="B3386" s="6" t="str">
        <f ca="1">IFERROR(__xludf.DUMMYFUNCTION("GOOGLETRANSLATE(A3386,""bn"",""en"")"),"I finally recognized him by seeing his smile")</f>
        <v>I finally recognized him by seeing his smile</v>
      </c>
      <c r="C3386" s="7" t="s">
        <v>6</v>
      </c>
      <c r="D3386" s="7" t="s">
        <v>7</v>
      </c>
      <c r="E3386" s="7">
        <v>0</v>
      </c>
    </row>
    <row r="3387" spans="1:5" ht="15.75" customHeight="1" x14ac:dyDescent="0.25">
      <c r="A3387" s="6" t="s">
        <v>3341</v>
      </c>
      <c r="B3387" s="6" t="str">
        <f ca="1">IFERROR(__xludf.DUMMYFUNCTION("GOOGLETRANSLATE(A3387,""bn"",""en"")"),"Family gatherings always bring joy to my heart")</f>
        <v>Family gatherings always bring joy to my heart</v>
      </c>
      <c r="C3387" s="8" t="s">
        <v>13</v>
      </c>
      <c r="D3387" s="8" t="s">
        <v>14</v>
      </c>
      <c r="E3387" s="8">
        <v>1</v>
      </c>
    </row>
    <row r="3388" spans="1:5" ht="15.75" customHeight="1" x14ac:dyDescent="0.25">
      <c r="A3388" s="6" t="s">
        <v>3342</v>
      </c>
      <c r="B3388" s="6" t="str">
        <f ca="1">IFERROR(__xludf.DUMMYFUNCTION("GOOGLETRANSLATE(A3388,""bn"",""en"")"),"At the end of the day we spent some time at the beach")</f>
        <v>At the end of the day we spent some time at the beach</v>
      </c>
      <c r="C3388" s="8" t="s">
        <v>13</v>
      </c>
      <c r="D3388" s="8" t="s">
        <v>14</v>
      </c>
      <c r="E3388" s="8">
        <v>1</v>
      </c>
    </row>
    <row r="3389" spans="1:5" ht="15.75" customHeight="1" x14ac:dyDescent="0.25">
      <c r="A3389" s="6" t="s">
        <v>3343</v>
      </c>
      <c r="B3389" s="6" t="str">
        <f ca="1">IFERROR(__xludf.DUMMYFUNCTION("GOOGLETRANSLATE(A3389,""bn"",""en"")"),"I have also given a little description of my childhood in some of those books")</f>
        <v>I have also given a little description of my childhood in some of those books</v>
      </c>
      <c r="C3389" s="8" t="s">
        <v>13</v>
      </c>
      <c r="D3389" s="8" t="s">
        <v>14</v>
      </c>
      <c r="E3389" s="8">
        <v>1</v>
      </c>
    </row>
    <row r="3390" spans="1:5" ht="15.75" customHeight="1" x14ac:dyDescent="0.25">
      <c r="A3390" s="6" t="s">
        <v>3344</v>
      </c>
      <c r="B3390" s="6" t="str">
        <f ca="1">IFERROR(__xludf.DUMMYFUNCTION("GOOGLETRANSLATE(A3390,""bn"",""en"")"),"He has also won the Booker Prize for Literature twice")</f>
        <v>He has also won the Booker Prize for Literature twice</v>
      </c>
      <c r="C3390" s="8" t="s">
        <v>13</v>
      </c>
      <c r="D3390" s="8" t="s">
        <v>14</v>
      </c>
      <c r="E3390" s="8">
        <v>1</v>
      </c>
    </row>
    <row r="3391" spans="1:5" ht="15.75" customHeight="1" x14ac:dyDescent="0.25">
      <c r="A3391" s="6" t="s">
        <v>3345</v>
      </c>
      <c r="B3391" s="6" t="str">
        <f ca="1">IFERROR(__xludf.DUMMYFUNCTION("GOOGLETRANSLATE(A3391,""bn"",""en"")"),"I could hear them")</f>
        <v>I could hear them</v>
      </c>
      <c r="C3391" s="8" t="s">
        <v>13</v>
      </c>
      <c r="D3391" s="8" t="s">
        <v>14</v>
      </c>
      <c r="E3391" s="8">
        <v>1</v>
      </c>
    </row>
    <row r="3392" spans="1:5" ht="15.75" customHeight="1" x14ac:dyDescent="0.25">
      <c r="A3392" s="6" t="s">
        <v>3346</v>
      </c>
      <c r="B3392" s="6" t="str">
        <f ca="1">IFERROR(__xludf.DUMMYFUNCTION("GOOGLETRANSLATE(A3392,""bn"",""en"")"),"I left for Chotanagpur in Bahakskandha at half past midnight")</f>
        <v>I left for Chotanagpur in Bahakskandha at half past midnight</v>
      </c>
      <c r="C3392" s="7" t="s">
        <v>6</v>
      </c>
      <c r="D3392" s="7" t="s">
        <v>7</v>
      </c>
      <c r="E3392" s="7">
        <v>0</v>
      </c>
    </row>
    <row r="3393" spans="1:5" ht="15.75" customHeight="1" x14ac:dyDescent="0.25">
      <c r="A3393" s="6" t="s">
        <v>3347</v>
      </c>
      <c r="B3393" s="6" t="str">
        <f ca="1">IFERROR(__xludf.DUMMYFUNCTION("GOOGLETRANSLATE(A3393,""bn"",""en"")"),"Two passed away—I must say that there was a little smile on the tip of his cheek.")</f>
        <v>Two passed away—I must say that there was a little smile on the tip of his cheek.</v>
      </c>
      <c r="C3393" s="7" t="s">
        <v>6</v>
      </c>
      <c r="D3393" s="7" t="s">
        <v>7</v>
      </c>
      <c r="E3393" s="7">
        <v>0</v>
      </c>
    </row>
    <row r="3394" spans="1:5" ht="15.75" customHeight="1" x14ac:dyDescent="0.25">
      <c r="A3394" s="6" t="s">
        <v>3348</v>
      </c>
      <c r="B3394" s="6" t="str">
        <f ca="1">IFERROR(__xludf.DUMMYFUNCTION("GOOGLETRANSLATE(A3394,""bn"",""en"")"),"My body was excited and I went towards that direction with some curiosity")</f>
        <v>My body was excited and I went towards that direction with some curiosity</v>
      </c>
      <c r="C3394" s="7" t="s">
        <v>6</v>
      </c>
      <c r="D3394" s="7" t="s">
        <v>7</v>
      </c>
      <c r="E3394" s="7">
        <v>0</v>
      </c>
    </row>
    <row r="3395" spans="1:5" ht="15.75" customHeight="1" x14ac:dyDescent="0.25">
      <c r="A3395" s="6" t="s">
        <v>3349</v>
      </c>
      <c r="B3395" s="6" t="str">
        <f ca="1">IFERROR(__xludf.DUMMYFUNCTION("GOOGLETRANSLATE(A3395,""bn"",""en"")"),"At night I fell asleep reading a book")</f>
        <v>At night I fell asleep reading a book</v>
      </c>
      <c r="C3395" s="7" t="s">
        <v>6</v>
      </c>
      <c r="D3395" s="7" t="s">
        <v>7</v>
      </c>
      <c r="E3395" s="7">
        <v>0</v>
      </c>
    </row>
    <row r="3396" spans="1:5" ht="15.75" customHeight="1" x14ac:dyDescent="0.25">
      <c r="A3396" s="6" t="s">
        <v>3350</v>
      </c>
      <c r="B3396" s="6" t="str">
        <f ca="1">IFERROR(__xludf.DUMMYFUNCTION("GOOGLETRANSLATE(A3396,""bn"",""en"")"),"After the monsoon, the mud dries up and looks like it has been plowed away")</f>
        <v>After the monsoon, the mud dries up and looks like it has been plowed away</v>
      </c>
      <c r="C3396" s="7" t="s">
        <v>6</v>
      </c>
      <c r="D3396" s="7" t="s">
        <v>7</v>
      </c>
      <c r="E3396" s="7">
        <v>0</v>
      </c>
    </row>
    <row r="3397" spans="1:5" ht="15.75" customHeight="1" x14ac:dyDescent="0.25">
      <c r="A3397" s="6" t="s">
        <v>3351</v>
      </c>
      <c r="B3397" s="6" t="str">
        <f ca="1">IFERROR(__xludf.DUMMYFUNCTION("GOOGLETRANSLATE(A3397,""bn"",""en"")"),"Veterinary surgeon performed a life-saving operation on a beloved pet")</f>
        <v>Veterinary surgeon performed a life-saving operation on a beloved pet</v>
      </c>
      <c r="C3397" s="8" t="s">
        <v>13</v>
      </c>
      <c r="D3397" s="8" t="s">
        <v>14</v>
      </c>
      <c r="E3397" s="8">
        <v>1</v>
      </c>
    </row>
    <row r="3398" spans="1:5" ht="15.75" customHeight="1" x14ac:dyDescent="0.25">
      <c r="A3398" s="6" t="s">
        <v>3352</v>
      </c>
      <c r="B3398" s="6" t="str">
        <f ca="1">IFERROR(__xludf.DUMMYFUNCTION("GOOGLETRANSLATE(A3398,""bn"",""en"")"),"Criminal sentencing aims to achieve justice while considering factors such as public safety, prevention of rehabilitation")</f>
        <v>Criminal sentencing aims to achieve justice while considering factors such as public safety, prevention of rehabilitation</v>
      </c>
      <c r="C3398" s="8" t="s">
        <v>13</v>
      </c>
      <c r="D3398" s="8" t="s">
        <v>14</v>
      </c>
      <c r="E3398" s="8">
        <v>1</v>
      </c>
    </row>
    <row r="3399" spans="1:5" ht="15.75" customHeight="1" x14ac:dyDescent="0.25">
      <c r="A3399" s="6" t="s">
        <v>3353</v>
      </c>
      <c r="B3399" s="6" t="str">
        <f ca="1">IFERROR(__xludf.DUMMYFUNCTION("GOOGLETRANSLATE(A3399,""bn"",""en"")"),"Education enables the individual to contribute to society")</f>
        <v>Education enables the individual to contribute to society</v>
      </c>
      <c r="C3399" s="8" t="s">
        <v>13</v>
      </c>
      <c r="D3399" s="8" t="s">
        <v>14</v>
      </c>
      <c r="E3399" s="8">
        <v>1</v>
      </c>
    </row>
    <row r="3400" spans="1:5" ht="15.75" customHeight="1" x14ac:dyDescent="0.25">
      <c r="A3400" s="6" t="s">
        <v>3354</v>
      </c>
      <c r="B3400" s="6" t="str">
        <f ca="1">IFERROR(__xludf.DUMMYFUNCTION("GOOGLETRANSLATE(A3400,""bn"",""en"")"),"Juicy watermelon quenches summer thirst")</f>
        <v>Juicy watermelon quenches summer thirst</v>
      </c>
      <c r="C3400" s="8" t="s">
        <v>13</v>
      </c>
      <c r="D3400" s="8" t="s">
        <v>14</v>
      </c>
      <c r="E3400" s="8">
        <v>1</v>
      </c>
    </row>
    <row r="3401" spans="1:5" ht="15.75" customHeight="1" x14ac:dyDescent="0.25">
      <c r="A3401" s="6" t="s">
        <v>3355</v>
      </c>
      <c r="B3401" s="6" t="str">
        <f ca="1">IFERROR(__xludf.DUMMYFUNCTION("GOOGLETRANSLATE(A3401,""bn"",""en"")"),"I got stuck in traffic this morning it was a nightmare")</f>
        <v>I got stuck in traffic this morning it was a nightmare</v>
      </c>
      <c r="C3401" s="8" t="s">
        <v>13</v>
      </c>
      <c r="D3401" s="8" t="s">
        <v>14</v>
      </c>
      <c r="E3401" s="8">
        <v>1</v>
      </c>
    </row>
    <row r="3402" spans="1:5" ht="15.75" customHeight="1" x14ac:dyDescent="0.25">
      <c r="A3402" s="6" t="s">
        <v>3356</v>
      </c>
      <c r="B3402" s="6" t="str">
        <f ca="1">IFERROR(__xludf.DUMMYFUNCTION("GOOGLETRANSLATE(A3402,""bn"",""en"")"),"Shakib called me to play cricket")</f>
        <v>Shakib called me to play cricket</v>
      </c>
      <c r="C3402" s="7" t="s">
        <v>6</v>
      </c>
      <c r="D3402" s="7" t="s">
        <v>7</v>
      </c>
      <c r="E3402" s="7">
        <v>0</v>
      </c>
    </row>
    <row r="3403" spans="1:5" ht="15.75" customHeight="1" x14ac:dyDescent="0.25">
      <c r="A3403" s="6" t="s">
        <v>3357</v>
      </c>
      <c r="B3403" s="6" t="str">
        <f ca="1">IFERROR(__xludf.DUMMYFUNCTION("GOOGLETRANSLATE(A3403,""bn"",""en"")"),"After saying goodbye to the gentleman, I was thinking about the young woman and went towards the hill")</f>
        <v>After saying goodbye to the gentleman, I was thinking about the young woman and went towards the hill</v>
      </c>
      <c r="C3403" s="7" t="s">
        <v>6</v>
      </c>
      <c r="D3403" s="7" t="s">
        <v>7</v>
      </c>
      <c r="E3403" s="7">
        <v>0</v>
      </c>
    </row>
    <row r="3404" spans="1:5" ht="15.75" customHeight="1" x14ac:dyDescent="0.25">
      <c r="A3404" s="6" t="s">
        <v>3358</v>
      </c>
      <c r="B3404" s="6" t="str">
        <f ca="1">IFERROR(__xludf.DUMMYFUNCTION("GOOGLETRANSLATE(A3404,""bn"",""en"")"),"That day, his insulted and angry heart began to rule his instincts")</f>
        <v>That day, his insulted and angry heart began to rule his instincts</v>
      </c>
      <c r="C3404" s="7" t="s">
        <v>6</v>
      </c>
      <c r="D3404" s="7" t="s">
        <v>7</v>
      </c>
      <c r="E3404" s="7">
        <v>0</v>
      </c>
    </row>
    <row r="3405" spans="1:5" ht="15.75" customHeight="1" x14ac:dyDescent="0.25">
      <c r="A3405" s="6" t="s">
        <v>3359</v>
      </c>
      <c r="B3405" s="6" t="str">
        <f ca="1">IFERROR(__xludf.DUMMYFUNCTION("GOOGLETRANSLATE(A3405,""bn"",""en"")"),"Rahim Rana entered the mosque together")</f>
        <v>Rahim Rana entered the mosque together</v>
      </c>
      <c r="C3405" s="7" t="s">
        <v>6</v>
      </c>
      <c r="D3405" s="7" t="s">
        <v>7</v>
      </c>
      <c r="E3405" s="7">
        <v>0</v>
      </c>
    </row>
    <row r="3406" spans="1:5" ht="15.75" customHeight="1" x14ac:dyDescent="0.25">
      <c r="A3406" s="6" t="s">
        <v>3360</v>
      </c>
      <c r="B3406" s="6" t="str">
        <f ca="1">IFERROR(__xludf.DUMMYFUNCTION("GOOGLETRANSLATE(A3406,""bn"",""en"")"),"Boys should practice hard work till boyhood")</f>
        <v>Boys should practice hard work till boyhood</v>
      </c>
      <c r="C3406" s="7" t="s">
        <v>6</v>
      </c>
      <c r="D3406" s="7" t="s">
        <v>7</v>
      </c>
      <c r="E3406" s="7">
        <v>0</v>
      </c>
    </row>
    <row r="3407" spans="1:5" ht="15.75" customHeight="1" x14ac:dyDescent="0.25">
      <c r="A3407" s="6" t="s">
        <v>3361</v>
      </c>
      <c r="B3407" s="6" t="str">
        <f ca="1">IFERROR(__xludf.DUMMYFUNCTION("GOOGLETRANSLATE(A3407,""bn"",""en"")"),"The battle lasted from May to May")</f>
        <v>The battle lasted from May to May</v>
      </c>
      <c r="C3407" s="8" t="s">
        <v>13</v>
      </c>
      <c r="D3407" s="8" t="s">
        <v>14</v>
      </c>
      <c r="E3407" s="8">
        <v>1</v>
      </c>
    </row>
    <row r="3408" spans="1:5" ht="15.75" customHeight="1" x14ac:dyDescent="0.25">
      <c r="A3408" s="6" t="s">
        <v>3362</v>
      </c>
      <c r="B3408" s="6" t="str">
        <f ca="1">IFERROR(__xludf.DUMMYFUNCTION("GOOGLETRANSLATE(A3408,""bn"",""en"")"),"His hope was fulfilled")</f>
        <v>His hope was fulfilled</v>
      </c>
      <c r="C3408" s="8" t="s">
        <v>13</v>
      </c>
      <c r="D3408" s="8" t="s">
        <v>14</v>
      </c>
      <c r="E3408" s="8">
        <v>1</v>
      </c>
    </row>
    <row r="3409" spans="1:5" ht="15.75" customHeight="1" x14ac:dyDescent="0.25">
      <c r="A3409" s="6" t="s">
        <v>3363</v>
      </c>
      <c r="B3409" s="6" t="str">
        <f ca="1">IFERROR(__xludf.DUMMYFUNCTION("GOOGLETRANSLATE(A3409,""bn"",""en"")"),"Madrasa cannot run away and become an Azhari")</f>
        <v>Madrasa cannot run away and become an Azhari</v>
      </c>
      <c r="C3409" s="8" t="s">
        <v>13</v>
      </c>
      <c r="D3409" s="8" t="s">
        <v>14</v>
      </c>
      <c r="E3409" s="8">
        <v>1</v>
      </c>
    </row>
    <row r="3410" spans="1:5" ht="15.75" customHeight="1" x14ac:dyDescent="0.25">
      <c r="A3410" s="6" t="s">
        <v>3364</v>
      </c>
      <c r="B3410" s="6" t="str">
        <f ca="1">IFERROR(__xludf.DUMMYFUNCTION("GOOGLETRANSLATE(A3410,""bn"",""en"")"),"Karim bought fish from the market")</f>
        <v>Karim bought fish from the market</v>
      </c>
      <c r="C3410" s="8" t="s">
        <v>13</v>
      </c>
      <c r="D3410" s="8" t="s">
        <v>14</v>
      </c>
      <c r="E3410" s="8">
        <v>1</v>
      </c>
    </row>
    <row r="3411" spans="1:5" ht="15.75" customHeight="1" x14ac:dyDescent="0.25">
      <c r="A3411" s="6" t="s">
        <v>3365</v>
      </c>
      <c r="B3411" s="6" t="str">
        <f ca="1">IFERROR(__xludf.DUMMYFUNCTION("GOOGLETRANSLATE(A3411,""bn"",""en"")"),"This product exceeded my expectations I am extremely satisfied with my purchase")</f>
        <v>This product exceeded my expectations I am extremely satisfied with my purchase</v>
      </c>
      <c r="C3411" s="8" t="s">
        <v>13</v>
      </c>
      <c r="D3411" s="8" t="s">
        <v>14</v>
      </c>
      <c r="E3411" s="8">
        <v>1</v>
      </c>
    </row>
    <row r="3412" spans="1:5" ht="15.75" customHeight="1" x14ac:dyDescent="0.25">
      <c r="A3412" s="6" t="s">
        <v>3366</v>
      </c>
      <c r="B3412" s="6" t="str">
        <f ca="1">IFERROR(__xludf.DUMMYFUNCTION("GOOGLETRANSLATE(A3412,""bn"",""en"")"),"He tries to get up again with no shame")</f>
        <v>He tries to get up again with no shame</v>
      </c>
      <c r="C3412" s="7" t="s">
        <v>6</v>
      </c>
      <c r="D3412" s="7" t="s">
        <v>7</v>
      </c>
      <c r="E3412" s="7">
        <v>0</v>
      </c>
    </row>
    <row r="3413" spans="1:5" ht="15.75" customHeight="1" x14ac:dyDescent="0.25">
      <c r="A3413" s="6" t="s">
        <v>3367</v>
      </c>
      <c r="B3413" s="6" t="str">
        <f ca="1">IFERROR(__xludf.DUMMYFUNCTION("GOOGLETRANSLATE(A3413,""bn"",""en"")"),"After the last battle, a compromise was reached and immediately both sides sat down to eat together")</f>
        <v>After the last battle, a compromise was reached and immediately both sides sat down to eat together</v>
      </c>
      <c r="C3413" s="7" t="s">
        <v>6</v>
      </c>
      <c r="D3413" s="7" t="s">
        <v>7</v>
      </c>
      <c r="E3413" s="7">
        <v>0</v>
      </c>
    </row>
    <row r="3414" spans="1:5" ht="15.75" customHeight="1" x14ac:dyDescent="0.25">
      <c r="A3414" s="6" t="s">
        <v>3368</v>
      </c>
      <c r="B3414" s="6" t="str">
        <f ca="1">IFERROR(__xludf.DUMMYFUNCTION("GOOGLETRANSLATE(A3414,""bn"",""en"")"),"What fish did the sailor catch?")</f>
        <v>What fish did the sailor catch?</v>
      </c>
      <c r="C3414" s="7" t="s">
        <v>6</v>
      </c>
      <c r="D3414" s="7" t="s">
        <v>7</v>
      </c>
      <c r="E3414" s="7">
        <v>0</v>
      </c>
    </row>
    <row r="3415" spans="1:5" ht="15.75" customHeight="1" x14ac:dyDescent="0.25">
      <c r="A3415" s="6" t="s">
        <v>3369</v>
      </c>
      <c r="B3415" s="6" t="str">
        <f ca="1">IFERROR(__xludf.DUMMYFUNCTION("GOOGLETRANSLATE(A3415,""bn"",""en"")"),"He also always feels in his heart that he doesn't quite fit in somewhere in the world")</f>
        <v>He also always feels in his heart that he doesn't quite fit in somewhere in the world</v>
      </c>
      <c r="C3415" s="7" t="s">
        <v>6</v>
      </c>
      <c r="D3415" s="7" t="s">
        <v>7</v>
      </c>
      <c r="E3415" s="7">
        <v>0</v>
      </c>
    </row>
    <row r="3416" spans="1:5" ht="15.75" customHeight="1" x14ac:dyDescent="0.25">
      <c r="A3416" s="6" t="s">
        <v>3370</v>
      </c>
      <c r="B3416" s="6" t="str">
        <f ca="1">IFERROR(__xludf.DUMMYFUNCTION("GOOGLETRANSLATE(A3416,""bn"",""en"")"),"Ruma had told my mother everything")</f>
        <v>Ruma had told my mother everything</v>
      </c>
      <c r="C3416" s="7" t="s">
        <v>6</v>
      </c>
      <c r="D3416" s="7" t="s">
        <v>7</v>
      </c>
      <c r="E3416" s="7">
        <v>0</v>
      </c>
    </row>
    <row r="3417" spans="1:5" ht="15.75" customHeight="1" x14ac:dyDescent="0.25">
      <c r="A3417" s="6" t="s">
        <v>174</v>
      </c>
      <c r="B3417" s="6" t="str">
        <f ca="1">IFERROR(__xludf.DUMMYFUNCTION("GOOGLETRANSLATE(A3417,""bn"",""en"")"),"Surprisingly, the Madras Dhanushkari mail never arrived on time")</f>
        <v>Surprisingly, the Madras Dhanushkari mail never arrived on time</v>
      </c>
      <c r="C3417" s="8" t="s">
        <v>13</v>
      </c>
      <c r="D3417" s="8" t="s">
        <v>14</v>
      </c>
      <c r="E3417" s="8">
        <v>1</v>
      </c>
    </row>
    <row r="3418" spans="1:5" ht="15.75" customHeight="1" x14ac:dyDescent="0.25">
      <c r="A3418" s="6" t="s">
        <v>3371</v>
      </c>
      <c r="B3418" s="6" t="str">
        <f ca="1">IFERROR(__xludf.DUMMYFUNCTION("GOOGLETRANSLATE(A3418,""bn"",""en"")"),"Be active in strengthening your mind")</f>
        <v>Be active in strengthening your mind</v>
      </c>
      <c r="C3418" s="8" t="s">
        <v>13</v>
      </c>
      <c r="D3418" s="8" t="s">
        <v>14</v>
      </c>
      <c r="E3418" s="8">
        <v>1</v>
      </c>
    </row>
    <row r="3419" spans="1:5" ht="15.75" customHeight="1" x14ac:dyDescent="0.25">
      <c r="A3419" s="6" t="s">
        <v>3372</v>
      </c>
      <c r="B3419" s="6" t="str">
        <f ca="1">IFERROR(__xludf.DUMMYFUNCTION("GOOGLETRANSLATE(A3419,""bn"",""en"")"),"He was awarded the Anand Award in")</f>
        <v>He was awarded the Anand Award in</v>
      </c>
      <c r="C3419" s="8" t="s">
        <v>13</v>
      </c>
      <c r="D3419" s="8" t="s">
        <v>14</v>
      </c>
      <c r="E3419" s="8">
        <v>1</v>
      </c>
    </row>
    <row r="3420" spans="1:5" ht="15.75" customHeight="1" x14ac:dyDescent="0.25">
      <c r="A3420" s="6" t="s">
        <v>3373</v>
      </c>
      <c r="B3420" s="6" t="str">
        <f ca="1">IFERROR(__xludf.DUMMYFUNCTION("GOOGLETRANSLATE(A3420,""bn"",""en"")"),"Click for product details")</f>
        <v>Click for product details</v>
      </c>
      <c r="C3420" s="8" t="s">
        <v>13</v>
      </c>
      <c r="D3420" s="8" t="s">
        <v>14</v>
      </c>
      <c r="E3420" s="8">
        <v>1</v>
      </c>
    </row>
    <row r="3421" spans="1:5" ht="15.75" customHeight="1" x14ac:dyDescent="0.25">
      <c r="A3421" s="6" t="s">
        <v>3374</v>
      </c>
      <c r="B3421" s="6" t="str">
        <f ca="1">IFERROR(__xludf.DUMMYFUNCTION("GOOGLETRANSLATE(A3421,""bn"",""en"")"),"The staff was friendly helpful throughout my visit")</f>
        <v>The staff was friendly helpful throughout my visit</v>
      </c>
      <c r="C3421" s="8" t="s">
        <v>13</v>
      </c>
      <c r="D3421" s="8" t="s">
        <v>14</v>
      </c>
      <c r="E3421" s="8">
        <v>1</v>
      </c>
    </row>
    <row r="3422" spans="1:5" ht="15.75" customHeight="1" x14ac:dyDescent="0.25">
      <c r="A3422" s="6" t="s">
        <v>3375</v>
      </c>
      <c r="B3422" s="6" t="str">
        <f ca="1">IFERROR(__xludf.DUMMYFUNCTION("GOOGLETRANSLATE(A3422,""bn"",""en"")"),"Some Hindus eat this flower with rice")</f>
        <v>Some Hindus eat this flower with rice</v>
      </c>
      <c r="C3422" s="7" t="s">
        <v>6</v>
      </c>
      <c r="D3422" s="7" t="s">
        <v>7</v>
      </c>
      <c r="E3422" s="7">
        <v>0</v>
      </c>
    </row>
    <row r="3423" spans="1:5" ht="15.75" customHeight="1" x14ac:dyDescent="0.25">
      <c r="A3423" s="6" t="s">
        <v>3376</v>
      </c>
      <c r="B3423" s="6" t="str">
        <f ca="1">IFERROR(__xludf.DUMMYFUNCTION("GOOGLETRANSLATE(A3423,""bn"",""en"")"),"After a few days, her parents sent a palanquin to see her daughter")</f>
        <v>After a few days, her parents sent a palanquin to see her daughter</v>
      </c>
      <c r="C3423" s="7" t="s">
        <v>6</v>
      </c>
      <c r="D3423" s="7" t="s">
        <v>7</v>
      </c>
      <c r="E3423" s="7">
        <v>0</v>
      </c>
    </row>
    <row r="3424" spans="1:5" ht="15.75" customHeight="1" x14ac:dyDescent="0.25">
      <c r="A3424" s="6" t="s">
        <v>3377</v>
      </c>
      <c r="B3424" s="6" t="str">
        <f ca="1">IFERROR(__xludf.DUMMYFUNCTION("GOOGLETRANSLATE(A3424,""bn"",""en"")"),"Madam Rumi got it")</f>
        <v>Madam Rumi got it</v>
      </c>
      <c r="C3424" s="7" t="s">
        <v>6</v>
      </c>
      <c r="D3424" s="7" t="s">
        <v>7</v>
      </c>
      <c r="E3424" s="7">
        <v>0</v>
      </c>
    </row>
    <row r="3425" spans="1:5" ht="15.75" customHeight="1" x14ac:dyDescent="0.25">
      <c r="A3425" s="6" t="s">
        <v>3378</v>
      </c>
      <c r="B3425" s="6" t="str">
        <f ca="1">IFERROR(__xludf.DUMMYFUNCTION("GOOGLETRANSLATE(A3425,""bn"",""en"")"),"On the last day in the afternoon, Kumari sat with a smile on her face")</f>
        <v>On the last day in the afternoon, Kumari sat with a smile on her face</v>
      </c>
      <c r="C3425" s="7" t="s">
        <v>6</v>
      </c>
      <c r="D3425" s="7" t="s">
        <v>7</v>
      </c>
      <c r="E3425" s="7">
        <v>0</v>
      </c>
    </row>
    <row r="3426" spans="1:5" ht="15.75" customHeight="1" x14ac:dyDescent="0.25">
      <c r="A3426" s="6" t="s">
        <v>3379</v>
      </c>
      <c r="B3426" s="6" t="str">
        <f ca="1">IFERROR(__xludf.DUMMYFUNCTION("GOOGLETRANSLATE(A3426,""bn"",""en"")"),"He laughed and said that he would have gone if he had said it before")</f>
        <v>He laughed and said that he would have gone if he had said it before</v>
      </c>
      <c r="C3426" s="7" t="s">
        <v>6</v>
      </c>
      <c r="D3426" s="7" t="s">
        <v>7</v>
      </c>
      <c r="E3426" s="7">
        <v>0</v>
      </c>
    </row>
    <row r="3427" spans="1:5" ht="15.75" customHeight="1" x14ac:dyDescent="0.25">
      <c r="A3427" s="6" t="s">
        <v>3380</v>
      </c>
      <c r="B3427" s="6" t="str">
        <f ca="1">IFERROR(__xludf.DUMMYFUNCTION("GOOGLETRANSLATE(A3427,""bn"",""en"")"),"The only qualification for membership is intelligence")</f>
        <v>The only qualification for membership is intelligence</v>
      </c>
      <c r="C3427" s="8" t="s">
        <v>13</v>
      </c>
      <c r="D3427" s="8" t="s">
        <v>14</v>
      </c>
      <c r="E3427" s="8">
        <v>1</v>
      </c>
    </row>
    <row r="3428" spans="1:5" ht="15.75" customHeight="1" x14ac:dyDescent="0.25">
      <c r="A3428" s="6" t="s">
        <v>3381</v>
      </c>
      <c r="B3428" s="6" t="str">
        <f ca="1">IFERROR(__xludf.DUMMYFUNCTION("GOOGLETRANSLATE(A3428,""bn"",""en"")"),"They challenged the limits of their endurance strength by scaling high peaks")</f>
        <v>They challenged the limits of their endurance strength by scaling high peaks</v>
      </c>
      <c r="C3428" s="8" t="s">
        <v>13</v>
      </c>
      <c r="D3428" s="8" t="s">
        <v>14</v>
      </c>
      <c r="E3428" s="8">
        <v>1</v>
      </c>
    </row>
    <row r="3429" spans="1:5" ht="15.75" customHeight="1" x14ac:dyDescent="0.25">
      <c r="A3429" s="6" t="s">
        <v>3382</v>
      </c>
      <c r="B3429" s="6" t="str">
        <f ca="1">IFERROR(__xludf.DUMMYFUNCTION("GOOGLETRANSLATE(A3429,""bn"",""en"")"),"Lord Ganesha accepted this proposal")</f>
        <v>Lord Ganesha accepted this proposal</v>
      </c>
      <c r="C3429" s="8" t="s">
        <v>13</v>
      </c>
      <c r="D3429" s="8" t="s">
        <v>14</v>
      </c>
      <c r="E3429" s="8">
        <v>1</v>
      </c>
    </row>
    <row r="3430" spans="1:5" ht="15.75" customHeight="1" x14ac:dyDescent="0.25">
      <c r="A3430" s="6" t="s">
        <v>3383</v>
      </c>
      <c r="B3430" s="6" t="str">
        <f ca="1">IFERROR(__xludf.DUMMYFUNCTION("GOOGLETRANSLATE(A3430,""bn"",""en"")"),"I will go to school")</f>
        <v>I will go to school</v>
      </c>
      <c r="C3430" s="8" t="s">
        <v>13</v>
      </c>
      <c r="D3430" s="8" t="s">
        <v>14</v>
      </c>
      <c r="E3430" s="8">
        <v>1</v>
      </c>
    </row>
    <row r="3431" spans="1:5" ht="15.75" customHeight="1" x14ac:dyDescent="0.25">
      <c r="A3431" s="6" t="s">
        <v>3384</v>
      </c>
      <c r="B3431" s="6" t="str">
        <f ca="1">IFERROR(__xludf.DUMMYFUNCTION("GOOGLETRANSLATE(A3431,""bn"",""en"")"),"In 1989, he awarded the medal")</f>
        <v>In 1989, he awarded the medal</v>
      </c>
      <c r="C3431" s="8" t="s">
        <v>13</v>
      </c>
      <c r="D3431" s="8" t="s">
        <v>14</v>
      </c>
      <c r="E3431" s="8">
        <v>1</v>
      </c>
    </row>
    <row r="3432" spans="1:5" ht="15.75" customHeight="1" x14ac:dyDescent="0.25">
      <c r="A3432" s="6" t="s">
        <v>3385</v>
      </c>
      <c r="B3432" s="6" t="str">
        <f ca="1">IFERROR(__xludf.DUMMYFUNCTION("GOOGLETRANSLATE(A3432,""bn"",""en"")"),"A lot of flowers are blooming there")</f>
        <v>A lot of flowers are blooming there</v>
      </c>
      <c r="C3432" s="7" t="s">
        <v>6</v>
      </c>
      <c r="D3432" s="7" t="s">
        <v>7</v>
      </c>
      <c r="E3432" s="7">
        <v>0</v>
      </c>
    </row>
    <row r="3433" spans="1:5" ht="15.75" customHeight="1" x14ac:dyDescent="0.25">
      <c r="A3433" s="6" t="s">
        <v>3386</v>
      </c>
      <c r="B3433" s="6" t="str">
        <f ca="1">IFERROR(__xludf.DUMMYFUNCTION("GOOGLETRANSLATE(A3433,""bn"",""en"")"),"Rumi gave me food")</f>
        <v>Rumi gave me food</v>
      </c>
      <c r="C3433" s="7" t="s">
        <v>6</v>
      </c>
      <c r="D3433" s="7" t="s">
        <v>7</v>
      </c>
      <c r="E3433" s="7">
        <v>0</v>
      </c>
    </row>
    <row r="3434" spans="1:5" ht="15.75" customHeight="1" x14ac:dyDescent="0.25">
      <c r="A3434" s="6" t="s">
        <v>3387</v>
      </c>
      <c r="B3434" s="6" t="str">
        <f ca="1">IFERROR(__xludf.DUMMYFUNCTION("GOOGLETRANSLATE(A3434,""bn"",""en"")"),"His mother smiled hearing her son's words")</f>
        <v>His mother smiled hearing her son's words</v>
      </c>
      <c r="C3434" s="7" t="s">
        <v>6</v>
      </c>
      <c r="D3434" s="7" t="s">
        <v>7</v>
      </c>
      <c r="E3434" s="7">
        <v>0</v>
      </c>
    </row>
    <row r="3435" spans="1:5" ht="15.75" customHeight="1" x14ac:dyDescent="0.25">
      <c r="A3435" s="6" t="s">
        <v>3388</v>
      </c>
      <c r="B3435" s="6" t="str">
        <f ca="1">IFERROR(__xludf.DUMMYFUNCTION("GOOGLETRANSLATE(A3435,""bn"",""en"")"),"I can't read it")</f>
        <v>I can't read it</v>
      </c>
      <c r="C3435" s="7" t="s">
        <v>6</v>
      </c>
      <c r="D3435" s="7" t="s">
        <v>7</v>
      </c>
      <c r="E3435" s="7">
        <v>0</v>
      </c>
    </row>
    <row r="3436" spans="1:5" ht="15.75" customHeight="1" x14ac:dyDescent="0.25">
      <c r="A3436" s="6" t="s">
        <v>3389</v>
      </c>
      <c r="B3436" s="6" t="str">
        <f ca="1">IFERROR(__xludf.DUMMYFUNCTION("GOOGLETRANSLATE(A3436,""bn"",""en"")"),"I don't know if he likes me as his good son")</f>
        <v>I don't know if he likes me as his good son</v>
      </c>
      <c r="C3436" s="7" t="s">
        <v>6</v>
      </c>
      <c r="D3436" s="7" t="s">
        <v>7</v>
      </c>
      <c r="E3436" s="7">
        <v>0</v>
      </c>
    </row>
    <row r="3437" spans="1:5" ht="15.75" customHeight="1" x14ac:dyDescent="0.25">
      <c r="A3437" s="6" t="s">
        <v>3390</v>
      </c>
      <c r="B3437" s="6" t="str">
        <f ca="1">IFERROR(__xludf.DUMMYFUNCTION("GOOGLETRANSLATE(A3437,""bn"",""en"")"),"It is important to regularly review your insurance coverage to ensure you have adequate protection")</f>
        <v>It is important to regularly review your insurance coverage to ensure you have adequate protection</v>
      </c>
      <c r="C3437" s="8" t="s">
        <v>13</v>
      </c>
      <c r="D3437" s="8" t="s">
        <v>14</v>
      </c>
      <c r="E3437" s="8">
        <v>1</v>
      </c>
    </row>
    <row r="3438" spans="1:5" ht="15.75" customHeight="1" x14ac:dyDescent="0.25">
      <c r="A3438" s="6" t="s">
        <v>3391</v>
      </c>
      <c r="B3438" s="6" t="str">
        <f ca="1">IFERROR(__xludf.DUMMYFUNCTION("GOOGLETRANSLATE(A3438,""bn"",""en"")"),"The people sat there for a while stunned")</f>
        <v>The people sat there for a while stunned</v>
      </c>
      <c r="C3438" s="8" t="s">
        <v>13</v>
      </c>
      <c r="D3438" s="8" t="s">
        <v>14</v>
      </c>
      <c r="E3438" s="8">
        <v>1</v>
      </c>
    </row>
    <row r="3439" spans="1:5" ht="15.75" customHeight="1" x14ac:dyDescent="0.25">
      <c r="A3439" s="6" t="s">
        <v>3392</v>
      </c>
      <c r="B3439" s="6" t="str">
        <f ca="1">IFERROR(__xludf.DUMMYFUNCTION("GOOGLETRANSLATE(A3439,""bn"",""en"")"),"Gallstones are hard deposits in the gallbladder that can cause severe pain")</f>
        <v>Gallstones are hard deposits in the gallbladder that can cause severe pain</v>
      </c>
      <c r="C3439" s="8" t="s">
        <v>13</v>
      </c>
      <c r="D3439" s="8" t="s">
        <v>14</v>
      </c>
      <c r="E3439" s="8">
        <v>1</v>
      </c>
    </row>
    <row r="3440" spans="1:5" ht="15.75" customHeight="1" x14ac:dyDescent="0.25">
      <c r="A3440" s="6" t="s">
        <v>3393</v>
      </c>
      <c r="B3440" s="6" t="str">
        <f ca="1">IFERROR(__xludf.DUMMYFUNCTION("GOOGLETRANSLATE(A3440,""bn"",""en"")"),"Soon I started remembering people through newspapers")</f>
        <v>Soon I started remembering people through newspapers</v>
      </c>
      <c r="C3440" s="8" t="s">
        <v>13</v>
      </c>
      <c r="D3440" s="8" t="s">
        <v>14</v>
      </c>
      <c r="E3440" s="8">
        <v>1</v>
      </c>
    </row>
    <row r="3441" spans="1:5" ht="15.75" customHeight="1" x14ac:dyDescent="0.25">
      <c r="A3441" s="6" t="s">
        <v>3394</v>
      </c>
      <c r="B3441" s="6" t="str">
        <f ca="1">IFERROR(__xludf.DUMMYFUNCTION("GOOGLETRANSLATE(A3441,""bn"",""en"")"),"Incorporate strength flexibility exercises")</f>
        <v>Incorporate strength flexibility exercises</v>
      </c>
      <c r="C3441" s="8" t="s">
        <v>13</v>
      </c>
      <c r="D3441" s="8" t="s">
        <v>14</v>
      </c>
      <c r="E3441" s="8">
        <v>1</v>
      </c>
    </row>
    <row r="3442" spans="1:5" ht="15.75" customHeight="1" x14ac:dyDescent="0.25">
      <c r="A3442" s="6" t="s">
        <v>3395</v>
      </c>
      <c r="B3442" s="6" t="str">
        <f ca="1">IFERROR(__xludf.DUMMYFUNCTION("GOOGLETRANSLATE(A3442,""bn"",""en"")"),"After some distance Haru's wife's cry came to their ears")</f>
        <v>After some distance Haru's wife's cry came to their ears</v>
      </c>
      <c r="C3442" s="7" t="s">
        <v>6</v>
      </c>
      <c r="D3442" s="7" t="s">
        <v>7</v>
      </c>
      <c r="E3442" s="7">
        <v>0</v>
      </c>
    </row>
    <row r="3443" spans="1:5" ht="15.75" customHeight="1" x14ac:dyDescent="0.25">
      <c r="A3443" s="6" t="s">
        <v>3396</v>
      </c>
      <c r="B3443" s="6" t="str">
        <f ca="1">IFERROR(__xludf.DUMMYFUNCTION("GOOGLETRANSLATE(A3443,""bn"",""en"")"),"At this time Niru suffered a severe affliction")</f>
        <v>At this time Niru suffered a severe affliction</v>
      </c>
      <c r="C3443" s="7" t="s">
        <v>6</v>
      </c>
      <c r="D3443" s="7" t="s">
        <v>7</v>
      </c>
      <c r="E3443" s="7">
        <v>0</v>
      </c>
    </row>
    <row r="3444" spans="1:5" ht="15.75" customHeight="1" x14ac:dyDescent="0.25">
      <c r="A3444" s="6" t="s">
        <v>3397</v>
      </c>
      <c r="B3444" s="6" t="str">
        <f ca="1">IFERROR(__xludf.DUMMYFUNCTION("GOOGLETRANSLATE(A3444,""bn"",""en"")"),"Many of the soldier men are afraid of your shadow while going to the battlefield in the dark")</f>
        <v>Many of the soldier men are afraid of your shadow while going to the battlefield in the dark</v>
      </c>
      <c r="C3444" s="7" t="s">
        <v>6</v>
      </c>
      <c r="D3444" s="7" t="s">
        <v>7</v>
      </c>
      <c r="E3444" s="7">
        <v>0</v>
      </c>
    </row>
    <row r="3445" spans="1:5" ht="15.75" customHeight="1" x14ac:dyDescent="0.25">
      <c r="A3445" s="6" t="s">
        <v>3398</v>
      </c>
      <c r="B3445" s="6" t="str">
        <f ca="1">IFERROR(__xludf.DUMMYFUNCTION("GOOGLETRANSLATE(A3445,""bn"",""en"")"),"To the south of the road, a few dilapidated houses are isolated in the thicket, the outside is wet from the rain")</f>
        <v>To the south of the road, a few dilapidated houses are isolated in the thicket, the outside is wet from the rain</v>
      </c>
      <c r="C3445" s="7" t="s">
        <v>6</v>
      </c>
      <c r="D3445" s="7" t="s">
        <v>7</v>
      </c>
      <c r="E3445" s="7">
        <v>0</v>
      </c>
    </row>
    <row r="3446" spans="1:5" ht="15.75" customHeight="1" x14ac:dyDescent="0.25">
      <c r="A3446" s="6" t="s">
        <v>3399</v>
      </c>
      <c r="B3446" s="6" t="str">
        <f ca="1">IFERROR(__xludf.DUMMYFUNCTION("GOOGLETRANSLATE(A3446,""bn"",""en"")"),"He had done his work carefully")</f>
        <v>He had done his work carefully</v>
      </c>
      <c r="C3446" s="7" t="s">
        <v>6</v>
      </c>
      <c r="D3446" s="7" t="s">
        <v>7</v>
      </c>
      <c r="E3446" s="7">
        <v>0</v>
      </c>
    </row>
    <row r="3447" spans="1:5" ht="15.75" customHeight="1" x14ac:dyDescent="0.25">
      <c r="A3447" s="6" t="s">
        <v>3400</v>
      </c>
      <c r="B3447" s="6" t="str">
        <f ca="1">IFERROR(__xludf.DUMMYFUNCTION("GOOGLETRANSLATE(A3447,""bn"",""en"")"),"Due to the achievements of these three great men, there was always good communication between the people of the area")</f>
        <v>Due to the achievements of these three great men, there was always good communication between the people of the area</v>
      </c>
      <c r="C3447" s="8" t="s">
        <v>13</v>
      </c>
      <c r="D3447" s="8" t="s">
        <v>14</v>
      </c>
      <c r="E3447" s="8">
        <v>1</v>
      </c>
    </row>
    <row r="3448" spans="1:5" ht="15.75" customHeight="1" x14ac:dyDescent="0.25">
      <c r="A3448" s="6" t="s">
        <v>3401</v>
      </c>
      <c r="B3448" s="6" t="str">
        <f ca="1">IFERROR(__xludf.DUMMYFUNCTION("GOOGLETRANSLATE(A3448,""bn"",""en"")"),"Rahim will leave for Dhaka today")</f>
        <v>Rahim will leave for Dhaka today</v>
      </c>
      <c r="C3448" s="8" t="s">
        <v>13</v>
      </c>
      <c r="D3448" s="8" t="s">
        <v>14</v>
      </c>
      <c r="E3448" s="8">
        <v>1</v>
      </c>
    </row>
    <row r="3449" spans="1:5" ht="15.75" customHeight="1" x14ac:dyDescent="0.25">
      <c r="A3449" s="6" t="s">
        <v>3402</v>
      </c>
      <c r="B3449" s="6" t="str">
        <f ca="1">IFERROR(__xludf.DUMMYFUNCTION("GOOGLETRANSLATE(A3449,""bn"",""en"")"),"Robin smiled at me")</f>
        <v>Robin smiled at me</v>
      </c>
      <c r="C3449" s="8" t="s">
        <v>13</v>
      </c>
      <c r="D3449" s="8" t="s">
        <v>14</v>
      </c>
      <c r="E3449" s="8">
        <v>1</v>
      </c>
    </row>
    <row r="3450" spans="1:5" ht="15.75" customHeight="1" x14ac:dyDescent="0.25">
      <c r="A3450" s="6" t="s">
        <v>3403</v>
      </c>
      <c r="B3450" s="6" t="str">
        <f ca="1">IFERROR(__xludf.DUMMYFUNCTION("GOOGLETRANSLATE(A3450,""bn"",""en"")"),"Sujan saw it shrink")</f>
        <v>Sujan saw it shrink</v>
      </c>
      <c r="C3450" s="8" t="s">
        <v>13</v>
      </c>
      <c r="D3450" s="8" t="s">
        <v>14</v>
      </c>
      <c r="E3450" s="8">
        <v>1</v>
      </c>
    </row>
    <row r="3451" spans="1:5" ht="15.75" customHeight="1" x14ac:dyDescent="0.25">
      <c r="A3451" s="6" t="s">
        <v>3404</v>
      </c>
      <c r="B3451" s="6" t="str">
        <f ca="1">IFERROR(__xludf.DUMMYFUNCTION("GOOGLETRANSLATE(A3451,""bn"",""en"")"),"Benchmarking against industry standards identifies areas for improvement")</f>
        <v>Benchmarking against industry standards identifies areas for improvement</v>
      </c>
      <c r="C3451" s="8" t="s">
        <v>13</v>
      </c>
      <c r="D3451" s="8" t="s">
        <v>14</v>
      </c>
      <c r="E3451" s="8">
        <v>1</v>
      </c>
    </row>
    <row r="3452" spans="1:5" ht="15.75" customHeight="1" x14ac:dyDescent="0.25">
      <c r="A3452" s="6" t="s">
        <v>3405</v>
      </c>
      <c r="B3452" s="6" t="str">
        <f ca="1">IFERROR(__xludf.DUMMYFUNCTION("GOOGLETRANSLATE(A3452,""bn"",""en"")"),"Sutamjur saw a light burning in a house far away")</f>
        <v>Sutamjur saw a light burning in a house far away</v>
      </c>
      <c r="C3452" s="7" t="s">
        <v>6</v>
      </c>
      <c r="D3452" s="7" t="s">
        <v>7</v>
      </c>
      <c r="E3452" s="7">
        <v>0</v>
      </c>
    </row>
    <row r="3453" spans="1:5" ht="15.75" customHeight="1" x14ac:dyDescent="0.25">
      <c r="A3453" s="6" t="s">
        <v>3406</v>
      </c>
      <c r="B3453" s="6" t="str">
        <f ca="1">IFERROR(__xludf.DUMMYFUNCTION("GOOGLETRANSLATE(A3453,""bn"",""en"")"),"Once upon a time I went to the province of Palamau")</f>
        <v>Once upon a time I went to the province of Palamau</v>
      </c>
      <c r="C3453" s="7" t="s">
        <v>6</v>
      </c>
      <c r="D3453" s="7" t="s">
        <v>7</v>
      </c>
      <c r="E3453" s="7">
        <v>0</v>
      </c>
    </row>
    <row r="3454" spans="1:5" ht="15.75" customHeight="1" x14ac:dyDescent="0.25">
      <c r="A3454" s="6" t="s">
        <v>3407</v>
      </c>
      <c r="B3454" s="6" t="str">
        <f ca="1">IFERROR(__xludf.DUMMYFUNCTION("GOOGLETRANSLATE(A3454,""bn"",""en"")"),"Irtajuddin feels sad")</f>
        <v>Irtajuddin feels sad</v>
      </c>
      <c r="C3454" s="7" t="s">
        <v>6</v>
      </c>
      <c r="D3454" s="7" t="s">
        <v>7</v>
      </c>
      <c r="E3454" s="7">
        <v>0</v>
      </c>
    </row>
    <row r="3455" spans="1:5" ht="15.75" customHeight="1" x14ac:dyDescent="0.25">
      <c r="A3455" s="6" t="s">
        <v>3408</v>
      </c>
      <c r="B3455" s="6" t="str">
        <f ca="1">IFERROR(__xludf.DUMMYFUNCTION("GOOGLETRANSLATE(A3455,""bn"",""en"")"),"Only truthfulness prevents error from entering the world")</f>
        <v>Only truthfulness prevents error from entering the world</v>
      </c>
      <c r="C3455" s="7" t="s">
        <v>6</v>
      </c>
      <c r="D3455" s="7" t="s">
        <v>7</v>
      </c>
      <c r="E3455" s="7">
        <v>0</v>
      </c>
    </row>
    <row r="3456" spans="1:5" ht="15.75" customHeight="1" x14ac:dyDescent="0.25">
      <c r="A3456" s="6" t="s">
        <v>3409</v>
      </c>
      <c r="B3456" s="6" t="str">
        <f ca="1">IFERROR(__xludf.DUMMYFUNCTION("GOOGLETRANSLATE(A3456,""bn"",""en"")"),"I kind of forgot about him")</f>
        <v>I kind of forgot about him</v>
      </c>
      <c r="C3456" s="7" t="s">
        <v>6</v>
      </c>
      <c r="D3456" s="7" t="s">
        <v>7</v>
      </c>
      <c r="E3456" s="7">
        <v>0</v>
      </c>
    </row>
    <row r="3457" spans="1:5" ht="15.75" customHeight="1" x14ac:dyDescent="0.25">
      <c r="A3457" s="6" t="s">
        <v>3410</v>
      </c>
      <c r="B3457" s="6" t="str">
        <f ca="1">IFERROR(__xludf.DUMMYFUNCTION("GOOGLETRANSLATE(A3457,""bn"",""en"")"),"It encourages teamwork cooperation in challenging situations")</f>
        <v>It encourages teamwork cooperation in challenging situations</v>
      </c>
      <c r="C3457" s="8" t="s">
        <v>13</v>
      </c>
      <c r="D3457" s="8" t="s">
        <v>14</v>
      </c>
      <c r="E3457" s="8">
        <v>1</v>
      </c>
    </row>
    <row r="3458" spans="1:5" ht="15.75" customHeight="1" x14ac:dyDescent="0.25">
      <c r="A3458" s="6" t="s">
        <v>3411</v>
      </c>
      <c r="B3458" s="6" t="str">
        <f ca="1">IFERROR(__xludf.DUMMYFUNCTION("GOOGLETRANSLATE(A3458,""bn"",""en"")"),"It is a delicious sweet fruit")</f>
        <v>It is a delicious sweet fruit</v>
      </c>
      <c r="C3458" s="8" t="s">
        <v>13</v>
      </c>
      <c r="D3458" s="8" t="s">
        <v>14</v>
      </c>
      <c r="E3458" s="8">
        <v>1</v>
      </c>
    </row>
    <row r="3459" spans="1:5" ht="15.75" customHeight="1" x14ac:dyDescent="0.25">
      <c r="A3459" s="6" t="s">
        <v>3412</v>
      </c>
      <c r="B3459" s="6" t="str">
        <f ca="1">IFERROR(__xludf.DUMMYFUNCTION("GOOGLETRANSLATE(A3459,""bn"",""en"")"),"The subway was late so I had to take a taxi to the meeting")</f>
        <v>The subway was late so I had to take a taxi to the meeting</v>
      </c>
      <c r="C3459" s="8" t="s">
        <v>13</v>
      </c>
      <c r="D3459" s="8" t="s">
        <v>14</v>
      </c>
      <c r="E3459" s="8">
        <v>1</v>
      </c>
    </row>
    <row r="3460" spans="1:5" ht="15.75" customHeight="1" x14ac:dyDescent="0.25">
      <c r="A3460" s="6" t="s">
        <v>3413</v>
      </c>
      <c r="B3460" s="6" t="str">
        <f ca="1">IFERROR(__xludf.DUMMYFUNCTION("GOOGLETRANSLATE(A3460,""bn"",""en"")"),"Online news sources have become increasingly popular for their convenient accessibility")</f>
        <v>Online news sources have become increasingly popular for their convenient accessibility</v>
      </c>
      <c r="C3460" s="8" t="s">
        <v>13</v>
      </c>
      <c r="D3460" s="8" t="s">
        <v>14</v>
      </c>
      <c r="E3460" s="8">
        <v>1</v>
      </c>
    </row>
    <row r="3461" spans="1:5" ht="15.75" customHeight="1" x14ac:dyDescent="0.25">
      <c r="A3461" s="6" t="s">
        <v>3414</v>
      </c>
      <c r="B3461" s="6" t="str">
        <f ca="1">IFERROR(__xludf.DUMMYFUNCTION("GOOGLETRANSLATE(A3461,""bn"",""en"")"),"Getting validation for my feelings brings comfort")</f>
        <v>Getting validation for my feelings brings comfort</v>
      </c>
      <c r="C3461" s="8" t="s">
        <v>13</v>
      </c>
      <c r="D3461" s="8" t="s">
        <v>14</v>
      </c>
      <c r="E3461" s="8">
        <v>1</v>
      </c>
    </row>
    <row r="3462" spans="1:5" ht="15.75" customHeight="1" x14ac:dyDescent="0.25">
      <c r="A3462" s="6" t="s">
        <v>3415</v>
      </c>
      <c r="B3462" s="6" t="str">
        <f ca="1">IFERROR(__xludf.DUMMYFUNCTION("GOOGLETRANSLATE(A3462,""bn"",""en"")"),"After making such a noise, the conversation stopped")</f>
        <v>After making such a noise, the conversation stopped</v>
      </c>
      <c r="C3462" s="7" t="s">
        <v>6</v>
      </c>
      <c r="D3462" s="7" t="s">
        <v>7</v>
      </c>
      <c r="E3462" s="7">
        <v>0</v>
      </c>
    </row>
    <row r="3463" spans="1:5" ht="15.75" customHeight="1" x14ac:dyDescent="0.25">
      <c r="A3463" s="6" t="s">
        <v>3416</v>
      </c>
      <c r="B3463" s="6" t="str">
        <f ca="1">IFERROR(__xludf.DUMMYFUNCTION("GOOGLETRANSLATE(A3463,""bn"",""en"")"),"He went into the house and saw his daughter standing aside pale with fear")</f>
        <v>He went into the house and saw his daughter standing aside pale with fear</v>
      </c>
      <c r="C3463" s="7" t="s">
        <v>6</v>
      </c>
      <c r="D3463" s="7" t="s">
        <v>7</v>
      </c>
      <c r="E3463" s="7">
        <v>0</v>
      </c>
    </row>
    <row r="3464" spans="1:5" ht="15.75" customHeight="1" x14ac:dyDescent="0.25">
      <c r="A3464" s="6" t="s">
        <v>3417</v>
      </c>
      <c r="B3464" s="6" t="str">
        <f ca="1">IFERROR(__xludf.DUMMYFUNCTION("GOOGLETRANSLATE(A3464,""bn"",""en"")"),"They were holding Rahim and keeping him tied")</f>
        <v>They were holding Rahim and keeping him tied</v>
      </c>
      <c r="C3464" s="7" t="s">
        <v>6</v>
      </c>
      <c r="D3464" s="7" t="s">
        <v>7</v>
      </c>
      <c r="E3464" s="7">
        <v>0</v>
      </c>
    </row>
    <row r="3465" spans="1:5" ht="15.75" customHeight="1" x14ac:dyDescent="0.25">
      <c r="A3465" s="6" t="s">
        <v>3418</v>
      </c>
      <c r="B3465" s="6" t="str">
        <f ca="1">IFERROR(__xludf.DUMMYFUNCTION("GOOGLETRANSLATE(A3465,""bn"",""en"")"),"Small children are playing in the pond")</f>
        <v>Small children are playing in the pond</v>
      </c>
      <c r="C3465" s="7" t="s">
        <v>6</v>
      </c>
      <c r="D3465" s="7" t="s">
        <v>7</v>
      </c>
      <c r="E3465" s="7">
        <v>0</v>
      </c>
    </row>
    <row r="3466" spans="1:5" ht="15.75" customHeight="1" x14ac:dyDescent="0.25">
      <c r="A3466" s="6" t="s">
        <v>3419</v>
      </c>
      <c r="B3466" s="6" t="str">
        <f ca="1">IFERROR(__xludf.DUMMYFUNCTION("GOOGLETRANSLATE(A3466,""bn"",""en"")"),"Two days later in the morning, Kiran was sitting in the kitchen making curry")</f>
        <v>Two days later in the morning, Kiran was sitting in the kitchen making curry</v>
      </c>
      <c r="C3466" s="7" t="s">
        <v>6</v>
      </c>
      <c r="D3466" s="7" t="s">
        <v>7</v>
      </c>
      <c r="E3466" s="7">
        <v>0</v>
      </c>
    </row>
    <row r="3467" spans="1:5" ht="15.75" customHeight="1" x14ac:dyDescent="0.25">
      <c r="A3467" s="6" t="s">
        <v>3420</v>
      </c>
      <c r="B3467" s="6" t="str">
        <f ca="1">IFERROR(__xludf.DUMMYFUNCTION("GOOGLETRANSLATE(A3467,""bn"",""en"")"),"It was a sign of great success in the contemporary era")</f>
        <v>It was a sign of great success in the contemporary era</v>
      </c>
      <c r="C3467" s="8" t="s">
        <v>13</v>
      </c>
      <c r="D3467" s="8" t="s">
        <v>14</v>
      </c>
      <c r="E3467" s="8">
        <v>1</v>
      </c>
    </row>
    <row r="3468" spans="1:5" ht="15.75" customHeight="1" x14ac:dyDescent="0.25">
      <c r="A3468" s="6" t="s">
        <v>3421</v>
      </c>
      <c r="B3468" s="6" t="str">
        <f ca="1">IFERROR(__xludf.DUMMYFUNCTION("GOOGLETRANSLATE(A3468,""bn"",""en"")"),"The transaction has been flagged for suspicious activity")</f>
        <v>The transaction has been flagged for suspicious activity</v>
      </c>
      <c r="C3468" s="8" t="s">
        <v>13</v>
      </c>
      <c r="D3468" s="8" t="s">
        <v>14</v>
      </c>
      <c r="E3468" s="8">
        <v>1</v>
      </c>
    </row>
    <row r="3469" spans="1:5" ht="15.75" customHeight="1" x14ac:dyDescent="0.25">
      <c r="A3469" s="6" t="s">
        <v>3422</v>
      </c>
      <c r="B3469" s="6" t="str">
        <f ca="1">IFERROR(__xludf.DUMMYFUNCTION("GOOGLETRANSLATE(A3469,""bn"",""en"")"),"The Mughal empire spread over most of the subcontinent")</f>
        <v>The Mughal empire spread over most of the subcontinent</v>
      </c>
      <c r="C3469" s="8" t="s">
        <v>13</v>
      </c>
      <c r="D3469" s="8" t="s">
        <v>14</v>
      </c>
      <c r="E3469" s="8">
        <v>1</v>
      </c>
    </row>
    <row r="3470" spans="1:5" ht="15.75" customHeight="1" x14ac:dyDescent="0.25">
      <c r="A3470" s="6" t="s">
        <v>3423</v>
      </c>
      <c r="B3470" s="6" t="str">
        <f ca="1">IFERROR(__xludf.DUMMYFUNCTION("GOOGLETRANSLATE(A3470,""bn"",""en"")"),"Sujan asked me to play football")</f>
        <v>Sujan asked me to play football</v>
      </c>
      <c r="C3470" s="8" t="s">
        <v>13</v>
      </c>
      <c r="D3470" s="8" t="s">
        <v>14</v>
      </c>
      <c r="E3470" s="8">
        <v>1</v>
      </c>
    </row>
    <row r="3471" spans="1:5" ht="15.75" customHeight="1" x14ac:dyDescent="0.25">
      <c r="A3471" s="6" t="s">
        <v>3424</v>
      </c>
      <c r="B3471" s="6" t="str">
        <f ca="1">IFERROR(__xludf.DUMMYFUNCTION("GOOGLETRANSLATE(A3471,""bn"",""en"")"),"Quinoa salad offers a healthy option")</f>
        <v>Quinoa salad offers a healthy option</v>
      </c>
      <c r="C3471" s="8" t="s">
        <v>13</v>
      </c>
      <c r="D3471" s="8" t="s">
        <v>14</v>
      </c>
      <c r="E3471" s="8">
        <v>1</v>
      </c>
    </row>
    <row r="3472" spans="1:5" ht="15.75" customHeight="1" x14ac:dyDescent="0.25">
      <c r="A3472" s="6" t="s">
        <v>3425</v>
      </c>
      <c r="B3472" s="6" t="str">
        <f ca="1">IFERROR(__xludf.DUMMYFUNCTION("GOOGLETRANSLATE(A3472,""bn"",""en"")"),"Jimmy Rana was talking")</f>
        <v>Jimmy Rana was talking</v>
      </c>
      <c r="C3472" s="7" t="s">
        <v>6</v>
      </c>
      <c r="D3472" s="7" t="s">
        <v>7</v>
      </c>
      <c r="E3472" s="7">
        <v>0</v>
      </c>
    </row>
    <row r="3473" spans="1:5" ht="15.75" customHeight="1" x14ac:dyDescent="0.25">
      <c r="A3473" s="6" t="s">
        <v>3426</v>
      </c>
      <c r="B3473" s="6" t="str">
        <f ca="1">IFERROR(__xludf.DUMMYFUNCTION("GOOGLETRANSLATE(A3473,""bn"",""en"")"),"Maths will be handed over to him in case of weakness")</f>
        <v>Maths will be handed over to him in case of weakness</v>
      </c>
      <c r="C3473" s="7" t="s">
        <v>6</v>
      </c>
      <c r="D3473" s="7" t="s">
        <v>7</v>
      </c>
      <c r="E3473" s="7">
        <v>0</v>
      </c>
    </row>
    <row r="3474" spans="1:5" ht="15.75" customHeight="1" x14ac:dyDescent="0.25">
      <c r="A3474" s="6" t="s">
        <v>3427</v>
      </c>
      <c r="B3474" s="6" t="str">
        <f ca="1">IFERROR(__xludf.DUMMYFUNCTION("GOOGLETRANSLATE(A3474,""bn"",""en"")"),"Ratan quietly entered the house")</f>
        <v>Ratan quietly entered the house</v>
      </c>
      <c r="C3474" s="7" t="s">
        <v>6</v>
      </c>
      <c r="D3474" s="7" t="s">
        <v>7</v>
      </c>
      <c r="E3474" s="7">
        <v>0</v>
      </c>
    </row>
    <row r="3475" spans="1:5" ht="15.75" customHeight="1" x14ac:dyDescent="0.25">
      <c r="A3475" s="6" t="s">
        <v>3428</v>
      </c>
      <c r="B3475" s="6" t="str">
        <f ca="1">IFERROR(__xludf.DUMMYFUNCTION("GOOGLETRANSLATE(A3475,""bn"",""en"")"),"I was a boy, not more than 16 years old, so I decided according to my age that I should not fall back on a woman. I started walking as best I could.")</f>
        <v>I was a boy, not more than 16 years old, so I decided according to my age that I should not fall back on a woman. I started walking as best I could.</v>
      </c>
      <c r="C3475" s="7" t="s">
        <v>6</v>
      </c>
      <c r="D3475" s="7" t="s">
        <v>7</v>
      </c>
      <c r="E3475" s="7">
        <v>0</v>
      </c>
    </row>
    <row r="3476" spans="1:5" ht="15.75" customHeight="1" x14ac:dyDescent="0.25">
      <c r="A3476" s="6" t="s">
        <v>3429</v>
      </c>
      <c r="B3476" s="6" t="str">
        <f ca="1">IFERROR(__xludf.DUMMYFUNCTION("GOOGLETRANSLATE(A3476,""bn"",""en"")"),"I can't tell what people feel when they say mountains and jungles")</f>
        <v>I can't tell what people feel when they say mountains and jungles</v>
      </c>
      <c r="C3476" s="7" t="s">
        <v>6</v>
      </c>
      <c r="D3476" s="7" t="s">
        <v>7</v>
      </c>
      <c r="E3476" s="7">
        <v>0</v>
      </c>
    </row>
    <row r="3477" spans="1:5" ht="15.75" customHeight="1" x14ac:dyDescent="0.25">
      <c r="A3477" s="6" t="s">
        <v>3430</v>
      </c>
      <c r="B3477" s="6" t="str">
        <f ca="1">IFERROR(__xludf.DUMMYFUNCTION("GOOGLETRANSLATE(A3477,""bn"",""en"")"),"Prime Minister Milo Dukanovic hopes it will be approved within the year")</f>
        <v>Prime Minister Milo Dukanovic hopes it will be approved within the year</v>
      </c>
      <c r="C3477" s="8" t="s">
        <v>13</v>
      </c>
      <c r="D3477" s="8" t="s">
        <v>14</v>
      </c>
      <c r="E3477" s="8">
        <v>1</v>
      </c>
    </row>
    <row r="3478" spans="1:5" ht="15.75" customHeight="1" x14ac:dyDescent="0.25">
      <c r="A3478" s="6" t="s">
        <v>3431</v>
      </c>
      <c r="B3478" s="6" t="str">
        <f ca="1">IFERROR(__xludf.DUMMYFUNCTION("GOOGLETRANSLATE(A3478,""bn"",""en"")"),"I am going to school with Suman")</f>
        <v>I am going to school with Suman</v>
      </c>
      <c r="C3478" s="8" t="s">
        <v>13</v>
      </c>
      <c r="D3478" s="8" t="s">
        <v>14</v>
      </c>
      <c r="E3478" s="8">
        <v>1</v>
      </c>
    </row>
    <row r="3479" spans="1:5" ht="15.75" customHeight="1" x14ac:dyDescent="0.25">
      <c r="A3479" s="6" t="s">
        <v>3432</v>
      </c>
      <c r="B3479" s="6" t="str">
        <f ca="1">IFERROR(__xludf.DUMMYFUNCTION("GOOGLETRANSLATE(A3479,""bn"",""en"")"),"Mother asked me to go to school")</f>
        <v>Mother asked me to go to school</v>
      </c>
      <c r="C3479" s="8" t="s">
        <v>13</v>
      </c>
      <c r="D3479" s="8" t="s">
        <v>14</v>
      </c>
      <c r="E3479" s="8">
        <v>1</v>
      </c>
    </row>
    <row r="3480" spans="1:5" ht="15.75" customHeight="1" x14ac:dyDescent="0.25">
      <c r="A3480" s="6" t="s">
        <v>3433</v>
      </c>
      <c r="B3480" s="6" t="str">
        <f ca="1">IFERROR(__xludf.DUMMYFUNCTION("GOOGLETRANSLATE(A3480,""bn"",""en"")"),"Share your favorite memes")</f>
        <v>Share your favorite memes</v>
      </c>
      <c r="C3480" s="8" t="s">
        <v>13</v>
      </c>
      <c r="D3480" s="8" t="s">
        <v>14</v>
      </c>
      <c r="E3480" s="8">
        <v>1</v>
      </c>
    </row>
    <row r="3481" spans="1:5" ht="15.75" customHeight="1" x14ac:dyDescent="0.25">
      <c r="A3481" s="6" t="s">
        <v>3434</v>
      </c>
      <c r="B3481" s="6" t="str">
        <f ca="1">IFERROR(__xludf.DUMMYFUNCTION("GOOGLETRANSLATE(A3481,""bn"",""en"")"),"Human trafficking is a heinous crime that exploits vulnerable people")</f>
        <v>Human trafficking is a heinous crime that exploits vulnerable people</v>
      </c>
      <c r="C3481" s="8" t="s">
        <v>13</v>
      </c>
      <c r="D3481" s="8" t="s">
        <v>14</v>
      </c>
      <c r="E3481" s="8">
        <v>1</v>
      </c>
    </row>
    <row r="3482" spans="1:5" ht="15.75" customHeight="1" x14ac:dyDescent="0.25">
      <c r="A3482" s="6" t="s">
        <v>3435</v>
      </c>
      <c r="B3482" s="6" t="str">
        <f ca="1">IFERROR(__xludf.DUMMYFUNCTION("GOOGLETRANSLATE(A3482,""bn"",""en"")"),"At the cry of the maiden, his relatives came and fell")</f>
        <v>At the cry of the maiden, his relatives came and fell</v>
      </c>
      <c r="C3482" s="7" t="s">
        <v>6</v>
      </c>
      <c r="D3482" s="7" t="s">
        <v>7</v>
      </c>
      <c r="E3482" s="7">
        <v>0</v>
      </c>
    </row>
    <row r="3483" spans="1:5" ht="15.75" customHeight="1" x14ac:dyDescent="0.25">
      <c r="A3483" s="6" t="s">
        <v>3436</v>
      </c>
      <c r="B3483" s="6" t="str">
        <f ca="1">IFERROR(__xludf.DUMMYFUNCTION("GOOGLETRANSLATE(A3483,""bn"",""en"")"),"will you have dinner with me")</f>
        <v>will you have dinner with me</v>
      </c>
      <c r="C3483" s="7" t="s">
        <v>6</v>
      </c>
      <c r="D3483" s="7" t="s">
        <v>7</v>
      </c>
      <c r="E3483" s="7">
        <v>0</v>
      </c>
    </row>
    <row r="3484" spans="1:5" ht="15.75" customHeight="1" x14ac:dyDescent="0.25">
      <c r="A3484" s="6" t="s">
        <v>877</v>
      </c>
      <c r="B3484" s="6" t="str">
        <f ca="1">IFERROR(__xludf.DUMMYFUNCTION("GOOGLETRANSLATE(A3484,""bn"",""en"")"),"The Aryas, helpless, would only call upon Indra, and sometimes they would gather in force and beat each other.")</f>
        <v>The Aryas, helpless, would only call upon Indra, and sometimes they would gather in force and beat each other.</v>
      </c>
      <c r="C3484" s="7" t="s">
        <v>6</v>
      </c>
      <c r="D3484" s="7" t="s">
        <v>7</v>
      </c>
      <c r="E3484" s="7">
        <v>0</v>
      </c>
    </row>
    <row r="3485" spans="1:5" ht="15.75" customHeight="1" x14ac:dyDescent="0.25">
      <c r="A3485" s="6" t="s">
        <v>3437</v>
      </c>
      <c r="B3485" s="6" t="str">
        <f ca="1">IFERROR(__xludf.DUMMYFUNCTION("GOOGLETRANSLATE(A3485,""bn"",""en"")"),"After two or four days I met a gentleman")</f>
        <v>After two or four days I met a gentleman</v>
      </c>
      <c r="C3485" s="7" t="s">
        <v>6</v>
      </c>
      <c r="D3485" s="7" t="s">
        <v>7</v>
      </c>
      <c r="E3485" s="7">
        <v>0</v>
      </c>
    </row>
    <row r="3486" spans="1:5" ht="15.75" customHeight="1" x14ac:dyDescent="0.25">
      <c r="A3486" s="6" t="s">
        <v>3438</v>
      </c>
      <c r="B3486" s="6" t="str">
        <f ca="1">IFERROR(__xludf.DUMMYFUNCTION("GOOGLETRANSLATE(A3486,""bn"",""en"")"),"Instantly returned to the straight path")</f>
        <v>Instantly returned to the straight path</v>
      </c>
      <c r="C3486" s="7" t="s">
        <v>6</v>
      </c>
      <c r="D3486" s="7" t="s">
        <v>7</v>
      </c>
      <c r="E3486" s="7">
        <v>0</v>
      </c>
    </row>
    <row r="3487" spans="1:5" ht="15.75" customHeight="1" x14ac:dyDescent="0.25">
      <c r="A3487" s="6" t="s">
        <v>3439</v>
      </c>
      <c r="B3487" s="6" t="str">
        <f ca="1">IFERROR(__xludf.DUMMYFUNCTION("GOOGLETRANSLATE(A3487,""bn"",""en"")"),"In the heat of the desert they sought an oasis to quench their thirst")</f>
        <v>In the heat of the desert they sought an oasis to quench their thirst</v>
      </c>
      <c r="C3487" s="8" t="s">
        <v>13</v>
      </c>
      <c r="D3487" s="8" t="s">
        <v>14</v>
      </c>
      <c r="E3487" s="8">
        <v>1</v>
      </c>
    </row>
    <row r="3488" spans="1:5" ht="15.75" customHeight="1" x14ac:dyDescent="0.25">
      <c r="A3488" s="6" t="s">
        <v>3440</v>
      </c>
      <c r="B3488" s="6" t="str">
        <f ca="1">IFERROR(__xludf.DUMMYFUNCTION("GOOGLETRANSLATE(A3488,""bn"",""en"")"),"did you come with them")</f>
        <v>did you come with them</v>
      </c>
      <c r="C3488" s="8" t="s">
        <v>13</v>
      </c>
      <c r="D3488" s="8" t="s">
        <v>14</v>
      </c>
      <c r="E3488" s="8">
        <v>1</v>
      </c>
    </row>
    <row r="3489" spans="1:5" ht="15.75" customHeight="1" x14ac:dyDescent="0.25">
      <c r="A3489" s="6" t="s">
        <v>3441</v>
      </c>
      <c r="B3489" s="6" t="str">
        <f ca="1">IFERROR(__xludf.DUMMYFUNCTION("GOOGLETRANSLATE(A3489,""bn"",""en"")"),"He is currently the Deputy Chairman of the Bafuf School Committee")</f>
        <v>He is currently the Deputy Chairman of the Bafuf School Committee</v>
      </c>
      <c r="C3489" s="8" t="s">
        <v>13</v>
      </c>
      <c r="D3489" s="8" t="s">
        <v>14</v>
      </c>
      <c r="E3489" s="8">
        <v>1</v>
      </c>
    </row>
    <row r="3490" spans="1:5" ht="15.75" customHeight="1" x14ac:dyDescent="0.25">
      <c r="A3490" s="6" t="s">
        <v>3442</v>
      </c>
      <c r="B3490" s="6" t="str">
        <f ca="1">IFERROR(__xludf.DUMMYFUNCTION("GOOGLETRANSLATE(A3490,""bn"",""en"")"),"Green came to give me the book")</f>
        <v>Green came to give me the book</v>
      </c>
      <c r="C3490" s="8" t="s">
        <v>13</v>
      </c>
      <c r="D3490" s="8" t="s">
        <v>14</v>
      </c>
      <c r="E3490" s="8">
        <v>1</v>
      </c>
    </row>
    <row r="3491" spans="1:5" ht="15.75" customHeight="1" x14ac:dyDescent="0.25">
      <c r="A3491" s="6" t="s">
        <v>3443</v>
      </c>
      <c r="B3491" s="6" t="str">
        <f ca="1">IFERROR(__xludf.DUMMYFUNCTION("GOOGLETRANSLATE(A3491,""bn"",""en"")"),"The doctor diagnosed me with pneumonia which is an infection in my lungs")</f>
        <v>The doctor diagnosed me with pneumonia which is an infection in my lungs</v>
      </c>
      <c r="C3491" s="8" t="s">
        <v>13</v>
      </c>
      <c r="D3491" s="8" t="s">
        <v>14</v>
      </c>
      <c r="E3491" s="8">
        <v>1</v>
      </c>
    </row>
    <row r="3492" spans="1:5" ht="15.75" customHeight="1" x14ac:dyDescent="0.25">
      <c r="A3492" s="6" t="s">
        <v>3444</v>
      </c>
      <c r="B3492" s="6" t="str">
        <f ca="1">IFERROR(__xludf.DUMMYFUNCTION("GOOGLETRANSLATE(A3492,""bn"",""en"")"),"Some of the philosophers say that due to extinction of nations, the vanquished nations were driven out by the conquerors and settled in very unfit places.")</f>
        <v>Some of the philosophers say that due to extinction of nations, the vanquished nations were driven out by the conquerors and settled in very unfit places.</v>
      </c>
      <c r="C3492" s="7" t="s">
        <v>6</v>
      </c>
      <c r="D3492" s="7" t="s">
        <v>7</v>
      </c>
      <c r="E3492" s="7">
        <v>0</v>
      </c>
    </row>
    <row r="3493" spans="1:5" ht="15.75" customHeight="1" x14ac:dyDescent="0.25">
      <c r="A3493" s="6" t="s">
        <v>3445</v>
      </c>
      <c r="B3493" s="6" t="str">
        <f ca="1">IFERROR(__xludf.DUMMYFUNCTION("GOOGLETRANSLATE(A3493,""bn"",""en"")"),"He bought me a flower")</f>
        <v>He bought me a flower</v>
      </c>
      <c r="C3493" s="7" t="s">
        <v>6</v>
      </c>
      <c r="D3493" s="7" t="s">
        <v>7</v>
      </c>
      <c r="E3493" s="7">
        <v>0</v>
      </c>
    </row>
    <row r="3494" spans="1:5" ht="15.75" customHeight="1" x14ac:dyDescent="0.25">
      <c r="A3494" s="6" t="s">
        <v>3446</v>
      </c>
      <c r="B3494" s="6" t="str">
        <f ca="1">IFERROR(__xludf.DUMMYFUNCTION("GOOGLETRANSLATE(A3494,""bn"",""en"")"),"The face that looked beautiful in the light of the lamp yesterday was clearly visible in the sunlight today")</f>
        <v>The face that looked beautiful in the light of the lamp yesterday was clearly visible in the sunlight today</v>
      </c>
      <c r="C3494" s="7" t="s">
        <v>6</v>
      </c>
      <c r="D3494" s="7" t="s">
        <v>7</v>
      </c>
      <c r="E3494" s="7">
        <v>0</v>
      </c>
    </row>
    <row r="3495" spans="1:5" ht="15.75" customHeight="1" x14ac:dyDescent="0.25">
      <c r="A3495" s="6" t="s">
        <v>3447</v>
      </c>
      <c r="B3495" s="6" t="str">
        <f ca="1">IFERROR(__xludf.DUMMYFUNCTION("GOOGLETRANSLATE(A3495,""bn"",""en"")"),"Rahima asked Karim")</f>
        <v>Rahima asked Karim</v>
      </c>
      <c r="C3495" s="7" t="s">
        <v>6</v>
      </c>
      <c r="D3495" s="7" t="s">
        <v>7</v>
      </c>
      <c r="E3495" s="7">
        <v>0</v>
      </c>
    </row>
    <row r="3496" spans="1:5" ht="15.75" customHeight="1" x14ac:dyDescent="0.25">
      <c r="A3496" s="6" t="s">
        <v>3448</v>
      </c>
      <c r="B3496" s="6" t="str">
        <f ca="1">IFERROR(__xludf.DUMMYFUNCTION("GOOGLETRANSLATE(A3496,""bn"",""en"")"),"Compassionate Bhairavi makes my impending parting pangs pervade the entire universe with the autumn sun.")</f>
        <v>Compassionate Bhairavi makes my impending parting pangs pervade the entire universe with the autumn sun.</v>
      </c>
      <c r="C3496" s="7" t="s">
        <v>6</v>
      </c>
      <c r="D3496" s="7" t="s">
        <v>7</v>
      </c>
      <c r="E3496" s="7">
        <v>0</v>
      </c>
    </row>
    <row r="3497" spans="1:5" ht="15.75" customHeight="1" x14ac:dyDescent="0.25">
      <c r="A3497" s="6" t="s">
        <v>3449</v>
      </c>
      <c r="B3497" s="6" t="str">
        <f ca="1">IFERROR(__xludf.DUMMYFUNCTION("GOOGLETRANSLATE(A3497,""bn"",""en"")"),"Newspaper crossword puzzles are a favorite pastime for many readers")</f>
        <v>Newspaper crossword puzzles are a favorite pastime for many readers</v>
      </c>
      <c r="C3497" s="8" t="s">
        <v>13</v>
      </c>
      <c r="D3497" s="8" t="s">
        <v>14</v>
      </c>
      <c r="E3497" s="8">
        <v>1</v>
      </c>
    </row>
    <row r="3498" spans="1:5" ht="15.75" customHeight="1" x14ac:dyDescent="0.25">
      <c r="A3498" s="6" t="s">
        <v>3450</v>
      </c>
      <c r="B3498" s="6" t="str">
        <f ca="1">IFERROR(__xludf.DUMMYFUNCTION("GOOGLETRANSLATE(A3498,""bn"",""en"")"),"John Fakir was killed apparently for no reason")</f>
        <v>John Fakir was killed apparently for no reason</v>
      </c>
      <c r="C3498" s="8" t="s">
        <v>13</v>
      </c>
      <c r="D3498" s="8" t="s">
        <v>14</v>
      </c>
      <c r="E3498" s="8">
        <v>1</v>
      </c>
    </row>
    <row r="3499" spans="1:5" ht="15.75" customHeight="1" x14ac:dyDescent="0.25">
      <c r="A3499" s="6" t="s">
        <v>3451</v>
      </c>
      <c r="B3499" s="6" t="str">
        <f ca="1">IFERROR(__xludf.DUMMYFUNCTION("GOOGLETRANSLATE(A3499,""bn"",""en"")"),"Family support is invaluable in difficult times")</f>
        <v>Family support is invaluable in difficult times</v>
      </c>
      <c r="C3499" s="8" t="s">
        <v>13</v>
      </c>
      <c r="D3499" s="8" t="s">
        <v>14</v>
      </c>
      <c r="E3499" s="8">
        <v>1</v>
      </c>
    </row>
    <row r="3500" spans="1:5" ht="15.75" customHeight="1" x14ac:dyDescent="0.25">
      <c r="A3500" s="6" t="s">
        <v>3452</v>
      </c>
      <c r="B3500" s="6" t="str">
        <f ca="1">IFERROR(__xludf.DUMMYFUNCTION("GOOGLETRANSLATE(A3500,""bn"",""en"")"),"Taher wrote to Chandan")</f>
        <v>Taher wrote to Chandan</v>
      </c>
      <c r="C3500" s="8" t="s">
        <v>13</v>
      </c>
      <c r="D3500" s="8" t="s">
        <v>14</v>
      </c>
      <c r="E3500" s="8">
        <v>1</v>
      </c>
    </row>
    <row r="3501" spans="1:5" ht="15.75" customHeight="1" x14ac:dyDescent="0.25">
      <c r="A3501" s="6" t="s">
        <v>3453</v>
      </c>
      <c r="B3501" s="6" t="str">
        <f ca="1">IFERROR(__xludf.DUMMYFUNCTION("GOOGLETRANSLATE(A3501,""bn"",""en"")"),"This interest can be seen among foreign tourists as well")</f>
        <v>This interest can be seen among foreign tourists as well</v>
      </c>
      <c r="C3501" s="8" t="s">
        <v>13</v>
      </c>
      <c r="D3501" s="8" t="s">
        <v>14</v>
      </c>
      <c r="E3501" s="8">
        <v>1</v>
      </c>
    </row>
    <row r="3502" spans="1:5" ht="15.75" customHeight="1" x14ac:dyDescent="0.25">
      <c r="A3502" s="6" t="s">
        <v>3454</v>
      </c>
      <c r="B3502" s="6" t="str">
        <f ca="1">IFERROR(__xludf.DUMMYFUNCTION("GOOGLETRANSLATE(A3502,""bn"",""en"")"),"I gave him a complete tour of my new home")</f>
        <v>I gave him a complete tour of my new home</v>
      </c>
      <c r="C3502" s="7" t="s">
        <v>6</v>
      </c>
      <c r="D3502" s="7" t="s">
        <v>7</v>
      </c>
      <c r="E3502" s="7">
        <v>0</v>
      </c>
    </row>
    <row r="3503" spans="1:5" ht="15.75" customHeight="1" x14ac:dyDescent="0.25">
      <c r="A3503" s="6" t="s">
        <v>3455</v>
      </c>
      <c r="B3503" s="6" t="str">
        <f ca="1">IFERROR(__xludf.DUMMYFUNCTION("GOOGLETRANSLATE(A3503,""bn"",""en"")"),"The sailors knew that the tide was coming")</f>
        <v>The sailors knew that the tide was coming</v>
      </c>
      <c r="C3503" s="7" t="s">
        <v>6</v>
      </c>
      <c r="D3503" s="7" t="s">
        <v>7</v>
      </c>
      <c r="E3503" s="7">
        <v>0</v>
      </c>
    </row>
    <row r="3504" spans="1:5" ht="15.75" customHeight="1" x14ac:dyDescent="0.25">
      <c r="A3504" s="6" t="s">
        <v>3456</v>
      </c>
      <c r="B3504" s="6" t="str">
        <f ca="1">IFERROR(__xludf.DUMMYFUNCTION("GOOGLETRANSLATE(A3504,""bn"",""en"")"),"Our smart boys can't match it")</f>
        <v>Our smart boys can't match it</v>
      </c>
      <c r="C3504" s="7" t="s">
        <v>6</v>
      </c>
      <c r="D3504" s="7" t="s">
        <v>7</v>
      </c>
      <c r="E3504" s="7">
        <v>0</v>
      </c>
    </row>
    <row r="3505" spans="1:5" ht="15.75" customHeight="1" x14ac:dyDescent="0.25">
      <c r="A3505" s="6" t="s">
        <v>3457</v>
      </c>
      <c r="B3505" s="6" t="str">
        <f ca="1">IFERROR(__xludf.DUMMYFUNCTION("GOOGLETRANSLATE(A3505,""bn"",""en"")"),"Then they laid Haru on the loft and lifted the loft on their shoulders.")</f>
        <v>Then they laid Haru on the loft and lifted the loft on their shoulders.</v>
      </c>
      <c r="C3505" s="7" t="s">
        <v>6</v>
      </c>
      <c r="D3505" s="7" t="s">
        <v>7</v>
      </c>
      <c r="E3505" s="7">
        <v>0</v>
      </c>
    </row>
    <row r="3506" spans="1:5" ht="15.75" customHeight="1" x14ac:dyDescent="0.25">
      <c r="A3506" s="6" t="s">
        <v>3458</v>
      </c>
      <c r="B3506" s="6" t="str">
        <f ca="1">IFERROR(__xludf.DUMMYFUNCTION("GOOGLETRANSLATE(A3506,""bn"",""en"")"),"I reached Hazaribagh around two o'clock in the afternoon")</f>
        <v>I reached Hazaribagh around two o'clock in the afternoon</v>
      </c>
      <c r="C3506" s="7" t="s">
        <v>6</v>
      </c>
      <c r="D3506" s="7" t="s">
        <v>7</v>
      </c>
      <c r="E3506" s="7">
        <v>0</v>
      </c>
    </row>
    <row r="3507" spans="1:5" ht="15.75" customHeight="1" x14ac:dyDescent="0.25">
      <c r="A3507" s="6" t="s">
        <v>3459</v>
      </c>
      <c r="B3507" s="6" t="str">
        <f ca="1">IFERROR(__xludf.DUMMYFUNCTION("GOOGLETRANSLATE(A3507,""bn"",""en"")"),"Rana is walking on the school road")</f>
        <v>Rana is walking on the school road</v>
      </c>
      <c r="C3507" s="8" t="s">
        <v>13</v>
      </c>
      <c r="D3507" s="8" t="s">
        <v>14</v>
      </c>
      <c r="E3507" s="8">
        <v>1</v>
      </c>
    </row>
    <row r="3508" spans="1:5" ht="15.75" customHeight="1" x14ac:dyDescent="0.25">
      <c r="A3508" s="6" t="s">
        <v>3460</v>
      </c>
      <c r="B3508" s="6" t="str">
        <f ca="1">IFERROR(__xludf.DUMMYFUNCTION("GOOGLETRANSLATE(A3508,""bn"",""en"")"),"I love the new paint job on my bike it's so vibrant")</f>
        <v>I love the new paint job on my bike it's so vibrant</v>
      </c>
      <c r="C3508" s="8" t="s">
        <v>13</v>
      </c>
      <c r="D3508" s="8" t="s">
        <v>14</v>
      </c>
      <c r="E3508" s="8">
        <v>1</v>
      </c>
    </row>
    <row r="3509" spans="1:5" ht="15.75" customHeight="1" x14ac:dyDescent="0.25">
      <c r="A3509" s="6" t="s">
        <v>3461</v>
      </c>
      <c r="B3509" s="6" t="str">
        <f ca="1">IFERROR(__xludf.DUMMYFUNCTION("GOOGLETRANSLATE(A3509,""bn"",""en"")"),"Mahadeva got upset and left for Varanasi alone")</f>
        <v>Mahadeva got upset and left for Varanasi alone</v>
      </c>
      <c r="C3509" s="8" t="s">
        <v>13</v>
      </c>
      <c r="D3509" s="8" t="s">
        <v>14</v>
      </c>
      <c r="E3509" s="8">
        <v>1</v>
      </c>
    </row>
    <row r="3510" spans="1:5" ht="15.75" customHeight="1" x14ac:dyDescent="0.25">
      <c r="A3510" s="6" t="s">
        <v>3462</v>
      </c>
      <c r="B3510" s="6" t="str">
        <f ca="1">IFERROR(__xludf.DUMMYFUNCTION("GOOGLETRANSLATE(A3510,""bn"",""en"")"),"I prefer a small car for city driving with easy parking")</f>
        <v>I prefer a small car for city driving with easy parking</v>
      </c>
      <c r="C3510" s="8" t="s">
        <v>13</v>
      </c>
      <c r="D3510" s="8" t="s">
        <v>14</v>
      </c>
      <c r="E3510" s="8">
        <v>1</v>
      </c>
    </row>
    <row r="3511" spans="1:5" ht="15.75" customHeight="1" x14ac:dyDescent="0.25">
      <c r="A3511" s="6" t="s">
        <v>3463</v>
      </c>
      <c r="B3511" s="6" t="str">
        <f ca="1">IFERROR(__xludf.DUMMYFUNCTION("GOOGLETRANSLATE(A3511,""bn"",""en"")"),"Mom doesn't like spicy food")</f>
        <v>Mom doesn't like spicy food</v>
      </c>
      <c r="C3511" s="8" t="s">
        <v>13</v>
      </c>
      <c r="D3511" s="8" t="s">
        <v>14</v>
      </c>
      <c r="E3511" s="8">
        <v>1</v>
      </c>
    </row>
    <row r="3512" spans="1:5" ht="15.75" customHeight="1" x14ac:dyDescent="0.25">
      <c r="A3512" s="6" t="s">
        <v>3464</v>
      </c>
      <c r="B3512" s="6" t="str">
        <f ca="1">IFERROR(__xludf.DUMMYFUNCTION("GOOGLETRANSLATE(A3512,""bn"",""en"")"),"He remained silent for a while and then suddenly spoke in a somewhat sad tone")</f>
        <v>He remained silent for a while and then suddenly spoke in a somewhat sad tone</v>
      </c>
      <c r="C3512" s="7" t="s">
        <v>6</v>
      </c>
      <c r="D3512" s="7" t="s">
        <v>7</v>
      </c>
      <c r="E3512" s="7">
        <v>0</v>
      </c>
    </row>
    <row r="3513" spans="1:5" ht="15.75" customHeight="1" x14ac:dyDescent="0.25">
      <c r="A3513" s="6" t="s">
        <v>3465</v>
      </c>
      <c r="B3513" s="6" t="str">
        <f ca="1">IFERROR(__xludf.DUMMYFUNCTION("GOOGLETRANSLATE(A3513,""bn"",""en"")"),"He gave me a task")</f>
        <v>He gave me a task</v>
      </c>
      <c r="C3513" s="7" t="s">
        <v>6</v>
      </c>
      <c r="D3513" s="7" t="s">
        <v>7</v>
      </c>
      <c r="E3513" s="7">
        <v>0</v>
      </c>
    </row>
    <row r="3514" spans="1:5" ht="15.75" customHeight="1" x14ac:dyDescent="0.25">
      <c r="A3514" s="6" t="s">
        <v>3466</v>
      </c>
      <c r="B3514" s="6" t="str">
        <f ca="1">IFERROR(__xludf.DUMMYFUNCTION("GOOGLETRANSLATE(A3514,""bn"",""en"")"),"It was not as fast as the other day")</f>
        <v>It was not as fast as the other day</v>
      </c>
      <c r="C3514" s="7" t="s">
        <v>6</v>
      </c>
      <c r="D3514" s="7" t="s">
        <v>7</v>
      </c>
      <c r="E3514" s="7">
        <v>0</v>
      </c>
    </row>
    <row r="3515" spans="1:5" ht="15.75" customHeight="1" x14ac:dyDescent="0.25">
      <c r="A3515" s="6" t="s">
        <v>3467</v>
      </c>
      <c r="B3515" s="6" t="str">
        <f ca="1">IFERROR(__xludf.DUMMYFUNCTION("GOOGLETRANSLATE(A3515,""bn"",""en"")"),"He panicked and saw someone standing like a shadow on the far side of the road")</f>
        <v>He panicked and saw someone standing like a shadow on the far side of the road</v>
      </c>
      <c r="C3515" s="7" t="s">
        <v>6</v>
      </c>
      <c r="D3515" s="7" t="s">
        <v>7</v>
      </c>
      <c r="E3515" s="7">
        <v>0</v>
      </c>
    </row>
    <row r="3516" spans="1:5" ht="15.75" customHeight="1" x14ac:dyDescent="0.25">
      <c r="A3516" s="6" t="s">
        <v>3468</v>
      </c>
      <c r="B3516" s="6" t="str">
        <f ca="1">IFERROR(__xludf.DUMMYFUNCTION("GOOGLETRANSLATE(A3516,""bn"",""en"")"),"It has been decided to apply mehndi to Abbajan's gray hair due to weakness")</f>
        <v>It has been decided to apply mehndi to Abbajan's gray hair due to weakness</v>
      </c>
      <c r="C3516" s="7" t="s">
        <v>6</v>
      </c>
      <c r="D3516" s="7" t="s">
        <v>7</v>
      </c>
      <c r="E3516" s="7">
        <v>0</v>
      </c>
    </row>
    <row r="3517" spans="1:5" ht="15.75" customHeight="1" x14ac:dyDescent="0.25">
      <c r="A3517" s="6" t="s">
        <v>3469</v>
      </c>
      <c r="B3517" s="6" t="str">
        <f ca="1">IFERROR(__xludf.DUMMYFUNCTION("GOOGLETRANSLATE(A3517,""bn"",""en"")"),"Newspapers provide a platform for different voices to be heard")</f>
        <v>Newspapers provide a platform for different voices to be heard</v>
      </c>
      <c r="C3517" s="8" t="s">
        <v>13</v>
      </c>
      <c r="D3517" s="8" t="s">
        <v>14</v>
      </c>
      <c r="E3517" s="8">
        <v>1</v>
      </c>
    </row>
    <row r="3518" spans="1:5" ht="15.75" customHeight="1" x14ac:dyDescent="0.25">
      <c r="A3518" s="6" t="s">
        <v>3470</v>
      </c>
      <c r="B3518" s="6" t="str">
        <f ca="1">IFERROR(__xludf.DUMMYFUNCTION("GOOGLETRANSLATE(A3518,""bn"",""en"")"),"I like to see this picture")</f>
        <v>I like to see this picture</v>
      </c>
      <c r="C3518" s="8" t="s">
        <v>13</v>
      </c>
      <c r="D3518" s="8" t="s">
        <v>14</v>
      </c>
      <c r="E3518" s="8">
        <v>1</v>
      </c>
    </row>
    <row r="3519" spans="1:5" ht="15.75" customHeight="1" x14ac:dyDescent="0.25">
      <c r="A3519" s="6" t="s">
        <v>3471</v>
      </c>
      <c r="B3519" s="6" t="str">
        <f ca="1">IFERROR(__xludf.DUMMYFUNCTION("GOOGLETRANSLATE(A3519,""bn"",""en"")"),"Opening his sleepy eyes, he looked at the child and saw that the child was unconscious in a deep sleep")</f>
        <v>Opening his sleepy eyes, he looked at the child and saw that the child was unconscious in a deep sleep</v>
      </c>
      <c r="C3519" s="8" t="s">
        <v>13</v>
      </c>
      <c r="D3519" s="8" t="s">
        <v>14</v>
      </c>
      <c r="E3519" s="8">
        <v>1</v>
      </c>
    </row>
    <row r="3520" spans="1:5" ht="15.75" customHeight="1" x14ac:dyDescent="0.25">
      <c r="A3520" s="6" t="s">
        <v>3472</v>
      </c>
      <c r="B3520" s="6" t="str">
        <f ca="1">IFERROR(__xludf.DUMMYFUNCTION("GOOGLETRANSLATE(A3520,""bn"",""en"")"),"It is the most popular play in Shakespeare's lifetime")</f>
        <v>It is the most popular play in Shakespeare's lifetime</v>
      </c>
      <c r="C3520" s="8" t="s">
        <v>13</v>
      </c>
      <c r="D3520" s="8" t="s">
        <v>14</v>
      </c>
      <c r="E3520" s="8">
        <v>1</v>
      </c>
    </row>
    <row r="3521" spans="1:5" ht="15.75" customHeight="1" x14ac:dyDescent="0.25">
      <c r="A3521" s="6" t="s">
        <v>3473</v>
      </c>
      <c r="B3521" s="6" t="str">
        <f ca="1">IFERROR(__xludf.DUMMYFUNCTION("GOOGLETRANSLATE(A3521,""bn"",""en"")"),"Diversifying your investment portfolio helps reduce risk")</f>
        <v>Diversifying your investment portfolio helps reduce risk</v>
      </c>
      <c r="C3521" s="8" t="s">
        <v>13</v>
      </c>
      <c r="D3521" s="8" t="s">
        <v>14</v>
      </c>
      <c r="E3521" s="8">
        <v>1</v>
      </c>
    </row>
    <row r="3522" spans="1:5" ht="15.75" customHeight="1" x14ac:dyDescent="0.25">
      <c r="A3522" s="6" t="s">
        <v>3474</v>
      </c>
      <c r="B3522" s="6" t="str">
        <f ca="1">IFERROR(__xludf.DUMMYFUNCTION("GOOGLETRANSLATE(A3522,""bn"",""en"")"),"Asha is very annoyed by these words as she cannot give any answer")</f>
        <v>Asha is very annoyed by these words as she cannot give any answer</v>
      </c>
      <c r="C3522" s="7" t="s">
        <v>6</v>
      </c>
      <c r="D3522" s="7" t="s">
        <v>7</v>
      </c>
      <c r="E3522" s="7">
        <v>0</v>
      </c>
    </row>
    <row r="3523" spans="1:5" ht="15.75" customHeight="1" x14ac:dyDescent="0.25">
      <c r="A3523" s="6" t="s">
        <v>3475</v>
      </c>
      <c r="B3523" s="6" t="str">
        <f ca="1">IFERROR(__xludf.DUMMYFUNCTION("GOOGLETRANSLATE(A3523,""bn"",""en"")"),"I told them that it was Siddheshwari's flock")</f>
        <v>I told them that it was Siddheshwari's flock</v>
      </c>
      <c r="C3523" s="7" t="s">
        <v>6</v>
      </c>
      <c r="D3523" s="7" t="s">
        <v>7</v>
      </c>
      <c r="E3523" s="7">
        <v>0</v>
      </c>
    </row>
    <row r="3524" spans="1:5" ht="15.75" customHeight="1" x14ac:dyDescent="0.25">
      <c r="A3524" s="6" t="s">
        <v>3476</v>
      </c>
      <c r="B3524" s="6" t="str">
        <f ca="1">IFERROR(__xludf.DUMMYFUNCTION("GOOGLETRANSLATE(A3524,""bn"",""en"")"),"I will eat rice and pray")</f>
        <v>I will eat rice and pray</v>
      </c>
      <c r="C3524" s="7" t="s">
        <v>6</v>
      </c>
      <c r="D3524" s="7" t="s">
        <v>7</v>
      </c>
      <c r="E3524" s="7">
        <v>0</v>
      </c>
    </row>
    <row r="3525" spans="1:5" ht="15.75" customHeight="1" x14ac:dyDescent="0.25">
      <c r="A3525" s="6" t="s">
        <v>3477</v>
      </c>
      <c r="B3525" s="6" t="str">
        <f ca="1">IFERROR(__xludf.DUMMYFUNCTION("GOOGLETRANSLATE(A3525,""bn"",""en"")"),"He felt a great pain in his heart")</f>
        <v>He felt a great pain in his heart</v>
      </c>
      <c r="C3525" s="7" t="s">
        <v>6</v>
      </c>
      <c r="D3525" s="7" t="s">
        <v>7</v>
      </c>
      <c r="E3525" s="7">
        <v>0</v>
      </c>
    </row>
    <row r="3526" spans="1:5" ht="15.75" customHeight="1" x14ac:dyDescent="0.25">
      <c r="A3526" s="6" t="s">
        <v>3478</v>
      </c>
      <c r="B3526" s="6" t="str">
        <f ca="1">IFERROR(__xludf.DUMMYFUNCTION("GOOGLETRANSLATE(A3526,""bn"",""en"")"),"He himself will come and forgive")</f>
        <v>He himself will come and forgive</v>
      </c>
      <c r="C3526" s="7" t="s">
        <v>6</v>
      </c>
      <c r="D3526" s="7" t="s">
        <v>7</v>
      </c>
      <c r="E3526" s="7">
        <v>0</v>
      </c>
    </row>
    <row r="3527" spans="1:5" ht="15.75" customHeight="1" x14ac:dyDescent="0.25">
      <c r="A3527" s="6" t="s">
        <v>3479</v>
      </c>
      <c r="B3527" s="6" t="str">
        <f ca="1">IFERROR(__xludf.DUMMYFUNCTION("GOOGLETRANSLATE(A3527,""bn"",""en"")"),"That morning a nice car stopped in front of his house")</f>
        <v>That morning a nice car stopped in front of his house</v>
      </c>
      <c r="C3527" s="8" t="s">
        <v>13</v>
      </c>
      <c r="D3527" s="8" t="s">
        <v>14</v>
      </c>
      <c r="E3527" s="8">
        <v>1</v>
      </c>
    </row>
    <row r="3528" spans="1:5" ht="15.75" customHeight="1" x14ac:dyDescent="0.25">
      <c r="A3528" s="6" t="s">
        <v>3480</v>
      </c>
      <c r="B3528" s="6" t="str">
        <f ca="1">IFERROR(__xludf.DUMMYFUNCTION("GOOGLETRANSLATE(A3528,""bn"",""en"")"),"Suman asked me to go today")</f>
        <v>Suman asked me to go today</v>
      </c>
      <c r="C3528" s="8" t="s">
        <v>13</v>
      </c>
      <c r="D3528" s="8" t="s">
        <v>14</v>
      </c>
      <c r="E3528" s="8">
        <v>1</v>
      </c>
    </row>
    <row r="3529" spans="1:5" ht="15.75" customHeight="1" x14ac:dyDescent="0.25">
      <c r="A3529" s="6" t="s">
        <v>3481</v>
      </c>
      <c r="B3529" s="6" t="str">
        <f ca="1">IFERROR(__xludf.DUMMYFUNCTION("GOOGLETRANSLATE(A3529,""bn"",""en"")"),"He was also suffering from kidney or bladder problems")</f>
        <v>He was also suffering from kidney or bladder problems</v>
      </c>
      <c r="C3529" s="8" t="s">
        <v>13</v>
      </c>
      <c r="D3529" s="8" t="s">
        <v>14</v>
      </c>
      <c r="E3529" s="8">
        <v>1</v>
      </c>
    </row>
    <row r="3530" spans="1:5" ht="15.75" customHeight="1" x14ac:dyDescent="0.25">
      <c r="A3530" s="6" t="s">
        <v>3482</v>
      </c>
      <c r="B3530" s="6" t="str">
        <f ca="1">IFERROR(__xludf.DUMMYFUNCTION("GOOGLETRANSLATE(A3530,""bn"",""en"")"),"Tag a friend who needs motivation")</f>
        <v>Tag a friend who needs motivation</v>
      </c>
      <c r="C3530" s="8" t="s">
        <v>13</v>
      </c>
      <c r="D3530" s="8" t="s">
        <v>14</v>
      </c>
      <c r="E3530" s="8">
        <v>1</v>
      </c>
    </row>
    <row r="3531" spans="1:5" ht="15.75" customHeight="1" x14ac:dyDescent="0.25">
      <c r="A3531" s="6" t="s">
        <v>3483</v>
      </c>
      <c r="B3531" s="6" t="str">
        <f ca="1">IFERROR(__xludf.DUMMYFUNCTION("GOOGLETRANSLATE(A3531,""bn"",""en"")"),"Disappointed, the captain thought of going back")</f>
        <v>Disappointed, the captain thought of going back</v>
      </c>
      <c r="C3531" s="8" t="s">
        <v>13</v>
      </c>
      <c r="D3531" s="8" t="s">
        <v>14</v>
      </c>
      <c r="E3531" s="8">
        <v>1</v>
      </c>
    </row>
    <row r="3532" spans="1:5" ht="15.75" customHeight="1" x14ac:dyDescent="0.25">
      <c r="A3532" s="6" t="s">
        <v>3484</v>
      </c>
      <c r="B3532" s="6" t="str">
        <f ca="1">IFERROR(__xludf.DUMMYFUNCTION("GOOGLETRANSLATE(A3532,""bn"",""en"")"),"In this pargana the Asuras live in places in the mountains.")</f>
        <v>In this pargana the Asuras live in places in the mountains.</v>
      </c>
      <c r="C3532" s="7" t="s">
        <v>6</v>
      </c>
      <c r="D3532" s="7" t="s">
        <v>7</v>
      </c>
      <c r="E3532" s="7">
        <v>0</v>
      </c>
    </row>
    <row r="3533" spans="1:5" ht="15.75" customHeight="1" x14ac:dyDescent="0.25">
      <c r="A3533" s="6" t="s">
        <v>3485</v>
      </c>
      <c r="B3533" s="6" t="str">
        <f ca="1">IFERROR(__xludf.DUMMYFUNCTION("GOOGLETRANSLATE(A3533,""bn"",""en"")"),"I have mentioned spinach about Pak, I meant to mention onion")</f>
        <v>I have mentioned spinach about Pak, I meant to mention onion</v>
      </c>
      <c r="C3533" s="7" t="s">
        <v>6</v>
      </c>
      <c r="D3533" s="7" t="s">
        <v>7</v>
      </c>
      <c r="E3533" s="7">
        <v>0</v>
      </c>
    </row>
    <row r="3534" spans="1:5" ht="15.75" customHeight="1" x14ac:dyDescent="0.25">
      <c r="A3534" s="6" t="s">
        <v>3486</v>
      </c>
      <c r="B3534" s="6" t="str">
        <f ca="1">IFERROR(__xludf.DUMMYFUNCTION("GOOGLETRANSLATE(A3534,""bn"",""en"")"),"The dal rice may be pressed a bit")</f>
        <v>The dal rice may be pressed a bit</v>
      </c>
      <c r="C3534" s="7" t="s">
        <v>6</v>
      </c>
      <c r="D3534" s="7" t="s">
        <v>7</v>
      </c>
      <c r="E3534" s="7">
        <v>0</v>
      </c>
    </row>
    <row r="3535" spans="1:5" ht="15.75" customHeight="1" x14ac:dyDescent="0.25">
      <c r="A3535" s="6" t="s">
        <v>3487</v>
      </c>
      <c r="B3535" s="6" t="str">
        <f ca="1">IFERROR(__xludf.DUMMYFUNCTION("GOOGLETRANSLATE(A3535,""bn"",""en"")"),"Many people can rest assured if this word of the king is true")</f>
        <v>Many people can rest assured if this word of the king is true</v>
      </c>
      <c r="C3535" s="7" t="s">
        <v>6</v>
      </c>
      <c r="D3535" s="7" t="s">
        <v>7</v>
      </c>
      <c r="E3535" s="7">
        <v>0</v>
      </c>
    </row>
    <row r="3536" spans="1:5" ht="15.75" customHeight="1" x14ac:dyDescent="0.25">
      <c r="A3536" s="6" t="s">
        <v>3261</v>
      </c>
      <c r="B3536" s="6" t="str">
        <f ca="1">IFERROR(__xludf.DUMMYFUNCTION("GOOGLETRANSLATE(A3536,""bn"",""en"")"),"I want to observe a Hariyal and see if it says Radhe Manyung Parihar or not")</f>
        <v>I want to observe a Hariyal and see if it says Radhe Manyung Parihar or not</v>
      </c>
      <c r="C3536" s="7" t="s">
        <v>6</v>
      </c>
      <c r="D3536" s="7" t="s">
        <v>7</v>
      </c>
      <c r="E3536" s="7">
        <v>0</v>
      </c>
    </row>
    <row r="3537" spans="1:5" ht="15.75" customHeight="1" x14ac:dyDescent="0.25">
      <c r="A3537" s="6" t="s">
        <v>3488</v>
      </c>
      <c r="B3537" s="6" t="str">
        <f ca="1">IFERROR(__xludf.DUMMYFUNCTION("GOOGLETRANSLATE(A3537,""bn"",""en"")"),"Subscribe for special offers")</f>
        <v>Subscribe for special offers</v>
      </c>
      <c r="C3537" s="8" t="s">
        <v>13</v>
      </c>
      <c r="D3537" s="8" t="s">
        <v>14</v>
      </c>
      <c r="E3537" s="8">
        <v>1</v>
      </c>
    </row>
    <row r="3538" spans="1:5" ht="15.75" customHeight="1" x14ac:dyDescent="0.25">
      <c r="A3538" s="6" t="s">
        <v>3489</v>
      </c>
      <c r="B3538" s="6" t="str">
        <f ca="1">IFERROR(__xludf.DUMMYFUNCTION("GOOGLETRANSLATE(A3538,""bn"",""en"")"),"Entering unknown territory, they encountered exotic wildlife and mysterious ruins")</f>
        <v>Entering unknown territory, they encountered exotic wildlife and mysterious ruins</v>
      </c>
      <c r="C3538" s="8" t="s">
        <v>13</v>
      </c>
      <c r="D3538" s="8" t="s">
        <v>14</v>
      </c>
      <c r="E3538" s="8">
        <v>1</v>
      </c>
    </row>
    <row r="3539" spans="1:5" ht="15.75" customHeight="1" x14ac:dyDescent="0.25">
      <c r="A3539" s="6" t="s">
        <v>3490</v>
      </c>
      <c r="B3539" s="6" t="str">
        <f ca="1">IFERROR(__xludf.DUMMYFUNCTION("GOOGLETRANSLATE(A3539,""bn"",""en"")"),"There is a strong relationship between the special methods of animal ecological shelter")</f>
        <v>There is a strong relationship between the special methods of animal ecological shelter</v>
      </c>
      <c r="C3539" s="8" t="s">
        <v>13</v>
      </c>
      <c r="D3539" s="8" t="s">
        <v>14</v>
      </c>
      <c r="E3539" s="8">
        <v>1</v>
      </c>
    </row>
    <row r="3540" spans="1:5" ht="15.75" customHeight="1" x14ac:dyDescent="0.25">
      <c r="A3540" s="6" t="s">
        <v>3491</v>
      </c>
      <c r="B3540" s="6" t="str">
        <f ca="1">IFERROR(__xludf.DUMMYFUNCTION("GOOGLETRANSLATE(A3540,""bn"",""en"")"),"He failed the exam due to not studying properly")</f>
        <v>He failed the exam due to not studying properly</v>
      </c>
      <c r="C3540" s="8" t="s">
        <v>13</v>
      </c>
      <c r="D3540" s="8" t="s">
        <v>14</v>
      </c>
      <c r="E3540" s="8">
        <v>1</v>
      </c>
    </row>
    <row r="3541" spans="1:5" ht="15.75" customHeight="1" x14ac:dyDescent="0.25">
      <c r="A3541" s="6" t="s">
        <v>3492</v>
      </c>
      <c r="B3541" s="6" t="str">
        <f ca="1">IFERROR(__xludf.DUMMYFUNCTION("GOOGLETRANSLATE(A3541,""bn"",""en"")"),"Feeling homesick brings a longing for familiar comforts")</f>
        <v>Feeling homesick brings a longing for familiar comforts</v>
      </c>
      <c r="C3541" s="8" t="s">
        <v>13</v>
      </c>
      <c r="D3541" s="8" t="s">
        <v>14</v>
      </c>
      <c r="E3541" s="8">
        <v>1</v>
      </c>
    </row>
    <row r="3542" spans="1:5" ht="15.75" customHeight="1" x14ac:dyDescent="0.25">
      <c r="A3542" s="6" t="s">
        <v>3493</v>
      </c>
      <c r="B3542" s="6" t="str">
        <f ca="1">IFERROR(__xludf.DUMMYFUNCTION("GOOGLETRANSLATE(A3542,""bn"",""en"")"),"I can't count on them coming")</f>
        <v>I can't count on them coming</v>
      </c>
      <c r="C3542" s="7" t="s">
        <v>6</v>
      </c>
      <c r="D3542" s="7" t="s">
        <v>7</v>
      </c>
      <c r="E3542" s="7">
        <v>0</v>
      </c>
    </row>
    <row r="3543" spans="1:5" ht="15.75" customHeight="1" x14ac:dyDescent="0.25">
      <c r="A3543" s="6" t="s">
        <v>3494</v>
      </c>
      <c r="B3543" s="6" t="str">
        <f ca="1">IFERROR(__xludf.DUMMYFUNCTION("GOOGLETRANSLATE(A3543,""bn"",""en"")"),"His feet repeatedly fell into the pit filled with water and mud. Today he could not find the right direction")</f>
        <v>His feet repeatedly fell into the pit filled with water and mud. Today he could not find the right direction</v>
      </c>
      <c r="C3543" s="7" t="s">
        <v>6</v>
      </c>
      <c r="D3543" s="7" t="s">
        <v>7</v>
      </c>
      <c r="E3543" s="7">
        <v>0</v>
      </c>
    </row>
    <row r="3544" spans="1:5" ht="15.75" customHeight="1" x14ac:dyDescent="0.25">
      <c r="A3544" s="6" t="s">
        <v>3495</v>
      </c>
      <c r="B3544" s="6" t="str">
        <f ca="1">IFERROR(__xludf.DUMMYFUNCTION("GOOGLETRANSLATE(A3544,""bn"",""en"")"),"Jamini Kaviraj's daughter-in-law is neither a thief nor a madman, she does not covet clay dolls")</f>
        <v>Jamini Kaviraj's daughter-in-law is neither a thief nor a madman, she does not covet clay dolls</v>
      </c>
      <c r="C3544" s="7" t="s">
        <v>6</v>
      </c>
      <c r="D3544" s="7" t="s">
        <v>7</v>
      </c>
      <c r="E3544" s="7">
        <v>0</v>
      </c>
    </row>
    <row r="3545" spans="1:5" ht="15.75" customHeight="1" x14ac:dyDescent="0.25">
      <c r="A3545" s="6" t="s">
        <v>3496</v>
      </c>
      <c r="B3545" s="6" t="str">
        <f ca="1">IFERROR(__xludf.DUMMYFUNCTION("GOOGLETRANSLATE(A3545,""bn"",""en"")"),"Instead of the satanari dhukdhuki of the girl in everyone's throat, there is a single round arsi")</f>
        <v>Instead of the satanari dhukdhuki of the girl in everyone's throat, there is a single round arsi</v>
      </c>
      <c r="C3545" s="7" t="s">
        <v>6</v>
      </c>
      <c r="D3545" s="7" t="s">
        <v>7</v>
      </c>
      <c r="E3545" s="7">
        <v>0</v>
      </c>
    </row>
    <row r="3546" spans="1:5" ht="15.75" customHeight="1" x14ac:dyDescent="0.25">
      <c r="A3546" s="6" t="s">
        <v>3497</v>
      </c>
      <c r="B3546" s="6" t="str">
        <f ca="1">IFERROR(__xludf.DUMMYFUNCTION("GOOGLETRANSLATE(A3546,""bn"",""en"")"),"In the end, Shakib put Rahim in danger")</f>
        <v>In the end, Shakib put Rahim in danger</v>
      </c>
      <c r="C3546" s="7" t="s">
        <v>6</v>
      </c>
      <c r="D3546" s="7" t="s">
        <v>7</v>
      </c>
      <c r="E3546" s="7">
        <v>0</v>
      </c>
    </row>
    <row r="3547" spans="1:5" ht="15.75" customHeight="1" x14ac:dyDescent="0.25">
      <c r="A3547" s="6" t="s">
        <v>3498</v>
      </c>
      <c r="B3547" s="6" t="str">
        <f ca="1">IFERROR(__xludf.DUMMYFUNCTION("GOOGLETRANSLATE(A3547,""bn"",""en"")"),"Performance incentives motivate employees to achieve excellence")</f>
        <v>Performance incentives motivate employees to achieve excellence</v>
      </c>
      <c r="C3547" s="8" t="s">
        <v>13</v>
      </c>
      <c r="D3547" s="8" t="s">
        <v>14</v>
      </c>
      <c r="E3547" s="8">
        <v>1</v>
      </c>
    </row>
    <row r="3548" spans="1:5" ht="15.75" customHeight="1" x14ac:dyDescent="0.25">
      <c r="A3548" s="6" t="s">
        <v>3499</v>
      </c>
      <c r="B3548" s="6" t="str">
        <f ca="1">IFERROR(__xludf.DUMMYFUNCTION("GOOGLETRANSLATE(A3548,""bn"",""en"")"),"I'd rather walk than sit in the bus")</f>
        <v>I'd rather walk than sit in the bus</v>
      </c>
      <c r="C3548" s="8" t="s">
        <v>13</v>
      </c>
      <c r="D3548" s="8" t="s">
        <v>14</v>
      </c>
      <c r="E3548" s="8">
        <v>1</v>
      </c>
    </row>
    <row r="3549" spans="1:5" ht="15.75" customHeight="1" x14ac:dyDescent="0.25">
      <c r="A3549" s="6" t="s">
        <v>3500</v>
      </c>
      <c r="B3549" s="6" t="str">
        <f ca="1">IFERROR(__xludf.DUMMYFUNCTION("GOOGLETRANSLATE(A3549,""bn"",""en"")"),"Rahim could hear me")</f>
        <v>Rahim could hear me</v>
      </c>
      <c r="C3549" s="8" t="s">
        <v>13</v>
      </c>
      <c r="D3549" s="8" t="s">
        <v>14</v>
      </c>
      <c r="E3549" s="8">
        <v>1</v>
      </c>
    </row>
    <row r="3550" spans="1:5" ht="15.75" customHeight="1" x14ac:dyDescent="0.25">
      <c r="A3550" s="6" t="s">
        <v>3501</v>
      </c>
      <c r="B3550" s="6" t="str">
        <f ca="1">IFERROR(__xludf.DUMMYFUNCTION("GOOGLETRANSLATE(A3550,""bn"",""en"")"),"Education for sustainable development promotes environmental awareness")</f>
        <v>Education for sustainable development promotes environmental awareness</v>
      </c>
      <c r="C3550" s="8" t="s">
        <v>13</v>
      </c>
      <c r="D3550" s="8" t="s">
        <v>14</v>
      </c>
      <c r="E3550" s="8">
        <v>1</v>
      </c>
    </row>
    <row r="3551" spans="1:5" ht="15.75" customHeight="1" x14ac:dyDescent="0.25">
      <c r="A3551" s="6" t="s">
        <v>3502</v>
      </c>
      <c r="B3551" s="6" t="str">
        <f ca="1">IFERROR(__xludf.DUMMYFUNCTION("GOOGLETRANSLATE(A3551,""bn"",""en"")"),"That night it was surprisingly cold inside the house")</f>
        <v>That night it was surprisingly cold inside the house</v>
      </c>
      <c r="C3551" s="8" t="s">
        <v>13</v>
      </c>
      <c r="D3551" s="8" t="s">
        <v>14</v>
      </c>
      <c r="E3551" s="8">
        <v>1</v>
      </c>
    </row>
    <row r="3552" spans="1:5" ht="15.75" customHeight="1" x14ac:dyDescent="0.25">
      <c r="A3552" s="6" t="s">
        <v>3503</v>
      </c>
      <c r="B3552" s="6" t="str">
        <f ca="1">IFERROR(__xludf.DUMMYFUNCTION("GOOGLETRANSLATE(A3552,""bn"",""en"")"),"At that time, he was very sleepy, so there was no special conversation")</f>
        <v>At that time, he was very sleepy, so there was no special conversation</v>
      </c>
      <c r="C3552" s="7" t="s">
        <v>6</v>
      </c>
      <c r="D3552" s="7" t="s">
        <v>7</v>
      </c>
      <c r="E3552" s="7">
        <v>0</v>
      </c>
    </row>
    <row r="3553" spans="1:5" ht="15.75" customHeight="1" x14ac:dyDescent="0.25">
      <c r="A3553" s="6" t="s">
        <v>3504</v>
      </c>
      <c r="B3553" s="6" t="str">
        <f ca="1">IFERROR(__xludf.DUMMYFUNCTION("GOOGLETRANSLATE(A3553,""bn"",""en"")"),"So is their shepherd")</f>
        <v>So is their shepherd</v>
      </c>
      <c r="C3553" s="7" t="s">
        <v>6</v>
      </c>
      <c r="D3553" s="7" t="s">
        <v>7</v>
      </c>
      <c r="E3553" s="7">
        <v>0</v>
      </c>
    </row>
    <row r="3554" spans="1:5" ht="15.75" customHeight="1" x14ac:dyDescent="0.25">
      <c r="A3554" s="6" t="s">
        <v>3505</v>
      </c>
      <c r="B3554" s="6" t="str">
        <f ca="1">IFERROR(__xludf.DUMMYFUNCTION("GOOGLETRANSLATE(A3554,""bn"",""en"")"),"He complained to his grandfather about the wrongful waste of his father's property because if he went to his grandfather for the sake of Shastra or ritual, he would get the opposite result.")</f>
        <v>He complained to his grandfather about the wrongful waste of his father's property because if he went to his grandfather for the sake of Shastra or ritual, he would get the opposite result.</v>
      </c>
      <c r="C3554" s="7" t="s">
        <v>6</v>
      </c>
      <c r="D3554" s="7" t="s">
        <v>7</v>
      </c>
      <c r="E3554" s="7">
        <v>0</v>
      </c>
    </row>
    <row r="3555" spans="1:5" ht="15.75" customHeight="1" x14ac:dyDescent="0.25">
      <c r="A3555" s="6" t="s">
        <v>3506</v>
      </c>
      <c r="B3555" s="6" t="str">
        <f ca="1">IFERROR(__xludf.DUMMYFUNCTION("GOOGLETRANSLATE(A3555,""bn"",""en"")"),"It will be useful to us")</f>
        <v>It will be useful to us</v>
      </c>
      <c r="C3555" s="7" t="s">
        <v>6</v>
      </c>
      <c r="D3555" s="7" t="s">
        <v>7</v>
      </c>
      <c r="E3555" s="7">
        <v>0</v>
      </c>
    </row>
    <row r="3556" spans="1:5" ht="15.75" customHeight="1" x14ac:dyDescent="0.25">
      <c r="A3556" s="6" t="s">
        <v>3507</v>
      </c>
      <c r="B3556" s="6" t="str">
        <f ca="1">IFERROR(__xludf.DUMMYFUNCTION("GOOGLETRANSLATE(A3556,""bn"",""en"")"),"Everyone admitted that no one knew anything")</f>
        <v>Everyone admitted that no one knew anything</v>
      </c>
      <c r="C3556" s="7" t="s">
        <v>6</v>
      </c>
      <c r="D3556" s="7" t="s">
        <v>7</v>
      </c>
      <c r="E3556" s="7">
        <v>0</v>
      </c>
    </row>
    <row r="3557" spans="1:5" ht="15.75" customHeight="1" x14ac:dyDescent="0.25">
      <c r="A3557" s="6" t="s">
        <v>3508</v>
      </c>
      <c r="B3557" s="6" t="str">
        <f ca="1">IFERROR(__xludf.DUMMYFUNCTION("GOOGLETRANSLATE(A3557,""bn"",""en"")"),"Always exercise with proper form")</f>
        <v>Always exercise with proper form</v>
      </c>
      <c r="C3557" s="8" t="s">
        <v>13</v>
      </c>
      <c r="D3557" s="8" t="s">
        <v>14</v>
      </c>
      <c r="E3557" s="8">
        <v>1</v>
      </c>
    </row>
    <row r="3558" spans="1:5" ht="15.75" customHeight="1" x14ac:dyDescent="0.25">
      <c r="A3558" s="6" t="s">
        <v>3509</v>
      </c>
      <c r="B3558" s="6" t="str">
        <f ca="1">IFERROR(__xludf.DUMMYFUNCTION("GOOGLETRANSLATE(A3558,""bn"",""en"")"),"Subscribe for weekly content")</f>
        <v>Subscribe for weekly content</v>
      </c>
      <c r="C3558" s="8" t="s">
        <v>13</v>
      </c>
      <c r="D3558" s="8" t="s">
        <v>14</v>
      </c>
      <c r="E3558" s="8">
        <v>1</v>
      </c>
    </row>
    <row r="3559" spans="1:5" ht="15.75" customHeight="1" x14ac:dyDescent="0.25">
      <c r="A3559" s="6" t="s">
        <v>3510</v>
      </c>
      <c r="B3559" s="6" t="str">
        <f ca="1">IFERROR(__xludf.DUMMYFUNCTION("GOOGLETRANSLATE(A3559,""bn"",""en"")"),"Cinnamon-spiced dessert evokes comforting feelings")</f>
        <v>Cinnamon-spiced dessert evokes comforting feelings</v>
      </c>
      <c r="C3559" s="8" t="s">
        <v>13</v>
      </c>
      <c r="D3559" s="8" t="s">
        <v>14</v>
      </c>
      <c r="E3559" s="8">
        <v>1</v>
      </c>
    </row>
    <row r="3560" spans="1:5" ht="15.75" customHeight="1" x14ac:dyDescent="0.25">
      <c r="A3560" s="6" t="s">
        <v>3511</v>
      </c>
      <c r="B3560" s="6" t="str">
        <f ca="1">IFERROR(__xludf.DUMMYFUNCTION("GOOGLETRANSLATE(A3560,""bn"",""en"")"),"Walton is the only Irishman to receive a Nobel Prize in Physics")</f>
        <v>Walton is the only Irishman to receive a Nobel Prize in Physics</v>
      </c>
      <c r="C3560" s="8" t="s">
        <v>13</v>
      </c>
      <c r="D3560" s="8" t="s">
        <v>14</v>
      </c>
      <c r="E3560" s="8">
        <v>1</v>
      </c>
    </row>
    <row r="3561" spans="1:5" ht="15.75" customHeight="1" x14ac:dyDescent="0.25">
      <c r="A3561" s="6" t="s">
        <v>3512</v>
      </c>
      <c r="B3561" s="6" t="str">
        <f ca="1">IFERROR(__xludf.DUMMYFUNCTION("GOOGLETRANSLATE(A3561,""bn"",""en"")"),"The magazine soon gained popularity")</f>
        <v>The magazine soon gained popularity</v>
      </c>
      <c r="C3561" s="8" t="s">
        <v>13</v>
      </c>
      <c r="D3561" s="8" t="s">
        <v>14</v>
      </c>
      <c r="E3561" s="8">
        <v>1</v>
      </c>
    </row>
    <row r="3562" spans="1:5" ht="15.75" customHeight="1" x14ac:dyDescent="0.25">
      <c r="A3562" s="6" t="s">
        <v>3513</v>
      </c>
      <c r="B3562" s="6" t="str">
        <f ca="1">IFERROR(__xludf.DUMMYFUNCTION("GOOGLETRANSLATE(A3562,""bn"",""en"")"),"With those forty people, Highland's division was defeated")</f>
        <v>With those forty people, Highland's division was defeated</v>
      </c>
      <c r="C3562" s="7" t="s">
        <v>6</v>
      </c>
      <c r="D3562" s="7" t="s">
        <v>7</v>
      </c>
      <c r="E3562" s="7">
        <v>0</v>
      </c>
    </row>
    <row r="3563" spans="1:5" ht="15.75" customHeight="1" x14ac:dyDescent="0.25">
      <c r="A3563" s="6" t="s">
        <v>3514</v>
      </c>
      <c r="B3563" s="6" t="str">
        <f ca="1">IFERROR(__xludf.DUMMYFUNCTION("GOOGLETRANSLATE(A3563,""bn"",""en"")"),"Until now, they are in that mountain, they have no semen")</f>
        <v>Until now, they are in that mountain, they have no semen</v>
      </c>
      <c r="C3563" s="7" t="s">
        <v>6</v>
      </c>
      <c r="D3563" s="7" t="s">
        <v>7</v>
      </c>
      <c r="E3563" s="7">
        <v>0</v>
      </c>
    </row>
    <row r="3564" spans="1:5" ht="15.75" customHeight="1" x14ac:dyDescent="0.25">
      <c r="A3564" s="6" t="s">
        <v>3515</v>
      </c>
      <c r="B3564" s="6" t="str">
        <f ca="1">IFERROR(__xludf.DUMMYFUNCTION("GOOGLETRANSLATE(A3564,""bn"",""en"")"),"He wanted to get the highest marks in the exam")</f>
        <v>He wanted to get the highest marks in the exam</v>
      </c>
      <c r="C3564" s="7" t="s">
        <v>6</v>
      </c>
      <c r="D3564" s="7" t="s">
        <v>7</v>
      </c>
      <c r="E3564" s="7">
        <v>0</v>
      </c>
    </row>
    <row r="3565" spans="1:5" ht="15.75" customHeight="1" x14ac:dyDescent="0.25">
      <c r="A3565" s="6" t="s">
        <v>3516</v>
      </c>
      <c r="B3565" s="6" t="str">
        <f ca="1">IFERROR(__xludf.DUMMYFUNCTION("GOOGLETRANSLATE(A3565,""bn"",""en"")"),"Each pot has a bracket one by one. As soon as the bracket is touched, the potkhani falls away and long-forgotten happiness appears anew.")</f>
        <v>Each pot has a bracket one by one. As soon as the bracket is touched, the potkhani falls away and long-forgotten happiness appears anew.</v>
      </c>
      <c r="C3565" s="7" t="s">
        <v>6</v>
      </c>
      <c r="D3565" s="7" t="s">
        <v>7</v>
      </c>
      <c r="E3565" s="7">
        <v>0</v>
      </c>
    </row>
    <row r="3566" spans="1:5" ht="15.75" customHeight="1" x14ac:dyDescent="0.25">
      <c r="A3566" s="6" t="s">
        <v>3517</v>
      </c>
      <c r="B3566" s="6" t="str">
        <f ca="1">IFERROR(__xludf.DUMMYFUNCTION("GOOGLETRANSLATE(A3566,""bn"",""en"")"),"Rana went to play this morning")</f>
        <v>Rana went to play this morning</v>
      </c>
      <c r="C3566" s="7" t="s">
        <v>6</v>
      </c>
      <c r="D3566" s="7" t="s">
        <v>7</v>
      </c>
      <c r="E3566" s="7">
        <v>0</v>
      </c>
    </row>
    <row r="3567" spans="1:5" ht="15.75" customHeight="1" x14ac:dyDescent="0.25">
      <c r="A3567" s="6" t="s">
        <v>3518</v>
      </c>
      <c r="B3567" s="6" t="str">
        <f ca="1">IFERROR(__xludf.DUMMYFUNCTION("GOOGLETRANSLATE(A3567,""bn"",""en"")"),"Their long life ended in tragic death")</f>
        <v>Their long life ended in tragic death</v>
      </c>
      <c r="C3567" s="8" t="s">
        <v>13</v>
      </c>
      <c r="D3567" s="8" t="s">
        <v>14</v>
      </c>
      <c r="E3567" s="8">
        <v>1</v>
      </c>
    </row>
    <row r="3568" spans="1:5" ht="15.75" customHeight="1" x14ac:dyDescent="0.25">
      <c r="A3568" s="6" t="s">
        <v>3519</v>
      </c>
      <c r="B3568" s="6" t="str">
        <f ca="1">IFERROR(__xludf.DUMMYFUNCTION("GOOGLETRANSLATE(A3568,""bn"",""en"")"),"Meeting new people fills me with excitement")</f>
        <v>Meeting new people fills me with excitement</v>
      </c>
      <c r="C3568" s="8" t="s">
        <v>13</v>
      </c>
      <c r="D3568" s="8" t="s">
        <v>14</v>
      </c>
      <c r="E3568" s="8">
        <v>1</v>
      </c>
    </row>
    <row r="3569" spans="1:5" ht="15.75" customHeight="1" x14ac:dyDescent="0.25">
      <c r="A3569" s="6" t="s">
        <v>3520</v>
      </c>
      <c r="B3569" s="6" t="str">
        <f ca="1">IFERROR(__xludf.DUMMYFUNCTION("GOOGLETRANSLATE(A3569,""bn"",""en"")"),"The king asked the queen to do it")</f>
        <v>The king asked the queen to do it</v>
      </c>
      <c r="C3569" s="8" t="s">
        <v>13</v>
      </c>
      <c r="D3569" s="8" t="s">
        <v>14</v>
      </c>
      <c r="E3569" s="8">
        <v>1</v>
      </c>
    </row>
    <row r="3570" spans="1:5" ht="15.75" customHeight="1" x14ac:dyDescent="0.25">
      <c r="A3570" s="6" t="s">
        <v>3521</v>
      </c>
      <c r="B3570" s="6" t="str">
        <f ca="1">IFERROR(__xludf.DUMMYFUNCTION("GOOGLETRANSLATE(A3570,""bn"",""en"")"),"Steamed Dumplings Satisfy Fading Thirsts")</f>
        <v>Steamed Dumplings Satisfy Fading Thirsts</v>
      </c>
      <c r="C3570" s="8" t="s">
        <v>13</v>
      </c>
      <c r="D3570" s="8" t="s">
        <v>14</v>
      </c>
      <c r="E3570" s="8">
        <v>1</v>
      </c>
    </row>
    <row r="3571" spans="1:5" ht="15.75" customHeight="1" x14ac:dyDescent="0.25">
      <c r="A3571" s="6" t="s">
        <v>3522</v>
      </c>
      <c r="B3571" s="6" t="str">
        <f ca="1">IFERROR(__xludf.DUMMYFUNCTION("GOOGLETRANSLATE(A3571,""bn"",""en"")"),"I called him for a consultation")</f>
        <v>I called him for a consultation</v>
      </c>
      <c r="C3571" s="8" t="s">
        <v>13</v>
      </c>
      <c r="D3571" s="8" t="s">
        <v>14</v>
      </c>
      <c r="E3571" s="8">
        <v>1</v>
      </c>
    </row>
    <row r="3572" spans="1:5" ht="15.75" customHeight="1" x14ac:dyDescent="0.25">
      <c r="A3572" s="6" t="s">
        <v>3523</v>
      </c>
      <c r="B3572" s="6" t="str">
        <f ca="1">IFERROR(__xludf.DUMMYFUNCTION("GOOGLETRANSLATE(A3572,""bn"",""en"")"),"There is no soil in the western part of this hill so all the layers inside it can be seen")</f>
        <v>There is no soil in the western part of this hill so all the layers inside it can be seen</v>
      </c>
      <c r="C3572" s="7" t="s">
        <v>6</v>
      </c>
      <c r="D3572" s="7" t="s">
        <v>7</v>
      </c>
      <c r="E3572" s="7">
        <v>0</v>
      </c>
    </row>
    <row r="3573" spans="1:5" ht="15.75" customHeight="1" x14ac:dyDescent="0.25">
      <c r="A3573" s="6" t="s">
        <v>3524</v>
      </c>
      <c r="B3573" s="6" t="str">
        <f ca="1">IFERROR(__xludf.DUMMYFUNCTION("GOOGLETRANSLATE(A3573,""bn"",""en"")"),"Soma asked me for a book")</f>
        <v>Soma asked me for a book</v>
      </c>
      <c r="C3573" s="7" t="s">
        <v>6</v>
      </c>
      <c r="D3573" s="7" t="s">
        <v>7</v>
      </c>
      <c r="E3573" s="7">
        <v>0</v>
      </c>
    </row>
    <row r="3574" spans="1:5" ht="15.75" customHeight="1" x14ac:dyDescent="0.25">
      <c r="A3574" s="6" t="s">
        <v>3525</v>
      </c>
      <c r="B3574" s="6" t="str">
        <f ca="1">IFERROR(__xludf.DUMMYFUNCTION("GOOGLETRANSLATE(A3574,""bn"",""en"")"),"He vowed in his heart not to go to Behaibari until he could claim his daughter without hesitation after paying all the money.")</f>
        <v>He vowed in his heart not to go to Behaibari until he could claim his daughter without hesitation after paying all the money.</v>
      </c>
      <c r="C3574" s="7" t="s">
        <v>6</v>
      </c>
      <c r="D3574" s="7" t="s">
        <v>7</v>
      </c>
      <c r="E3574" s="7">
        <v>0</v>
      </c>
    </row>
    <row r="3575" spans="1:5" ht="15.75" customHeight="1" x14ac:dyDescent="0.25">
      <c r="A3575" s="6" t="s">
        <v>3526</v>
      </c>
      <c r="B3575" s="6" t="str">
        <f ca="1">IFERROR(__xludf.DUMMYFUNCTION("GOOGLETRANSLATE(A3575,""bn"",""en"")"),"Mother asked me to eat rice")</f>
        <v>Mother asked me to eat rice</v>
      </c>
      <c r="C3575" s="7" t="s">
        <v>6</v>
      </c>
      <c r="D3575" s="7" t="s">
        <v>7</v>
      </c>
      <c r="E3575" s="7">
        <v>0</v>
      </c>
    </row>
    <row r="3576" spans="1:5" ht="15.75" customHeight="1" x14ac:dyDescent="0.25">
      <c r="A3576" s="6" t="s">
        <v>3527</v>
      </c>
      <c r="B3576" s="6" t="str">
        <f ca="1">IFERROR(__xludf.DUMMYFUNCTION("GOOGLETRANSLATE(A3576,""bn"",""en"")"),"Birds are flying happily in the sky")</f>
        <v>Birds are flying happily in the sky</v>
      </c>
      <c r="C3576" s="7" t="s">
        <v>6</v>
      </c>
      <c r="D3576" s="7" t="s">
        <v>7</v>
      </c>
      <c r="E3576" s="7">
        <v>0</v>
      </c>
    </row>
    <row r="3577" spans="1:5" ht="15.75" customHeight="1" x14ac:dyDescent="0.25">
      <c r="A3577" s="6" t="s">
        <v>3528</v>
      </c>
      <c r="B3577" s="6" t="str">
        <f ca="1">IFERROR(__xludf.DUMMYFUNCTION("GOOGLETRANSLATE(A3577,""bn"",""en"")"),"Crime scene analysis is an important part of evidence collection in criminal investigations")</f>
        <v>Crime scene analysis is an important part of evidence collection in criminal investigations</v>
      </c>
      <c r="C3577" s="8" t="s">
        <v>13</v>
      </c>
      <c r="D3577" s="8" t="s">
        <v>14</v>
      </c>
      <c r="E3577" s="8">
        <v>1</v>
      </c>
    </row>
    <row r="3578" spans="1:5" ht="15.75" customHeight="1" x14ac:dyDescent="0.25">
      <c r="A3578" s="6" t="s">
        <v>3529</v>
      </c>
      <c r="B3578" s="6" t="str">
        <f ca="1">IFERROR(__xludf.DUMMYFUNCTION("GOOGLETRANSLATE(A3578,""bn"",""en"")"),"Management strategies reduce resistance by making it easier to change")</f>
        <v>Management strategies reduce resistance by making it easier to change</v>
      </c>
      <c r="C3578" s="8" t="s">
        <v>13</v>
      </c>
      <c r="D3578" s="8" t="s">
        <v>14</v>
      </c>
      <c r="E3578" s="8">
        <v>1</v>
      </c>
    </row>
    <row r="3579" spans="1:5" ht="15.75" customHeight="1" x14ac:dyDescent="0.25">
      <c r="A3579" s="6" t="s">
        <v>3530</v>
      </c>
      <c r="B3579" s="6" t="str">
        <f ca="1">IFERROR(__xludf.DUMMYFUNCTION("GOOGLETRANSLATE(A3579,""bn"",""en"")"),"Incorporate interval training for intensity")</f>
        <v>Incorporate interval training for intensity</v>
      </c>
      <c r="C3579" s="8" t="s">
        <v>13</v>
      </c>
      <c r="D3579" s="8" t="s">
        <v>14</v>
      </c>
      <c r="E3579" s="8">
        <v>1</v>
      </c>
    </row>
    <row r="3580" spans="1:5" ht="15.75" customHeight="1" x14ac:dyDescent="0.25">
      <c r="A3580" s="6" t="s">
        <v>3531</v>
      </c>
      <c r="B3580" s="6" t="str">
        <f ca="1">IFERROR(__xludf.DUMMYFUNCTION("GOOGLETRANSLATE(A3580,""bn"",""en"")"),"Islam centers on belief in the One God Allah and the teachings of Prophet Muhammad")</f>
        <v>Islam centers on belief in the One God Allah and the teachings of Prophet Muhammad</v>
      </c>
      <c r="C3580" s="8" t="s">
        <v>13</v>
      </c>
      <c r="D3580" s="8" t="s">
        <v>14</v>
      </c>
      <c r="E3580" s="8">
        <v>1</v>
      </c>
    </row>
    <row r="3581" spans="1:5" ht="15.75" customHeight="1" x14ac:dyDescent="0.25">
      <c r="A3581" s="6" t="s">
        <v>3532</v>
      </c>
      <c r="B3581" s="6" t="str">
        <f ca="1">IFERROR(__xludf.DUMMYFUNCTION("GOOGLETRANSLATE(A3581,""bn"",""en"")"),"Practice gratitude daily to attract more blessings into your life to cultivate a positive mindset")</f>
        <v>Practice gratitude daily to attract more blessings into your life to cultivate a positive mindset</v>
      </c>
      <c r="C3581" s="8" t="s">
        <v>13</v>
      </c>
      <c r="D3581" s="8" t="s">
        <v>14</v>
      </c>
      <c r="E3581" s="8">
        <v>1</v>
      </c>
    </row>
    <row r="3582" spans="1:5" ht="15.75" customHeight="1" x14ac:dyDescent="0.25">
      <c r="A3582" s="6" t="s">
        <v>1804</v>
      </c>
      <c r="B3582" s="6" t="str">
        <f ca="1">IFERROR(__xludf.DUMMYFUNCTION("GOOGLETRANSLATE(A3582,""bn"",""en"")"),"I can't say whether everyone does or not")</f>
        <v>I can't say whether everyone does or not</v>
      </c>
      <c r="C3582" s="7" t="s">
        <v>6</v>
      </c>
      <c r="D3582" s="7" t="s">
        <v>7</v>
      </c>
      <c r="E3582" s="7">
        <v>0</v>
      </c>
    </row>
    <row r="3583" spans="1:5" ht="15.75" customHeight="1" x14ac:dyDescent="0.25">
      <c r="A3583" s="6" t="s">
        <v>3533</v>
      </c>
      <c r="B3583" s="6" t="str">
        <f ca="1">IFERROR(__xludf.DUMMYFUNCTION("GOOGLETRANSLATE(A3583,""bn"",""en"")"),"Yesterday morning he secretly got the news of BA fail")</f>
        <v>Yesterday morning he secretly got the news of BA fail</v>
      </c>
      <c r="C3583" s="7" t="s">
        <v>6</v>
      </c>
      <c r="D3583" s="7" t="s">
        <v>7</v>
      </c>
      <c r="E3583" s="7">
        <v>0</v>
      </c>
    </row>
    <row r="3584" spans="1:5" ht="15.75" customHeight="1" x14ac:dyDescent="0.25">
      <c r="A3584" s="6" t="s">
        <v>3534</v>
      </c>
      <c r="B3584" s="6" t="str">
        <f ca="1">IFERROR(__xludf.DUMMYFUNCTION("GOOGLETRANSLATE(A3584,""bn"",""en"")"),"I could not believe him")</f>
        <v>I could not believe him</v>
      </c>
      <c r="C3584" s="7" t="s">
        <v>6</v>
      </c>
      <c r="D3584" s="7" t="s">
        <v>7</v>
      </c>
      <c r="E3584" s="7">
        <v>0</v>
      </c>
    </row>
    <row r="3585" spans="1:5" ht="15.75" customHeight="1" x14ac:dyDescent="0.25">
      <c r="A3585" s="6" t="s">
        <v>3535</v>
      </c>
      <c r="B3585" s="6" t="str">
        <f ca="1">IFERROR(__xludf.DUMMYFUNCTION("GOOGLETRANSLATE(A3585,""bn"",""en"")"),"Rumi eats rice and sits to read")</f>
        <v>Rumi eats rice and sits to read</v>
      </c>
      <c r="C3585" s="7" t="s">
        <v>6</v>
      </c>
      <c r="D3585" s="7" t="s">
        <v>7</v>
      </c>
      <c r="E3585" s="7">
        <v>0</v>
      </c>
    </row>
    <row r="3586" spans="1:5" ht="15.75" customHeight="1" x14ac:dyDescent="0.25">
      <c r="A3586" s="6" t="s">
        <v>3536</v>
      </c>
      <c r="B3586" s="6" t="str">
        <f ca="1">IFERROR(__xludf.DUMMYFUNCTION("GOOGLETRANSLATE(A3586,""bn"",""en"")"),"Especially Bengalis who are in the Sindh region can easily settle this issue.")</f>
        <v>Especially Bengalis who are in the Sindh region can easily settle this issue.</v>
      </c>
      <c r="C3586" s="7" t="s">
        <v>6</v>
      </c>
      <c r="D3586" s="7" t="s">
        <v>7</v>
      </c>
      <c r="E3586" s="7">
        <v>0</v>
      </c>
    </row>
    <row r="3587" spans="1:5" ht="15.75" customHeight="1" x14ac:dyDescent="0.25">
      <c r="A3587" s="6" t="s">
        <v>3537</v>
      </c>
      <c r="B3587" s="6" t="str">
        <f ca="1">IFERROR(__xludf.DUMMYFUNCTION("GOOGLETRANSLATE(A3587,""bn"",""en"")"),"Green asked to call you")</f>
        <v>Green asked to call you</v>
      </c>
      <c r="C3587" s="8" t="s">
        <v>13</v>
      </c>
      <c r="D3587" s="8" t="s">
        <v>14</v>
      </c>
      <c r="E3587" s="8">
        <v>1</v>
      </c>
    </row>
    <row r="3588" spans="1:5" ht="15.75" customHeight="1" x14ac:dyDescent="0.25">
      <c r="A3588" s="6" t="s">
        <v>3538</v>
      </c>
      <c r="B3588" s="6" t="str">
        <f ca="1">IFERROR(__xludf.DUMMYFUNCTION("GOOGLETRANSLATE(A3588,""bn"",""en"")"),"I read books, play and sing in my spare time")</f>
        <v>I read books, play and sing in my spare time</v>
      </c>
      <c r="C3588" s="8" t="s">
        <v>13</v>
      </c>
      <c r="D3588" s="8" t="s">
        <v>14</v>
      </c>
      <c r="E3588" s="8">
        <v>1</v>
      </c>
    </row>
    <row r="3589" spans="1:5" ht="15.75" customHeight="1" x14ac:dyDescent="0.25">
      <c r="A3589" s="6" t="s">
        <v>3539</v>
      </c>
      <c r="B3589" s="6" t="str">
        <f ca="1">IFERROR(__xludf.DUMMYFUNCTION("GOOGLETRANSLATE(A3589,""bn"",""en"")"),"Their adventure was a once in a lifetime experience that they will never forget")</f>
        <v>Their adventure was a once in a lifetime experience that they will never forget</v>
      </c>
      <c r="C3589" s="8" t="s">
        <v>13</v>
      </c>
      <c r="D3589" s="8" t="s">
        <v>14</v>
      </c>
      <c r="E3589" s="8">
        <v>1</v>
      </c>
    </row>
    <row r="3590" spans="1:5" ht="15.75" customHeight="1" x14ac:dyDescent="0.25">
      <c r="A3590" s="6" t="s">
        <v>3540</v>
      </c>
      <c r="B3590" s="6" t="str">
        <f ca="1">IFERROR(__xludf.DUMMYFUNCTION("GOOGLETRANSLATE(A3590,""bn"",""en"")"),"At that time the importance of Run Island seemed more important")</f>
        <v>At that time the importance of Run Island seemed more important</v>
      </c>
      <c r="C3590" s="8" t="s">
        <v>13</v>
      </c>
      <c r="D3590" s="8" t="s">
        <v>14</v>
      </c>
      <c r="E3590" s="8">
        <v>1</v>
      </c>
    </row>
    <row r="3591" spans="1:5" ht="15.75" customHeight="1" x14ac:dyDescent="0.25">
      <c r="A3591" s="6" t="s">
        <v>3541</v>
      </c>
      <c r="B3591" s="6" t="str">
        <f ca="1">IFERROR(__xludf.DUMMYFUNCTION("GOOGLETRANSLATE(A3591,""bn"",""en"")"),"Walk briskly for daily errands")</f>
        <v>Walk briskly for daily errands</v>
      </c>
      <c r="C3591" s="8" t="s">
        <v>13</v>
      </c>
      <c r="D3591" s="8" t="s">
        <v>14</v>
      </c>
      <c r="E3591" s="8">
        <v>1</v>
      </c>
    </row>
    <row r="3592" spans="1:5" ht="15.75" customHeight="1" x14ac:dyDescent="0.25">
      <c r="A3592" s="6" t="s">
        <v>3542</v>
      </c>
      <c r="B3592" s="6" t="str">
        <f ca="1">IFERROR(__xludf.DUMMYFUNCTION("GOOGLETRANSLATE(A3592,""bn"",""en"")"),"Sufal called me and told me everything")</f>
        <v>Sufal called me and told me everything</v>
      </c>
      <c r="C3592" s="7" t="s">
        <v>6</v>
      </c>
      <c r="D3592" s="7" t="s">
        <v>7</v>
      </c>
      <c r="E3592" s="7">
        <v>0</v>
      </c>
    </row>
    <row r="3593" spans="1:5" ht="15.75" customHeight="1" x14ac:dyDescent="0.25">
      <c r="A3593" s="6" t="s">
        <v>3543</v>
      </c>
      <c r="B3593" s="6" t="str">
        <f ca="1">IFERROR(__xludf.DUMMYFUNCTION("GOOGLETRANSLATE(A3593,""bn"",""en"")"),"At the end, the young women are running down the river laughing")</f>
        <v>At the end, the young women are running down the river laughing</v>
      </c>
      <c r="C3593" s="7" t="s">
        <v>6</v>
      </c>
      <c r="D3593" s="7" t="s">
        <v>7</v>
      </c>
      <c r="E3593" s="7">
        <v>0</v>
      </c>
    </row>
    <row r="3594" spans="1:5" ht="15.75" customHeight="1" x14ac:dyDescent="0.25">
      <c r="A3594" s="6" t="s">
        <v>111</v>
      </c>
      <c r="B3594" s="6" t="str">
        <f ca="1">IFERROR(__xludf.DUMMYFUNCTION("GOOGLETRANSLATE(A3594,""bn"",""en"")"),"Behind me the screams echoed in wonder")</f>
        <v>Behind me the screams echoed in wonder</v>
      </c>
      <c r="C3594" s="7" t="s">
        <v>6</v>
      </c>
      <c r="D3594" s="7" t="s">
        <v>7</v>
      </c>
      <c r="E3594" s="7">
        <v>0</v>
      </c>
    </row>
    <row r="3595" spans="1:5" ht="15.75" customHeight="1" x14ac:dyDescent="0.25">
      <c r="A3595" s="6" t="s">
        <v>3544</v>
      </c>
      <c r="B3595" s="6" t="str">
        <f ca="1">IFERROR(__xludf.DUMMYFUNCTION("GOOGLETRANSLATE(A3595,""bn"",""en"")"),"A sage said that a man is not beautiful unless he grows old")</f>
        <v>A sage said that a man is not beautiful unless he grows old</v>
      </c>
      <c r="C3595" s="7" t="s">
        <v>6</v>
      </c>
      <c r="D3595" s="7" t="s">
        <v>7</v>
      </c>
      <c r="E3595" s="7">
        <v>0</v>
      </c>
    </row>
    <row r="3596" spans="1:5" ht="15.75" customHeight="1" x14ac:dyDescent="0.25">
      <c r="A3596" s="6" t="s">
        <v>3545</v>
      </c>
      <c r="B3596" s="6" t="str">
        <f ca="1">IFERROR(__xludf.DUMMYFUNCTION("GOOGLETRANSLATE(A3596,""bn"",""en"")"),"A beautiful bird came to my mind when I saw it")</f>
        <v>A beautiful bird came to my mind when I saw it</v>
      </c>
      <c r="C3596" s="7" t="s">
        <v>6</v>
      </c>
      <c r="D3596" s="7" t="s">
        <v>7</v>
      </c>
      <c r="E3596" s="7">
        <v>0</v>
      </c>
    </row>
    <row r="3597" spans="1:5" ht="15.75" customHeight="1" x14ac:dyDescent="0.25">
      <c r="A3597" s="6" t="s">
        <v>3546</v>
      </c>
      <c r="B3597" s="6" t="str">
        <f ca="1">IFERROR(__xludf.DUMMYFUNCTION("GOOGLETRANSLATE(A3597,""bn"",""en"")"),"Rafiq is now walking on the street")</f>
        <v>Rafiq is now walking on the street</v>
      </c>
      <c r="C3597" s="8" t="s">
        <v>13</v>
      </c>
      <c r="D3597" s="8" t="s">
        <v>14</v>
      </c>
      <c r="E3597" s="8">
        <v>1</v>
      </c>
    </row>
    <row r="3598" spans="1:5" ht="15.75" customHeight="1" x14ac:dyDescent="0.25">
      <c r="A3598" s="6" t="s">
        <v>3547</v>
      </c>
      <c r="B3598" s="6" t="str">
        <f ca="1">IFERROR(__xludf.DUMMYFUNCTION("GOOGLETRANSLATE(A3598,""bn"",""en"")"),"Mediterranean olives add savory notes")</f>
        <v>Mediterranean olives add savory notes</v>
      </c>
      <c r="C3598" s="8" t="s">
        <v>13</v>
      </c>
      <c r="D3598" s="8" t="s">
        <v>14</v>
      </c>
      <c r="E3598" s="8">
        <v>1</v>
      </c>
    </row>
    <row r="3599" spans="1:5" ht="15.75" customHeight="1" x14ac:dyDescent="0.25">
      <c r="A3599" s="6" t="s">
        <v>3548</v>
      </c>
      <c r="B3599" s="6" t="str">
        <f ca="1">IFERROR(__xludf.DUMMYFUNCTION("GOOGLETRANSLATE(A3599,""bn"",""en"")"),"The band broke up again in")</f>
        <v>The band broke up again in</v>
      </c>
      <c r="C3599" s="8" t="s">
        <v>13</v>
      </c>
      <c r="D3599" s="8" t="s">
        <v>14</v>
      </c>
      <c r="E3599" s="8">
        <v>1</v>
      </c>
    </row>
    <row r="3600" spans="1:5" ht="15.75" customHeight="1" x14ac:dyDescent="0.25">
      <c r="A3600" s="6" t="s">
        <v>3549</v>
      </c>
      <c r="B3600" s="6" t="str">
        <f ca="1">IFERROR(__xludf.DUMMYFUNCTION("GOOGLETRANSLATE(A3600,""bn"",""en"")"),"His teammate Arshad Warsi helps him in the circuit")</f>
        <v>His teammate Arshad Warsi helps him in the circuit</v>
      </c>
      <c r="C3600" s="8" t="s">
        <v>13</v>
      </c>
      <c r="D3600" s="8" t="s">
        <v>14</v>
      </c>
      <c r="E3600" s="8">
        <v>1</v>
      </c>
    </row>
    <row r="3601" spans="1:5" ht="15.75" customHeight="1" x14ac:dyDescent="0.25">
      <c r="A3601" s="6" t="s">
        <v>3550</v>
      </c>
      <c r="B3601" s="6" t="str">
        <f ca="1">IFERROR(__xludf.DUMMYFUNCTION("GOOGLETRANSLATE(A3601,""bn"",""en"")"),"My sons and daughters are dying – because of something or the punishment of sin")</f>
        <v>My sons and daughters are dying – because of something or the punishment of sin</v>
      </c>
      <c r="C3601" s="8" t="s">
        <v>13</v>
      </c>
      <c r="D3601" s="8" t="s">
        <v>14</v>
      </c>
      <c r="E3601" s="8">
        <v>1</v>
      </c>
    </row>
    <row r="3602" spans="1:5" ht="15.75" customHeight="1" x14ac:dyDescent="0.25">
      <c r="A3602" s="6" t="s">
        <v>3551</v>
      </c>
      <c r="B3602" s="6" t="str">
        <f ca="1">IFERROR(__xludf.DUMMYFUNCTION("GOOGLETRANSLATE(A3602,""bn"",""en"")"),"Shedding tears through the door of the house after hearing the condemnation of the father's house has become part of his daily routine.")</f>
        <v>Shedding tears through the door of the house after hearing the condemnation of the father's house has become part of his daily routine.</v>
      </c>
      <c r="C3602" s="7" t="s">
        <v>6</v>
      </c>
      <c r="D3602" s="7" t="s">
        <v>7</v>
      </c>
      <c r="E3602" s="7">
        <v>0</v>
      </c>
    </row>
    <row r="3603" spans="1:5" ht="15.75" customHeight="1" x14ac:dyDescent="0.25">
      <c r="A3603" s="6" t="s">
        <v>3552</v>
      </c>
      <c r="B3603" s="6" t="str">
        <f ca="1">IFERROR(__xludf.DUMMYFUNCTION("GOOGLETRANSLATE(A3603,""bn"",""en"")"),"Onion Palandu is a product or not")</f>
        <v>Onion Palandu is a product or not</v>
      </c>
      <c r="C3603" s="7" t="s">
        <v>6</v>
      </c>
      <c r="D3603" s="7" t="s">
        <v>7</v>
      </c>
      <c r="E3603" s="7">
        <v>0</v>
      </c>
    </row>
    <row r="3604" spans="1:5" ht="15.75" customHeight="1" x14ac:dyDescent="0.25">
      <c r="A3604" s="6" t="s">
        <v>3553</v>
      </c>
      <c r="B3604" s="6" t="str">
        <f ca="1">IFERROR(__xludf.DUMMYFUNCTION("GOOGLETRANSLATE(A3604,""bn"",""en"")"),"Sachish looks like an astrologer burning his eyes")</f>
        <v>Sachish looks like an astrologer burning his eyes</v>
      </c>
      <c r="C3604" s="7" t="s">
        <v>6</v>
      </c>
      <c r="D3604" s="7" t="s">
        <v>7</v>
      </c>
      <c r="E3604" s="7">
        <v>0</v>
      </c>
    </row>
    <row r="3605" spans="1:5" ht="15.75" customHeight="1" x14ac:dyDescent="0.25">
      <c r="A3605" s="6" t="s">
        <v>3554</v>
      </c>
      <c r="B3605" s="6" t="str">
        <f ca="1">IFERROR(__xludf.DUMMYFUNCTION("GOOGLETRANSLATE(A3605,""bn"",""en"")"),"At this age, you want to say whatever you feel")</f>
        <v>At this age, you want to say whatever you feel</v>
      </c>
      <c r="C3605" s="7" t="s">
        <v>6</v>
      </c>
      <c r="D3605" s="7" t="s">
        <v>7</v>
      </c>
      <c r="E3605" s="7">
        <v>0</v>
      </c>
    </row>
    <row r="3606" spans="1:5" ht="15.75" customHeight="1" x14ac:dyDescent="0.25">
      <c r="A3606" s="6" t="s">
        <v>3555</v>
      </c>
      <c r="B3606" s="6" t="str">
        <f ca="1">IFERROR(__xludf.DUMMYFUNCTION("GOOGLETRANSLATE(A3606,""bn"",""en"")"),"The English officer waved his face in the smoke of the pipe and said something")</f>
        <v>The English officer waved his face in the smoke of the pipe and said something</v>
      </c>
      <c r="C3606" s="7" t="s">
        <v>6</v>
      </c>
      <c r="D3606" s="7" t="s">
        <v>7</v>
      </c>
      <c r="E3606" s="7">
        <v>0</v>
      </c>
    </row>
    <row r="3607" spans="1:5" ht="15.75" customHeight="1" x14ac:dyDescent="0.25">
      <c r="A3607" s="6" t="s">
        <v>3556</v>
      </c>
      <c r="B3607" s="6" t="str">
        <f ca="1">IFERROR(__xludf.DUMMYFUNCTION("GOOGLETRANSLATE(A3607,""bn"",""en"")"),"Family gatherings are always filled with love and laughter")</f>
        <v>Family gatherings are always filled with love and laughter</v>
      </c>
      <c r="C3607" s="8" t="s">
        <v>13</v>
      </c>
      <c r="D3607" s="8" t="s">
        <v>14</v>
      </c>
      <c r="E3607" s="8">
        <v>1</v>
      </c>
    </row>
    <row r="3608" spans="1:5" ht="15.75" customHeight="1" x14ac:dyDescent="0.25">
      <c r="A3608" s="6" t="s">
        <v>3557</v>
      </c>
      <c r="B3608" s="6" t="str">
        <f ca="1">IFERROR(__xludf.DUMMYFUNCTION("GOOGLETRANSLATE(A3608,""bn"",""en"")"),"Many times they confess to violent incidents like rape and murder")</f>
        <v>Many times they confess to violent incidents like rape and murder</v>
      </c>
      <c r="C3608" s="8" t="s">
        <v>13</v>
      </c>
      <c r="D3608" s="8" t="s">
        <v>14</v>
      </c>
      <c r="E3608" s="8">
        <v>1</v>
      </c>
    </row>
    <row r="3609" spans="1:5" ht="15.75" customHeight="1" x14ac:dyDescent="0.25">
      <c r="A3609" s="6" t="s">
        <v>3558</v>
      </c>
      <c r="B3609" s="6" t="str">
        <f ca="1">IFERROR(__xludf.DUMMYFUNCTION("GOOGLETRANSLATE(A3609,""bn"",""en"")"),"The brunch buffet indulges lazy Sundays")</f>
        <v>The brunch buffet indulges lazy Sundays</v>
      </c>
      <c r="C3609" s="8" t="s">
        <v>13</v>
      </c>
      <c r="D3609" s="8" t="s">
        <v>14</v>
      </c>
      <c r="E3609" s="8">
        <v>1</v>
      </c>
    </row>
    <row r="3610" spans="1:5" ht="15.75" customHeight="1" x14ac:dyDescent="0.25">
      <c r="A3610" s="6" t="s">
        <v>3559</v>
      </c>
      <c r="B3610" s="6" t="str">
        <f ca="1">IFERROR(__xludf.DUMMYFUNCTION("GOOGLETRANSLATE(A3610,""bn"",""en"")"),"Mitu Rina is talking together")</f>
        <v>Mitu Rina is talking together</v>
      </c>
      <c r="C3610" s="8" t="s">
        <v>13</v>
      </c>
      <c r="D3610" s="8" t="s">
        <v>14</v>
      </c>
      <c r="E3610" s="8">
        <v>1</v>
      </c>
    </row>
    <row r="3611" spans="1:5" ht="15.75" customHeight="1" x14ac:dyDescent="0.25">
      <c r="A3611" s="6" t="s">
        <v>3560</v>
      </c>
      <c r="B3611" s="6" t="str">
        <f ca="1">IFERROR(__xludf.DUMMYFUNCTION("GOOGLETRANSLATE(A3611,""bn"",""en"")"),"The funny thing is that all their big quarrels are over petty reasons")</f>
        <v>The funny thing is that all their big quarrels are over petty reasons</v>
      </c>
      <c r="C3611" s="8" t="s">
        <v>13</v>
      </c>
      <c r="D3611" s="8" t="s">
        <v>14</v>
      </c>
      <c r="E3611" s="8">
        <v>1</v>
      </c>
    </row>
    <row r="3612" spans="1:5" ht="15.75" customHeight="1" x14ac:dyDescent="0.25">
      <c r="A3612" s="6" t="s">
        <v>3561</v>
      </c>
      <c r="B3612" s="6" t="str">
        <f ca="1">IFERROR(__xludf.DUMMYFUNCTION("GOOGLETRANSLATE(A3612,""bn"",""en"")"),"At one end of the sky, a little glimpse of color appeared like a timid shy")</f>
        <v>At one end of the sky, a little glimpse of color appeared like a timid shy</v>
      </c>
      <c r="C3612" s="7" t="s">
        <v>6</v>
      </c>
      <c r="D3612" s="7" t="s">
        <v>7</v>
      </c>
      <c r="E3612" s="7">
        <v>0</v>
      </c>
    </row>
    <row r="3613" spans="1:5" ht="15.75" customHeight="1" x14ac:dyDescent="0.25">
      <c r="A3613" s="6" t="s">
        <v>3562</v>
      </c>
      <c r="B3613" s="6" t="str">
        <f ca="1">IFERROR(__xludf.DUMMYFUNCTION("GOOGLETRANSLATE(A3613,""bn"",""en"")"),"Hearing the question, Divakar's tears fell again")</f>
        <v>Hearing the question, Divakar's tears fell again</v>
      </c>
      <c r="C3613" s="7" t="s">
        <v>6</v>
      </c>
      <c r="D3613" s="7" t="s">
        <v>7</v>
      </c>
      <c r="E3613" s="7">
        <v>0</v>
      </c>
    </row>
    <row r="3614" spans="1:5" ht="15.75" customHeight="1" x14ac:dyDescent="0.25">
      <c r="A3614" s="6" t="s">
        <v>3563</v>
      </c>
      <c r="B3614" s="6" t="str">
        <f ca="1">IFERROR(__xludf.DUMMYFUNCTION("GOOGLETRANSLATE(A3614,""bn"",""en"")"),"PC's eldest son works in a government office but is unable to support the family's expenses")</f>
        <v>PC's eldest son works in a government office but is unable to support the family's expenses</v>
      </c>
      <c r="C3614" s="7" t="s">
        <v>6</v>
      </c>
      <c r="D3614" s="7" t="s">
        <v>7</v>
      </c>
      <c r="E3614" s="7">
        <v>0</v>
      </c>
    </row>
    <row r="3615" spans="1:5" ht="15.75" customHeight="1" x14ac:dyDescent="0.25">
      <c r="A3615" s="6" t="s">
        <v>3564</v>
      </c>
      <c r="B3615" s="6" t="str">
        <f ca="1">IFERROR(__xludf.DUMMYFUNCTION("GOOGLETRANSLATE(A3615,""bn"",""en"")"),"There are very few old women in the bosom, they are old, but young women, unless they are exposed to the cold, they do not become red-skinned.")</f>
        <v>There are very few old women in the bosom, they are old, but young women, unless they are exposed to the cold, they do not become red-skinned.</v>
      </c>
      <c r="C3615" s="7" t="s">
        <v>6</v>
      </c>
      <c r="D3615" s="7" t="s">
        <v>7</v>
      </c>
      <c r="E3615" s="7">
        <v>0</v>
      </c>
    </row>
    <row r="3616" spans="1:5" ht="15.75" customHeight="1" x14ac:dyDescent="0.25">
      <c r="A3616" s="6" t="s">
        <v>3565</v>
      </c>
      <c r="B3616" s="6" t="str">
        <f ca="1">IFERROR(__xludf.DUMMYFUNCTION("GOOGLETRANSLATE(A3616,""bn"",""en"")"),"Can't even save himself from getting hurt")</f>
        <v>Can't even save himself from getting hurt</v>
      </c>
      <c r="C3616" s="7" t="s">
        <v>6</v>
      </c>
      <c r="D3616" s="7" t="s">
        <v>7</v>
      </c>
      <c r="E3616" s="7">
        <v>0</v>
      </c>
    </row>
    <row r="3617" spans="1:5" ht="15.75" customHeight="1" x14ac:dyDescent="0.25">
      <c r="A3617" s="6" t="s">
        <v>3566</v>
      </c>
      <c r="B3617" s="6" t="str">
        <f ca="1">IFERROR(__xludf.DUMMYFUNCTION("GOOGLETRANSLATE(A3617,""bn"",""en"")"),"Rana will go to market with his father")</f>
        <v>Rana will go to market with his father</v>
      </c>
      <c r="C3617" s="8" t="s">
        <v>13</v>
      </c>
      <c r="D3617" s="8" t="s">
        <v>14</v>
      </c>
      <c r="E3617" s="8">
        <v>1</v>
      </c>
    </row>
    <row r="3618" spans="1:5" ht="15.75" customHeight="1" x14ac:dyDescent="0.25">
      <c r="A3618" s="6" t="s">
        <v>3567</v>
      </c>
      <c r="B3618" s="6" t="str">
        <f ca="1">IFERROR(__xludf.DUMMYFUNCTION("GOOGLETRANSLATE(A3618,""bn"",""en"")"),"The product was damaged and the customer service team was unhelpful in resolving the issue")</f>
        <v>The product was damaged and the customer service team was unhelpful in resolving the issue</v>
      </c>
      <c r="C3618" s="8" t="s">
        <v>13</v>
      </c>
      <c r="D3618" s="8" t="s">
        <v>14</v>
      </c>
      <c r="E3618" s="8">
        <v>1</v>
      </c>
    </row>
    <row r="3619" spans="1:5" ht="15.75" customHeight="1" x14ac:dyDescent="0.25">
      <c r="A3619" s="6" t="s">
        <v>3568</v>
      </c>
      <c r="B3619" s="6" t="str">
        <f ca="1">IFERROR(__xludf.DUMMYFUNCTION("GOOGLETRANSLATE(A3619,""bn"",""en"")"),"Mother asked me to go to school")</f>
        <v>Mother asked me to go to school</v>
      </c>
      <c r="C3619" s="8" t="s">
        <v>13</v>
      </c>
      <c r="D3619" s="8" t="s">
        <v>14</v>
      </c>
      <c r="E3619" s="8">
        <v>1</v>
      </c>
    </row>
    <row r="3620" spans="1:5" ht="15.75" customHeight="1" x14ac:dyDescent="0.25">
      <c r="A3620" s="6" t="s">
        <v>3569</v>
      </c>
      <c r="B3620" s="6" t="str">
        <f ca="1">IFERROR(__xludf.DUMMYFUNCTION("GOOGLETRANSLATE(A3620,""bn"",""en"")"),"Warm soup soothes cold evenings")</f>
        <v>Warm soup soothes cold evenings</v>
      </c>
      <c r="C3620" s="8" t="s">
        <v>13</v>
      </c>
      <c r="D3620" s="8" t="s">
        <v>14</v>
      </c>
      <c r="E3620" s="8">
        <v>1</v>
      </c>
    </row>
    <row r="3621" spans="1:5" ht="15.75" customHeight="1" x14ac:dyDescent="0.25">
      <c r="A3621" s="6" t="s">
        <v>3570</v>
      </c>
      <c r="B3621" s="6" t="str">
        <f ca="1">IFERROR(__xludf.DUMMYFUNCTION("GOOGLETRANSLATE(A3621,""bn"",""en"")"),"Feeling betrayed by someone I trust fills me with sadness")</f>
        <v>Feeling betrayed by someone I trust fills me with sadness</v>
      </c>
      <c r="C3621" s="8" t="s">
        <v>13</v>
      </c>
      <c r="D3621" s="8" t="s">
        <v>14</v>
      </c>
      <c r="E3621" s="8">
        <v>1</v>
      </c>
    </row>
    <row r="3622" spans="1:5" ht="15.75" customHeight="1" x14ac:dyDescent="0.25">
      <c r="A3622" s="6" t="s">
        <v>3571</v>
      </c>
      <c r="B3622" s="6" t="str">
        <f ca="1">IFERROR(__xludf.DUMMYFUNCTION("GOOGLETRANSLATE(A3622,""bn"",""en"")"),"Shashi didn't have time all day")</f>
        <v>Shashi didn't have time all day</v>
      </c>
      <c r="C3622" s="7" t="s">
        <v>6</v>
      </c>
      <c r="D3622" s="7" t="s">
        <v>7</v>
      </c>
      <c r="E3622" s="7">
        <v>0</v>
      </c>
    </row>
    <row r="3623" spans="1:5" ht="15.75" customHeight="1" x14ac:dyDescent="0.25">
      <c r="A3623" s="6" t="s">
        <v>3572</v>
      </c>
      <c r="B3623" s="6" t="str">
        <f ca="1">IFERROR(__xludf.DUMMYFUNCTION("GOOGLETRANSLATE(A3623,""bn"",""en"")"),"As soon as they heard it, they cried out")</f>
        <v>As soon as they heard it, they cried out</v>
      </c>
      <c r="C3623" s="7" t="s">
        <v>6</v>
      </c>
      <c r="D3623" s="7" t="s">
        <v>7</v>
      </c>
      <c r="E3623" s="7">
        <v>0</v>
      </c>
    </row>
    <row r="3624" spans="1:5" ht="15.75" customHeight="1" x14ac:dyDescent="0.25">
      <c r="A3624" s="6" t="s">
        <v>3573</v>
      </c>
      <c r="B3624" s="6" t="str">
        <f ca="1">IFERROR(__xludf.DUMMYFUNCTION("GOOGLETRANSLATE(A3624,""bn"",""en"")"),"Now let's talk about the first day")</f>
        <v>Now let's talk about the first day</v>
      </c>
      <c r="C3624" s="7" t="s">
        <v>6</v>
      </c>
      <c r="D3624" s="7" t="s">
        <v>7</v>
      </c>
      <c r="E3624" s="7">
        <v>0</v>
      </c>
    </row>
    <row r="3625" spans="1:5" ht="15.75" customHeight="1" x14ac:dyDescent="0.25">
      <c r="A3625" s="6" t="s">
        <v>3574</v>
      </c>
      <c r="B3625" s="6" t="str">
        <f ca="1">IFERROR(__xludf.DUMMYFUNCTION("GOOGLETRANSLATE(A3625,""bn"",""en"")"),"You don't come to see me")</f>
        <v>You don't come to see me</v>
      </c>
      <c r="C3625" s="7" t="s">
        <v>6</v>
      </c>
      <c r="D3625" s="7" t="s">
        <v>7</v>
      </c>
      <c r="E3625" s="7">
        <v>0</v>
      </c>
    </row>
    <row r="3626" spans="1:5" ht="15.75" customHeight="1" x14ac:dyDescent="0.25">
      <c r="A3626" s="6" t="s">
        <v>3575</v>
      </c>
      <c r="B3626" s="6" t="str">
        <f ca="1">IFERROR(__xludf.DUMMYFUNCTION("GOOGLETRANSLATE(A3626,""bn"",""en"")"),"The young men sang that song loudly")</f>
        <v>The young men sang that song loudly</v>
      </c>
      <c r="C3626" s="7" t="s">
        <v>6</v>
      </c>
      <c r="D3626" s="7" t="s">
        <v>7</v>
      </c>
      <c r="E3626" s="7">
        <v>0</v>
      </c>
    </row>
    <row r="3627" spans="1:5" ht="15.75" customHeight="1" x14ac:dyDescent="0.25">
      <c r="A3627" s="6" t="s">
        <v>3576</v>
      </c>
      <c r="B3627" s="6" t="str">
        <f ca="1">IFERROR(__xludf.DUMMYFUNCTION("GOOGLETRANSLATE(A3627,""bn"",""en"")"),"Among these the Maharas are majestic")</f>
        <v>Among these the Maharas are majestic</v>
      </c>
      <c r="C3627" s="8" t="s">
        <v>13</v>
      </c>
      <c r="D3627" s="8" t="s">
        <v>14</v>
      </c>
      <c r="E3627" s="8">
        <v>1</v>
      </c>
    </row>
    <row r="3628" spans="1:5" ht="15.75" customHeight="1" x14ac:dyDescent="0.25">
      <c r="A3628" s="6" t="s">
        <v>3577</v>
      </c>
      <c r="B3628" s="6" t="str">
        <f ca="1">IFERROR(__xludf.DUMMYFUNCTION("GOOGLETRANSLATE(A3628,""bn"",""en"")"),"Customer segmentation informs personalized marketing strategies")</f>
        <v>Customer segmentation informs personalized marketing strategies</v>
      </c>
      <c r="C3628" s="8" t="s">
        <v>13</v>
      </c>
      <c r="D3628" s="8" t="s">
        <v>14</v>
      </c>
      <c r="E3628" s="8">
        <v>1</v>
      </c>
    </row>
    <row r="3629" spans="1:5" ht="15.75" customHeight="1" x14ac:dyDescent="0.25">
      <c r="A3629" s="6" t="s">
        <v>3578</v>
      </c>
      <c r="B3629" s="6" t="str">
        <f ca="1">IFERROR(__xludf.DUMMYFUNCTION("GOOGLETRANSLATE(A3629,""bn"",""en"")"),"Everyone has to dream at every stage of life")</f>
        <v>Everyone has to dream at every stage of life</v>
      </c>
      <c r="C3629" s="8" t="s">
        <v>13</v>
      </c>
      <c r="D3629" s="8" t="s">
        <v>14</v>
      </c>
      <c r="E3629" s="8">
        <v>1</v>
      </c>
    </row>
    <row r="3630" spans="1:5" ht="15.75" customHeight="1" x14ac:dyDescent="0.25">
      <c r="A3630" s="6" t="s">
        <v>3579</v>
      </c>
      <c r="B3630" s="6" t="str">
        <f ca="1">IFERROR(__xludf.DUMMYFUNCTION("GOOGLETRANSLATE(A3630,""bn"",""en"")"),"Rana will go for a ride in the car early today")</f>
        <v>Rana will go for a ride in the car early today</v>
      </c>
      <c r="C3630" s="8" t="s">
        <v>13</v>
      </c>
      <c r="D3630" s="8" t="s">
        <v>14</v>
      </c>
      <c r="E3630" s="8">
        <v>1</v>
      </c>
    </row>
    <row r="3631" spans="1:5" ht="15.75" customHeight="1" x14ac:dyDescent="0.25">
      <c r="A3631" s="6" t="s">
        <v>3580</v>
      </c>
      <c r="B3631" s="6" t="str">
        <f ca="1">IFERROR(__xludf.DUMMYFUNCTION("GOOGLETRANSLATE(A3631,""bn"",""en"")"),"Sarathy received the king's order and did the work")</f>
        <v>Sarathy received the king's order and did the work</v>
      </c>
      <c r="C3631" s="8" t="s">
        <v>13</v>
      </c>
      <c r="D3631" s="8" t="s">
        <v>14</v>
      </c>
      <c r="E3631" s="8">
        <v>1</v>
      </c>
    </row>
    <row r="3632" spans="1:5" ht="15.75" customHeight="1" x14ac:dyDescent="0.25">
      <c r="A3632" s="6" t="s">
        <v>3581</v>
      </c>
      <c r="B3632" s="6" t="str">
        <f ca="1">IFERROR(__xludf.DUMMYFUNCTION("GOOGLETRANSLATE(A3632,""bn"",""en"")"),"People do not stand like that in the kingdom of snakes unless they are crazy")</f>
        <v>People do not stand like that in the kingdom of snakes unless they are crazy</v>
      </c>
      <c r="C3632" s="7" t="s">
        <v>6</v>
      </c>
      <c r="D3632" s="7" t="s">
        <v>7</v>
      </c>
      <c r="E3632" s="7">
        <v>0</v>
      </c>
    </row>
    <row r="3633" spans="1:5" ht="15.75" customHeight="1" x14ac:dyDescent="0.25">
      <c r="A3633" s="6" t="s">
        <v>3582</v>
      </c>
      <c r="B3633" s="6" t="str">
        <f ca="1">IFERROR(__xludf.DUMMYFUNCTION("GOOGLETRANSLATE(A3633,""bn"",""en"")"),"Maua flowers are used as a delicacy in the Palamau region")</f>
        <v>Maua flowers are used as a delicacy in the Palamau region</v>
      </c>
      <c r="C3633" s="7" t="s">
        <v>6</v>
      </c>
      <c r="D3633" s="7" t="s">
        <v>7</v>
      </c>
      <c r="E3633" s="7">
        <v>0</v>
      </c>
    </row>
    <row r="3634" spans="1:5" ht="15.75" customHeight="1" x14ac:dyDescent="0.25">
      <c r="A3634" s="6" t="s">
        <v>3583</v>
      </c>
      <c r="B3634" s="6" t="str">
        <f ca="1">IFERROR(__xludf.DUMMYFUNCTION("GOOGLETRANSLATE(A3634,""bn"",""en"")"),"I was saying that Patkhani had come to my memory")</f>
        <v>I was saying that Patkhani had come to my memory</v>
      </c>
      <c r="C3634" s="7" t="s">
        <v>6</v>
      </c>
      <c r="D3634" s="7" t="s">
        <v>7</v>
      </c>
      <c r="E3634" s="7">
        <v>0</v>
      </c>
    </row>
    <row r="3635" spans="1:5" ht="15.75" customHeight="1" x14ac:dyDescent="0.25">
      <c r="A3635" s="6" t="s">
        <v>3584</v>
      </c>
      <c r="B3635" s="6" t="str">
        <f ca="1">IFERROR(__xludf.DUMMYFUNCTION("GOOGLETRANSLATE(A3635,""bn"",""en"")"),"On the way to Bangala, old women are more common in Ghats, while young women are more common in Palamau region")</f>
        <v>On the way to Bangala, old women are more common in Ghats, while young women are more common in Palamau region</v>
      </c>
      <c r="C3635" s="7" t="s">
        <v>6</v>
      </c>
      <c r="D3635" s="7" t="s">
        <v>7</v>
      </c>
      <c r="E3635" s="7">
        <v>0</v>
      </c>
    </row>
    <row r="3636" spans="1:5" ht="15.75" customHeight="1" x14ac:dyDescent="0.25">
      <c r="A3636" s="6" t="s">
        <v>3585</v>
      </c>
      <c r="B3636" s="6" t="str">
        <f ca="1">IFERROR(__xludf.DUMMYFUNCTION("GOOGLETRANSLATE(A3636,""bn"",""en"")"),"will you go for a walk with me")</f>
        <v>will you go for a walk with me</v>
      </c>
      <c r="C3636" s="7" t="s">
        <v>6</v>
      </c>
      <c r="D3636" s="7" t="s">
        <v>7</v>
      </c>
      <c r="E3636" s="7">
        <v>0</v>
      </c>
    </row>
    <row r="3637" spans="1:5" ht="15.75" customHeight="1" x14ac:dyDescent="0.25">
      <c r="A3637" s="6" t="s">
        <v>3586</v>
      </c>
      <c r="B3637" s="6" t="str">
        <f ca="1">IFERROR(__xludf.DUMMYFUNCTION("GOOGLETRANSLATE(A3637,""bn"",""en"")"),"His popularity was remarkable")</f>
        <v>His popularity was remarkable</v>
      </c>
      <c r="C3637" s="8" t="s">
        <v>13</v>
      </c>
      <c r="D3637" s="8" t="s">
        <v>14</v>
      </c>
      <c r="E3637" s="8">
        <v>1</v>
      </c>
    </row>
    <row r="3638" spans="1:5" ht="15.75" customHeight="1" x14ac:dyDescent="0.25">
      <c r="A3638" s="6" t="s">
        <v>3587</v>
      </c>
      <c r="B3638" s="6" t="str">
        <f ca="1">IFERROR(__xludf.DUMMYFUNCTION("GOOGLETRANSLATE(A3638,""bn"",""en"")"),"Sitting alone, he was imagining the impossible")</f>
        <v>Sitting alone, he was imagining the impossible</v>
      </c>
      <c r="C3638" s="8" t="s">
        <v>13</v>
      </c>
      <c r="D3638" s="8" t="s">
        <v>14</v>
      </c>
      <c r="E3638" s="8">
        <v>1</v>
      </c>
    </row>
    <row r="3639" spans="1:5" ht="15.75" customHeight="1" x14ac:dyDescent="0.25">
      <c r="A3639" s="6" t="s">
        <v>3588</v>
      </c>
      <c r="B3639" s="6" t="str">
        <f ca="1">IFERROR(__xludf.DUMMYFUNCTION("GOOGLETRANSLATE(A3639,""bn"",""en"")"),"Across the vast desert they followed the directions of ancient maps in search of buried treasure")</f>
        <v>Across the vast desert they followed the directions of ancient maps in search of buried treasure</v>
      </c>
      <c r="C3639" s="8" t="s">
        <v>13</v>
      </c>
      <c r="D3639" s="8" t="s">
        <v>14</v>
      </c>
      <c r="E3639" s="8">
        <v>1</v>
      </c>
    </row>
    <row r="3640" spans="1:5" ht="15.75" customHeight="1" x14ac:dyDescent="0.25">
      <c r="A3640" s="6" t="s">
        <v>3589</v>
      </c>
      <c r="B3640" s="6" t="str">
        <f ca="1">IFERROR(__xludf.DUMMYFUNCTION("GOOGLETRANSLATE(A3640,""bn"",""en"")"),"My uncle always gives good advice")</f>
        <v>My uncle always gives good advice</v>
      </c>
      <c r="C3640" s="8" t="s">
        <v>13</v>
      </c>
      <c r="D3640" s="8" t="s">
        <v>14</v>
      </c>
      <c r="E3640" s="8">
        <v>1</v>
      </c>
    </row>
    <row r="3641" spans="1:5" ht="15.75" customHeight="1" x14ac:dyDescent="0.25">
      <c r="A3641" s="6" t="s">
        <v>3590</v>
      </c>
      <c r="B3641" s="6" t="str">
        <f ca="1">IFERROR(__xludf.DUMMYFUNCTION("GOOGLETRANSLATE(A3641,""bn"",""en"")"),"The unspoken words he failed to tell me")</f>
        <v>The unspoken words he failed to tell me</v>
      </c>
      <c r="C3641" s="8" t="s">
        <v>13</v>
      </c>
      <c r="D3641" s="8" t="s">
        <v>14</v>
      </c>
      <c r="E3641" s="8">
        <v>1</v>
      </c>
    </row>
    <row r="3642" spans="1:5" ht="15.75" customHeight="1" x14ac:dyDescent="0.25">
      <c r="A3642" s="6" t="s">
        <v>3591</v>
      </c>
      <c r="B3642" s="6" t="str">
        <f ca="1">IFERROR(__xludf.DUMMYFUNCTION("GOOGLETRANSLATE(A3642,""bn"",""en"")"),"His gaze went to the courtyard from the curtain")</f>
        <v>His gaze went to the courtyard from the curtain</v>
      </c>
      <c r="C3642" s="7" t="s">
        <v>6</v>
      </c>
      <c r="D3642" s="7" t="s">
        <v>7</v>
      </c>
      <c r="E3642" s="7">
        <v>0</v>
      </c>
    </row>
    <row r="3643" spans="1:5" ht="15.75" customHeight="1" x14ac:dyDescent="0.25">
      <c r="A3643" s="6" t="s">
        <v>3592</v>
      </c>
      <c r="B3643" s="6" t="str">
        <f ca="1">IFERROR(__xludf.DUMMYFUNCTION("GOOGLETRANSLATE(A3643,""bn"",""en"")"),"He turned his smiling face a little and said with heavy respect. As Thakurpo stood there")</f>
        <v>He turned his smiling face a little and said with heavy respect. As Thakurpo stood there</v>
      </c>
      <c r="C3643" s="7" t="s">
        <v>6</v>
      </c>
      <c r="D3643" s="7" t="s">
        <v>7</v>
      </c>
      <c r="E3643" s="7">
        <v>0</v>
      </c>
    </row>
    <row r="3644" spans="1:5" ht="15.75" customHeight="1" x14ac:dyDescent="0.25">
      <c r="A3644" s="6" t="s">
        <v>3593</v>
      </c>
      <c r="B3644" s="6" t="str">
        <f ca="1">IFERROR(__xludf.DUMMYFUNCTION("GOOGLETRANSLATE(A3644,""bn"",""en"")"),"Everyone is eager to get his mouth, hoping for a detailed explanation")</f>
        <v>Everyone is eager to get his mouth, hoping for a detailed explanation</v>
      </c>
      <c r="C3644" s="7" t="s">
        <v>6</v>
      </c>
      <c r="D3644" s="7" t="s">
        <v>7</v>
      </c>
      <c r="E3644" s="7">
        <v>0</v>
      </c>
    </row>
    <row r="3645" spans="1:5" ht="15.75" customHeight="1" x14ac:dyDescent="0.25">
      <c r="A3645" s="6" t="s">
        <v>3594</v>
      </c>
      <c r="B3645" s="6" t="str">
        <f ca="1">IFERROR(__xludf.DUMMYFUNCTION("GOOGLETRANSLATE(A3645,""bn"",""en"")"),"Again, someone insults him for no reason")</f>
        <v>Again, someone insults him for no reason</v>
      </c>
      <c r="C3645" s="7" t="s">
        <v>6</v>
      </c>
      <c r="D3645" s="7" t="s">
        <v>7</v>
      </c>
      <c r="E3645" s="7">
        <v>0</v>
      </c>
    </row>
    <row r="3646" spans="1:5" ht="15.75" customHeight="1" x14ac:dyDescent="0.25">
      <c r="A3646" s="6" t="s">
        <v>3595</v>
      </c>
      <c r="B3646" s="6" t="str">
        <f ca="1">IFERROR(__xludf.DUMMYFUNCTION("GOOGLETRANSLATE(A3646,""bn"",""en"")"),"How big I say fake diamond")</f>
        <v>How big I say fake diamond</v>
      </c>
      <c r="C3646" s="7" t="s">
        <v>6</v>
      </c>
      <c r="D3646" s="7" t="s">
        <v>7</v>
      </c>
      <c r="E3646" s="7">
        <v>0</v>
      </c>
    </row>
    <row r="3647" spans="1:5" ht="15.75" customHeight="1" x14ac:dyDescent="0.25">
      <c r="A3647" s="6" t="s">
        <v>3596</v>
      </c>
      <c r="B3647" s="6" t="str">
        <f ca="1">IFERROR(__xludf.DUMMYFUNCTION("GOOGLETRANSLATE(A3647,""bn"",""en"")"),"Many people came to the market that day")</f>
        <v>Many people came to the market that day</v>
      </c>
      <c r="C3647" s="8" t="s">
        <v>13</v>
      </c>
      <c r="D3647" s="8" t="s">
        <v>14</v>
      </c>
      <c r="E3647" s="8">
        <v>1</v>
      </c>
    </row>
    <row r="3648" spans="1:5" ht="15.75" customHeight="1" x14ac:dyDescent="0.25">
      <c r="A3648" s="6" t="s">
        <v>3597</v>
      </c>
      <c r="B3648" s="6" t="str">
        <f ca="1">IFERROR(__xludf.DUMMYFUNCTION("GOOGLETRANSLATE(A3648,""bn"",""en"")"),"I called him but he didn't come")</f>
        <v>I called him but he didn't come</v>
      </c>
      <c r="C3648" s="8" t="s">
        <v>13</v>
      </c>
      <c r="D3648" s="8" t="s">
        <v>14</v>
      </c>
      <c r="E3648" s="8">
        <v>1</v>
      </c>
    </row>
    <row r="3649" spans="1:5" ht="15.75" customHeight="1" x14ac:dyDescent="0.25">
      <c r="A3649" s="6" t="s">
        <v>3598</v>
      </c>
      <c r="B3649" s="6" t="str">
        <f ca="1">IFERROR(__xludf.DUMMYFUNCTION("GOOGLETRANSLATE(A3649,""bn"",""en"")"),"He left without waiting for her")</f>
        <v>He left without waiting for her</v>
      </c>
      <c r="C3649" s="8" t="s">
        <v>13</v>
      </c>
      <c r="D3649" s="8" t="s">
        <v>14</v>
      </c>
      <c r="E3649" s="8">
        <v>1</v>
      </c>
    </row>
    <row r="3650" spans="1:5" ht="15.75" customHeight="1" x14ac:dyDescent="0.25">
      <c r="A3650" s="6" t="s">
        <v>3599</v>
      </c>
      <c r="B3650" s="6" t="str">
        <f ca="1">IFERROR(__xludf.DUMMYFUNCTION("GOOGLETRANSLATE(A3650,""bn"",""en"")"),"Rameswaram is a small island")</f>
        <v>Rameswaram is a small island</v>
      </c>
      <c r="C3650" s="8" t="s">
        <v>13</v>
      </c>
      <c r="D3650" s="8" t="s">
        <v>14</v>
      </c>
      <c r="E3650" s="8">
        <v>1</v>
      </c>
    </row>
    <row r="3651" spans="1:5" ht="15.75" customHeight="1" x14ac:dyDescent="0.25">
      <c r="A3651" s="6" t="s">
        <v>3600</v>
      </c>
      <c r="B3651" s="6" t="str">
        <f ca="1">IFERROR(__xludf.DUMMYFUNCTION("GOOGLETRANSLATE(A3651,""bn"",""en"")"),"He told me some hidden things in his mind")</f>
        <v>He told me some hidden things in his mind</v>
      </c>
      <c r="C3651" s="8" t="s">
        <v>13</v>
      </c>
      <c r="D3651" s="8" t="s">
        <v>14</v>
      </c>
      <c r="E3651" s="8">
        <v>1</v>
      </c>
    </row>
    <row r="3652" spans="1:5" ht="15.75" customHeight="1" x14ac:dyDescent="0.25">
      <c r="A3652" s="6" t="s">
        <v>3601</v>
      </c>
      <c r="B3652" s="6" t="str">
        <f ca="1">IFERROR(__xludf.DUMMYFUNCTION("GOOGLETRANSLATE(A3652,""bn"",""en"")"),"There is no dearth of educators in today's market")</f>
        <v>There is no dearth of educators in today's market</v>
      </c>
      <c r="C3652" s="7" t="s">
        <v>6</v>
      </c>
      <c r="D3652" s="7" t="s">
        <v>7</v>
      </c>
      <c r="E3652" s="7">
        <v>0</v>
      </c>
    </row>
    <row r="3653" spans="1:5" ht="15.75" customHeight="1" x14ac:dyDescent="0.25">
      <c r="A3653" s="6" t="s">
        <v>3602</v>
      </c>
      <c r="B3653" s="6" t="str">
        <f ca="1">IFERROR(__xludf.DUMMYFUNCTION("GOOGLETRANSLATE(A3653,""bn"",""en"")"),"After some time one day I remembered this ashwaththa tree and thought that the tree is a great absorber")</f>
        <v>After some time one day I remembered this ashwaththa tree and thought that the tree is a great absorber</v>
      </c>
      <c r="C3653" s="7" t="s">
        <v>6</v>
      </c>
      <c r="D3653" s="7" t="s">
        <v>7</v>
      </c>
      <c r="E3653" s="7">
        <v>0</v>
      </c>
    </row>
    <row r="3654" spans="1:5" ht="15.75" customHeight="1" x14ac:dyDescent="0.25">
      <c r="A3654" s="6" t="s">
        <v>3603</v>
      </c>
      <c r="B3654" s="6" t="str">
        <f ca="1">IFERROR(__xludf.DUMMYFUNCTION("GOOGLETRANSLATE(A3654,""bn"",""en"")"),"People say different things")</f>
        <v>People say different things</v>
      </c>
      <c r="C3654" s="7" t="s">
        <v>6</v>
      </c>
      <c r="D3654" s="7" t="s">
        <v>7</v>
      </c>
      <c r="E3654" s="7">
        <v>0</v>
      </c>
    </row>
    <row r="3655" spans="1:5" ht="15.75" customHeight="1" x14ac:dyDescent="0.25">
      <c r="A3655" s="6" t="s">
        <v>3604</v>
      </c>
      <c r="B3655" s="6" t="str">
        <f ca="1">IFERROR(__xludf.DUMMYFUNCTION("GOOGLETRANSLATE(A3655,""bn"",""en"")"),"The sailors agreed to this advice and behaved accordingly")</f>
        <v>The sailors agreed to this advice and behaved accordingly</v>
      </c>
      <c r="C3655" s="7" t="s">
        <v>6</v>
      </c>
      <c r="D3655" s="7" t="s">
        <v>7</v>
      </c>
      <c r="E3655" s="7">
        <v>0</v>
      </c>
    </row>
    <row r="3656" spans="1:5" ht="15.75" customHeight="1" x14ac:dyDescent="0.25">
      <c r="A3656" s="6" t="s">
        <v>3605</v>
      </c>
      <c r="B3656" s="6" t="str">
        <f ca="1">IFERROR(__xludf.DUMMYFUNCTION("GOOGLETRANSLATE(A3656,""bn"",""en"")"),"Sarojini again sat down on the stool with a tearful face")</f>
        <v>Sarojini again sat down on the stool with a tearful face</v>
      </c>
      <c r="C3656" s="7" t="s">
        <v>6</v>
      </c>
      <c r="D3656" s="7" t="s">
        <v>7</v>
      </c>
      <c r="E3656" s="7">
        <v>0</v>
      </c>
    </row>
    <row r="3657" spans="1:5" ht="15.75" customHeight="1" x14ac:dyDescent="0.25">
      <c r="A3657" s="6" t="s">
        <v>3606</v>
      </c>
      <c r="B3657" s="6" t="str">
        <f ca="1">IFERROR(__xludf.DUMMYFUNCTION("GOOGLETRANSLATE(A3657,""bn"",""en"")"),"They remain in me through those qualities")</f>
        <v>They remain in me through those qualities</v>
      </c>
      <c r="C3657" s="8" t="s">
        <v>13</v>
      </c>
      <c r="D3657" s="8" t="s">
        <v>14</v>
      </c>
      <c r="E3657" s="8">
        <v>1</v>
      </c>
    </row>
    <row r="3658" spans="1:5" ht="15.75" customHeight="1" x14ac:dyDescent="0.25">
      <c r="A3658" s="6" t="s">
        <v>3607</v>
      </c>
      <c r="B3658" s="6" t="str">
        <f ca="1">IFERROR(__xludf.DUMMYFUNCTION("GOOGLETRANSLATE(A3658,""bn"",""en"")"),"Spent the night at Kamalapur railway station")</f>
        <v>Spent the night at Kamalapur railway station</v>
      </c>
      <c r="C3658" s="8" t="s">
        <v>13</v>
      </c>
      <c r="D3658" s="8" t="s">
        <v>14</v>
      </c>
      <c r="E3658" s="8">
        <v>1</v>
      </c>
    </row>
    <row r="3659" spans="1:5" ht="15.75" customHeight="1" x14ac:dyDescent="0.25">
      <c r="A3659" s="6" t="s">
        <v>3608</v>
      </c>
      <c r="B3659" s="6" t="str">
        <f ca="1">IFERROR(__xludf.DUMMYFUNCTION("GOOGLETRANSLATE(A3659,""bn"",""en"")"),"Click for exclusive content")</f>
        <v>Click for exclusive content</v>
      </c>
      <c r="C3659" s="8" t="s">
        <v>13</v>
      </c>
      <c r="D3659" s="8" t="s">
        <v>14</v>
      </c>
      <c r="E3659" s="8">
        <v>1</v>
      </c>
    </row>
    <row r="3660" spans="1:5" ht="15.75" customHeight="1" x14ac:dyDescent="0.25">
      <c r="A3660" s="6" t="s">
        <v>3609</v>
      </c>
      <c r="B3660" s="6" t="str">
        <f ca="1">IFERROR(__xludf.DUMMYFUNCTION("GOOGLETRANSLATE(A3660,""bn"",""en"")"),"It gives an opportunity to escape the stress of everyday life")</f>
        <v>It gives an opportunity to escape the stress of everyday life</v>
      </c>
      <c r="C3660" s="8" t="s">
        <v>13</v>
      </c>
      <c r="D3660" s="8" t="s">
        <v>14</v>
      </c>
      <c r="E3660" s="8">
        <v>1</v>
      </c>
    </row>
    <row r="3661" spans="1:5" ht="15.75" customHeight="1" x14ac:dyDescent="0.25">
      <c r="A3661" s="6" t="s">
        <v>3610</v>
      </c>
      <c r="B3661" s="6" t="str">
        <f ca="1">IFERROR(__xludf.DUMMYFUNCTION("GOOGLETRANSLATE(A3661,""bn"",""en"")"),"My friend is a mechanic so I always get a good deal on car repairs")</f>
        <v>My friend is a mechanic so I always get a good deal on car repairs</v>
      </c>
      <c r="C3661" s="8" t="s">
        <v>13</v>
      </c>
      <c r="D3661" s="8" t="s">
        <v>14</v>
      </c>
      <c r="E3661" s="8">
        <v>1</v>
      </c>
    </row>
    <row r="3662" spans="1:5" ht="15.75" customHeight="1" x14ac:dyDescent="0.25">
      <c r="A3662" s="6" t="s">
        <v>3611</v>
      </c>
      <c r="B3662" s="6" t="str">
        <f ca="1">IFERROR(__xludf.DUMMYFUNCTION("GOOGLETRANSLATE(A3662,""bn"",""en"")"),"Haru will be easily discovered here")</f>
        <v>Haru will be easily discovered here</v>
      </c>
      <c r="C3662" s="7" t="s">
        <v>6</v>
      </c>
      <c r="D3662" s="7" t="s">
        <v>7</v>
      </c>
      <c r="E3662" s="7">
        <v>0</v>
      </c>
    </row>
    <row r="3663" spans="1:5" ht="15.75" customHeight="1" x14ac:dyDescent="0.25">
      <c r="A3663" s="6" t="s">
        <v>3612</v>
      </c>
      <c r="B3663" s="6" t="str">
        <f ca="1">IFERROR(__xludf.DUMMYFUNCTION("GOOGLETRANSLATE(A3663,""bn"",""en"")"),"He sat and talked with my father for a while and then went home")</f>
        <v>He sat and talked with my father for a while and then went home</v>
      </c>
      <c r="C3663" s="7" t="s">
        <v>6</v>
      </c>
      <c r="D3663" s="7" t="s">
        <v>7</v>
      </c>
      <c r="E3663" s="7">
        <v>0</v>
      </c>
    </row>
    <row r="3664" spans="1:5" ht="15.75" customHeight="1" x14ac:dyDescent="0.25">
      <c r="A3664" s="6" t="s">
        <v>3613</v>
      </c>
      <c r="B3664" s="6" t="str">
        <f ca="1">IFERROR(__xludf.DUMMYFUNCTION("GOOGLETRANSLATE(A3664,""bn"",""en"")"),"He got two days off the very next week")</f>
        <v>He got two days off the very next week</v>
      </c>
      <c r="C3664" s="7" t="s">
        <v>6</v>
      </c>
      <c r="D3664" s="7" t="s">
        <v>7</v>
      </c>
      <c r="E3664" s="7">
        <v>0</v>
      </c>
    </row>
    <row r="3665" spans="1:5" ht="15.75" customHeight="1" x14ac:dyDescent="0.25">
      <c r="A3665" s="6" t="s">
        <v>3614</v>
      </c>
      <c r="B3665" s="6" t="str">
        <f ca="1">IFERROR(__xludf.DUMMYFUNCTION("GOOGLETRANSLATE(A3665,""bn"",""en"")"),"His face was pale with blood loss")</f>
        <v>His face was pale with blood loss</v>
      </c>
      <c r="C3665" s="7" t="s">
        <v>6</v>
      </c>
      <c r="D3665" s="7" t="s">
        <v>7</v>
      </c>
      <c r="E3665" s="7">
        <v>0</v>
      </c>
    </row>
    <row r="3666" spans="1:5" ht="15.75" customHeight="1" x14ac:dyDescent="0.25">
      <c r="A3666" s="6" t="s">
        <v>3615</v>
      </c>
      <c r="B3666" s="6" t="str">
        <f ca="1">IFERROR(__xludf.DUMMYFUNCTION("GOOGLETRANSLATE(A3666,""bn"",""en"")"),"A buffalo raises its face and glances at my palanquin")</f>
        <v>A buffalo raises its face and glances at my palanquin</v>
      </c>
      <c r="C3666" s="7" t="s">
        <v>6</v>
      </c>
      <c r="D3666" s="7" t="s">
        <v>7</v>
      </c>
      <c r="E3666" s="7">
        <v>0</v>
      </c>
    </row>
    <row r="3667" spans="1:5" ht="15.75" customHeight="1" x14ac:dyDescent="0.25">
      <c r="A3667" s="6" t="s">
        <v>3616</v>
      </c>
      <c r="B3667" s="6" t="str">
        <f ca="1">IFERROR(__xludf.DUMMYFUNCTION("GOOGLETRANSLATE(A3667,""bn"",""en"")"),"He only came once before, now who knows if he will find it")</f>
        <v>He only came once before, now who knows if he will find it</v>
      </c>
      <c r="C3667" s="8" t="s">
        <v>13</v>
      </c>
      <c r="D3667" s="8" t="s">
        <v>14</v>
      </c>
      <c r="E3667" s="8">
        <v>1</v>
      </c>
    </row>
    <row r="3668" spans="1:5" ht="15.75" customHeight="1" x14ac:dyDescent="0.25">
      <c r="A3668" s="6" t="s">
        <v>3617</v>
      </c>
      <c r="B3668" s="6" t="str">
        <f ca="1">IFERROR(__xludf.DUMMYFUNCTION("GOOGLETRANSLATE(A3668,""bn"",""en"")"),"The literal meaning of the word Hajj is to desire or resolve")</f>
        <v>The literal meaning of the word Hajj is to desire or resolve</v>
      </c>
      <c r="C3668" s="8" t="s">
        <v>13</v>
      </c>
      <c r="D3668" s="8" t="s">
        <v>14</v>
      </c>
      <c r="E3668" s="8">
        <v>1</v>
      </c>
    </row>
    <row r="3669" spans="1:5" ht="15.75" customHeight="1" x14ac:dyDescent="0.25">
      <c r="A3669" s="6" t="s">
        <v>3618</v>
      </c>
      <c r="B3669" s="6" t="str">
        <f ca="1">IFERROR(__xludf.DUMMYFUNCTION("GOOGLETRANSLATE(A3669,""bn"",""en"")"),"did you eat last night")</f>
        <v>did you eat last night</v>
      </c>
      <c r="C3669" s="8" t="s">
        <v>13</v>
      </c>
      <c r="D3669" s="8" t="s">
        <v>14</v>
      </c>
      <c r="E3669" s="8">
        <v>1</v>
      </c>
    </row>
    <row r="3670" spans="1:5" ht="15.75" customHeight="1" x14ac:dyDescent="0.25">
      <c r="A3670" s="6" t="s">
        <v>3619</v>
      </c>
      <c r="B3670" s="6" t="str">
        <f ca="1">IFERROR(__xludf.DUMMYFUNCTION("GOOGLETRANSLATE(A3670,""bn"",""en"")"),"The tailor alters the suit to fit the customer perfectly")</f>
        <v>The tailor alters the suit to fit the customer perfectly</v>
      </c>
      <c r="C3670" s="8" t="s">
        <v>13</v>
      </c>
      <c r="D3670" s="8" t="s">
        <v>14</v>
      </c>
      <c r="E3670" s="8">
        <v>1</v>
      </c>
    </row>
    <row r="3671" spans="1:5" ht="15.75" customHeight="1" x14ac:dyDescent="0.25">
      <c r="A3671" s="6" t="s">
        <v>3620</v>
      </c>
      <c r="B3671" s="6" t="str">
        <f ca="1">IFERROR(__xludf.DUMMYFUNCTION("GOOGLETRANSLATE(A3671,""bn"",""en"")"),"He was a legendary saint of Maizbhandari songs")</f>
        <v>He was a legendary saint of Maizbhandari songs</v>
      </c>
      <c r="C3671" s="8" t="s">
        <v>13</v>
      </c>
      <c r="D3671" s="8" t="s">
        <v>14</v>
      </c>
      <c r="E3671" s="8">
        <v>1</v>
      </c>
    </row>
    <row r="3672" spans="1:5" ht="15.75" customHeight="1" x14ac:dyDescent="0.25">
      <c r="A3672" s="6" t="s">
        <v>3621</v>
      </c>
      <c r="B3672" s="6" t="str">
        <f ca="1">IFERROR(__xludf.DUMMYFUNCTION("GOOGLETRANSLATE(A3672,""bn"",""en"")"),"Did you play with them?")</f>
        <v>Did you play with them?</v>
      </c>
      <c r="C3672" s="7" t="s">
        <v>6</v>
      </c>
      <c r="D3672" s="7" t="s">
        <v>7</v>
      </c>
      <c r="E3672" s="7">
        <v>0</v>
      </c>
    </row>
    <row r="3673" spans="1:5" ht="15.75" customHeight="1" x14ac:dyDescent="0.25">
      <c r="A3673" s="6" t="s">
        <v>3622</v>
      </c>
      <c r="B3673" s="6" t="str">
        <f ca="1">IFERROR(__xludf.DUMMYFUNCTION("GOOGLETRANSLATE(A3673,""bn"",""en"")"),"Perhaps the sound of the bee is his armor")</f>
        <v>Perhaps the sound of the bee is his armor</v>
      </c>
      <c r="C3673" s="7" t="s">
        <v>6</v>
      </c>
      <c r="D3673" s="7" t="s">
        <v>7</v>
      </c>
      <c r="E3673" s="7">
        <v>0</v>
      </c>
    </row>
    <row r="3674" spans="1:5" ht="15.75" customHeight="1" x14ac:dyDescent="0.25">
      <c r="A3674" s="6" t="s">
        <v>3623</v>
      </c>
      <c r="B3674" s="6" t="str">
        <f ca="1">IFERROR(__xludf.DUMMYFUNCTION("GOOGLETRANSLATE(A3674,""bn"",""en"")"),"Finally love appears between them")</f>
        <v>Finally love appears between them</v>
      </c>
      <c r="C3674" s="7" t="s">
        <v>6</v>
      </c>
      <c r="D3674" s="7" t="s">
        <v>7</v>
      </c>
      <c r="E3674" s="7">
        <v>0</v>
      </c>
    </row>
    <row r="3675" spans="1:5" ht="15.75" customHeight="1" x14ac:dyDescent="0.25">
      <c r="A3675" s="6" t="s">
        <v>3624</v>
      </c>
      <c r="B3675" s="6" t="str">
        <f ca="1">IFERROR(__xludf.DUMMYFUNCTION("GOOGLETRANSLATE(A3675,""bn"",""en"")"),"I saw a piece of paper hanging on it and saw that every day was spent crying")</f>
        <v>I saw a piece of paper hanging on it and saw that every day was spent crying</v>
      </c>
      <c r="C3675" s="7" t="s">
        <v>6</v>
      </c>
      <c r="D3675" s="7" t="s">
        <v>7</v>
      </c>
      <c r="E3675" s="7">
        <v>0</v>
      </c>
    </row>
    <row r="3676" spans="1:5" ht="15.75" customHeight="1" x14ac:dyDescent="0.25">
      <c r="A3676" s="6" t="s">
        <v>3625</v>
      </c>
      <c r="B3676" s="6" t="str">
        <f ca="1">IFERROR(__xludf.DUMMYFUNCTION("GOOGLETRANSLATE(A3676,""bn"",""en"")"),"Rahim said this after listening to me")</f>
        <v>Rahim said this after listening to me</v>
      </c>
      <c r="C3676" s="7" t="s">
        <v>6</v>
      </c>
      <c r="D3676" s="7" t="s">
        <v>7</v>
      </c>
      <c r="E3676" s="7">
        <v>0</v>
      </c>
    </row>
    <row r="3677" spans="1:5" ht="15.75" customHeight="1" x14ac:dyDescent="0.25">
      <c r="A3677" s="6" t="s">
        <v>3626</v>
      </c>
      <c r="B3677" s="6" t="str">
        <f ca="1">IFERROR(__xludf.DUMMYFUNCTION("GOOGLETRANSLATE(A3677,""bn"",""en"")"),"Follow us on Twitter")</f>
        <v>Follow us on Twitter</v>
      </c>
      <c r="C3677" s="8" t="s">
        <v>13</v>
      </c>
      <c r="D3677" s="8" t="s">
        <v>14</v>
      </c>
      <c r="E3677" s="8">
        <v>1</v>
      </c>
    </row>
    <row r="3678" spans="1:5" ht="15.75" customHeight="1" x14ac:dyDescent="0.25">
      <c r="A3678" s="6" t="s">
        <v>3627</v>
      </c>
      <c r="B3678" s="6" t="str">
        <f ca="1">IFERROR(__xludf.DUMMYFUNCTION("GOOGLETRANSLATE(A3678,""bn"",""en"")"),"I can do it very well")</f>
        <v>I can do it very well</v>
      </c>
      <c r="C3678" s="8" t="s">
        <v>13</v>
      </c>
      <c r="D3678" s="8" t="s">
        <v>14</v>
      </c>
      <c r="E3678" s="8">
        <v>1</v>
      </c>
    </row>
    <row r="3679" spans="1:5" ht="15.75" customHeight="1" x14ac:dyDescent="0.25">
      <c r="A3679" s="6" t="s">
        <v>3628</v>
      </c>
      <c r="B3679" s="6" t="str">
        <f ca="1">IFERROR(__xludf.DUMMYFUNCTION("GOOGLETRANSLATE(A3679,""bn"",""en"")"),"He was also arrested there and sentenced to a year for murder")</f>
        <v>He was also arrested there and sentenced to a year for murder</v>
      </c>
      <c r="C3679" s="8" t="s">
        <v>13</v>
      </c>
      <c r="D3679" s="8" t="s">
        <v>14</v>
      </c>
      <c r="E3679" s="8">
        <v>1</v>
      </c>
    </row>
    <row r="3680" spans="1:5" ht="15.75" customHeight="1" x14ac:dyDescent="0.25">
      <c r="A3680" s="6" t="s">
        <v>3629</v>
      </c>
      <c r="B3680" s="6" t="str">
        <f ca="1">IFERROR(__xludf.DUMMYFUNCTION("GOOGLETRANSLATE(A3680,""bn"",""en"")"),"Overcoming obstacles makes me feel resilient")</f>
        <v>Overcoming obstacles makes me feel resilient</v>
      </c>
      <c r="C3680" s="8" t="s">
        <v>13</v>
      </c>
      <c r="D3680" s="8" t="s">
        <v>14</v>
      </c>
      <c r="E3680" s="8">
        <v>1</v>
      </c>
    </row>
    <row r="3681" spans="1:5" ht="15.75" customHeight="1" x14ac:dyDescent="0.25">
      <c r="A3681" s="6" t="s">
        <v>3630</v>
      </c>
      <c r="B3681" s="6" t="str">
        <f ca="1">IFERROR(__xludf.DUMMYFUNCTION("GOOGLETRANSLATE(A3681,""bn"",""en"")"),"Cover crops are planted during the fall to improve soil health")</f>
        <v>Cover crops are planted during the fall to improve soil health</v>
      </c>
      <c r="C3681" s="8" t="s">
        <v>13</v>
      </c>
      <c r="D3681" s="8" t="s">
        <v>14</v>
      </c>
      <c r="E3681" s="8">
        <v>1</v>
      </c>
    </row>
    <row r="3682" spans="1:5" ht="15.75" customHeight="1" x14ac:dyDescent="0.25">
      <c r="A3682" s="6" t="s">
        <v>3631</v>
      </c>
      <c r="B3682" s="6" t="str">
        <f ca="1">IFERROR(__xludf.DUMMYFUNCTION("GOOGLETRANSLATE(A3682,""bn"",""en"")"),"He did not have the mental focus to realize that his elder brother's life was gradually decreasing.")</f>
        <v>He did not have the mental focus to realize that his elder brother's life was gradually decreasing.</v>
      </c>
      <c r="C3682" s="7" t="s">
        <v>6</v>
      </c>
      <c r="D3682" s="7" t="s">
        <v>7</v>
      </c>
      <c r="E3682" s="7">
        <v>0</v>
      </c>
    </row>
    <row r="3683" spans="1:5" ht="15.75" customHeight="1" x14ac:dyDescent="0.25">
      <c r="A3683" s="6" t="s">
        <v>3632</v>
      </c>
      <c r="B3683" s="6" t="str">
        <f ca="1">IFERROR(__xludf.DUMMYFUNCTION("GOOGLETRANSLATE(A3683,""bn"",""en"")"),"I can't do this")</f>
        <v>I can't do this</v>
      </c>
      <c r="C3683" s="7" t="s">
        <v>6</v>
      </c>
      <c r="D3683" s="7" t="s">
        <v>7</v>
      </c>
      <c r="E3683" s="7">
        <v>0</v>
      </c>
    </row>
    <row r="3684" spans="1:5" ht="15.75" customHeight="1" x14ac:dyDescent="0.25">
      <c r="A3684" s="6" t="s">
        <v>3633</v>
      </c>
      <c r="B3684" s="6" t="str">
        <f ca="1">IFERROR(__xludf.DUMMYFUNCTION("GOOGLETRANSLATE(A3684,""bn"",""en"")"),"The car was waiting outside the garden")</f>
        <v>The car was waiting outside the garden</v>
      </c>
      <c r="C3684" s="7" t="s">
        <v>6</v>
      </c>
      <c r="D3684" s="7" t="s">
        <v>7</v>
      </c>
      <c r="E3684" s="7">
        <v>0</v>
      </c>
    </row>
    <row r="3685" spans="1:5" ht="15.75" customHeight="1" x14ac:dyDescent="0.25">
      <c r="A3685" s="6" t="s">
        <v>3634</v>
      </c>
      <c r="B3685" s="6" t="str">
        <f ca="1">IFERROR(__xludf.DUMMYFUNCTION("GOOGLETRANSLATE(A3685,""bn"",""en"")"),"I have never seen women get drunk but they are not drunkards")</f>
        <v>I have never seen women get drunk but they are not drunkards</v>
      </c>
      <c r="C3685" s="7" t="s">
        <v>6</v>
      </c>
      <c r="D3685" s="7" t="s">
        <v>7</v>
      </c>
      <c r="E3685" s="7">
        <v>0</v>
      </c>
    </row>
    <row r="3686" spans="1:5" ht="15.75" customHeight="1" x14ac:dyDescent="0.25">
      <c r="A3686" s="6" t="s">
        <v>3635</v>
      </c>
      <c r="B3686" s="6" t="str">
        <f ca="1">IFERROR(__xludf.DUMMYFUNCTION("GOOGLETRANSLATE(A3686,""bn"",""en"")"),"Many sages will understand Ashoka tree to mean that Madhudrum has just been written")</f>
        <v>Many sages will understand Ashoka tree to mean that Madhudrum has just been written</v>
      </c>
      <c r="C3686" s="7" t="s">
        <v>6</v>
      </c>
      <c r="D3686" s="7" t="s">
        <v>7</v>
      </c>
      <c r="E3686" s="7">
        <v>0</v>
      </c>
    </row>
    <row r="3687" spans="1:5" ht="15.75" customHeight="1" x14ac:dyDescent="0.25">
      <c r="A3687" s="6" t="s">
        <v>3636</v>
      </c>
      <c r="B3687" s="6" t="str">
        <f ca="1">IFERROR(__xludf.DUMMYFUNCTION("GOOGLETRANSLATE(A3687,""bn"",""en"")"),"Like and comment your city")</f>
        <v>Like and comment your city</v>
      </c>
      <c r="C3687" s="8" t="s">
        <v>13</v>
      </c>
      <c r="D3687" s="8" t="s">
        <v>14</v>
      </c>
      <c r="E3687" s="8">
        <v>1</v>
      </c>
    </row>
    <row r="3688" spans="1:5" ht="15.75" customHeight="1" x14ac:dyDescent="0.25">
      <c r="A3688" s="6" t="s">
        <v>3637</v>
      </c>
      <c r="B3688" s="6" t="str">
        <f ca="1">IFERROR(__xludf.DUMMYFUNCTION("GOOGLETRANSLATE(A3688,""bn"",""en"")"),"The transaction is recorded in the ledger")</f>
        <v>The transaction is recorded in the ledger</v>
      </c>
      <c r="C3688" s="8" t="s">
        <v>13</v>
      </c>
      <c r="D3688" s="8" t="s">
        <v>14</v>
      </c>
      <c r="E3688" s="8">
        <v>1</v>
      </c>
    </row>
    <row r="3689" spans="1:5" ht="15.75" customHeight="1" x14ac:dyDescent="0.25">
      <c r="A3689" s="6" t="s">
        <v>3638</v>
      </c>
      <c r="B3689" s="6" t="str">
        <f ca="1">IFERROR(__xludf.DUMMYFUNCTION("GOOGLETRANSLATE(A3689,""bn"",""en"")"),"Suman will eat rice and pray")</f>
        <v>Suman will eat rice and pray</v>
      </c>
      <c r="C3689" s="8" t="s">
        <v>13</v>
      </c>
      <c r="D3689" s="8" t="s">
        <v>14</v>
      </c>
      <c r="E3689" s="8">
        <v>1</v>
      </c>
    </row>
    <row r="3690" spans="1:5" ht="15.75" customHeight="1" x14ac:dyDescent="0.25">
      <c r="A3690" s="6" t="s">
        <v>3639</v>
      </c>
      <c r="B3690" s="6" t="str">
        <f ca="1">IFERROR(__xludf.DUMMYFUNCTION("GOOGLETRANSLATE(A3690,""bn"",""en"")"),"He made just such a mistake")</f>
        <v>He made just such a mistake</v>
      </c>
      <c r="C3690" s="8" t="s">
        <v>13</v>
      </c>
      <c r="D3690" s="8" t="s">
        <v>14</v>
      </c>
      <c r="E3690" s="8">
        <v>1</v>
      </c>
    </row>
    <row r="3691" spans="1:5" ht="15.75" customHeight="1" x14ac:dyDescent="0.25">
      <c r="A3691" s="6" t="s">
        <v>3640</v>
      </c>
      <c r="B3691" s="6" t="str">
        <f ca="1">IFERROR(__xludf.DUMMYFUNCTION("GOOGLETRANSLATE(A3691,""bn"",""en"")"),"He fainted after overexerting himself")</f>
        <v>He fainted after overexerting himself</v>
      </c>
      <c r="C3691" s="8" t="s">
        <v>13</v>
      </c>
      <c r="D3691" s="8" t="s">
        <v>14</v>
      </c>
      <c r="E3691" s="8">
        <v>1</v>
      </c>
    </row>
    <row r="3692" spans="1:5" ht="15.75" customHeight="1" x14ac:dyDescent="0.25">
      <c r="A3692" s="6" t="s">
        <v>3641</v>
      </c>
      <c r="B3692" s="6" t="str">
        <f ca="1">IFERROR(__xludf.DUMMYFUNCTION("GOOGLETRANSLATE(A3692,""bn"",""en"")"),"Saheb began to shout saying one penny sir one penny")</f>
        <v>Saheb began to shout saying one penny sir one penny</v>
      </c>
      <c r="C3692" s="7" t="s">
        <v>6</v>
      </c>
      <c r="D3692" s="7" t="s">
        <v>7</v>
      </c>
      <c r="E3692" s="7">
        <v>0</v>
      </c>
    </row>
    <row r="3693" spans="1:5" ht="15.75" customHeight="1" x14ac:dyDescent="0.25">
      <c r="A3693" s="6" t="s">
        <v>3642</v>
      </c>
      <c r="B3693" s="6" t="str">
        <f ca="1">IFERROR(__xludf.DUMMYFUNCTION("GOOGLETRANSLATE(A3693,""bn"",""en"")"),"Rana has done the work with Rita")</f>
        <v>Rana has done the work with Rita</v>
      </c>
      <c r="C3693" s="7" t="s">
        <v>6</v>
      </c>
      <c r="D3693" s="7" t="s">
        <v>7</v>
      </c>
      <c r="E3693" s="7">
        <v>0</v>
      </c>
    </row>
    <row r="3694" spans="1:5" ht="15.75" customHeight="1" x14ac:dyDescent="0.25">
      <c r="A3694" s="6" t="s">
        <v>113</v>
      </c>
      <c r="B3694" s="6" t="str">
        <f ca="1">IFERROR(__xludf.DUMMYFUNCTION("GOOGLETRANSLATE(A3694,""bn"",""en"")"),"Some have written verses in Sadhu language and sent them")</f>
        <v>Some have written verses in Sadhu language and sent them</v>
      </c>
      <c r="C3694" s="7" t="s">
        <v>6</v>
      </c>
      <c r="D3694" s="7" t="s">
        <v>7</v>
      </c>
      <c r="E3694" s="7">
        <v>0</v>
      </c>
    </row>
    <row r="3695" spans="1:5" ht="15.75" customHeight="1" x14ac:dyDescent="0.25">
      <c r="A3695" s="6" t="s">
        <v>3643</v>
      </c>
      <c r="B3695" s="6" t="str">
        <f ca="1">IFERROR(__xludf.DUMMYFUNCTION("GOOGLETRANSLATE(A3695,""bn"",""en"")"),"I am going to school with books")</f>
        <v>I am going to school with books</v>
      </c>
      <c r="C3695" s="7" t="s">
        <v>6</v>
      </c>
      <c r="D3695" s="7" t="s">
        <v>7</v>
      </c>
      <c r="E3695" s="7">
        <v>0</v>
      </c>
    </row>
    <row r="3696" spans="1:5" ht="15.75" customHeight="1" x14ac:dyDescent="0.25">
      <c r="A3696" s="6" t="s">
        <v>3644</v>
      </c>
      <c r="B3696" s="6" t="str">
        <f ca="1">IFERROR(__xludf.DUMMYFUNCTION("GOOGLETRANSLATE(A3696,""bn"",""en"")"),"He does not believe in the excuse of his wife making kasundi kasundi")</f>
        <v>He does not believe in the excuse of his wife making kasundi kasundi</v>
      </c>
      <c r="C3696" s="7" t="s">
        <v>6</v>
      </c>
      <c r="D3696" s="7" t="s">
        <v>7</v>
      </c>
      <c r="E3696" s="7">
        <v>0</v>
      </c>
    </row>
    <row r="3697" spans="1:5" ht="15.75" customHeight="1" x14ac:dyDescent="0.25">
      <c r="A3697" s="6" t="s">
        <v>3645</v>
      </c>
      <c r="B3697" s="6" t="str">
        <f ca="1">IFERROR(__xludf.DUMMYFUNCTION("GOOGLETRANSLATE(A3697,""bn"",""en"")"),"Wanting to jump down")</f>
        <v>Wanting to jump down</v>
      </c>
      <c r="C3697" s="8" t="s">
        <v>13</v>
      </c>
      <c r="D3697" s="8" t="s">
        <v>14</v>
      </c>
      <c r="E3697" s="8">
        <v>1</v>
      </c>
    </row>
    <row r="3698" spans="1:5" ht="15.75" customHeight="1" x14ac:dyDescent="0.25">
      <c r="A3698" s="6" t="s">
        <v>3646</v>
      </c>
      <c r="B3698" s="6" t="str">
        <f ca="1">IFERROR(__xludf.DUMMYFUNCTION("GOOGLETRANSLATE(A3698,""bn"",""en"")"),"If you work hard, you will faint")</f>
        <v>If you work hard, you will faint</v>
      </c>
      <c r="C3698" s="8" t="s">
        <v>13</v>
      </c>
      <c r="D3698" s="8" t="s">
        <v>14</v>
      </c>
      <c r="E3698" s="8">
        <v>1</v>
      </c>
    </row>
    <row r="3699" spans="1:5" ht="15.75" customHeight="1" x14ac:dyDescent="0.25">
      <c r="A3699" s="6" t="s">
        <v>3647</v>
      </c>
      <c r="B3699" s="6" t="str">
        <f ca="1">IFERROR(__xludf.DUMMYFUNCTION("GOOGLETRANSLATE(A3699,""bn"",""en"")"),"Criminal masterminds often operate under cover of fraudulent secrecy")</f>
        <v>Criminal masterminds often operate under cover of fraudulent secrecy</v>
      </c>
      <c r="C3699" s="8" t="s">
        <v>13</v>
      </c>
      <c r="D3699" s="8" t="s">
        <v>14</v>
      </c>
      <c r="E3699" s="8">
        <v>1</v>
      </c>
    </row>
    <row r="3700" spans="1:5" ht="15.75" customHeight="1" x14ac:dyDescent="0.25">
      <c r="A3700" s="6" t="s">
        <v>3648</v>
      </c>
      <c r="B3700" s="6" t="str">
        <f ca="1">IFERROR(__xludf.DUMMYFUNCTION("GOOGLETRANSLATE(A3700,""bn"",""en"")"),"Aged cheeses complement fine wines")</f>
        <v>Aged cheeses complement fine wines</v>
      </c>
      <c r="C3700" s="8" t="s">
        <v>13</v>
      </c>
      <c r="D3700" s="8" t="s">
        <v>14</v>
      </c>
      <c r="E3700" s="8">
        <v>1</v>
      </c>
    </row>
    <row r="3701" spans="1:5" ht="15.75" customHeight="1" x14ac:dyDescent="0.25">
      <c r="A3701" s="6" t="s">
        <v>3649</v>
      </c>
      <c r="B3701" s="6" t="str">
        <f ca="1">IFERROR(__xludf.DUMMYFUNCTION("GOOGLETRANSLATE(A3701,""bn"",""en"")"),"He himself does not know where to go")</f>
        <v>He himself does not know where to go</v>
      </c>
      <c r="C3701" s="8" t="s">
        <v>13</v>
      </c>
      <c r="D3701" s="8" t="s">
        <v>14</v>
      </c>
      <c r="E3701" s="8">
        <v>1</v>
      </c>
    </row>
    <row r="3702" spans="1:5" ht="15.75" customHeight="1" x14ac:dyDescent="0.25">
      <c r="A3702" s="6" t="s">
        <v>3650</v>
      </c>
      <c r="B3702" s="6" t="str">
        <f ca="1">IFERROR(__xludf.DUMMYFUNCTION("GOOGLETRANSLATE(A3702,""bn"",""en"")"),"Especially the eldest three sons are married and have children")</f>
        <v>Especially the eldest three sons are married and have children</v>
      </c>
      <c r="C3702" s="7" t="s">
        <v>6</v>
      </c>
      <c r="D3702" s="7" t="s">
        <v>7</v>
      </c>
      <c r="E3702" s="7">
        <v>0</v>
      </c>
    </row>
    <row r="3703" spans="1:5" ht="15.75" customHeight="1" x14ac:dyDescent="0.25">
      <c r="A3703" s="6" t="s">
        <v>3651</v>
      </c>
      <c r="B3703" s="6" t="str">
        <f ca="1">IFERROR(__xludf.DUMMYFUNCTION("GOOGLETRANSLATE(A3703,""bn"",""en"")"),"It gave me Robin")</f>
        <v>It gave me Robin</v>
      </c>
      <c r="C3703" s="7" t="s">
        <v>6</v>
      </c>
      <c r="D3703" s="7" t="s">
        <v>7</v>
      </c>
      <c r="E3703" s="7">
        <v>0</v>
      </c>
    </row>
    <row r="3704" spans="1:5" ht="15.75" customHeight="1" x14ac:dyDescent="0.25">
      <c r="A3704" s="6" t="s">
        <v>3652</v>
      </c>
      <c r="B3704" s="6" t="str">
        <f ca="1">IFERROR(__xludf.DUMMYFUNCTION("GOOGLETRANSLATE(A3704,""bn"",""en"")"),"I went to see Suman")</f>
        <v>I went to see Suman</v>
      </c>
      <c r="C3704" s="7" t="s">
        <v>6</v>
      </c>
      <c r="D3704" s="7" t="s">
        <v>7</v>
      </c>
      <c r="E3704" s="7">
        <v>0</v>
      </c>
    </row>
    <row r="3705" spans="1:5" ht="15.75" customHeight="1" x14ac:dyDescent="0.25">
      <c r="A3705" s="6" t="s">
        <v>3653</v>
      </c>
      <c r="B3705" s="6" t="str">
        <f ca="1">IFERROR(__xludf.DUMMYFUNCTION("GOOGLETRANSLATE(A3705,""bn"",""en"")"),"One asked are you I said I am Bengali")</f>
        <v>One asked are you I said I am Bengali</v>
      </c>
      <c r="C3705" s="7" t="s">
        <v>6</v>
      </c>
      <c r="D3705" s="7" t="s">
        <v>7</v>
      </c>
      <c r="E3705" s="7">
        <v>0</v>
      </c>
    </row>
    <row r="3706" spans="1:5" ht="15.75" customHeight="1" x14ac:dyDescent="0.25">
      <c r="A3706" s="6" t="s">
        <v>3654</v>
      </c>
      <c r="B3706" s="6" t="str">
        <f ca="1">IFERROR(__xludf.DUMMYFUNCTION("GOOGLETRANSLATE(A3706,""bn"",""en"")"),"Shakib will go to the market with his brother")</f>
        <v>Shakib will go to the market with his brother</v>
      </c>
      <c r="C3706" s="7" t="s">
        <v>6</v>
      </c>
      <c r="D3706" s="7" t="s">
        <v>7</v>
      </c>
      <c r="E3706" s="7">
        <v>0</v>
      </c>
    </row>
    <row r="3707" spans="1:5" ht="15.75" customHeight="1" x14ac:dyDescent="0.25">
      <c r="A3707" s="6" t="s">
        <v>3655</v>
      </c>
      <c r="B3707" s="6" t="str">
        <f ca="1">IFERROR(__xludf.DUMMYFUNCTION("GOOGLETRANSLATE(A3707,""bn"",""en"")"),"Use proper footwear for support")</f>
        <v>Use proper footwear for support</v>
      </c>
      <c r="C3707" s="8" t="s">
        <v>13</v>
      </c>
      <c r="D3707" s="8" t="s">
        <v>14</v>
      </c>
      <c r="E3707" s="8">
        <v>1</v>
      </c>
    </row>
    <row r="3708" spans="1:5" ht="15.75" customHeight="1" x14ac:dyDescent="0.25">
      <c r="A3708" s="6" t="s">
        <v>3656</v>
      </c>
      <c r="B3708" s="6" t="str">
        <f ca="1">IFERROR(__xludf.DUMMYFUNCTION("GOOGLETRANSLATE(A3708,""bn"",""en"")"),"The knobs are clean")</f>
        <v>The knobs are clean</v>
      </c>
      <c r="C3708" s="8" t="s">
        <v>13</v>
      </c>
      <c r="D3708" s="8" t="s">
        <v>14</v>
      </c>
      <c r="E3708" s="8">
        <v>1</v>
      </c>
    </row>
    <row r="3709" spans="1:5" ht="15.75" customHeight="1" x14ac:dyDescent="0.25">
      <c r="A3709" s="6" t="s">
        <v>3657</v>
      </c>
      <c r="B3709" s="6" t="str">
        <f ca="1">IFERROR(__xludf.DUMMYFUNCTION("GOOGLETRANSLATE(A3709,""bn"",""en"")"),"Besides, there is an opportunity to watch this companion game")</f>
        <v>Besides, there is an opportunity to watch this companion game</v>
      </c>
      <c r="C3709" s="8" t="s">
        <v>13</v>
      </c>
      <c r="D3709" s="8" t="s">
        <v>14</v>
      </c>
      <c r="E3709" s="8">
        <v>1</v>
      </c>
    </row>
    <row r="3710" spans="1:5" ht="15.75" customHeight="1" x14ac:dyDescent="0.25">
      <c r="A3710" s="6" t="s">
        <v>3658</v>
      </c>
      <c r="B3710" s="6" t="str">
        <f ca="1">IFERROR(__xludf.DUMMYFUNCTION("GOOGLETRANSLATE(A3710,""bn"",""en"")"),"Sumi asked me to write it")</f>
        <v>Sumi asked me to write it</v>
      </c>
      <c r="C3710" s="8" t="s">
        <v>13</v>
      </c>
      <c r="D3710" s="8" t="s">
        <v>14</v>
      </c>
      <c r="E3710" s="8">
        <v>1</v>
      </c>
    </row>
    <row r="3711" spans="1:5" ht="15.75" customHeight="1" x14ac:dyDescent="0.25">
      <c r="A3711" s="6" t="s">
        <v>3659</v>
      </c>
      <c r="B3711" s="6" t="str">
        <f ca="1">IFERROR(__xludf.DUMMYFUNCTION("GOOGLETRANSLATE(A3711,""bn"",""en"")"),"Let the Putla be in front of the Putli Gate")</f>
        <v>Let the Putla be in front of the Putli Gate</v>
      </c>
      <c r="C3711" s="8" t="s">
        <v>13</v>
      </c>
      <c r="D3711" s="8" t="s">
        <v>14</v>
      </c>
      <c r="E3711" s="8">
        <v>1</v>
      </c>
    </row>
    <row r="3712" spans="1:5" ht="15.75" customHeight="1" x14ac:dyDescent="0.25">
      <c r="A3712" s="6" t="s">
        <v>3660</v>
      </c>
      <c r="B3712" s="6" t="str">
        <f ca="1">IFERROR(__xludf.DUMMYFUNCTION("GOOGLETRANSLATE(A3712,""bn"",""en"")"),"A virgin is a bride overnight")</f>
        <v>A virgin is a bride overnight</v>
      </c>
      <c r="C3712" s="7" t="s">
        <v>6</v>
      </c>
      <c r="D3712" s="7" t="s">
        <v>7</v>
      </c>
      <c r="E3712" s="7">
        <v>0</v>
      </c>
    </row>
    <row r="3713" spans="1:5" ht="15.75" customHeight="1" x14ac:dyDescent="0.25">
      <c r="A3713" s="6" t="s">
        <v>3661</v>
      </c>
      <c r="B3713" s="6" t="str">
        <f ca="1">IFERROR(__xludf.DUMMYFUNCTION("GOOGLETRANSLATE(A3713,""bn"",""en"")"),"She is married to Mohan, the elder son of Baraga Naib Shyamacharan Das")</f>
        <v>She is married to Mohan, the elder son of Baraga Naib Shyamacharan Das</v>
      </c>
      <c r="C3713" s="7" t="s">
        <v>6</v>
      </c>
      <c r="D3713" s="7" t="s">
        <v>7</v>
      </c>
      <c r="E3713" s="7">
        <v>0</v>
      </c>
    </row>
    <row r="3714" spans="1:5" ht="15.75" customHeight="1" x14ac:dyDescent="0.25">
      <c r="A3714" s="6" t="s">
        <v>1087</v>
      </c>
      <c r="B3714" s="6" t="str">
        <f ca="1">IFERROR(__xludf.DUMMYFUNCTION("GOOGLETRANSLATE(A3714,""bn"",""en"")"),"Old sayings remain thus the capital of society increases")</f>
        <v>Old sayings remain thus the capital of society increases</v>
      </c>
      <c r="C3714" s="7" t="s">
        <v>6</v>
      </c>
      <c r="D3714" s="7" t="s">
        <v>7</v>
      </c>
      <c r="E3714" s="7">
        <v>0</v>
      </c>
    </row>
    <row r="3715" spans="1:5" ht="15.75" customHeight="1" x14ac:dyDescent="0.25">
      <c r="A3715" s="6" t="s">
        <v>3662</v>
      </c>
      <c r="B3715" s="6" t="str">
        <f ca="1">IFERROR(__xludf.DUMMYFUNCTION("GOOGLETRANSLATE(A3715,""bn"",""en"")"),"Their number was 100,000 after 20 years.")</f>
        <v>Their number was 100,000 after 20 years.</v>
      </c>
      <c r="C3715" s="7" t="s">
        <v>6</v>
      </c>
      <c r="D3715" s="7" t="s">
        <v>7</v>
      </c>
      <c r="E3715" s="7">
        <v>0</v>
      </c>
    </row>
    <row r="3716" spans="1:5" ht="15.75" customHeight="1" x14ac:dyDescent="0.25">
      <c r="A3716" s="6" t="s">
        <v>3663</v>
      </c>
      <c r="B3716" s="6" t="str">
        <f ca="1">IFERROR(__xludf.DUMMYFUNCTION("GOOGLETRANSLATE(A3716,""bn"",""en"")"),"I asked him to wait for me")</f>
        <v>I asked him to wait for me</v>
      </c>
      <c r="C3716" s="7" t="s">
        <v>6</v>
      </c>
      <c r="D3716" s="7" t="s">
        <v>7</v>
      </c>
      <c r="E3716" s="7">
        <v>0</v>
      </c>
    </row>
    <row r="3717" spans="1:5" ht="15.75" customHeight="1" x14ac:dyDescent="0.25">
      <c r="A3717" s="6" t="s">
        <v>3664</v>
      </c>
      <c r="B3717" s="6" t="str">
        <f ca="1">IFERROR(__xludf.DUMMYFUNCTION("GOOGLETRANSLATE(A3717,""bn"",""en"")"),"Roasted garlic adds depth to the dish")</f>
        <v>Roasted garlic adds depth to the dish</v>
      </c>
      <c r="C3717" s="8" t="s">
        <v>13</v>
      </c>
      <c r="D3717" s="8" t="s">
        <v>14</v>
      </c>
      <c r="E3717" s="8">
        <v>1</v>
      </c>
    </row>
    <row r="3718" spans="1:5" ht="15.75" customHeight="1" x14ac:dyDescent="0.25">
      <c r="A3718" s="6" t="s">
        <v>3665</v>
      </c>
      <c r="B3718" s="6" t="str">
        <f ca="1">IFERROR(__xludf.DUMMYFUNCTION("GOOGLETRANSLATE(A3718,""bn"",""en"")"),"Asset forfeiture allows authorities to confiscate property acquired through illegal means")</f>
        <v>Asset forfeiture allows authorities to confiscate property acquired through illegal means</v>
      </c>
      <c r="C3718" s="8" t="s">
        <v>13</v>
      </c>
      <c r="D3718" s="8" t="s">
        <v>14</v>
      </c>
      <c r="E3718" s="8">
        <v>1</v>
      </c>
    </row>
    <row r="3719" spans="1:5" ht="15.75" customHeight="1" x14ac:dyDescent="0.25">
      <c r="A3719" s="6" t="s">
        <v>3666</v>
      </c>
      <c r="B3719" s="6" t="str">
        <f ca="1">IFERROR(__xludf.DUMMYFUNCTION("GOOGLETRANSLATE(A3719,""bn"",""en"")"),"I can spend the rest of my life")</f>
        <v>I can spend the rest of my life</v>
      </c>
      <c r="C3719" s="8" t="s">
        <v>13</v>
      </c>
      <c r="D3719" s="8" t="s">
        <v>14</v>
      </c>
      <c r="E3719" s="8">
        <v>1</v>
      </c>
    </row>
    <row r="3720" spans="1:5" ht="15.75" customHeight="1" x14ac:dyDescent="0.25">
      <c r="A3720" s="6" t="s">
        <v>3667</v>
      </c>
      <c r="B3720" s="6" t="str">
        <f ca="1">IFERROR(__xludf.DUMMYFUNCTION("GOOGLETRANSLATE(A3720,""bn"",""en"")"),"Culturally responsive teaching respects students' cultural backgrounds")</f>
        <v>Culturally responsive teaching respects students' cultural backgrounds</v>
      </c>
      <c r="C3720" s="8" t="s">
        <v>13</v>
      </c>
      <c r="D3720" s="8" t="s">
        <v>14</v>
      </c>
      <c r="E3720" s="8">
        <v>1</v>
      </c>
    </row>
    <row r="3721" spans="1:5" ht="15.75" customHeight="1" x14ac:dyDescent="0.25">
      <c r="A3721" s="6" t="s">
        <v>3668</v>
      </c>
      <c r="B3721" s="6" t="str">
        <f ca="1">IFERROR(__xludf.DUMMYFUNCTION("GOOGLETRANSLATE(A3721,""bn"",""en"")"),"Blended olive oil enhances culinary creations")</f>
        <v>Blended olive oil enhances culinary creations</v>
      </c>
      <c r="C3721" s="8" t="s">
        <v>13</v>
      </c>
      <c r="D3721" s="8" t="s">
        <v>14</v>
      </c>
      <c r="E3721" s="8">
        <v>1</v>
      </c>
    </row>
    <row r="3722" spans="1:5" ht="15.75" customHeight="1" x14ac:dyDescent="0.25">
      <c r="A3722" s="6" t="s">
        <v>3669</v>
      </c>
      <c r="B3722" s="6" t="str">
        <f ca="1">IFERROR(__xludf.DUMMYFUNCTION("GOOGLETRANSLATE(A3722,""bn"",""en"")"),"Only the stars are shining in the blue sky")</f>
        <v>Only the stars are shining in the blue sky</v>
      </c>
      <c r="C3722" s="7" t="s">
        <v>6</v>
      </c>
      <c r="D3722" s="7" t="s">
        <v>7</v>
      </c>
      <c r="E3722" s="7">
        <v>0</v>
      </c>
    </row>
    <row r="3723" spans="1:5" ht="15.75" customHeight="1" x14ac:dyDescent="0.25">
      <c r="A3723" s="6" t="s">
        <v>3670</v>
      </c>
      <c r="B3723" s="6" t="str">
        <f ca="1">IFERROR(__xludf.DUMMYFUNCTION("GOOGLETRANSLATE(A3723,""bn"",""en"")"),"He scratched his nose and mouth and walked towards the house crying and the game was broken")</f>
        <v>He scratched his nose and mouth and walked towards the house crying and the game was broken</v>
      </c>
      <c r="C3723" s="7" t="s">
        <v>6</v>
      </c>
      <c r="D3723" s="7" t="s">
        <v>7</v>
      </c>
      <c r="E3723" s="7">
        <v>0</v>
      </c>
    </row>
    <row r="3724" spans="1:5" ht="15.75" customHeight="1" x14ac:dyDescent="0.25">
      <c r="A3724" s="6" t="s">
        <v>3671</v>
      </c>
      <c r="B3724" s="6" t="str">
        <f ca="1">IFERROR(__xludf.DUMMYFUNCTION("GOOGLETRANSLATE(A3724,""bn"",""en"")"),"He used to come to my tent from time to time to talk")</f>
        <v>He used to come to my tent from time to time to talk</v>
      </c>
      <c r="C3724" s="7" t="s">
        <v>6</v>
      </c>
      <c r="D3724" s="7" t="s">
        <v>7</v>
      </c>
      <c r="E3724" s="7">
        <v>0</v>
      </c>
    </row>
    <row r="3725" spans="1:5" ht="15.75" customHeight="1" x14ac:dyDescent="0.25">
      <c r="A3725" s="6" t="s">
        <v>3672</v>
      </c>
      <c r="B3725" s="6" t="str">
        <f ca="1">IFERROR(__xludf.DUMMYFUNCTION("GOOGLETRANSLATE(A3725,""bn"",""en"")"),"In Sadhu language, it is called Madhudrum")</f>
        <v>In Sadhu language, it is called Madhudrum</v>
      </c>
      <c r="C3725" s="7" t="s">
        <v>6</v>
      </c>
      <c r="D3725" s="7" t="s">
        <v>7</v>
      </c>
      <c r="E3725" s="7">
        <v>0</v>
      </c>
    </row>
    <row r="3726" spans="1:5" ht="15.75" customHeight="1" x14ac:dyDescent="0.25">
      <c r="A3726" s="6" t="s">
        <v>3673</v>
      </c>
      <c r="B3726" s="6" t="str">
        <f ca="1">IFERROR(__xludf.DUMMYFUNCTION("GOOGLETRANSLATE(A3726,""bn"",""en"")"),"I do not know what is the state of that nation at the moment")</f>
        <v>I do not know what is the state of that nation at the moment</v>
      </c>
      <c r="C3726" s="7" t="s">
        <v>6</v>
      </c>
      <c r="D3726" s="7" t="s">
        <v>7</v>
      </c>
      <c r="E3726" s="7">
        <v>0</v>
      </c>
    </row>
    <row r="3727" spans="1:5" ht="15.75" customHeight="1" x14ac:dyDescent="0.25">
      <c r="A3727" s="6" t="s">
        <v>3674</v>
      </c>
      <c r="B3727" s="6" t="str">
        <f ca="1">IFERROR(__xludf.DUMMYFUNCTION("GOOGLETRANSLATE(A3727,""bn"",""en"")"),"Football is being played in the field")</f>
        <v>Football is being played in the field</v>
      </c>
      <c r="C3727" s="8" t="s">
        <v>13</v>
      </c>
      <c r="D3727" s="8" t="s">
        <v>14</v>
      </c>
      <c r="E3727" s="8">
        <v>1</v>
      </c>
    </row>
    <row r="3728" spans="1:5" ht="15.75" customHeight="1" x14ac:dyDescent="0.25">
      <c r="A3728" s="6" t="s">
        <v>3675</v>
      </c>
      <c r="B3728" s="6" t="str">
        <f ca="1">IFERROR(__xludf.DUMMYFUNCTION("GOOGLETRANSLATE(A3728,""bn"",""en"")"),"Supply chain resilience ensures business continuity in challenging times")</f>
        <v>Supply chain resilience ensures business continuity in challenging times</v>
      </c>
      <c r="C3728" s="8" t="s">
        <v>13</v>
      </c>
      <c r="D3728" s="8" t="s">
        <v>14</v>
      </c>
      <c r="E3728" s="8">
        <v>1</v>
      </c>
    </row>
    <row r="3729" spans="1:5" ht="15.75" customHeight="1" x14ac:dyDescent="0.25">
      <c r="A3729" s="6" t="s">
        <v>3676</v>
      </c>
      <c r="B3729" s="6" t="str">
        <f ca="1">IFERROR(__xludf.DUMMYFUNCTION("GOOGLETRANSLATE(A3729,""bn"",""en"")"),"Mother asked me to eat")</f>
        <v>Mother asked me to eat</v>
      </c>
      <c r="C3729" s="8" t="s">
        <v>13</v>
      </c>
      <c r="D3729" s="8" t="s">
        <v>14</v>
      </c>
      <c r="E3729" s="8">
        <v>1</v>
      </c>
    </row>
    <row r="3730" spans="1:5" ht="15.75" customHeight="1" x14ac:dyDescent="0.25">
      <c r="A3730" s="6" t="s">
        <v>3677</v>
      </c>
      <c r="B3730" s="6" t="str">
        <f ca="1">IFERROR(__xludf.DUMMYFUNCTION("GOOGLETRANSLATE(A3730,""bn"",""en"")"),"He left the train before it arrived")</f>
        <v>He left the train before it arrived</v>
      </c>
      <c r="C3730" s="8" t="s">
        <v>13</v>
      </c>
      <c r="D3730" s="8" t="s">
        <v>14</v>
      </c>
      <c r="E3730" s="8">
        <v>1</v>
      </c>
    </row>
    <row r="3731" spans="1:5" ht="15.75" customHeight="1" x14ac:dyDescent="0.25">
      <c r="A3731" s="6" t="s">
        <v>1414</v>
      </c>
      <c r="B3731" s="6" t="str">
        <f ca="1">IFERROR(__xludf.DUMMYFUNCTION("GOOGLETRANSLATE(A3731,""bn"",""en"")"),"He sat without speaking for a long time with a pale face")</f>
        <v>He sat without speaking for a long time with a pale face</v>
      </c>
      <c r="C3731" s="8" t="s">
        <v>13</v>
      </c>
      <c r="D3731" s="8" t="s">
        <v>14</v>
      </c>
      <c r="E3731" s="8">
        <v>1</v>
      </c>
    </row>
    <row r="3732" spans="1:5" ht="15.75" customHeight="1" x14ac:dyDescent="0.25">
      <c r="A3732" s="6" t="s">
        <v>3678</v>
      </c>
      <c r="B3732" s="6" t="str">
        <f ca="1">IFERROR(__xludf.DUMMYFUNCTION("GOOGLETRANSLATE(A3732,""bn"",""en"")"),"I came and rescued Mini from her impending danger and took her outside")</f>
        <v>I came and rescued Mini from her impending danger and took her outside</v>
      </c>
      <c r="C3732" s="7" t="s">
        <v>6</v>
      </c>
      <c r="D3732" s="7" t="s">
        <v>7</v>
      </c>
      <c r="E3732" s="7">
        <v>0</v>
      </c>
    </row>
    <row r="3733" spans="1:5" ht="15.75" customHeight="1" x14ac:dyDescent="0.25">
      <c r="A3733" s="6" t="s">
        <v>3679</v>
      </c>
      <c r="B3733" s="6" t="str">
        <f ca="1">IFERROR(__xludf.DUMMYFUNCTION("GOOGLETRANSLATE(A3733,""bn"",""en"")"),"Taking a look, the sky god shook the horizon and let out a roar")</f>
        <v>Taking a look, the sky god shook the horizon and let out a roar</v>
      </c>
      <c r="C3733" s="7" t="s">
        <v>6</v>
      </c>
      <c r="D3733" s="7" t="s">
        <v>7</v>
      </c>
      <c r="E3733" s="7">
        <v>0</v>
      </c>
    </row>
    <row r="3734" spans="1:5" ht="15.75" customHeight="1" x14ac:dyDescent="0.25">
      <c r="A3734" s="6" t="s">
        <v>3680</v>
      </c>
      <c r="B3734" s="6" t="str">
        <f ca="1">IFERROR(__xludf.DUMMYFUNCTION("GOOGLETRANSLATE(A3734,""bn"",""en"")"),"Sharif called me today")</f>
        <v>Sharif called me today</v>
      </c>
      <c r="C3734" s="7" t="s">
        <v>6</v>
      </c>
      <c r="D3734" s="7" t="s">
        <v>7</v>
      </c>
      <c r="E3734" s="7">
        <v>0</v>
      </c>
    </row>
    <row r="3735" spans="1:5" ht="15.75" customHeight="1" x14ac:dyDescent="0.25">
      <c r="A3735" s="6" t="s">
        <v>3681</v>
      </c>
      <c r="B3735" s="6" t="str">
        <f ca="1">IFERROR(__xludf.DUMMYFUNCTION("GOOGLETRANSLATE(A3735,""bn"",""en"")"),"He returned home without telling me")</f>
        <v>He returned home without telling me</v>
      </c>
      <c r="C3735" s="7" t="s">
        <v>6</v>
      </c>
      <c r="D3735" s="7" t="s">
        <v>7</v>
      </c>
      <c r="E3735" s="7">
        <v>0</v>
      </c>
    </row>
    <row r="3736" spans="1:5" ht="15.75" customHeight="1" x14ac:dyDescent="0.25">
      <c r="A3736" s="6" t="s">
        <v>400</v>
      </c>
      <c r="B3736" s="6" t="str">
        <f ca="1">IFERROR(__xludf.DUMMYFUNCTION("GOOGLETRANSLATE(A3736,""bn"",""en"")"),"There is no limit to the outburst of shouting")</f>
        <v>There is no limit to the outburst of shouting</v>
      </c>
      <c r="C3736" s="7" t="s">
        <v>6</v>
      </c>
      <c r="D3736" s="7" t="s">
        <v>7</v>
      </c>
      <c r="E3736" s="7">
        <v>0</v>
      </c>
    </row>
    <row r="3737" spans="1:5" ht="15.75" customHeight="1" x14ac:dyDescent="0.25">
      <c r="A3737" s="6" t="s">
        <v>3682</v>
      </c>
      <c r="B3737" s="6" t="str">
        <f ca="1">IFERROR(__xludf.DUMMYFUNCTION("GOOGLETRANSLATE(A3737,""bn"",""en"")"),"Their adventure was a test of their courage, tenacity and resilience")</f>
        <v>Their adventure was a test of their courage, tenacity and resilience</v>
      </c>
      <c r="C3737" s="8" t="s">
        <v>13</v>
      </c>
      <c r="D3737" s="8" t="s">
        <v>14</v>
      </c>
      <c r="E3737" s="8">
        <v>1</v>
      </c>
    </row>
    <row r="3738" spans="1:5" ht="15.75" customHeight="1" x14ac:dyDescent="0.25">
      <c r="A3738" s="6" t="s">
        <v>3683</v>
      </c>
      <c r="B3738" s="6" t="str">
        <f ca="1">IFERROR(__xludf.DUMMYFUNCTION("GOOGLETRANSLATE(A3738,""bn"",""en"")"),"Criminal psychology explores the motivations behind illegal behavior")</f>
        <v>Criminal psychology explores the motivations behind illegal behavior</v>
      </c>
      <c r="C3738" s="8" t="s">
        <v>13</v>
      </c>
      <c r="D3738" s="8" t="s">
        <v>14</v>
      </c>
      <c r="E3738" s="8">
        <v>1</v>
      </c>
    </row>
    <row r="3739" spans="1:5" ht="15.75" customHeight="1" x14ac:dyDescent="0.25">
      <c r="A3739" s="6" t="s">
        <v>3684</v>
      </c>
      <c r="B3739" s="6" t="str">
        <f ca="1">IFERROR(__xludf.DUMMYFUNCTION("GOOGLETRANSLATE(A3739,""bn"",""en"")"),"Subh asked me to pass the book")</f>
        <v>Subh asked me to pass the book</v>
      </c>
      <c r="C3739" s="8" t="s">
        <v>13</v>
      </c>
      <c r="D3739" s="8" t="s">
        <v>14</v>
      </c>
      <c r="E3739" s="8">
        <v>1</v>
      </c>
    </row>
    <row r="3740" spans="1:5" ht="15.75" customHeight="1" x14ac:dyDescent="0.25">
      <c r="A3740" s="6" t="s">
        <v>3685</v>
      </c>
      <c r="B3740" s="6" t="str">
        <f ca="1">IFERROR(__xludf.DUMMYFUNCTION("GOOGLETRANSLATE(A3740,""bn"",""en"")"),"They called for the destruction of nuclear weapons worldwide")</f>
        <v>They called for the destruction of nuclear weapons worldwide</v>
      </c>
      <c r="C3740" s="8" t="s">
        <v>13</v>
      </c>
      <c r="D3740" s="8" t="s">
        <v>14</v>
      </c>
      <c r="E3740" s="8">
        <v>1</v>
      </c>
    </row>
    <row r="3741" spans="1:5" ht="15.75" customHeight="1" x14ac:dyDescent="0.25">
      <c r="A3741" s="6" t="s">
        <v>3686</v>
      </c>
      <c r="B3741" s="6" t="str">
        <f ca="1">IFERROR(__xludf.DUMMYFUNCTION("GOOGLETRANSLATE(A3741,""bn"",""en"")"),"He heard me and said")</f>
        <v>He heard me and said</v>
      </c>
      <c r="C3741" s="8" t="s">
        <v>13</v>
      </c>
      <c r="D3741" s="8" t="s">
        <v>14</v>
      </c>
      <c r="E3741" s="8">
        <v>1</v>
      </c>
    </row>
    <row r="3742" spans="1:5" ht="15.75" customHeight="1" x14ac:dyDescent="0.25">
      <c r="A3742" s="6" t="s">
        <v>3687</v>
      </c>
      <c r="B3742" s="6" t="str">
        <f ca="1">IFERROR(__xludf.DUMMYFUNCTION("GOOGLETRANSLATE(A3742,""bn"",""en"")"),"Rohit played with me")</f>
        <v>Rohit played with me</v>
      </c>
      <c r="C3742" s="7" t="s">
        <v>6</v>
      </c>
      <c r="D3742" s="7" t="s">
        <v>7</v>
      </c>
      <c r="E3742" s="7">
        <v>0</v>
      </c>
    </row>
    <row r="3743" spans="1:5" ht="15.75" customHeight="1" x14ac:dyDescent="0.25">
      <c r="A3743" s="6" t="s">
        <v>3688</v>
      </c>
      <c r="B3743" s="6" t="str">
        <f ca="1">IFERROR(__xludf.DUMMYFUNCTION("GOOGLETRANSLATE(A3743,""bn"",""en"")"),"People often call it shortsightedness etc")</f>
        <v>People often call it shortsightedness etc</v>
      </c>
      <c r="C3743" s="7" t="s">
        <v>6</v>
      </c>
      <c r="D3743" s="7" t="s">
        <v>7</v>
      </c>
      <c r="E3743" s="7">
        <v>0</v>
      </c>
    </row>
    <row r="3744" spans="1:5" ht="15.75" customHeight="1" x14ac:dyDescent="0.25">
      <c r="A3744" s="6" t="s">
        <v>3584</v>
      </c>
      <c r="B3744" s="6" t="str">
        <f ca="1">IFERROR(__xludf.DUMMYFUNCTION("GOOGLETRANSLATE(A3744,""bn"",""en"")"),"On the way to Bangala, old women are more common in Ghats, while young women are more common in Palamau region")</f>
        <v>On the way to Bangala, old women are more common in Ghats, while young women are more common in Palamau region</v>
      </c>
      <c r="C3744" s="7" t="s">
        <v>6</v>
      </c>
      <c r="D3744" s="7" t="s">
        <v>7</v>
      </c>
      <c r="E3744" s="7">
        <v>0</v>
      </c>
    </row>
    <row r="3745" spans="1:5" ht="15.75" customHeight="1" x14ac:dyDescent="0.25">
      <c r="A3745" s="6" t="s">
        <v>3689</v>
      </c>
      <c r="B3745" s="6" t="str">
        <f ca="1">IFERROR(__xludf.DUMMYFUNCTION("GOOGLETRANSLATE(A3745,""bn"",""en"")"),"That's how he became one of the most influential people in my life")</f>
        <v>That's how he became one of the most influential people in my life</v>
      </c>
      <c r="C3745" s="7" t="s">
        <v>6</v>
      </c>
      <c r="D3745" s="7" t="s">
        <v>7</v>
      </c>
      <c r="E3745" s="7">
        <v>0</v>
      </c>
    </row>
    <row r="3746" spans="1:5" ht="15.75" customHeight="1" x14ac:dyDescent="0.25">
      <c r="A3746" s="6" t="s">
        <v>3690</v>
      </c>
      <c r="B3746" s="6" t="str">
        <f ca="1">IFERROR(__xludf.DUMMYFUNCTION("GOOGLETRANSLATE(A3746,""bn"",""en"")"),"We can now say that the extinction of the primitive races in India has long begun.")</f>
        <v>We can now say that the extinction of the primitive races in India has long begun.</v>
      </c>
      <c r="C3746" s="7" t="s">
        <v>6</v>
      </c>
      <c r="D3746" s="7" t="s">
        <v>7</v>
      </c>
      <c r="E3746" s="7">
        <v>0</v>
      </c>
    </row>
    <row r="3747" spans="1:5" ht="15.75" customHeight="1" x14ac:dyDescent="0.25">
      <c r="A3747" s="6" t="s">
        <v>3691</v>
      </c>
      <c r="B3747" s="6" t="str">
        <f ca="1">IFERROR(__xludf.DUMMYFUNCTION("GOOGLETRANSLATE(A3747,""bn"",""en"")"),"I want to play with you")</f>
        <v>I want to play with you</v>
      </c>
      <c r="C3747" s="8" t="s">
        <v>13</v>
      </c>
      <c r="D3747" s="8" t="s">
        <v>14</v>
      </c>
      <c r="E3747" s="8">
        <v>1</v>
      </c>
    </row>
    <row r="3748" spans="1:5" ht="15.75" customHeight="1" x14ac:dyDescent="0.25">
      <c r="A3748" s="6" t="s">
        <v>3692</v>
      </c>
      <c r="B3748" s="6" t="str">
        <f ca="1">IFERROR(__xludf.DUMMYFUNCTION("GOOGLETRANSLATE(A3748,""bn"",""en"")"),"The girl duck was caught")</f>
        <v>The girl duck was caught</v>
      </c>
      <c r="C3748" s="8" t="s">
        <v>13</v>
      </c>
      <c r="D3748" s="8" t="s">
        <v>14</v>
      </c>
      <c r="E3748" s="8">
        <v>1</v>
      </c>
    </row>
    <row r="3749" spans="1:5" ht="15.75" customHeight="1" x14ac:dyDescent="0.25">
      <c r="A3749" s="6" t="s">
        <v>3693</v>
      </c>
      <c r="B3749" s="6" t="str">
        <f ca="1">IFERROR(__xludf.DUMMYFUNCTION("GOOGLETRANSLATE(A3749,""bn"",""en"")"),"Public transport is very convenient for commuting in the city")</f>
        <v>Public transport is very convenient for commuting in the city</v>
      </c>
      <c r="C3749" s="8" t="s">
        <v>13</v>
      </c>
      <c r="D3749" s="8" t="s">
        <v>14</v>
      </c>
      <c r="E3749" s="8">
        <v>1</v>
      </c>
    </row>
    <row r="3750" spans="1:5" ht="15.75" customHeight="1" x14ac:dyDescent="0.25">
      <c r="A3750" s="6" t="s">
        <v>3694</v>
      </c>
      <c r="B3750" s="6" t="str">
        <f ca="1">IFERROR(__xludf.DUMMYFUNCTION("GOOGLETRANSLATE(A3750,""bn"",""en"")"),"From a very young age he loved to draw")</f>
        <v>From a very young age he loved to draw</v>
      </c>
      <c r="C3750" s="8" t="s">
        <v>13</v>
      </c>
      <c r="D3750" s="8" t="s">
        <v>14</v>
      </c>
      <c r="E3750" s="8">
        <v>1</v>
      </c>
    </row>
    <row r="3751" spans="1:5" ht="15.75" customHeight="1" x14ac:dyDescent="0.25">
      <c r="A3751" s="6" t="s">
        <v>743</v>
      </c>
      <c r="B3751" s="6" t="str">
        <f ca="1">IFERROR(__xludf.DUMMYFUNCTION("GOOGLETRANSLATE(A3751,""bn"",""en"")"),"I have very few friends in my personal life")</f>
        <v>I have very few friends in my personal life</v>
      </c>
      <c r="C3751" s="8" t="s">
        <v>13</v>
      </c>
      <c r="D3751" s="8" t="s">
        <v>14</v>
      </c>
      <c r="E3751" s="8">
        <v>1</v>
      </c>
    </row>
    <row r="3752" spans="1:5" ht="15.75" customHeight="1" x14ac:dyDescent="0.25">
      <c r="A3752" s="6" t="s">
        <v>3695</v>
      </c>
      <c r="B3752" s="6" t="str">
        <f ca="1">IFERROR(__xludf.DUMMYFUNCTION("GOOGLETRANSLATE(A3752,""bn"",""en"")"),"It is a stone in a rock formation")</f>
        <v>It is a stone in a rock formation</v>
      </c>
      <c r="C3752" s="7" t="s">
        <v>6</v>
      </c>
      <c r="D3752" s="7" t="s">
        <v>7</v>
      </c>
      <c r="E3752" s="7">
        <v>0</v>
      </c>
    </row>
    <row r="3753" spans="1:5" ht="15.75" customHeight="1" x14ac:dyDescent="0.25">
      <c r="A3753" s="6" t="s">
        <v>3696</v>
      </c>
      <c r="B3753" s="6" t="str">
        <f ca="1">IFERROR(__xludf.DUMMYFUNCTION("GOOGLETRANSLATE(A3753,""bn"",""en"")"),"The gopis told Uddhav to hear what the bird in Kunja said.")</f>
        <v>The gopis told Uddhav to hear what the bird in Kunja said.</v>
      </c>
      <c r="C3753" s="7" t="s">
        <v>6</v>
      </c>
      <c r="D3753" s="7" t="s">
        <v>7</v>
      </c>
      <c r="E3753" s="7">
        <v>0</v>
      </c>
    </row>
    <row r="3754" spans="1:5" ht="15.75" customHeight="1" x14ac:dyDescent="0.25">
      <c r="A3754" s="6" t="s">
        <v>3697</v>
      </c>
      <c r="B3754" s="6" t="str">
        <f ca="1">IFERROR(__xludf.DUMMYFUNCTION("GOOGLETRANSLATE(A3754,""bn"",""en"")"),"Then he hurried across and fell into the dry courtyard who knows how")</f>
        <v>Then he hurried across and fell into the dry courtyard who knows how</v>
      </c>
      <c r="C3754" s="7" t="s">
        <v>6</v>
      </c>
      <c r="D3754" s="7" t="s">
        <v>7</v>
      </c>
      <c r="E3754" s="7">
        <v>0</v>
      </c>
    </row>
    <row r="3755" spans="1:5" ht="15.75" customHeight="1" x14ac:dyDescent="0.25">
      <c r="A3755" s="6" t="s">
        <v>3698</v>
      </c>
      <c r="B3755" s="6" t="str">
        <f ca="1">IFERROR(__xludf.DUMMYFUNCTION("GOOGLETRANSLATE(A3755,""bn"",""en"")"),"His head is wet, his face is muddy, his eyes are red, and he is trembling.")</f>
        <v>His head is wet, his face is muddy, his eyes are red, and he is trembling.</v>
      </c>
      <c r="C3755" s="7" t="s">
        <v>6</v>
      </c>
      <c r="D3755" s="7" t="s">
        <v>7</v>
      </c>
      <c r="E3755" s="7">
        <v>0</v>
      </c>
    </row>
    <row r="3756" spans="1:5" ht="15.75" customHeight="1" x14ac:dyDescent="0.25">
      <c r="A3756" s="6" t="s">
        <v>3699</v>
      </c>
      <c r="B3756" s="6" t="str">
        <f ca="1">IFERROR(__xludf.DUMMYFUNCTION("GOOGLETRANSLATE(A3756,""bn"",""en"")"),"God was kind to Badrul")</f>
        <v>God was kind to Badrul</v>
      </c>
      <c r="C3756" s="7" t="s">
        <v>6</v>
      </c>
      <c r="D3756" s="7" t="s">
        <v>7</v>
      </c>
      <c r="E3756" s="7">
        <v>0</v>
      </c>
    </row>
    <row r="3757" spans="1:5" ht="15.75" customHeight="1" x14ac:dyDescent="0.25">
      <c r="A3757" s="6" t="s">
        <v>3700</v>
      </c>
      <c r="B3757" s="6" t="str">
        <f ca="1">IFERROR(__xludf.DUMMYFUNCTION("GOOGLETRANSLATE(A3757,""bn"",""en"")"),"Most South American countries favor Argentina")</f>
        <v>Most South American countries favor Argentina</v>
      </c>
      <c r="C3757" s="8" t="s">
        <v>13</v>
      </c>
      <c r="D3757" s="8" t="s">
        <v>14</v>
      </c>
      <c r="E3757" s="8">
        <v>1</v>
      </c>
    </row>
    <row r="3758" spans="1:5" ht="15.75" customHeight="1" x14ac:dyDescent="0.25">
      <c r="A3758" s="6" t="s">
        <v>3701</v>
      </c>
      <c r="B3758" s="6" t="str">
        <f ca="1">IFERROR(__xludf.DUMMYFUNCTION("GOOGLETRANSLATE(A3758,""bn"",""en"")"),"Another warship is also under construction")</f>
        <v>Another warship is also under construction</v>
      </c>
      <c r="C3758" s="8" t="s">
        <v>13</v>
      </c>
      <c r="D3758" s="8" t="s">
        <v>14</v>
      </c>
      <c r="E3758" s="8">
        <v>1</v>
      </c>
    </row>
    <row r="3759" spans="1:5" ht="15.75" customHeight="1" x14ac:dyDescent="0.25">
      <c r="A3759" s="6" t="s">
        <v>3702</v>
      </c>
      <c r="B3759" s="6" t="str">
        <f ca="1">IFERROR(__xludf.DUMMYFUNCTION("GOOGLETRANSLATE(A3759,""bn"",""en"")"),"After Kanauj he also organized a similar grand Buddhist Sangeet at Prayag")</f>
        <v>After Kanauj he also organized a similar grand Buddhist Sangeet at Prayag</v>
      </c>
      <c r="C3759" s="8" t="s">
        <v>13</v>
      </c>
      <c r="D3759" s="8" t="s">
        <v>14</v>
      </c>
      <c r="E3759" s="8">
        <v>1</v>
      </c>
    </row>
    <row r="3760" spans="1:5" ht="15.75" customHeight="1" x14ac:dyDescent="0.25">
      <c r="A3760" s="6" t="s">
        <v>3703</v>
      </c>
      <c r="B3760" s="6" t="str">
        <f ca="1">IFERROR(__xludf.DUMMYFUNCTION("GOOGLETRANSLATE(A3760,""bn"",""en"")"),"This type of tree is strong")</f>
        <v>This type of tree is strong</v>
      </c>
      <c r="C3760" s="8" t="s">
        <v>13</v>
      </c>
      <c r="D3760" s="8" t="s">
        <v>14</v>
      </c>
      <c r="E3760" s="8">
        <v>1</v>
      </c>
    </row>
    <row r="3761" spans="1:5" ht="15.75" customHeight="1" x14ac:dyDescent="0.25">
      <c r="A3761" s="6" t="s">
        <v>3704</v>
      </c>
      <c r="B3761" s="6" t="str">
        <f ca="1">IFERROR(__xludf.DUMMYFUNCTION("GOOGLETRANSLATE(A3761,""bn"",""en"")"),"Balance exercises improve stability")</f>
        <v>Balance exercises improve stability</v>
      </c>
      <c r="C3761" s="8" t="s">
        <v>13</v>
      </c>
      <c r="D3761" s="8" t="s">
        <v>14</v>
      </c>
      <c r="E3761" s="8">
        <v>1</v>
      </c>
    </row>
    <row r="3762" spans="1:5" ht="15.75" customHeight="1" x14ac:dyDescent="0.25">
      <c r="A3762" s="6" t="s">
        <v>3705</v>
      </c>
      <c r="B3762" s="6" t="str">
        <f ca="1">IFERROR(__xludf.DUMMYFUNCTION("GOOGLETRANSLATE(A3762,""bn"",""en"")"),"I was not given any leave")</f>
        <v>I was not given any leave</v>
      </c>
      <c r="C3762" s="7" t="s">
        <v>6</v>
      </c>
      <c r="D3762" s="7" t="s">
        <v>7</v>
      </c>
      <c r="E3762" s="7">
        <v>0</v>
      </c>
    </row>
    <row r="3763" spans="1:5" ht="15.75" customHeight="1" x14ac:dyDescent="0.25">
      <c r="A3763" s="6" t="s">
        <v>3706</v>
      </c>
      <c r="B3763" s="6" t="str">
        <f ca="1">IFERROR(__xludf.DUMMYFUNCTION("GOOGLETRANSLATE(A3763,""bn"",""en"")"),"He said that father is not at home")</f>
        <v>He said that father is not at home</v>
      </c>
      <c r="C3763" s="7" t="s">
        <v>6</v>
      </c>
      <c r="D3763" s="7" t="s">
        <v>7</v>
      </c>
      <c r="E3763" s="7">
        <v>0</v>
      </c>
    </row>
    <row r="3764" spans="1:5" ht="15.75" customHeight="1" x14ac:dyDescent="0.25">
      <c r="A3764" s="6" t="s">
        <v>3707</v>
      </c>
      <c r="B3764" s="6" t="str">
        <f ca="1">IFERROR(__xludf.DUMMYFUNCTION("GOOGLETRANSLATE(A3764,""bn"",""en"")"),"The book is very good they said")</f>
        <v>The book is very good they said</v>
      </c>
      <c r="C3764" s="7" t="s">
        <v>6</v>
      </c>
      <c r="D3764" s="7" t="s">
        <v>7</v>
      </c>
      <c r="E3764" s="7">
        <v>0</v>
      </c>
    </row>
    <row r="3765" spans="1:5" ht="15.75" customHeight="1" x14ac:dyDescent="0.25">
      <c r="A3765" s="6" t="s">
        <v>2901</v>
      </c>
      <c r="B3765" s="6" t="str">
        <f ca="1">IFERROR(__xludf.DUMMYFUNCTION("GOOGLETRANSLATE(A3765,""bn"",""en"")"),"After evening he went for a walk in the street")</f>
        <v>After evening he went for a walk in the street</v>
      </c>
      <c r="C3765" s="7" t="s">
        <v>6</v>
      </c>
      <c r="D3765" s="7" t="s">
        <v>7</v>
      </c>
      <c r="E3765" s="7">
        <v>0</v>
      </c>
    </row>
    <row r="3766" spans="1:5" ht="15.75" customHeight="1" x14ac:dyDescent="0.25">
      <c r="A3766" s="6" t="s">
        <v>3708</v>
      </c>
      <c r="B3766" s="6" t="str">
        <f ca="1">IFERROR(__xludf.DUMMYFUNCTION("GOOGLETRANSLATE(A3766,""bn"",""en"")"),"I have some work to do")</f>
        <v>I have some work to do</v>
      </c>
      <c r="C3766" s="7" t="s">
        <v>6</v>
      </c>
      <c r="D3766" s="7" t="s">
        <v>7</v>
      </c>
      <c r="E3766" s="7">
        <v>0</v>
      </c>
    </row>
    <row r="3767" spans="1:5" ht="15.75" customHeight="1" x14ac:dyDescent="0.25">
      <c r="A3767" s="6" t="s">
        <v>3709</v>
      </c>
      <c r="B3767" s="6" t="str">
        <f ca="1">IFERROR(__xludf.DUMMYFUNCTION("GOOGLETRANSLATE(A3767,""bn"",""en"")"),"I love the smell of a new car it's like a fresh start")</f>
        <v>I love the smell of a new car it's like a fresh start</v>
      </c>
      <c r="C3767" s="8" t="s">
        <v>13</v>
      </c>
      <c r="D3767" s="8" t="s">
        <v>14</v>
      </c>
      <c r="E3767" s="8">
        <v>1</v>
      </c>
    </row>
    <row r="3768" spans="1:5" ht="15.75" customHeight="1" x14ac:dyDescent="0.25">
      <c r="A3768" s="6" t="s">
        <v>3710</v>
      </c>
      <c r="B3768" s="6" t="str">
        <f ca="1">IFERROR(__xludf.DUMMYFUNCTION("GOOGLETRANSLATE(A3768,""bn"",""en"")"),"They established a much more structured centralized regime")</f>
        <v>They established a much more structured centralized regime</v>
      </c>
      <c r="C3768" s="8" t="s">
        <v>13</v>
      </c>
      <c r="D3768" s="8" t="s">
        <v>14</v>
      </c>
      <c r="E3768" s="8">
        <v>1</v>
      </c>
    </row>
    <row r="3769" spans="1:5" ht="15.75" customHeight="1" x14ac:dyDescent="0.25">
      <c r="A3769" s="6" t="s">
        <v>3711</v>
      </c>
      <c r="B3769" s="6" t="str">
        <f ca="1">IFERROR(__xludf.DUMMYFUNCTION("GOOGLETRANSLATE(A3769,""bn"",""en"")"),"Three more people were killed that day in Jhilpar")</f>
        <v>Three more people were killed that day in Jhilpar</v>
      </c>
      <c r="C3769" s="8" t="s">
        <v>13</v>
      </c>
      <c r="D3769" s="8" t="s">
        <v>14</v>
      </c>
      <c r="E3769" s="8">
        <v>1</v>
      </c>
    </row>
    <row r="3770" spans="1:5" ht="15.75" customHeight="1" x14ac:dyDescent="0.25">
      <c r="A3770" s="6" t="s">
        <v>3712</v>
      </c>
      <c r="B3770" s="6" t="str">
        <f ca="1">IFERROR(__xludf.DUMMYFUNCTION("GOOGLETRANSLATE(A3770,""bn"",""en"")"),"The transaction is completed using a secure PIN")</f>
        <v>The transaction is completed using a secure PIN</v>
      </c>
      <c r="C3770" s="8" t="s">
        <v>13</v>
      </c>
      <c r="D3770" s="8" t="s">
        <v>14</v>
      </c>
      <c r="E3770" s="8">
        <v>1</v>
      </c>
    </row>
    <row r="3771" spans="1:5" ht="15.75" customHeight="1" x14ac:dyDescent="0.25">
      <c r="A3771" s="6" t="s">
        <v>3713</v>
      </c>
      <c r="B3771" s="6" t="str">
        <f ca="1">IFERROR(__xludf.DUMMYFUNCTION("GOOGLETRANSLATE(A3771,""bn"",""en"")"),"Jealousy of others' accomplishments leads to jealousy")</f>
        <v>Jealousy of others' accomplishments leads to jealousy</v>
      </c>
      <c r="C3771" s="8" t="s">
        <v>13</v>
      </c>
      <c r="D3771" s="8" t="s">
        <v>14</v>
      </c>
      <c r="E3771" s="8">
        <v>1</v>
      </c>
    </row>
    <row r="3772" spans="1:5" ht="15.75" customHeight="1" x14ac:dyDescent="0.25">
      <c r="A3772" s="6" t="s">
        <v>3714</v>
      </c>
      <c r="B3772" s="6" t="str">
        <f ca="1">IFERROR(__xludf.DUMMYFUNCTION("GOOGLETRANSLATE(A3772,""bn"",""en"")"),"Because of my small company of saints, I did not have full rights in their language")</f>
        <v>Because of my small company of saints, I did not have full rights in their language</v>
      </c>
      <c r="C3772" s="7" t="s">
        <v>6</v>
      </c>
      <c r="D3772" s="7" t="s">
        <v>7</v>
      </c>
      <c r="E3772" s="7">
        <v>0</v>
      </c>
    </row>
    <row r="3773" spans="1:5" ht="15.75" customHeight="1" x14ac:dyDescent="0.25">
      <c r="A3773" s="6" t="s">
        <v>3715</v>
      </c>
      <c r="B3773" s="6" t="str">
        <f ca="1">IFERROR(__xludf.DUMMYFUNCTION("GOOGLETRANSLATE(A3773,""bn"",""en"")"),"In disbelief, he said no")</f>
        <v>In disbelief, he said no</v>
      </c>
      <c r="C3773" s="7" t="s">
        <v>6</v>
      </c>
      <c r="D3773" s="7" t="s">
        <v>7</v>
      </c>
      <c r="E3773" s="7">
        <v>0</v>
      </c>
    </row>
    <row r="3774" spans="1:5" ht="15.75" customHeight="1" x14ac:dyDescent="0.25">
      <c r="A3774" s="6" t="s">
        <v>3716</v>
      </c>
      <c r="B3774" s="6" t="str">
        <f ca="1">IFERROR(__xludf.DUMMYFUNCTION("GOOGLETRANSLATE(A3774,""bn"",""en"")"),"When two children appeared for a moment on a roof in the afternoon sun, pretending to play something, his heart grew impatient.")</f>
        <v>When two children appeared for a moment on a roof in the afternoon sun, pretending to play something, his heart grew impatient.</v>
      </c>
      <c r="C3774" s="7" t="s">
        <v>6</v>
      </c>
      <c r="D3774" s="7" t="s">
        <v>7</v>
      </c>
      <c r="E3774" s="7">
        <v>0</v>
      </c>
    </row>
    <row r="3775" spans="1:5" ht="15.75" customHeight="1" x14ac:dyDescent="0.25">
      <c r="A3775" s="6" t="s">
        <v>3717</v>
      </c>
      <c r="B3775" s="6" t="str">
        <f ca="1">IFERROR(__xludf.DUMMYFUNCTION("GOOGLETRANSLATE(A3775,""bn"",""en"")"),"All of them are young women, all of them are wearing small clothes around their waists, and all of them are bare chested")</f>
        <v>All of them are young women, all of them are wearing small clothes around their waists, and all of them are bare chested</v>
      </c>
      <c r="C3775" s="7" t="s">
        <v>6</v>
      </c>
      <c r="D3775" s="7" t="s">
        <v>7</v>
      </c>
      <c r="E3775" s="7">
        <v>0</v>
      </c>
    </row>
    <row r="3776" spans="1:5" ht="15.75" customHeight="1" x14ac:dyDescent="0.25">
      <c r="A3776" s="6" t="s">
        <v>3718</v>
      </c>
      <c r="B3776" s="6" t="str">
        <f ca="1">IFERROR(__xludf.DUMMYFUNCTION("GOOGLETRANSLATE(A3776,""bn"",""en"")"),"Sumi I was walking on the road")</f>
        <v>Sumi I was walking on the road</v>
      </c>
      <c r="C3776" s="7" t="s">
        <v>6</v>
      </c>
      <c r="D3776" s="7" t="s">
        <v>7</v>
      </c>
      <c r="E3776" s="7">
        <v>0</v>
      </c>
    </row>
    <row r="3777" spans="1:5" ht="15.75" customHeight="1" x14ac:dyDescent="0.25">
      <c r="A3777" s="6" t="s">
        <v>3719</v>
      </c>
      <c r="B3777" s="6" t="str">
        <f ca="1">IFERROR(__xludf.DUMMYFUNCTION("GOOGLETRANSLATE(A3777,""bn"",""en"")"),"The Five Pillars of Islam outline the basic acts of worship for Muslims")</f>
        <v>The Five Pillars of Islam outline the basic acts of worship for Muslims</v>
      </c>
      <c r="C3777" s="8" t="s">
        <v>13</v>
      </c>
      <c r="D3777" s="8" t="s">
        <v>14</v>
      </c>
      <c r="E3777" s="8">
        <v>1</v>
      </c>
    </row>
    <row r="3778" spans="1:5" ht="15.75" customHeight="1" x14ac:dyDescent="0.25">
      <c r="A3778" s="6" t="s">
        <v>3720</v>
      </c>
      <c r="B3778" s="6" t="str">
        <f ca="1">IFERROR(__xludf.DUMMYFUNCTION("GOOGLETRANSLATE(A3778,""bn"",""en"")"),"The Greeks worshiped him as the hero of the god Mort")</f>
        <v>The Greeks worshiped him as the hero of the god Mort</v>
      </c>
      <c r="C3778" s="8" t="s">
        <v>13</v>
      </c>
      <c r="D3778" s="8" t="s">
        <v>14</v>
      </c>
      <c r="E3778" s="8">
        <v>1</v>
      </c>
    </row>
    <row r="3779" spans="1:5" ht="15.75" customHeight="1" x14ac:dyDescent="0.25">
      <c r="A3779" s="6" t="s">
        <v>3721</v>
      </c>
      <c r="B3779" s="6" t="str">
        <f ca="1">IFERROR(__xludf.DUMMYFUNCTION("GOOGLETRANSLATE(A3779,""bn"",""en"")"),"It looks like an umbrella")</f>
        <v>It looks like an umbrella</v>
      </c>
      <c r="C3779" s="8" t="s">
        <v>13</v>
      </c>
      <c r="D3779" s="8" t="s">
        <v>14</v>
      </c>
      <c r="E3779" s="8">
        <v>1</v>
      </c>
    </row>
    <row r="3780" spans="1:5" ht="15.75" customHeight="1" x14ac:dyDescent="0.25">
      <c r="A3780" s="6" t="s">
        <v>3722</v>
      </c>
      <c r="B3780" s="6" t="str">
        <f ca="1">IFERROR(__xludf.DUMMYFUNCTION("GOOGLETRANSLATE(A3780,""bn"",""en"")"),"Plant pathology studies diseases that affect crops and develops disease management strategies")</f>
        <v>Plant pathology studies diseases that affect crops and develops disease management strategies</v>
      </c>
      <c r="C3780" s="8" t="s">
        <v>13</v>
      </c>
      <c r="D3780" s="8" t="s">
        <v>14</v>
      </c>
      <c r="E3780" s="8">
        <v>1</v>
      </c>
    </row>
    <row r="3781" spans="1:5" ht="15.75" customHeight="1" x14ac:dyDescent="0.25">
      <c r="A3781" s="6" t="s">
        <v>3723</v>
      </c>
      <c r="B3781" s="6" t="str">
        <f ca="1">IFERROR(__xludf.DUMMYFUNCTION("GOOGLETRANSLATE(A3781,""bn"",""en"")"),"Giant redwoods reach for the sky with their ancient branches extending like fingers to the heavens")</f>
        <v>Giant redwoods reach for the sky with their ancient branches extending like fingers to the heavens</v>
      </c>
      <c r="C3781" s="8" t="s">
        <v>13</v>
      </c>
      <c r="D3781" s="8" t="s">
        <v>14</v>
      </c>
      <c r="E3781" s="8">
        <v>1</v>
      </c>
    </row>
    <row r="3782" spans="1:5" ht="15.75" customHeight="1" x14ac:dyDescent="0.25">
      <c r="A3782" s="6" t="s">
        <v>3724</v>
      </c>
      <c r="B3782" s="6" t="str">
        <f ca="1">IFERROR(__xludf.DUMMYFUNCTION("GOOGLETRANSLATE(A3782,""bn"",""en"")"),"For a moment the crooked eyes fixedly looked at Haru and disappeared between his legs in the banyan grove.")</f>
        <v>For a moment the crooked eyes fixedly looked at Haru and disappeared between his legs in the banyan grove.</v>
      </c>
      <c r="C3782" s="7" t="s">
        <v>6</v>
      </c>
      <c r="D3782" s="7" t="s">
        <v>7</v>
      </c>
      <c r="E3782" s="7">
        <v>0</v>
      </c>
    </row>
    <row r="3783" spans="1:5" ht="15.75" customHeight="1" x14ac:dyDescent="0.25">
      <c r="A3783" s="6" t="s">
        <v>3725</v>
      </c>
      <c r="B3783" s="6" t="str">
        <f ca="1">IFERROR(__xludf.DUMMYFUNCTION("GOOGLETRANSLATE(A3783,""bn"",""en"")"),"His long slender fingers were like flames of fire")</f>
        <v>His long slender fingers were like flames of fire</v>
      </c>
      <c r="C3783" s="7" t="s">
        <v>6</v>
      </c>
      <c r="D3783" s="7" t="s">
        <v>7</v>
      </c>
      <c r="E3783" s="7">
        <v>0</v>
      </c>
    </row>
    <row r="3784" spans="1:5" ht="15.75" customHeight="1" x14ac:dyDescent="0.25">
      <c r="A3784" s="6" t="s">
        <v>3726</v>
      </c>
      <c r="B3784" s="6" t="str">
        <f ca="1">IFERROR(__xludf.DUMMYFUNCTION("GOOGLETRANSLATE(A3784,""bn"",""en"")"),"Rai Bahadur sat down in despair as he witnessed the poisonous results of the current education in his own children")</f>
        <v>Rai Bahadur sat down in despair as he witnessed the poisonous results of the current education in his own children</v>
      </c>
      <c r="C3784" s="7" t="s">
        <v>6</v>
      </c>
      <c r="D3784" s="7" t="s">
        <v>7</v>
      </c>
      <c r="E3784" s="7">
        <v>0</v>
      </c>
    </row>
    <row r="3785" spans="1:5" ht="15.75" customHeight="1" x14ac:dyDescent="0.25">
      <c r="A3785" s="6" t="s">
        <v>3727</v>
      </c>
      <c r="B3785" s="6" t="str">
        <f ca="1">IFERROR(__xludf.DUMMYFUNCTION("GOOGLETRANSLATE(A3785,""bn"",""en"")"),"Why I never thought that there is nothing new in the mountains")</f>
        <v>Why I never thought that there is nothing new in the mountains</v>
      </c>
      <c r="C3785" s="7" t="s">
        <v>6</v>
      </c>
      <c r="D3785" s="7" t="s">
        <v>7</v>
      </c>
      <c r="E3785" s="7">
        <v>0</v>
      </c>
    </row>
    <row r="3786" spans="1:5" ht="15.75" customHeight="1" x14ac:dyDescent="0.25">
      <c r="A3786" s="6" t="s">
        <v>3728</v>
      </c>
      <c r="B3786" s="6" t="str">
        <f ca="1">IFERROR(__xludf.DUMMYFUNCTION("GOOGLETRANSLATE(A3786,""bn"",""en"")"),"Sometimes I have to score a big goal and I have to shoot others, so I hesitate one by one")</f>
        <v>Sometimes I have to score a big goal and I have to shoot others, so I hesitate one by one</v>
      </c>
      <c r="C3786" s="7" t="s">
        <v>6</v>
      </c>
      <c r="D3786" s="7" t="s">
        <v>7</v>
      </c>
      <c r="E3786" s="7">
        <v>0</v>
      </c>
    </row>
    <row r="3787" spans="1:5" ht="15.75" customHeight="1" x14ac:dyDescent="0.25">
      <c r="A3787" s="6" t="s">
        <v>3729</v>
      </c>
      <c r="B3787" s="6" t="str">
        <f ca="1">IFERROR(__xludf.DUMMYFUNCTION("GOOGLETRANSLATE(A3787,""bn"",""en"")"),"Consistency leads to lasting progress")</f>
        <v>Consistency leads to lasting progress</v>
      </c>
      <c r="C3787" s="8" t="s">
        <v>13</v>
      </c>
      <c r="D3787" s="8" t="s">
        <v>14</v>
      </c>
      <c r="E3787" s="8">
        <v>1</v>
      </c>
    </row>
    <row r="3788" spans="1:5" ht="15.75" customHeight="1" x14ac:dyDescent="0.25">
      <c r="A3788" s="6" t="s">
        <v>3730</v>
      </c>
      <c r="B3788" s="6" t="str">
        <f ca="1">IFERROR(__xludf.DUMMYFUNCTION("GOOGLETRANSLATE(A3788,""bn"",""en"")"),"I will remember today's story")</f>
        <v>I will remember today's story</v>
      </c>
      <c r="C3788" s="8" t="s">
        <v>13</v>
      </c>
      <c r="D3788" s="8" t="s">
        <v>14</v>
      </c>
      <c r="E3788" s="8">
        <v>1</v>
      </c>
    </row>
    <row r="3789" spans="1:5" ht="15.75" customHeight="1" x14ac:dyDescent="0.25">
      <c r="A3789" s="6" t="s">
        <v>3731</v>
      </c>
      <c r="B3789" s="6" t="str">
        <f ca="1">IFERROR(__xludf.DUMMYFUNCTION("GOOGLETRANSLATE(A3789,""bn"",""en"")"),"Carpeting the forest floor was a thick layer of moss softening each step")</f>
        <v>Carpeting the forest floor was a thick layer of moss softening each step</v>
      </c>
      <c r="C3789" s="8" t="s">
        <v>13</v>
      </c>
      <c r="D3789" s="8" t="s">
        <v>14</v>
      </c>
      <c r="E3789" s="8">
        <v>1</v>
      </c>
    </row>
    <row r="3790" spans="1:5" ht="15.75" customHeight="1" x14ac:dyDescent="0.25">
      <c r="A3790" s="6" t="s">
        <v>3732</v>
      </c>
      <c r="B3790" s="6" t="str">
        <f ca="1">IFERROR(__xludf.DUMMYFUNCTION("GOOGLETRANSLATE(A3790,""bn"",""en"")"),"Educational interventions targeting at-risk student populations")</f>
        <v>Educational interventions targeting at-risk student populations</v>
      </c>
      <c r="C3790" s="8" t="s">
        <v>13</v>
      </c>
      <c r="D3790" s="8" t="s">
        <v>14</v>
      </c>
      <c r="E3790" s="8">
        <v>1</v>
      </c>
    </row>
    <row r="3791" spans="1:5" ht="15.75" customHeight="1" x14ac:dyDescent="0.25">
      <c r="A3791" s="6" t="s">
        <v>3733</v>
      </c>
      <c r="B3791" s="6" t="str">
        <f ca="1">IFERROR(__xludf.DUMMYFUNCTION("GOOGLETRANSLATE(A3791,""bn"",""en"")"),"Criminal justice reform seeks to improve the effectiveness of justice in the system")</f>
        <v>Criminal justice reform seeks to improve the effectiveness of justice in the system</v>
      </c>
      <c r="C3791" s="8" t="s">
        <v>13</v>
      </c>
      <c r="D3791" s="8" t="s">
        <v>14</v>
      </c>
      <c r="E3791" s="8">
        <v>1</v>
      </c>
    </row>
    <row r="3792" spans="1:5" ht="15.75" customHeight="1" x14ac:dyDescent="0.25">
      <c r="A3792" s="6" t="s">
        <v>3734</v>
      </c>
      <c r="B3792" s="6" t="str">
        <f ca="1">IFERROR(__xludf.DUMMYFUNCTION("GOOGLETRANSLATE(A3792,""bn"",""en"")"),"You talk to my sand for my sake")</f>
        <v>You talk to my sand for my sake</v>
      </c>
      <c r="C3792" s="7" t="s">
        <v>6</v>
      </c>
      <c r="D3792" s="7" t="s">
        <v>7</v>
      </c>
      <c r="E3792" s="7">
        <v>0</v>
      </c>
    </row>
    <row r="3793" spans="1:5" ht="15.75" customHeight="1" x14ac:dyDescent="0.25">
      <c r="A3793" s="6" t="s">
        <v>3735</v>
      </c>
      <c r="B3793" s="6" t="str">
        <f ca="1">IFERROR(__xludf.DUMMYFUNCTION("GOOGLETRANSLATE(A3793,""bn"",""en"")"),"Let's talk about a day")</f>
        <v>Let's talk about a day</v>
      </c>
      <c r="C3793" s="7" t="s">
        <v>6</v>
      </c>
      <c r="D3793" s="7" t="s">
        <v>7</v>
      </c>
      <c r="E3793" s="7">
        <v>0</v>
      </c>
    </row>
    <row r="3794" spans="1:5" ht="15.75" customHeight="1" x14ac:dyDescent="0.25">
      <c r="A3794" s="6" t="s">
        <v>3736</v>
      </c>
      <c r="B3794" s="6" t="str">
        <f ca="1">IFERROR(__xludf.DUMMYFUNCTION("GOOGLETRANSLATE(A3794,""bn"",""en"")"),"Bullock cart wheels cause the most destruction on the road")</f>
        <v>Bullock cart wheels cause the most destruction on the road</v>
      </c>
      <c r="C3794" s="7" t="s">
        <v>6</v>
      </c>
      <c r="D3794" s="7" t="s">
        <v>7</v>
      </c>
      <c r="E3794" s="7">
        <v>0</v>
      </c>
    </row>
    <row r="3795" spans="1:5" ht="15.75" customHeight="1" x14ac:dyDescent="0.25">
      <c r="A3795" s="6" t="s">
        <v>3737</v>
      </c>
      <c r="B3795" s="6" t="str">
        <f ca="1">IFERROR(__xludf.DUMMYFUNCTION("GOOGLETRANSLATE(A3795,""bn"",""en"")"),"I wanted to call Baul and wrote the song of this hedgehog")</f>
        <v>I wanted to call Baul and wrote the song of this hedgehog</v>
      </c>
      <c r="C3795" s="7" t="s">
        <v>6</v>
      </c>
      <c r="D3795" s="7" t="s">
        <v>7</v>
      </c>
      <c r="E3795" s="7">
        <v>0</v>
      </c>
    </row>
    <row r="3796" spans="1:5" ht="15.75" customHeight="1" x14ac:dyDescent="0.25">
      <c r="A3796" s="6" t="s">
        <v>3738</v>
      </c>
      <c r="B3796" s="6" t="str">
        <f ca="1">IFERROR(__xludf.DUMMYFUNCTION("GOOGLETRANSLATE(A3796,""bn"",""en"")"),"He could not understand Haru's immortality for so long")</f>
        <v>He could not understand Haru's immortality for so long</v>
      </c>
      <c r="C3796" s="7" t="s">
        <v>6</v>
      </c>
      <c r="D3796" s="7" t="s">
        <v>7</v>
      </c>
      <c r="E3796" s="7">
        <v>0</v>
      </c>
    </row>
    <row r="3797" spans="1:5" ht="15.75" customHeight="1" x14ac:dyDescent="0.25">
      <c r="A3797" s="6" t="s">
        <v>3739</v>
      </c>
      <c r="B3797" s="6" t="str">
        <f ca="1">IFERROR(__xludf.DUMMYFUNCTION("GOOGLETRANSLATE(A3797,""bn"",""en"")"),"Experiencing rejection from job opportunities brings frustration")</f>
        <v>Experiencing rejection from job opportunities brings frustration</v>
      </c>
      <c r="C3797" s="8" t="s">
        <v>13</v>
      </c>
      <c r="D3797" s="8" t="s">
        <v>14</v>
      </c>
      <c r="E3797" s="8">
        <v>1</v>
      </c>
    </row>
    <row r="3798" spans="1:5" ht="15.75" customHeight="1" x14ac:dyDescent="0.25">
      <c r="A3798" s="6" t="s">
        <v>3740</v>
      </c>
      <c r="B3798" s="6" t="str">
        <f ca="1">IFERROR(__xludf.DUMMYFUNCTION("GOOGLETRANSLATE(A3798,""bn"",""en"")"),"Investing in yourself through educational skill development can lead to higher earning potential")</f>
        <v>Investing in yourself through educational skill development can lead to higher earning potential</v>
      </c>
      <c r="C3798" s="8" t="s">
        <v>13</v>
      </c>
      <c r="D3798" s="8" t="s">
        <v>14</v>
      </c>
      <c r="E3798" s="8">
        <v>1</v>
      </c>
    </row>
    <row r="3799" spans="1:5" ht="15.75" customHeight="1" x14ac:dyDescent="0.25">
      <c r="A3799" s="6" t="s">
        <v>3741</v>
      </c>
      <c r="B3799" s="6" t="str">
        <f ca="1">IFERROR(__xludf.DUMMYFUNCTION("GOOGLETRANSLATE(A3799,""bn"",""en"")"),"Embracing vulnerability allows for deeper connections with others")</f>
        <v>Embracing vulnerability allows for deeper connections with others</v>
      </c>
      <c r="C3799" s="8" t="s">
        <v>13</v>
      </c>
      <c r="D3799" s="8" t="s">
        <v>14</v>
      </c>
      <c r="E3799" s="8">
        <v>1</v>
      </c>
    </row>
    <row r="3800" spans="1:5" ht="15.75" customHeight="1" x14ac:dyDescent="0.25">
      <c r="A3800" s="6" t="s">
        <v>3742</v>
      </c>
      <c r="B3800" s="6" t="str">
        <f ca="1">IFERROR(__xludf.DUMMYFUNCTION("GOOGLETRANSLATE(A3800,""bn"",""en"")"),"The image of steaming rice is not going away")</f>
        <v>The image of steaming rice is not going away</v>
      </c>
      <c r="C3800" s="8" t="s">
        <v>13</v>
      </c>
      <c r="D3800" s="8" t="s">
        <v>14</v>
      </c>
      <c r="E3800" s="8">
        <v>1</v>
      </c>
    </row>
    <row r="3801" spans="1:5" ht="15.75" customHeight="1" x14ac:dyDescent="0.25">
      <c r="A3801" s="6" t="s">
        <v>3743</v>
      </c>
      <c r="B3801" s="6" t="str">
        <f ca="1">IFERROR(__xludf.DUMMYFUNCTION("GOOGLETRANSLATE(A3801,""bn"",""en"")"),"Provide your signature to authorize the transaction")</f>
        <v>Provide your signature to authorize the transaction</v>
      </c>
      <c r="C3801" s="8" t="s">
        <v>13</v>
      </c>
      <c r="D3801" s="8" t="s">
        <v>14</v>
      </c>
      <c r="E3801" s="8">
        <v>1</v>
      </c>
    </row>
    <row r="3802" spans="1:5" ht="15.75" customHeight="1" x14ac:dyDescent="0.25">
      <c r="A3802" s="6" t="s">
        <v>3744</v>
      </c>
      <c r="B3802" s="6" t="str">
        <f ca="1">IFERROR(__xludf.DUMMYFUNCTION("GOOGLETRANSLATE(A3802,""bn"",""en"")"),"As much as I know you, they don't know his CK")</f>
        <v>As much as I know you, they don't know his CK</v>
      </c>
      <c r="C3802" s="7" t="s">
        <v>6</v>
      </c>
      <c r="D3802" s="7" t="s">
        <v>7</v>
      </c>
      <c r="E3802" s="7">
        <v>0</v>
      </c>
    </row>
    <row r="3803" spans="1:5" ht="15.75" customHeight="1" x14ac:dyDescent="0.25">
      <c r="A3803" s="6" t="s">
        <v>3745</v>
      </c>
      <c r="B3803" s="6" t="str">
        <f ca="1">IFERROR(__xludf.DUMMYFUNCTION("GOOGLETRANSLATE(A3803,""bn"",""en"")"),"As soon as the possibility of an embarrassing accident occurred to him, he became anxious to hear what was inside.")</f>
        <v>As soon as the possibility of an embarrassing accident occurred to him, he became anxious to hear what was inside.</v>
      </c>
      <c r="C3803" s="7" t="s">
        <v>6</v>
      </c>
      <c r="D3803" s="7" t="s">
        <v>7</v>
      </c>
      <c r="E3803" s="7">
        <v>0</v>
      </c>
    </row>
    <row r="3804" spans="1:5" ht="15.75" customHeight="1" x14ac:dyDescent="0.25">
      <c r="A3804" s="6" t="s">
        <v>3746</v>
      </c>
      <c r="B3804" s="6" t="str">
        <f ca="1">IFERROR(__xludf.DUMMYFUNCTION("GOOGLETRANSLATE(A3804,""bn"",""en"")"),"The indigenous people there are gradually disappearing because of which nothing is felt")</f>
        <v>The indigenous people there are gradually disappearing because of which nothing is felt</v>
      </c>
      <c r="C3804" s="7" t="s">
        <v>6</v>
      </c>
      <c r="D3804" s="7" t="s">
        <v>7</v>
      </c>
      <c r="E3804" s="7">
        <v>0</v>
      </c>
    </row>
    <row r="3805" spans="1:5" ht="15.75" customHeight="1" x14ac:dyDescent="0.25">
      <c r="A3805" s="6" t="s">
        <v>3747</v>
      </c>
      <c r="B3805" s="6" t="str">
        <f ca="1">IFERROR(__xludf.DUMMYFUNCTION("GOOGLETRANSLATE(A3805,""bn"",""en"")"),"Rafiq Shaun went to play volleyball")</f>
        <v>Rafiq Shaun went to play volleyball</v>
      </c>
      <c r="C3805" s="7" t="s">
        <v>6</v>
      </c>
      <c r="D3805" s="7" t="s">
        <v>7</v>
      </c>
      <c r="E3805" s="7">
        <v>0</v>
      </c>
    </row>
    <row r="3806" spans="1:5" ht="15.75" customHeight="1" x14ac:dyDescent="0.25">
      <c r="A3806" s="6" t="s">
        <v>3748</v>
      </c>
      <c r="B3806" s="6" t="str">
        <f ca="1">IFERROR(__xludf.DUMMYFUNCTION("GOOGLETRANSLATE(A3806,""bn"",""en"")"),"There are no palm trees at all, only shalban and other wild trees")</f>
        <v>There are no palm trees at all, only shalban and other wild trees</v>
      </c>
      <c r="C3806" s="7" t="s">
        <v>6</v>
      </c>
      <c r="D3806" s="7" t="s">
        <v>7</v>
      </c>
      <c r="E3806" s="7">
        <v>0</v>
      </c>
    </row>
    <row r="3807" spans="1:5" ht="15.75" customHeight="1" x14ac:dyDescent="0.25">
      <c r="A3807" s="6" t="s">
        <v>3749</v>
      </c>
      <c r="B3807" s="6" t="str">
        <f ca="1">IFERROR(__xludf.DUMMYFUNCTION("GOOGLETRANSLATE(A3807,""bn"",""en"")"),"Find balance in all areas of your life Prioritize what is important to you")</f>
        <v>Find balance in all areas of your life Prioritize what is important to you</v>
      </c>
      <c r="C3807" s="8" t="s">
        <v>13</v>
      </c>
      <c r="D3807" s="8" t="s">
        <v>14</v>
      </c>
      <c r="E3807" s="8">
        <v>1</v>
      </c>
    </row>
    <row r="3808" spans="1:5" ht="15.75" customHeight="1" x14ac:dyDescent="0.25">
      <c r="A3808" s="6" t="s">
        <v>3750</v>
      </c>
      <c r="B3808" s="6" t="str">
        <f ca="1">IFERROR(__xludf.DUMMYFUNCTION("GOOGLETRANSLATE(A3808,""bn"",""en"")"),"He was an attacking right wing midfielder")</f>
        <v>He was an attacking right wing midfielder</v>
      </c>
      <c r="C3808" s="8" t="s">
        <v>13</v>
      </c>
      <c r="D3808" s="8" t="s">
        <v>14</v>
      </c>
      <c r="E3808" s="8">
        <v>1</v>
      </c>
    </row>
    <row r="3809" spans="1:5" ht="15.75" customHeight="1" x14ac:dyDescent="0.25">
      <c r="A3809" s="6" t="s">
        <v>3751</v>
      </c>
      <c r="B3809" s="6" t="str">
        <f ca="1">IFERROR(__xludf.DUMMYFUNCTION("GOOGLETRANSLATE(A3809,""bn"",""en"")"),"A criminal conspiracy involves several persons working together to commit a crime")</f>
        <v>A criminal conspiracy involves several persons working together to commit a crime</v>
      </c>
      <c r="C3809" s="8" t="s">
        <v>13</v>
      </c>
      <c r="D3809" s="8" t="s">
        <v>14</v>
      </c>
      <c r="E3809" s="8">
        <v>1</v>
      </c>
    </row>
    <row r="3810" spans="1:5" ht="15.75" customHeight="1" x14ac:dyDescent="0.25">
      <c r="A3810" s="6" t="s">
        <v>3752</v>
      </c>
      <c r="B3810" s="6" t="str">
        <f ca="1">IFERROR(__xludf.DUMMYFUNCTION("GOOGLETRANSLATE(A3810,""bn"",""en"")"),"Today's topic of contention is bathroom spills")</f>
        <v>Today's topic of contention is bathroom spills</v>
      </c>
      <c r="C3810" s="8" t="s">
        <v>13</v>
      </c>
      <c r="D3810" s="8" t="s">
        <v>14</v>
      </c>
      <c r="E3810" s="8">
        <v>1</v>
      </c>
    </row>
    <row r="3811" spans="1:5" ht="15.75" customHeight="1" x14ac:dyDescent="0.25">
      <c r="A3811" s="6" t="s">
        <v>3753</v>
      </c>
      <c r="B3811" s="6" t="str">
        <f ca="1">IFERROR(__xludf.DUMMYFUNCTION("GOOGLETRANSLATE(A3811,""bn"",""en"")"),"Distance education expands access to education especially in remote areas")</f>
        <v>Distance education expands access to education especially in remote areas</v>
      </c>
      <c r="C3811" s="8" t="s">
        <v>13</v>
      </c>
      <c r="D3811" s="8" t="s">
        <v>14</v>
      </c>
      <c r="E3811" s="8">
        <v>1</v>
      </c>
    </row>
    <row r="3812" spans="1:5" ht="15.75" customHeight="1" x14ac:dyDescent="0.25">
      <c r="A3812" s="6" t="s">
        <v>3754</v>
      </c>
      <c r="B3812" s="6" t="str">
        <f ca="1">IFERROR(__xludf.DUMMYFUNCTION("GOOGLETRANSLATE(A3812,""bn"",""en"")"),"Where was that melody hidden in the heart of my heart?")</f>
        <v>Where was that melody hidden in the heart of my heart?</v>
      </c>
      <c r="C3812" s="7" t="s">
        <v>6</v>
      </c>
      <c r="D3812" s="7" t="s">
        <v>7</v>
      </c>
      <c r="E3812" s="7">
        <v>0</v>
      </c>
    </row>
    <row r="3813" spans="1:5" ht="15.75" customHeight="1" x14ac:dyDescent="0.25">
      <c r="A3813" s="6" t="s">
        <v>3755</v>
      </c>
      <c r="B3813" s="6" t="str">
        <f ca="1">IFERROR(__xludf.DUMMYFUNCTION("GOOGLETRANSLATE(A3813,""bn"",""en"")"),"He who does not understand the danger is brave")</f>
        <v>He who does not understand the danger is brave</v>
      </c>
      <c r="C3813" s="7" t="s">
        <v>6</v>
      </c>
      <c r="D3813" s="7" t="s">
        <v>7</v>
      </c>
      <c r="E3813" s="7">
        <v>0</v>
      </c>
    </row>
    <row r="3814" spans="1:5" ht="15.75" customHeight="1" x14ac:dyDescent="0.25">
      <c r="A3814" s="6" t="s">
        <v>3756</v>
      </c>
      <c r="B3814" s="6" t="str">
        <f ca="1">IFERROR(__xludf.DUMMYFUNCTION("GOOGLETRANSLATE(A3814,""bn"",""en"")"),"They did not notice it")</f>
        <v>They did not notice it</v>
      </c>
      <c r="C3814" s="7" t="s">
        <v>6</v>
      </c>
      <c r="D3814" s="7" t="s">
        <v>7</v>
      </c>
      <c r="E3814" s="7">
        <v>0</v>
      </c>
    </row>
    <row r="3815" spans="1:5" ht="15.75" customHeight="1" x14ac:dyDescent="0.25">
      <c r="A3815" s="6" t="s">
        <v>3757</v>
      </c>
      <c r="B3815" s="6" t="str">
        <f ca="1">IFERROR(__xludf.DUMMYFUNCTION("GOOGLETRANSLATE(A3815,""bn"",""en"")"),"Why doesn't the wife die by strangulation")</f>
        <v>Why doesn't the wife die by strangulation</v>
      </c>
      <c r="C3815" s="7" t="s">
        <v>6</v>
      </c>
      <c r="D3815" s="7" t="s">
        <v>7</v>
      </c>
      <c r="E3815" s="7">
        <v>0</v>
      </c>
    </row>
    <row r="3816" spans="1:5" ht="15.75" customHeight="1" x14ac:dyDescent="0.25">
      <c r="A3816" s="6" t="s">
        <v>3758</v>
      </c>
      <c r="B3816" s="6" t="str">
        <f ca="1">IFERROR(__xludf.DUMMYFUNCTION("GOOGLETRANSLATE(A3816,""bn"",""en"")"),"There are about forty young women about ten times")</f>
        <v>There are about forty young women about ten times</v>
      </c>
      <c r="C3816" s="7" t="s">
        <v>6</v>
      </c>
      <c r="D3816" s="7" t="s">
        <v>7</v>
      </c>
      <c r="E3816" s="7">
        <v>0</v>
      </c>
    </row>
    <row r="3817" spans="1:5" ht="15.75" customHeight="1" x14ac:dyDescent="0.25">
      <c r="A3817" s="6" t="s">
        <v>3759</v>
      </c>
      <c r="B3817" s="6" t="str">
        <f ca="1">IFERROR(__xludf.DUMMYFUNCTION("GOOGLETRANSLATE(A3817,""bn"",""en"")"),"Rafi Neha went to play football")</f>
        <v>Rafi Neha went to play football</v>
      </c>
      <c r="C3817" s="8" t="s">
        <v>13</v>
      </c>
      <c r="D3817" s="8" t="s">
        <v>14</v>
      </c>
      <c r="E3817" s="8">
        <v>1</v>
      </c>
    </row>
    <row r="3818" spans="1:5" ht="15.75" customHeight="1" x14ac:dyDescent="0.25">
      <c r="A3818" s="6" t="s">
        <v>3760</v>
      </c>
      <c r="B3818" s="6" t="str">
        <f ca="1">IFERROR(__xludf.DUMMYFUNCTION("GOOGLETRANSLATE(A3818,""bn"",""en"")"),"Nawab Ahsanullah fell ill due to bereavement")</f>
        <v>Nawab Ahsanullah fell ill due to bereavement</v>
      </c>
      <c r="C3818" s="8" t="s">
        <v>13</v>
      </c>
      <c r="D3818" s="8" t="s">
        <v>14</v>
      </c>
      <c r="E3818" s="8">
        <v>1</v>
      </c>
    </row>
    <row r="3819" spans="1:5" ht="15.75" customHeight="1" x14ac:dyDescent="0.25">
      <c r="A3819" s="6" t="s">
        <v>3761</v>
      </c>
      <c r="B3819" s="6" t="str">
        <f ca="1">IFERROR(__xludf.DUMMYFUNCTION("GOOGLETRANSLATE(A3819,""bn"",""en"")"),"Across the scorching desert they battled dehydration exhaustion under the unrelenting sun")</f>
        <v>Across the scorching desert they battled dehydration exhaustion under the unrelenting sun</v>
      </c>
      <c r="C3819" s="8" t="s">
        <v>13</v>
      </c>
      <c r="D3819" s="8" t="s">
        <v>14</v>
      </c>
      <c r="E3819" s="8">
        <v>1</v>
      </c>
    </row>
    <row r="3820" spans="1:5" ht="15.75" customHeight="1" x14ac:dyDescent="0.25">
      <c r="A3820" s="6" t="s">
        <v>3762</v>
      </c>
      <c r="B3820" s="6" t="str">
        <f ca="1">IFERROR(__xludf.DUMMYFUNCTION("GOOGLETRANSLATE(A3820,""bn"",""en"")"),"I woke up early in the morning")</f>
        <v>I woke up early in the morning</v>
      </c>
      <c r="C3820" s="8" t="s">
        <v>13</v>
      </c>
      <c r="D3820" s="8" t="s">
        <v>14</v>
      </c>
      <c r="E3820" s="8">
        <v>1</v>
      </c>
    </row>
    <row r="3821" spans="1:5" ht="15.75" customHeight="1" x14ac:dyDescent="0.25">
      <c r="A3821" s="6" t="s">
        <v>3763</v>
      </c>
      <c r="B3821" s="6" t="str">
        <f ca="1">IFERROR(__xludf.DUMMYFUNCTION("GOOGLETRANSLATE(A3821,""bn"",""en"")"),"Creating a budget helps you track your spending and identify areas for savings")</f>
        <v>Creating a budget helps you track your spending and identify areas for savings</v>
      </c>
      <c r="C3821" s="8" t="s">
        <v>13</v>
      </c>
      <c r="D3821" s="8" t="s">
        <v>14</v>
      </c>
      <c r="E3821" s="8">
        <v>1</v>
      </c>
    </row>
    <row r="3822" spans="1:5" ht="15.75" customHeight="1" x14ac:dyDescent="0.25">
      <c r="A3822" s="6" t="s">
        <v>3764</v>
      </c>
      <c r="B3822" s="6" t="str">
        <f ca="1">IFERROR(__xludf.DUMMYFUNCTION("GOOGLETRANSLATE(A3822,""bn"",""en"")"),"He was absent-mindedly walking down the street")</f>
        <v>He was absent-mindedly walking down the street</v>
      </c>
      <c r="C3822" s="7" t="s">
        <v>6</v>
      </c>
      <c r="D3822" s="7" t="s">
        <v>7</v>
      </c>
      <c r="E3822" s="7">
        <v>0</v>
      </c>
    </row>
    <row r="3823" spans="1:5" ht="15.75" customHeight="1" x14ac:dyDescent="0.25">
      <c r="A3823" s="6" t="s">
        <v>3765</v>
      </c>
      <c r="B3823" s="6" t="str">
        <f ca="1">IFERROR(__xludf.DUMMYFUNCTION("GOOGLETRANSLATE(A3823,""bn"",""en"")"),"Kumari goes and stares at the forest in contemplation")</f>
        <v>Kumari goes and stares at the forest in contemplation</v>
      </c>
      <c r="C3823" s="7" t="s">
        <v>6</v>
      </c>
      <c r="D3823" s="7" t="s">
        <v>7</v>
      </c>
      <c r="E3823" s="7">
        <v>0</v>
      </c>
    </row>
    <row r="3824" spans="1:5" ht="15.75" customHeight="1" x14ac:dyDescent="0.25">
      <c r="A3824" s="6" t="s">
        <v>3766</v>
      </c>
      <c r="B3824" s="6" t="str">
        <f ca="1">IFERROR(__xludf.DUMMYFUNCTION("GOOGLETRANSLATE(A3824,""bn"",""en"")"),"My palanquin had to move through a narrow cow path, no paved path.")</f>
        <v>My palanquin had to move through a narrow cow path, no paved path.</v>
      </c>
      <c r="C3824" s="7" t="s">
        <v>6</v>
      </c>
      <c r="D3824" s="7" t="s">
        <v>7</v>
      </c>
      <c r="E3824" s="7">
        <v>0</v>
      </c>
    </row>
    <row r="3825" spans="1:5" ht="15.75" customHeight="1" x14ac:dyDescent="0.25">
      <c r="A3825" s="6" t="s">
        <v>3767</v>
      </c>
      <c r="B3825" s="6" t="str">
        <f ca="1">IFERROR(__xludf.DUMMYFUNCTION("GOOGLETRANSLATE(A3825,""bn"",""en"")"),"I never thought I would quit today")</f>
        <v>I never thought I would quit today</v>
      </c>
      <c r="C3825" s="7" t="s">
        <v>6</v>
      </c>
      <c r="D3825" s="7" t="s">
        <v>7</v>
      </c>
      <c r="E3825" s="7">
        <v>0</v>
      </c>
    </row>
    <row r="3826" spans="1:5" ht="15.75" customHeight="1" x14ac:dyDescent="0.25">
      <c r="A3826" s="6" t="s">
        <v>3768</v>
      </c>
      <c r="B3826" s="6" t="str">
        <f ca="1">IFERROR(__xludf.DUMMYFUNCTION("GOOGLETRANSLATE(A3826,""bn"",""en"")"),"At Mini's shout, Kabuliwala turned away smiling and started coming towards our house")</f>
        <v>At Mini's shout, Kabuliwala turned away smiling and started coming towards our house</v>
      </c>
      <c r="C3826" s="7" t="s">
        <v>6</v>
      </c>
      <c r="D3826" s="7" t="s">
        <v>7</v>
      </c>
      <c r="E3826" s="7">
        <v>0</v>
      </c>
    </row>
    <row r="3827" spans="1:5" ht="15.75" customHeight="1" x14ac:dyDescent="0.25">
      <c r="A3827" s="6" t="s">
        <v>3769</v>
      </c>
      <c r="B3827" s="6" t="str">
        <f ca="1">IFERROR(__xludf.DUMMYFUNCTION("GOOGLETRANSLATE(A3827,""bn"",""en"")"),"Follow for more updates")</f>
        <v>Follow for more updates</v>
      </c>
      <c r="C3827" s="8" t="s">
        <v>13</v>
      </c>
      <c r="D3827" s="8" t="s">
        <v>14</v>
      </c>
      <c r="E3827" s="8">
        <v>1</v>
      </c>
    </row>
    <row r="3828" spans="1:5" ht="15.75" customHeight="1" x14ac:dyDescent="0.25">
      <c r="A3828" s="6" t="s">
        <v>3770</v>
      </c>
      <c r="B3828" s="6" t="str">
        <f ca="1">IFERROR(__xludf.DUMMYFUNCTION("GOOGLETRANSLATE(A3828,""bn"",""en"")"),"Leave the jealous to their condition")</f>
        <v>Leave the jealous to their condition</v>
      </c>
      <c r="C3828" s="8" t="s">
        <v>13</v>
      </c>
      <c r="D3828" s="8" t="s">
        <v>14</v>
      </c>
      <c r="E3828" s="8">
        <v>1</v>
      </c>
    </row>
    <row r="3829" spans="1:5" ht="15.75" customHeight="1" x14ac:dyDescent="0.25">
      <c r="A3829" s="6" t="s">
        <v>3771</v>
      </c>
      <c r="B3829" s="6" t="str">
        <f ca="1">IFERROR(__xludf.DUMMYFUNCTION("GOOGLETRANSLATE(A3829,""bn"",""en"")"),"When Hercules was a child, Hera sent two snakes to kill him")</f>
        <v>When Hercules was a child, Hera sent two snakes to kill him</v>
      </c>
      <c r="C3829" s="8" t="s">
        <v>13</v>
      </c>
      <c r="D3829" s="8" t="s">
        <v>14</v>
      </c>
      <c r="E3829" s="8">
        <v>1</v>
      </c>
    </row>
    <row r="3830" spans="1:5" ht="15.75" customHeight="1" x14ac:dyDescent="0.25">
      <c r="A3830" s="6" t="s">
        <v>3772</v>
      </c>
      <c r="B3830" s="6" t="str">
        <f ca="1">IFERROR(__xludf.DUMMYFUNCTION("GOOGLETRANSLATE(A3830,""bn"",""en"")"),"Self-Reflection Take time for introspection. This is essential for personal growth and self-awareness")</f>
        <v>Self-Reflection Take time for introspection. This is essential for personal growth and self-awareness</v>
      </c>
      <c r="C3830" s="8" t="s">
        <v>13</v>
      </c>
      <c r="D3830" s="8" t="s">
        <v>14</v>
      </c>
      <c r="E3830" s="8">
        <v>1</v>
      </c>
    </row>
    <row r="3831" spans="1:5" ht="15.75" customHeight="1" x14ac:dyDescent="0.25">
      <c r="A3831" s="6" t="s">
        <v>3773</v>
      </c>
      <c r="B3831" s="6" t="str">
        <f ca="1">IFERROR(__xludf.DUMMYFUNCTION("GOOGLETRANSLATE(A3831,""bn"",""en"")"),"I saw Rahim Karim enter there")</f>
        <v>I saw Rahim Karim enter there</v>
      </c>
      <c r="C3831" s="8" t="s">
        <v>13</v>
      </c>
      <c r="D3831" s="8" t="s">
        <v>14</v>
      </c>
      <c r="E3831" s="8">
        <v>1</v>
      </c>
    </row>
    <row r="3832" spans="1:5" ht="15.75" customHeight="1" x14ac:dyDescent="0.25">
      <c r="A3832" s="6" t="s">
        <v>3774</v>
      </c>
      <c r="B3832" s="6" t="str">
        <f ca="1">IFERROR(__xludf.DUMMYFUNCTION("GOOGLETRANSLATE(A3832,""bn"",""en"")"),"When the boys had time off to play, they would stand near the window and observe the roofs of the distant houses")</f>
        <v>When the boys had time off to play, they would stand near the window and observe the roofs of the distant houses</v>
      </c>
      <c r="C3832" s="7" t="s">
        <v>6</v>
      </c>
      <c r="D3832" s="7" t="s">
        <v>7</v>
      </c>
      <c r="E3832" s="7">
        <v>0</v>
      </c>
    </row>
    <row r="3833" spans="1:5" ht="15.75" customHeight="1" x14ac:dyDescent="0.25">
      <c r="A3833" s="6" t="s">
        <v>3775</v>
      </c>
      <c r="B3833" s="6" t="str">
        <f ca="1">IFERROR(__xludf.DUMMYFUNCTION("GOOGLETRANSLATE(A3833,""bn"",""en"")"),"I had to walk from my house to school")</f>
        <v>I had to walk from my house to school</v>
      </c>
      <c r="C3833" s="7" t="s">
        <v>6</v>
      </c>
      <c r="D3833" s="7" t="s">
        <v>7</v>
      </c>
      <c r="E3833" s="7">
        <v>0</v>
      </c>
    </row>
    <row r="3834" spans="1:5" ht="15.75" customHeight="1" x14ac:dyDescent="0.25">
      <c r="A3834" s="6" t="s">
        <v>1826</v>
      </c>
      <c r="B3834" s="6" t="str">
        <f ca="1">IFERROR(__xludf.DUMMYFUNCTION("GOOGLETRANSLATE(A3834,""bn"",""en"")"),"Sitting alone, he used to imagine the impossible")</f>
        <v>Sitting alone, he used to imagine the impossible</v>
      </c>
      <c r="C3834" s="7" t="s">
        <v>6</v>
      </c>
      <c r="D3834" s="7" t="s">
        <v>7</v>
      </c>
      <c r="E3834" s="7">
        <v>0</v>
      </c>
    </row>
    <row r="3835" spans="1:5" ht="15.75" customHeight="1" x14ac:dyDescent="0.25">
      <c r="A3835" s="6" t="s">
        <v>3776</v>
      </c>
      <c r="B3835" s="6" t="str">
        <f ca="1">IFERROR(__xludf.DUMMYFUNCTION("GOOGLETRANSLATE(A3835,""bn"",""en"")"),"The servants' car had not arrived yet")</f>
        <v>The servants' car had not arrived yet</v>
      </c>
      <c r="C3835" s="7" t="s">
        <v>6</v>
      </c>
      <c r="D3835" s="7" t="s">
        <v>7</v>
      </c>
      <c r="E3835" s="7">
        <v>0</v>
      </c>
    </row>
    <row r="3836" spans="1:5" ht="15.75" customHeight="1" x14ac:dyDescent="0.25">
      <c r="A3836" s="6" t="s">
        <v>3777</v>
      </c>
      <c r="B3836" s="6" t="str">
        <f ca="1">IFERROR(__xludf.DUMMYFUNCTION("GOOGLETRANSLATE(A3836,""bn"",""en"")"),"A benevolent neighbor has been called mother-in-law by mentioning some fault")</f>
        <v>A benevolent neighbor has been called mother-in-law by mentioning some fault</v>
      </c>
      <c r="C3836" s="7" t="s">
        <v>6</v>
      </c>
      <c r="D3836" s="7" t="s">
        <v>7</v>
      </c>
      <c r="E3836" s="7">
        <v>0</v>
      </c>
    </row>
    <row r="3837" spans="1:5" ht="15.75" customHeight="1" x14ac:dyDescent="0.25">
      <c r="A3837" s="6" t="s">
        <v>3778</v>
      </c>
      <c r="B3837" s="6" t="str">
        <f ca="1">IFERROR(__xludf.DUMMYFUNCTION("GOOGLETRANSLATE(A3837,""bn"",""en"")"),"Party functions were also organized here")</f>
        <v>Party functions were also organized here</v>
      </c>
      <c r="C3837" s="8" t="s">
        <v>13</v>
      </c>
      <c r="D3837" s="8" t="s">
        <v>14</v>
      </c>
      <c r="E3837" s="8">
        <v>1</v>
      </c>
    </row>
    <row r="3838" spans="1:5" ht="15.75" customHeight="1" x14ac:dyDescent="0.25">
      <c r="A3838" s="6" t="s">
        <v>3779</v>
      </c>
      <c r="B3838" s="6" t="str">
        <f ca="1">IFERROR(__xludf.DUMMYFUNCTION("GOOGLETRANSLATE(A3838,""bn"",""en"")"),"Vedas are ancient Hindu scriptures containing hymns ritual philosophical teachings")</f>
        <v>Vedas are ancient Hindu scriptures containing hymns ritual philosophical teachings</v>
      </c>
      <c r="C3838" s="8" t="s">
        <v>13</v>
      </c>
      <c r="D3838" s="8" t="s">
        <v>14</v>
      </c>
      <c r="E3838" s="8">
        <v>1</v>
      </c>
    </row>
    <row r="3839" spans="1:5" ht="15.75" customHeight="1" x14ac:dyDescent="0.25">
      <c r="A3839" s="6" t="s">
        <v>3780</v>
      </c>
      <c r="B3839" s="6" t="str">
        <f ca="1">IFERROR(__xludf.DUMMYFUNCTION("GOOGLETRANSLATE(A3839,""bn"",""en"")"),"I am very worried about what I will do after finishing my studies and where I will get a job")</f>
        <v>I am very worried about what I will do after finishing my studies and where I will get a job</v>
      </c>
      <c r="C3839" s="8" t="s">
        <v>13</v>
      </c>
      <c r="D3839" s="8" t="s">
        <v>14</v>
      </c>
      <c r="E3839" s="8">
        <v>1</v>
      </c>
    </row>
    <row r="3840" spans="1:5" ht="15.75" customHeight="1" x14ac:dyDescent="0.25">
      <c r="A3840" s="6" t="s">
        <v>3781</v>
      </c>
      <c r="B3840" s="6" t="str">
        <f ca="1">IFERROR(__xludf.DUMMYFUNCTION("GOOGLETRANSLATE(A3840,""bn"",""en"")"),"I helped him with his reading and writing")</f>
        <v>I helped him with his reading and writing</v>
      </c>
      <c r="C3840" s="8" t="s">
        <v>13</v>
      </c>
      <c r="D3840" s="8" t="s">
        <v>14</v>
      </c>
      <c r="E3840" s="8">
        <v>1</v>
      </c>
    </row>
    <row r="3841" spans="1:5" ht="15.75" customHeight="1" x14ac:dyDescent="0.25">
      <c r="A3841" s="6" t="s">
        <v>3782</v>
      </c>
      <c r="B3841" s="6" t="str">
        <f ca="1">IFERROR(__xludf.DUMMYFUNCTION("GOOGLETRANSLATE(A3841,""bn"",""en"")"),"The flight attendant demonstrated safety procedures before takeoff")</f>
        <v>The flight attendant demonstrated safety procedures before takeoff</v>
      </c>
      <c r="C3841" s="8" t="s">
        <v>13</v>
      </c>
      <c r="D3841" s="8" t="s">
        <v>14</v>
      </c>
      <c r="E3841" s="8">
        <v>1</v>
      </c>
    </row>
    <row r="3842" spans="1:5" ht="15.75" customHeight="1" x14ac:dyDescent="0.25">
      <c r="A3842" s="6" t="s">
        <v>3783</v>
      </c>
      <c r="B3842" s="6" t="str">
        <f ca="1">IFERROR(__xludf.DUMMYFUNCTION("GOOGLETRANSLATE(A3842,""bn"",""en"")"),"I remembered you")</f>
        <v>I remembered you</v>
      </c>
      <c r="C3842" s="7" t="s">
        <v>6</v>
      </c>
      <c r="D3842" s="7" t="s">
        <v>7</v>
      </c>
      <c r="E3842" s="7">
        <v>0</v>
      </c>
    </row>
    <row r="3843" spans="1:5" ht="15.75" customHeight="1" x14ac:dyDescent="0.25">
      <c r="A3843" s="6" t="s">
        <v>3784</v>
      </c>
      <c r="B3843" s="6" t="str">
        <f ca="1">IFERROR(__xludf.DUMMYFUNCTION("GOOGLETRANSLATE(A3843,""bn"",""en"")"),"I bought her a doll on her birthday")</f>
        <v>I bought her a doll on her birthday</v>
      </c>
      <c r="C3843" s="7" t="s">
        <v>6</v>
      </c>
      <c r="D3843" s="7" t="s">
        <v>7</v>
      </c>
      <c r="E3843" s="7">
        <v>0</v>
      </c>
    </row>
    <row r="3844" spans="1:5" ht="15.75" customHeight="1" x14ac:dyDescent="0.25">
      <c r="A3844" s="6" t="s">
        <v>3785</v>
      </c>
      <c r="B3844" s="6" t="str">
        <f ca="1">IFERROR(__xludf.DUMMYFUNCTION("GOOGLETRANSLATE(A3844,""bn"",""en"")"),"These rocky boys looked particularly beautiful in such a place that they were useful")</f>
        <v>These rocky boys looked particularly beautiful in such a place that they were useful</v>
      </c>
      <c r="C3844" s="7" t="s">
        <v>6</v>
      </c>
      <c r="D3844" s="7" t="s">
        <v>7</v>
      </c>
      <c r="E3844" s="7">
        <v>0</v>
      </c>
    </row>
    <row r="3845" spans="1:5" ht="15.75" customHeight="1" x14ac:dyDescent="0.25">
      <c r="A3845" s="6" t="s">
        <v>3786</v>
      </c>
      <c r="B3845" s="6" t="str">
        <f ca="1">IFERROR(__xludf.DUMMYFUNCTION("GOOGLETRANSLATE(A3845,""bn"",""en"")"),"A few times in the past I have only spoken about the young woman, not intentionally")</f>
        <v>A few times in the past I have only spoken about the young woman, not intentionally</v>
      </c>
      <c r="C3845" s="7" t="s">
        <v>6</v>
      </c>
      <c r="D3845" s="7" t="s">
        <v>7</v>
      </c>
      <c r="E3845" s="7">
        <v>0</v>
      </c>
    </row>
    <row r="3846" spans="1:5" ht="15.75" customHeight="1" x14ac:dyDescent="0.25">
      <c r="A3846" s="6" t="s">
        <v>3787</v>
      </c>
      <c r="B3846" s="6" t="str">
        <f ca="1">IFERROR(__xludf.DUMMYFUNCTION("GOOGLETRANSLATE(A3846,""bn"",""en"")"),"The eyes that I had seen in the past like those desolate mountains like Kusumit Kanan etc. are not eyes.")</f>
        <v>The eyes that I had seen in the past like those desolate mountains like Kusumit Kanan etc. are not eyes.</v>
      </c>
      <c r="C3846" s="7" t="s">
        <v>6</v>
      </c>
      <c r="D3846" s="7" t="s">
        <v>7</v>
      </c>
      <c r="E3846" s="7">
        <v>0</v>
      </c>
    </row>
    <row r="3847" spans="1:5" ht="15.75" customHeight="1" x14ac:dyDescent="0.25">
      <c r="A3847" s="6" t="s">
        <v>3788</v>
      </c>
      <c r="B3847" s="6" t="str">
        <f ca="1">IFERROR(__xludf.DUMMYFUNCTION("GOOGLETRANSLATE(A3847,""bn"",""en"")"),"Nazrul cannot run away from school")</f>
        <v>Nazrul cannot run away from school</v>
      </c>
      <c r="C3847" s="8" t="s">
        <v>13</v>
      </c>
      <c r="D3847" s="8" t="s">
        <v>14</v>
      </c>
      <c r="E3847" s="8">
        <v>1</v>
      </c>
    </row>
    <row r="3848" spans="1:5" ht="15.75" customHeight="1" x14ac:dyDescent="0.25">
      <c r="A3848" s="6" t="s">
        <v>3789</v>
      </c>
      <c r="B3848" s="6" t="str">
        <f ca="1">IFERROR(__xludf.DUMMYFUNCTION("GOOGLETRANSLATE(A3848,""bn"",""en"")"),"Return home after school")</f>
        <v>Return home after school</v>
      </c>
      <c r="C3848" s="8" t="s">
        <v>13</v>
      </c>
      <c r="D3848" s="8" t="s">
        <v>14</v>
      </c>
      <c r="E3848" s="8">
        <v>1</v>
      </c>
    </row>
    <row r="3849" spans="1:5" ht="15.75" customHeight="1" x14ac:dyDescent="0.25">
      <c r="A3849" s="6" t="s">
        <v>3790</v>
      </c>
      <c r="B3849" s="6" t="str">
        <f ca="1">IFERROR(__xludf.DUMMYFUNCTION("GOOGLETRANSLATE(A3849,""bn"",""en"")"),"He was simply doing his work without any trouble")</f>
        <v>He was simply doing his work without any trouble</v>
      </c>
      <c r="C3849" s="8" t="s">
        <v>13</v>
      </c>
      <c r="D3849" s="8" t="s">
        <v>14</v>
      </c>
      <c r="E3849" s="8">
        <v>1</v>
      </c>
    </row>
    <row r="3850" spans="1:5" ht="15.75" customHeight="1" x14ac:dyDescent="0.25">
      <c r="A3850" s="6" t="s">
        <v>3791</v>
      </c>
      <c r="B3850" s="6" t="str">
        <f ca="1">IFERROR(__xludf.DUMMYFUNCTION("GOOGLETRANSLATE(A3850,""bn"",""en"")"),"Yoga improves flexibility and balance")</f>
        <v>Yoga improves flexibility and balance</v>
      </c>
      <c r="C3850" s="8" t="s">
        <v>13</v>
      </c>
      <c r="D3850" s="8" t="s">
        <v>14</v>
      </c>
      <c r="E3850" s="8">
        <v>1</v>
      </c>
    </row>
    <row r="3851" spans="1:5" ht="15.75" customHeight="1" x14ac:dyDescent="0.25">
      <c r="A3851" s="6" t="s">
        <v>3792</v>
      </c>
      <c r="B3851" s="6" t="str">
        <f ca="1">IFERROR(__xludf.DUMMYFUNCTION("GOOGLETRANSLATE(A3851,""bn"",""en"")"),"The use of informants to gather intelligence on criminal organizations is common")</f>
        <v>The use of informants to gather intelligence on criminal organizations is common</v>
      </c>
      <c r="C3851" s="8" t="s">
        <v>13</v>
      </c>
      <c r="D3851" s="8" t="s">
        <v>14</v>
      </c>
      <c r="E3851" s="8">
        <v>1</v>
      </c>
    </row>
    <row r="3852" spans="1:5" ht="15.75" customHeight="1" x14ac:dyDescent="0.25">
      <c r="A3852" s="6" t="s">
        <v>3793</v>
      </c>
      <c r="B3852" s="6" t="str">
        <f ca="1">IFERROR(__xludf.DUMMYFUNCTION("GOOGLETRANSLATE(A3852,""bn"",""en"")"),"After that he staggered for a while, gazing up at the starry black sky, and suddenly said,")</f>
        <v>After that he staggered for a while, gazing up at the starry black sky, and suddenly said,</v>
      </c>
      <c r="C3852" s="7" t="s">
        <v>6</v>
      </c>
      <c r="D3852" s="7" t="s">
        <v>7</v>
      </c>
      <c r="E3852" s="7">
        <v>0</v>
      </c>
    </row>
    <row r="3853" spans="1:5" ht="15.75" customHeight="1" x14ac:dyDescent="0.25">
      <c r="A3853" s="6" t="s">
        <v>3794</v>
      </c>
      <c r="B3853" s="6" t="str">
        <f ca="1">IFERROR(__xludf.DUMMYFUNCTION("GOOGLETRANSLATE(A3853,""bn"",""en"")"),"The youth walked in the direction where the tiger was sleeping")</f>
        <v>The youth walked in the direction where the tiger was sleeping</v>
      </c>
      <c r="C3853" s="7" t="s">
        <v>6</v>
      </c>
      <c r="D3853" s="7" t="s">
        <v>7</v>
      </c>
      <c r="E3853" s="7">
        <v>0</v>
      </c>
    </row>
    <row r="3854" spans="1:5" ht="15.75" customHeight="1" x14ac:dyDescent="0.25">
      <c r="A3854" s="6" t="s">
        <v>3795</v>
      </c>
      <c r="B3854" s="6" t="str">
        <f ca="1">IFERROR(__xludf.DUMMYFUNCTION("GOOGLETRANSLATE(A3854,""bn"",""en"")"),"Asha went away in anger – her eyes began to water")</f>
        <v>Asha went away in anger – her eyes began to water</v>
      </c>
      <c r="C3854" s="7" t="s">
        <v>6</v>
      </c>
      <c r="D3854" s="7" t="s">
        <v>7</v>
      </c>
      <c r="E3854" s="7">
        <v>0</v>
      </c>
    </row>
    <row r="3855" spans="1:5" ht="15.75" customHeight="1" x14ac:dyDescent="0.25">
      <c r="A3855" s="6" t="s">
        <v>3796</v>
      </c>
      <c r="B3855" s="6" t="str">
        <f ca="1">IFERROR(__xludf.DUMMYFUNCTION("GOOGLETRANSLATE(A3855,""bn"",""en"")"),"I will do what I have to do")</f>
        <v>I will do what I have to do</v>
      </c>
      <c r="C3855" s="7" t="s">
        <v>6</v>
      </c>
      <c r="D3855" s="7" t="s">
        <v>7</v>
      </c>
      <c r="E3855" s="7">
        <v>0</v>
      </c>
    </row>
    <row r="3856" spans="1:5" ht="15.75" customHeight="1" x14ac:dyDescent="0.25">
      <c r="A3856" s="6" t="s">
        <v>3797</v>
      </c>
      <c r="B3856" s="6" t="str">
        <f ca="1">IFERROR(__xludf.DUMMYFUNCTION("GOOGLETRANSLATE(A3856,""bn"",""en"")"),"Sajal is coming from school and going to mosque")</f>
        <v>Sajal is coming from school and going to mosque</v>
      </c>
      <c r="C3856" s="7" t="s">
        <v>6</v>
      </c>
      <c r="D3856" s="7" t="s">
        <v>7</v>
      </c>
      <c r="E3856" s="7">
        <v>0</v>
      </c>
    </row>
    <row r="3857" spans="1:5" ht="15.75" customHeight="1" x14ac:dyDescent="0.25">
      <c r="A3857" s="6" t="s">
        <v>3798</v>
      </c>
      <c r="B3857" s="6" t="str">
        <f ca="1">IFERROR(__xludf.DUMMYFUNCTION("GOOGLETRANSLATE(A3857,""bn"",""en"")"),"Rafi came to me and talked")</f>
        <v>Rafi came to me and talked</v>
      </c>
      <c r="C3857" s="8" t="s">
        <v>13</v>
      </c>
      <c r="D3857" s="8" t="s">
        <v>14</v>
      </c>
      <c r="E3857" s="8">
        <v>1</v>
      </c>
    </row>
    <row r="3858" spans="1:5" ht="15.75" customHeight="1" x14ac:dyDescent="0.25">
      <c r="A3858" s="6" t="s">
        <v>3799</v>
      </c>
      <c r="B3858" s="6" t="str">
        <f ca="1">IFERROR(__xludf.DUMMYFUNCTION("GOOGLETRANSLATE(A3858,""bn"",""en"")"),"Criminal law defines what behaviors are considered illegal within the legal framework of a society")</f>
        <v>Criminal law defines what behaviors are considered illegal within the legal framework of a society</v>
      </c>
      <c r="C3858" s="8" t="s">
        <v>13</v>
      </c>
      <c r="D3858" s="8" t="s">
        <v>14</v>
      </c>
      <c r="E3858" s="8">
        <v>1</v>
      </c>
    </row>
    <row r="3859" spans="1:5" ht="15.75" customHeight="1" x14ac:dyDescent="0.25">
      <c r="A3859" s="6" t="s">
        <v>3800</v>
      </c>
      <c r="B3859" s="6" t="str">
        <f ca="1">IFERROR(__xludf.DUMMYFUNCTION("GOOGLETRANSLATE(A3859,""bn"",""en"")"),"Criminal defense strategies may include alibis defense claims or insanity pleas")</f>
        <v>Criminal defense strategies may include alibis defense claims or insanity pleas</v>
      </c>
      <c r="C3859" s="8" t="s">
        <v>13</v>
      </c>
      <c r="D3859" s="8" t="s">
        <v>14</v>
      </c>
      <c r="E3859" s="8">
        <v>1</v>
      </c>
    </row>
    <row r="3860" spans="1:5" ht="15.75" customHeight="1" x14ac:dyDescent="0.25">
      <c r="A3860" s="6" t="s">
        <v>3801</v>
      </c>
      <c r="B3860" s="6" t="str">
        <f ca="1">IFERROR(__xludf.DUMMYFUNCTION("GOOGLETRANSLATE(A3860,""bn"",""en"")"),"By exploring forgotten tombs, they uncover secrets buried for centuries.")</f>
        <v>By exploring forgotten tombs, they uncover secrets buried for centuries.</v>
      </c>
      <c r="C3860" s="8" t="s">
        <v>13</v>
      </c>
      <c r="D3860" s="8" t="s">
        <v>14</v>
      </c>
      <c r="E3860" s="8">
        <v>1</v>
      </c>
    </row>
    <row r="3861" spans="1:5" ht="15.75" customHeight="1" x14ac:dyDescent="0.25">
      <c r="A3861" s="6" t="s">
        <v>3802</v>
      </c>
      <c r="B3861" s="6" t="str">
        <f ca="1">IFERROR(__xludf.DUMMYFUNCTION("GOOGLETRANSLATE(A3861,""bn"",""en"")"),"Agricultural subsidies help farmers financially to stabilize income or encourage certain practices")</f>
        <v>Agricultural subsidies help farmers financially to stabilize income or encourage certain practices</v>
      </c>
      <c r="C3861" s="8" t="s">
        <v>13</v>
      </c>
      <c r="D3861" s="8" t="s">
        <v>14</v>
      </c>
      <c r="E3861" s="8">
        <v>1</v>
      </c>
    </row>
    <row r="3862" spans="1:5" ht="15.75" customHeight="1" x14ac:dyDescent="0.25">
      <c r="A3862" s="6" t="s">
        <v>3192</v>
      </c>
      <c r="B3862" s="6" t="str">
        <f ca="1">IFERROR(__xludf.DUMMYFUNCTION("GOOGLETRANSLATE(A3862,""bn"",""en"")"),"Kolera spends two to three months eating only these flowers during the rainy season")</f>
        <v>Kolera spends two to three months eating only these flowers during the rainy season</v>
      </c>
      <c r="C3862" s="7" t="s">
        <v>6</v>
      </c>
      <c r="D3862" s="7" t="s">
        <v>7</v>
      </c>
      <c r="E3862" s="7">
        <v>0</v>
      </c>
    </row>
    <row r="3863" spans="1:5" ht="15.75" customHeight="1" x14ac:dyDescent="0.25">
      <c r="A3863" s="6" t="s">
        <v>3803</v>
      </c>
      <c r="B3863" s="6" t="str">
        <f ca="1">IFERROR(__xludf.DUMMYFUNCTION("GOOGLETRANSLATE(A3863,""bn"",""en"")"),"All around the black stone animals are also rocky")</f>
        <v>All around the black stone animals are also rocky</v>
      </c>
      <c r="C3863" s="7" t="s">
        <v>6</v>
      </c>
      <c r="D3863" s="7" t="s">
        <v>7</v>
      </c>
      <c r="E3863" s="7">
        <v>0</v>
      </c>
    </row>
    <row r="3864" spans="1:5" ht="15.75" customHeight="1" x14ac:dyDescent="0.25">
      <c r="A3864" s="6" t="s">
        <v>3804</v>
      </c>
      <c r="B3864" s="6" t="str">
        <f ca="1">IFERROR(__xludf.DUMMYFUNCTION("GOOGLETRANSLATE(A3864,""bn"",""en"")"),"He works in a boy's house")</f>
        <v>He works in a boy's house</v>
      </c>
      <c r="C3864" s="7" t="s">
        <v>6</v>
      </c>
      <c r="D3864" s="7" t="s">
        <v>7</v>
      </c>
      <c r="E3864" s="7">
        <v>0</v>
      </c>
    </row>
    <row r="3865" spans="1:5" ht="15.75" customHeight="1" x14ac:dyDescent="0.25">
      <c r="A3865" s="6" t="s">
        <v>3805</v>
      </c>
      <c r="B3865" s="6" t="str">
        <f ca="1">IFERROR(__xludf.DUMMYFUNCTION("GOOGLETRANSLATE(A3865,""bn"",""en"")"),"Word by word, everyone gradually sat down on one side of the road")</f>
        <v>Word by word, everyone gradually sat down on one side of the road</v>
      </c>
      <c r="C3865" s="7" t="s">
        <v>6</v>
      </c>
      <c r="D3865" s="7" t="s">
        <v>7</v>
      </c>
      <c r="E3865" s="7">
        <v>0</v>
      </c>
    </row>
    <row r="3866" spans="1:5" ht="15.75" customHeight="1" x14ac:dyDescent="0.25">
      <c r="A3866" s="6" t="s">
        <v>3806</v>
      </c>
      <c r="B3866" s="6" t="str">
        <f ca="1">IFERROR(__xludf.DUMMYFUNCTION("GOOGLETRANSLATE(A3866,""bn"",""en"")"),"Sashi changed at once under the influence of this one friend")</f>
        <v>Sashi changed at once under the influence of this one friend</v>
      </c>
      <c r="C3866" s="7" t="s">
        <v>6</v>
      </c>
      <c r="D3866" s="7" t="s">
        <v>7</v>
      </c>
      <c r="E3866" s="7">
        <v>0</v>
      </c>
    </row>
    <row r="3867" spans="1:5" ht="15.75" customHeight="1" x14ac:dyDescent="0.25">
      <c r="A3867" s="6" t="s">
        <v>3807</v>
      </c>
      <c r="B3867" s="6" t="str">
        <f ca="1">IFERROR(__xludf.DUMMYFUNCTION("GOOGLETRANSLATE(A3867,""bn"",""en"")"),"However, their bodies were seen from the rescue helicopter")</f>
        <v>However, their bodies were seen from the rescue helicopter</v>
      </c>
      <c r="C3867" s="8" t="s">
        <v>13</v>
      </c>
      <c r="D3867" s="8" t="s">
        <v>14</v>
      </c>
      <c r="E3867" s="8">
        <v>1</v>
      </c>
    </row>
    <row r="3868" spans="1:5" ht="15.75" customHeight="1" x14ac:dyDescent="0.25">
      <c r="A3868" s="6" t="s">
        <v>3808</v>
      </c>
      <c r="B3868" s="6" t="str">
        <f ca="1">IFERROR(__xludf.DUMMYFUNCTION("GOOGLETRANSLATE(A3868,""bn"",""en"")"),"Work with the right strategy")</f>
        <v>Work with the right strategy</v>
      </c>
      <c r="C3868" s="8" t="s">
        <v>13</v>
      </c>
      <c r="D3868" s="8" t="s">
        <v>14</v>
      </c>
      <c r="E3868" s="8">
        <v>1</v>
      </c>
    </row>
    <row r="3869" spans="1:5" ht="15.75" customHeight="1" x14ac:dyDescent="0.25">
      <c r="A3869" s="6" t="s">
        <v>3809</v>
      </c>
      <c r="B3869" s="6" t="str">
        <f ca="1">IFERROR(__xludf.DUMMYFUNCTION("GOOGLETRANSLATE(A3869,""bn"",""en"")"),"A dash of cinnamon enhances the flavor")</f>
        <v>A dash of cinnamon enhances the flavor</v>
      </c>
      <c r="C3869" s="8" t="s">
        <v>13</v>
      </c>
      <c r="D3869" s="8" t="s">
        <v>14</v>
      </c>
      <c r="E3869" s="8">
        <v>1</v>
      </c>
    </row>
    <row r="3870" spans="1:5" ht="15.75" customHeight="1" x14ac:dyDescent="0.25">
      <c r="A3870" s="6" t="s">
        <v>3810</v>
      </c>
      <c r="B3870" s="6" t="str">
        <f ca="1">IFERROR(__xludf.DUMMYFUNCTION("GOOGLETRANSLATE(A3870,""bn"",""en"")"),"Rahim Karim entered together")</f>
        <v>Rahim Karim entered together</v>
      </c>
      <c r="C3870" s="8" t="s">
        <v>13</v>
      </c>
      <c r="D3870" s="8" t="s">
        <v>14</v>
      </c>
      <c r="E3870" s="8">
        <v>1</v>
      </c>
    </row>
    <row r="3871" spans="1:5" ht="15.75" customHeight="1" x14ac:dyDescent="0.25">
      <c r="A3871" s="6" t="s">
        <v>3811</v>
      </c>
      <c r="B3871" s="6" t="str">
        <f ca="1">IFERROR(__xludf.DUMMYFUNCTION("GOOGLETRANSLATE(A3871,""bn"",""en"")"),"There were riots among people almost all over the country")</f>
        <v>There were riots among people almost all over the country</v>
      </c>
      <c r="C3871" s="8" t="s">
        <v>13</v>
      </c>
      <c r="D3871" s="8" t="s">
        <v>14</v>
      </c>
      <c r="E3871" s="8">
        <v>1</v>
      </c>
    </row>
    <row r="3872" spans="1:5" ht="15.75" customHeight="1" x14ac:dyDescent="0.25">
      <c r="A3872" s="6" t="s">
        <v>3812</v>
      </c>
      <c r="B3872" s="6" t="str">
        <f ca="1">IFERROR(__xludf.DUMMYFUNCTION("GOOGLETRANSLATE(A3872,""bn"",""en"")"),"I can understand the bravery of others only because I have done such anger myself many times")</f>
        <v>I can understand the bravery of others only because I have done such anger myself many times</v>
      </c>
      <c r="C3872" s="7" t="s">
        <v>6</v>
      </c>
      <c r="D3872" s="7" t="s">
        <v>7</v>
      </c>
      <c r="E3872" s="7">
        <v>0</v>
      </c>
    </row>
    <row r="3873" spans="1:5" ht="15.75" customHeight="1" x14ac:dyDescent="0.25">
      <c r="A3873" s="6" t="s">
        <v>3813</v>
      </c>
      <c r="B3873" s="6" t="str">
        <f ca="1">IFERROR(__xludf.DUMMYFUNCTION("GOOGLETRANSLATE(A3873,""bn"",""en"")"),"Hanging from the youth's skandha, he once took it off the skandha and tested its sharpness.")</f>
        <v>Hanging from the youth's skandha, he once took it off the skandha and tested its sharpness.</v>
      </c>
      <c r="C3873" s="7" t="s">
        <v>6</v>
      </c>
      <c r="D3873" s="7" t="s">
        <v>7</v>
      </c>
      <c r="E3873" s="7">
        <v>0</v>
      </c>
    </row>
    <row r="3874" spans="1:5" ht="15.75" customHeight="1" x14ac:dyDescent="0.25">
      <c r="A3874" s="6" t="s">
        <v>3814</v>
      </c>
      <c r="B3874" s="6" t="str">
        <f ca="1">IFERROR(__xludf.DUMMYFUNCTION("GOOGLETRANSLATE(A3874,""bn"",""en"")"),"Tears fell from his eyes")</f>
        <v>Tears fell from his eyes</v>
      </c>
      <c r="C3874" s="7" t="s">
        <v>6</v>
      </c>
      <c r="D3874" s="7" t="s">
        <v>7</v>
      </c>
      <c r="E3874" s="7">
        <v>0</v>
      </c>
    </row>
    <row r="3875" spans="1:5" ht="15.75" customHeight="1" x14ac:dyDescent="0.25">
      <c r="A3875" s="6" t="s">
        <v>3815</v>
      </c>
      <c r="B3875" s="6" t="str">
        <f ca="1">IFERROR(__xludf.DUMMYFUNCTION("GOOGLETRANSLATE(A3875,""bn"",""en"")"),"Why is there so much danger if you know where to buy?")</f>
        <v>Why is there so much danger if you know where to buy?</v>
      </c>
      <c r="C3875" s="7" t="s">
        <v>6</v>
      </c>
      <c r="D3875" s="7" t="s">
        <v>7</v>
      </c>
      <c r="E3875" s="7">
        <v>0</v>
      </c>
    </row>
    <row r="3876" spans="1:5" ht="15.75" customHeight="1" x14ac:dyDescent="0.25">
      <c r="A3876" s="6" t="s">
        <v>3816</v>
      </c>
      <c r="B3876" s="6" t="str">
        <f ca="1">IFERROR(__xludf.DUMMYFUNCTION("GOOGLETRANSLATE(A3876,""bn"",""en"")"),"Let me tell you what is most important")</f>
        <v>Let me tell you what is most important</v>
      </c>
      <c r="C3876" s="7" t="s">
        <v>6</v>
      </c>
      <c r="D3876" s="7" t="s">
        <v>7</v>
      </c>
      <c r="E3876" s="7">
        <v>0</v>
      </c>
    </row>
    <row r="3877" spans="1:5" ht="15.75" customHeight="1" x14ac:dyDescent="0.25">
      <c r="A3877" s="6" t="s">
        <v>3817</v>
      </c>
      <c r="B3877" s="6" t="str">
        <f ca="1">IFERROR(__xludf.DUMMYFUNCTION("GOOGLETRANSLATE(A3877,""bn"",""en"")"),"Across the treacherous sea the crew battled raging storms and monstrous waves")</f>
        <v>Across the treacherous sea the crew battled raging storms and monstrous waves</v>
      </c>
      <c r="C3877" s="8" t="s">
        <v>13</v>
      </c>
      <c r="D3877" s="8" t="s">
        <v>14</v>
      </c>
      <c r="E3877" s="8">
        <v>1</v>
      </c>
    </row>
    <row r="3878" spans="1:5" ht="15.75" customHeight="1" x14ac:dyDescent="0.25">
      <c r="A3878" s="6" t="s">
        <v>3818</v>
      </c>
      <c r="B3878" s="6" t="str">
        <f ca="1">IFERROR(__xludf.DUMMYFUNCTION("GOOGLETRANSLATE(A3878,""bn"",""en"")"),"So India got involved in the war despite opposing the war")</f>
        <v>So India got involved in the war despite opposing the war</v>
      </c>
      <c r="C3878" s="8" t="s">
        <v>13</v>
      </c>
      <c r="D3878" s="8" t="s">
        <v>14</v>
      </c>
      <c r="E3878" s="8">
        <v>1</v>
      </c>
    </row>
    <row r="3879" spans="1:5" ht="15.75" customHeight="1" x14ac:dyDescent="0.25">
      <c r="A3879" s="6" t="s">
        <v>3819</v>
      </c>
      <c r="B3879" s="6" t="str">
        <f ca="1">IFERROR(__xludf.DUMMYFUNCTION("GOOGLETRANSLATE(A3879,""bn"",""en"")"),"A painter's practice builds acting skills")</f>
        <v>A painter's practice builds acting skills</v>
      </c>
      <c r="C3879" s="8" t="s">
        <v>13</v>
      </c>
      <c r="D3879" s="8" t="s">
        <v>14</v>
      </c>
      <c r="E3879" s="8">
        <v>1</v>
      </c>
    </row>
    <row r="3880" spans="1:5" ht="15.75" customHeight="1" x14ac:dyDescent="0.25">
      <c r="A3880" s="6" t="s">
        <v>3820</v>
      </c>
      <c r="B3880" s="6" t="str">
        <f ca="1">IFERROR(__xludf.DUMMYFUNCTION("GOOGLETRANSLATE(A3880,""bn"",""en"")"),"In the century Sri Chaitanya greatly improved this genre of devotional music")</f>
        <v>In the century Sri Chaitanya greatly improved this genre of devotional music</v>
      </c>
      <c r="C3880" s="8" t="s">
        <v>13</v>
      </c>
      <c r="D3880" s="8" t="s">
        <v>14</v>
      </c>
      <c r="E3880" s="8">
        <v>1</v>
      </c>
    </row>
    <row r="3881" spans="1:5" ht="15.75" customHeight="1" x14ac:dyDescent="0.25">
      <c r="A3881" s="6" t="s">
        <v>3821</v>
      </c>
      <c r="B3881" s="6" t="str">
        <f ca="1">IFERROR(__xludf.DUMMYFUNCTION("GOOGLETRANSLATE(A3881,""bn"",""en"")"),"He got two days off the very next week")</f>
        <v>He got two days off the very next week</v>
      </c>
      <c r="C3881" s="8" t="s">
        <v>13</v>
      </c>
      <c r="D3881" s="8" t="s">
        <v>14</v>
      </c>
      <c r="E3881" s="8">
        <v>1</v>
      </c>
    </row>
    <row r="3882" spans="1:5" ht="15.75" customHeight="1" x14ac:dyDescent="0.25">
      <c r="A3882" s="6" t="s">
        <v>3822</v>
      </c>
      <c r="B3882" s="6" t="str">
        <f ca="1">IFERROR(__xludf.DUMMYFUNCTION("GOOGLETRANSLATE(A3882,""bn"",""en"")"),"I have done the job well")</f>
        <v>I have done the job well</v>
      </c>
      <c r="C3882" s="7" t="s">
        <v>6</v>
      </c>
      <c r="D3882" s="7" t="s">
        <v>7</v>
      </c>
      <c r="E3882" s="7">
        <v>0</v>
      </c>
    </row>
    <row r="3883" spans="1:5" ht="15.75" customHeight="1" x14ac:dyDescent="0.25">
      <c r="A3883" s="6" t="s">
        <v>3823</v>
      </c>
      <c r="B3883" s="6" t="str">
        <f ca="1">IFERROR(__xludf.DUMMYFUNCTION("GOOGLETRANSLATE(A3883,""bn"",""en"")"),"If he was a relative of ours, I would have learned from him")</f>
        <v>If he was a relative of ours, I would have learned from him</v>
      </c>
      <c r="C3883" s="7" t="s">
        <v>6</v>
      </c>
      <c r="D3883" s="7" t="s">
        <v>7</v>
      </c>
      <c r="E3883" s="7">
        <v>0</v>
      </c>
    </row>
    <row r="3884" spans="1:5" ht="15.75" customHeight="1" x14ac:dyDescent="0.25">
      <c r="A3884" s="6" t="s">
        <v>3824</v>
      </c>
      <c r="B3884" s="6" t="str">
        <f ca="1">IFERROR(__xludf.DUMMYFUNCTION("GOOGLETRANSLATE(A3884,""bn"",""en"")"),"Surely there is a mystery to his work")</f>
        <v>Surely there is a mystery to his work</v>
      </c>
      <c r="C3884" s="7" t="s">
        <v>6</v>
      </c>
      <c r="D3884" s="7" t="s">
        <v>7</v>
      </c>
      <c r="E3884" s="7">
        <v>0</v>
      </c>
    </row>
    <row r="3885" spans="1:5" ht="15.75" customHeight="1" x14ac:dyDescent="0.25">
      <c r="A3885" s="6" t="s">
        <v>3825</v>
      </c>
      <c r="B3885" s="6" t="str">
        <f ca="1">IFERROR(__xludf.DUMMYFUNCTION("GOOGLETRANSLATE(A3885,""bn"",""en"")"),"Shakib called Suman to eat")</f>
        <v>Shakib called Suman to eat</v>
      </c>
      <c r="C3885" s="7" t="s">
        <v>6</v>
      </c>
      <c r="D3885" s="7" t="s">
        <v>7</v>
      </c>
      <c r="E3885" s="7">
        <v>0</v>
      </c>
    </row>
    <row r="3886" spans="1:5" ht="15.75" customHeight="1" x14ac:dyDescent="0.25">
      <c r="A3886" s="6" t="s">
        <v>3826</v>
      </c>
      <c r="B3886" s="6" t="str">
        <f ca="1">IFERROR(__xludf.DUMMYFUNCTION("GOOGLETRANSLATE(A3886,""bn"",""en"")"),"Sarkar said out of fear, I did not say, he himself said about Ebela")</f>
        <v>Sarkar said out of fear, I did not say, he himself said about Ebela</v>
      </c>
      <c r="C3886" s="7" t="s">
        <v>6</v>
      </c>
      <c r="D3886" s="7" t="s">
        <v>7</v>
      </c>
      <c r="E3886" s="7">
        <v>0</v>
      </c>
    </row>
    <row r="3887" spans="1:5" ht="15.75" customHeight="1" x14ac:dyDescent="0.25">
      <c r="A3887" s="6" t="s">
        <v>3827</v>
      </c>
      <c r="B3887" s="6" t="str">
        <f ca="1">IFERROR(__xludf.DUMMYFUNCTION("GOOGLETRANSLATE(A3887,""bn"",""en"")"),"Finding joy in ordinary pleasures brings contentment")</f>
        <v>Finding joy in ordinary pleasures brings contentment</v>
      </c>
      <c r="C3887" s="8" t="s">
        <v>13</v>
      </c>
      <c r="D3887" s="8" t="s">
        <v>14</v>
      </c>
      <c r="E3887" s="8">
        <v>1</v>
      </c>
    </row>
    <row r="3888" spans="1:5" ht="15.75" customHeight="1" x14ac:dyDescent="0.25">
      <c r="A3888" s="6" t="s">
        <v>3828</v>
      </c>
      <c r="B3888" s="6" t="str">
        <f ca="1">IFERROR(__xludf.DUMMYFUNCTION("GOOGLETRANSLATE(A3888,""bn"",""en"")"),"My beloved game looked very boring")</f>
        <v>My beloved game looked very boring</v>
      </c>
      <c r="C3888" s="8" t="s">
        <v>13</v>
      </c>
      <c r="D3888" s="8" t="s">
        <v>14</v>
      </c>
      <c r="E3888" s="8">
        <v>1</v>
      </c>
    </row>
    <row r="3889" spans="1:5" ht="15.75" customHeight="1" x14ac:dyDescent="0.25">
      <c r="A3889" s="6" t="s">
        <v>3829</v>
      </c>
      <c r="B3889" s="6" t="str">
        <f ca="1">IFERROR(__xludf.DUMMYFUNCTION("GOOGLETRANSLATE(A3889,""bn"",""en"")"),"Satwant Singh conspirator Kehar Singh was sentenced to death")</f>
        <v>Satwant Singh conspirator Kehar Singh was sentenced to death</v>
      </c>
      <c r="C3889" s="8" t="s">
        <v>13</v>
      </c>
      <c r="D3889" s="8" t="s">
        <v>14</v>
      </c>
      <c r="E3889" s="8">
        <v>1</v>
      </c>
    </row>
    <row r="3890" spans="1:5" ht="15.75" customHeight="1" x14ac:dyDescent="0.25">
      <c r="A3890" s="6" t="s">
        <v>3830</v>
      </c>
      <c r="B3890" s="6" t="str">
        <f ca="1">IFERROR(__xludf.DUMMYFUNCTION("GOOGLETRANSLATE(A3890,""bn"",""en"")"),"He was the head of the department till his death")</f>
        <v>He was the head of the department till his death</v>
      </c>
      <c r="C3890" s="8" t="s">
        <v>13</v>
      </c>
      <c r="D3890" s="8" t="s">
        <v>14</v>
      </c>
      <c r="E3890" s="8">
        <v>1</v>
      </c>
    </row>
    <row r="3891" spans="1:5" ht="15.75" customHeight="1" x14ac:dyDescent="0.25">
      <c r="A3891" s="6" t="s">
        <v>3831</v>
      </c>
      <c r="B3891" s="6" t="str">
        <f ca="1">IFERROR(__xludf.DUMMYFUNCTION("GOOGLETRANSLATE(A3891,""bn"",""en"")"),"Sometimes Shamsuddin was with me and sometimes Jalaluddin")</f>
        <v>Sometimes Shamsuddin was with me and sometimes Jalaluddin</v>
      </c>
      <c r="C3891" s="8" t="s">
        <v>13</v>
      </c>
      <c r="D3891" s="8" t="s">
        <v>14</v>
      </c>
      <c r="E3891" s="8">
        <v>1</v>
      </c>
    </row>
    <row r="3892" spans="1:5" ht="15.75" customHeight="1" x14ac:dyDescent="0.25">
      <c r="A3892" s="6" t="s">
        <v>3832</v>
      </c>
      <c r="B3892" s="6" t="str">
        <f ca="1">IFERROR(__xludf.DUMMYFUNCTION("GOOGLETRANSLATE(A3892,""bn"",""en"")"),"Savitri could not see all these unjust laziness and waste of time")</f>
        <v>Savitri could not see all these unjust laziness and waste of time</v>
      </c>
      <c r="C3892" s="7" t="s">
        <v>6</v>
      </c>
      <c r="D3892" s="7" t="s">
        <v>7</v>
      </c>
      <c r="E3892" s="7">
        <v>0</v>
      </c>
    </row>
    <row r="3893" spans="1:5" ht="15.75" customHeight="1" x14ac:dyDescent="0.25">
      <c r="A3893" s="6" t="s">
        <v>3833</v>
      </c>
      <c r="B3893" s="6" t="str">
        <f ca="1">IFERROR(__xludf.DUMMYFUNCTION("GOOGLETRANSLATE(A3893,""bn"",""en"")"),"I want to play with you")</f>
        <v>I want to play with you</v>
      </c>
      <c r="C3893" s="7" t="s">
        <v>6</v>
      </c>
      <c r="D3893" s="7" t="s">
        <v>7</v>
      </c>
      <c r="E3893" s="7">
        <v>0</v>
      </c>
    </row>
    <row r="3894" spans="1:5" ht="15.75" customHeight="1" x14ac:dyDescent="0.25">
      <c r="A3894" s="6" t="s">
        <v>3834</v>
      </c>
      <c r="B3894" s="6" t="str">
        <f ca="1">IFERROR(__xludf.DUMMYFUNCTION("GOOGLETRANSLATE(A3894,""bn"",""en"")"),"Maybe the young lady also understood it")</f>
        <v>Maybe the young lady also understood it</v>
      </c>
      <c r="C3894" s="7" t="s">
        <v>6</v>
      </c>
      <c r="D3894" s="7" t="s">
        <v>7</v>
      </c>
      <c r="E3894" s="7">
        <v>0</v>
      </c>
    </row>
    <row r="3895" spans="1:5" ht="15.75" customHeight="1" x14ac:dyDescent="0.25">
      <c r="A3895" s="6" t="s">
        <v>3835</v>
      </c>
      <c r="B3895" s="6" t="str">
        <f ca="1">IFERROR(__xludf.DUMMYFUNCTION("GOOGLETRANSLATE(A3895,""bn"",""en"")"),"He said that if there is a ghost, he will tie it up and bring it back to Govardhan's boat")</f>
        <v>He said that if there is a ghost, he will tie it up and bring it back to Govardhan's boat</v>
      </c>
      <c r="C3895" s="7" t="s">
        <v>6</v>
      </c>
      <c r="D3895" s="7" t="s">
        <v>7</v>
      </c>
      <c r="E3895" s="7">
        <v>0</v>
      </c>
    </row>
    <row r="3896" spans="1:5" ht="15.75" customHeight="1" x14ac:dyDescent="0.25">
      <c r="A3896" s="6" t="s">
        <v>3836</v>
      </c>
      <c r="B3896" s="6" t="str">
        <f ca="1">IFERROR(__xludf.DUMMYFUNCTION("GOOGLETRANSLATE(A3896,""bn"",""en"")"),"His name appeared in the list of elders")</f>
        <v>His name appeared in the list of elders</v>
      </c>
      <c r="C3896" s="7" t="s">
        <v>6</v>
      </c>
      <c r="D3896" s="7" t="s">
        <v>7</v>
      </c>
      <c r="E3896" s="7">
        <v>0</v>
      </c>
    </row>
    <row r="3897" spans="1:5" ht="15.75" customHeight="1" x14ac:dyDescent="0.25">
      <c r="A3897" s="6" t="s">
        <v>3837</v>
      </c>
      <c r="B3897" s="6" t="str">
        <f ca="1">IFERROR(__xludf.DUMMYFUNCTION("GOOGLETRANSLATE(A3897,""bn"",""en"")"),"Ulcers are sores that develop in the lining of the stomach or small intestine, often due to infection or excess acid production")</f>
        <v>Ulcers are sores that develop in the lining of the stomach or small intestine, often due to infection or excess acid production</v>
      </c>
      <c r="C3897" s="8" t="s">
        <v>13</v>
      </c>
      <c r="D3897" s="8" t="s">
        <v>14</v>
      </c>
      <c r="E3897" s="8">
        <v>1</v>
      </c>
    </row>
    <row r="3898" spans="1:5" ht="15.75" customHeight="1" x14ac:dyDescent="0.25">
      <c r="A3898" s="6" t="s">
        <v>3838</v>
      </c>
      <c r="B3898" s="6" t="str">
        <f ca="1">IFERROR(__xludf.DUMMYFUNCTION("GOOGLETRANSLATE(A3898,""bn"",""en"")"),"Racing against rivals they pursue a false artifact rumored to grant untold powers")</f>
        <v>Racing against rivals they pursue a false artifact rumored to grant untold powers</v>
      </c>
      <c r="C3898" s="8" t="s">
        <v>13</v>
      </c>
      <c r="D3898" s="8" t="s">
        <v>14</v>
      </c>
      <c r="E3898" s="8">
        <v>1</v>
      </c>
    </row>
    <row r="3899" spans="1:5" ht="15.75" customHeight="1" x14ac:dyDescent="0.25">
      <c r="A3899" s="6" t="s">
        <v>3839</v>
      </c>
      <c r="B3899" s="6" t="str">
        <f ca="1">IFERROR(__xludf.DUMMYFUNCTION("GOOGLETRANSLATE(A3899,""bn"",""en"")"),"Can you get everything in life only if you can study in Dhaka University?")</f>
        <v>Can you get everything in life only if you can study in Dhaka University?</v>
      </c>
      <c r="C3899" s="8" t="s">
        <v>13</v>
      </c>
      <c r="D3899" s="8" t="s">
        <v>14</v>
      </c>
      <c r="E3899" s="8">
        <v>1</v>
      </c>
    </row>
    <row r="3900" spans="1:5" ht="15.75" customHeight="1" x14ac:dyDescent="0.25">
      <c r="A3900" s="6" t="s">
        <v>3840</v>
      </c>
      <c r="B3900" s="6" t="str">
        <f ca="1">IFERROR(__xludf.DUMMYFUNCTION("GOOGLETRANSLATE(A3900,""bn"",""en"")"),"I introduced him to my mother")</f>
        <v>I introduced him to my mother</v>
      </c>
      <c r="C3900" s="8" t="s">
        <v>13</v>
      </c>
      <c r="D3900" s="8" t="s">
        <v>14</v>
      </c>
      <c r="E3900" s="8">
        <v>1</v>
      </c>
    </row>
    <row r="3901" spans="1:5" ht="15.75" customHeight="1" x14ac:dyDescent="0.25">
      <c r="A3901" s="6" t="s">
        <v>3841</v>
      </c>
      <c r="B3901" s="6" t="str">
        <f ca="1">IFERROR(__xludf.DUMMYFUNCTION("GOOGLETRANSLATE(A3901,""bn"",""en"")"),"During this time I learned calculus")</f>
        <v>During this time I learned calculus</v>
      </c>
      <c r="C3901" s="8" t="s">
        <v>13</v>
      </c>
      <c r="D3901" s="8" t="s">
        <v>14</v>
      </c>
      <c r="E3901" s="8">
        <v>1</v>
      </c>
    </row>
    <row r="3902" spans="1:5" ht="15.75" customHeight="1" x14ac:dyDescent="0.25">
      <c r="A3902" s="6" t="s">
        <v>3842</v>
      </c>
      <c r="B3902" s="6" t="str">
        <f ca="1">IFERROR(__xludf.DUMMYFUNCTION("GOOGLETRANSLATE(A3902,""bn"",""en"")"),"The defeated nations were driven out by the conquerors and settled in very unfit places")</f>
        <v>The defeated nations were driven out by the conquerors and settled in very unfit places</v>
      </c>
      <c r="C3902" s="7" t="s">
        <v>6</v>
      </c>
      <c r="D3902" s="7" t="s">
        <v>7</v>
      </c>
      <c r="E3902" s="7">
        <v>0</v>
      </c>
    </row>
    <row r="3903" spans="1:5" ht="15.75" customHeight="1" x14ac:dyDescent="0.25">
      <c r="A3903" s="6" t="s">
        <v>3843</v>
      </c>
      <c r="B3903" s="6" t="str">
        <f ca="1">IFERROR(__xludf.DUMMYFUNCTION("GOOGLETRANSLATE(A3903,""bn"",""en"")"),"Last night's raging storm left all your footprints in the world, only on this girl.")</f>
        <v>Last night's raging storm left all your footprints in the world, only on this girl.</v>
      </c>
      <c r="C3903" s="7" t="s">
        <v>6</v>
      </c>
      <c r="D3903" s="7" t="s">
        <v>7</v>
      </c>
      <c r="E3903" s="7">
        <v>0</v>
      </c>
    </row>
    <row r="3904" spans="1:5" ht="15.75" customHeight="1" x14ac:dyDescent="0.25">
      <c r="A3904" s="6" t="s">
        <v>3844</v>
      </c>
      <c r="B3904" s="6" t="str">
        <f ca="1">IFERROR(__xludf.DUMMYFUNCTION("GOOGLETRANSLATE(A3904,""bn"",""en"")"),"Stunned, Anangamohan walked and started collecting them")</f>
        <v>Stunned, Anangamohan walked and started collecting them</v>
      </c>
      <c r="C3904" s="7" t="s">
        <v>6</v>
      </c>
      <c r="D3904" s="7" t="s">
        <v>7</v>
      </c>
      <c r="E3904" s="7">
        <v>0</v>
      </c>
    </row>
    <row r="3905" spans="1:5" ht="15.75" customHeight="1" x14ac:dyDescent="0.25">
      <c r="A3905" s="6" t="s">
        <v>3845</v>
      </c>
      <c r="B3905" s="6" t="str">
        <f ca="1">IFERROR(__xludf.DUMMYFUNCTION("GOOGLETRANSLATE(A3905,""bn"",""en"")"),"They also fell into the goal a little bit")</f>
        <v>They also fell into the goal a little bit</v>
      </c>
      <c r="C3905" s="7" t="s">
        <v>6</v>
      </c>
      <c r="D3905" s="7" t="s">
        <v>7</v>
      </c>
      <c r="E3905" s="7">
        <v>0</v>
      </c>
    </row>
    <row r="3906" spans="1:5" ht="15.75" customHeight="1" x14ac:dyDescent="0.25">
      <c r="A3906" s="6" t="s">
        <v>3846</v>
      </c>
      <c r="B3906" s="6" t="str">
        <f ca="1">IFERROR(__xludf.DUMMYFUNCTION("GOOGLETRANSLATE(A3906,""bn"",""en"")"),"The mother's eyes were closed after coming back after an hour")</f>
        <v>The mother's eyes were closed after coming back after an hour</v>
      </c>
      <c r="C3906" s="7" t="s">
        <v>6</v>
      </c>
      <c r="D3906" s="7" t="s">
        <v>7</v>
      </c>
      <c r="E3906" s="7">
        <v>0</v>
      </c>
    </row>
    <row r="3907" spans="1:5" ht="15.75" customHeight="1" x14ac:dyDescent="0.25">
      <c r="A3907" s="6" t="s">
        <v>3847</v>
      </c>
      <c r="B3907" s="6" t="str">
        <f ca="1">IFERROR(__xludf.DUMMYFUNCTION("GOOGLETRANSLATE(A3907,""bn"",""en"")"),"Sales forecasts inform inventory management decisions")</f>
        <v>Sales forecasts inform inventory management decisions</v>
      </c>
      <c r="C3907" s="8" t="s">
        <v>13</v>
      </c>
      <c r="D3907" s="8" t="s">
        <v>14</v>
      </c>
      <c r="E3907" s="8">
        <v>1</v>
      </c>
    </row>
    <row r="3908" spans="1:5" ht="15.75" customHeight="1" x14ac:dyDescent="0.25">
      <c r="A3908" s="6" t="s">
        <v>3848</v>
      </c>
      <c r="B3908" s="6" t="str">
        <f ca="1">IFERROR(__xludf.DUMMYFUNCTION("GOOGLETRANSLATE(A3908,""bn"",""en"")"),"Some of them might read some news out loud")</f>
        <v>Some of them might read some news out loud</v>
      </c>
      <c r="C3908" s="8" t="s">
        <v>13</v>
      </c>
      <c r="D3908" s="8" t="s">
        <v>14</v>
      </c>
      <c r="E3908" s="8">
        <v>1</v>
      </c>
    </row>
    <row r="3909" spans="1:5" ht="15.75" customHeight="1" x14ac:dyDescent="0.25">
      <c r="A3909" s="6" t="s">
        <v>3849</v>
      </c>
      <c r="B3909" s="6" t="str">
        <f ca="1">IFERROR(__xludf.DUMMYFUNCTION("GOOGLETRANSLATE(A3909,""bn"",""en"")"),"All these particles undergo eternal irreversible destruction")</f>
        <v>All these particles undergo eternal irreversible destruction</v>
      </c>
      <c r="C3909" s="8" t="s">
        <v>13</v>
      </c>
      <c r="D3909" s="8" t="s">
        <v>14</v>
      </c>
      <c r="E3909" s="8">
        <v>1</v>
      </c>
    </row>
    <row r="3910" spans="1:5" ht="15.75" customHeight="1" x14ac:dyDescent="0.25">
      <c r="A3910" s="6" t="s">
        <v>3850</v>
      </c>
      <c r="B3910" s="6" t="str">
        <f ca="1">IFERROR(__xludf.DUMMYFUNCTION("GOOGLETRANSLATE(A3910,""bn"",""en"")"),"Shamsuddin could read and write")</f>
        <v>Shamsuddin could read and write</v>
      </c>
      <c r="C3910" s="8" t="s">
        <v>13</v>
      </c>
      <c r="D3910" s="8" t="s">
        <v>14</v>
      </c>
      <c r="E3910" s="8">
        <v>1</v>
      </c>
    </row>
    <row r="3911" spans="1:5" ht="15.75" customHeight="1" x14ac:dyDescent="0.25">
      <c r="A3911" s="6" t="s">
        <v>3851</v>
      </c>
      <c r="B3911" s="6" t="str">
        <f ca="1">IFERROR(__xludf.DUMMYFUNCTION("GOOGLETRANSLATE(A3911,""bn"",""en"")"),"The search ended at 9:25 PM")</f>
        <v>The search ended at 9:25 PM</v>
      </c>
      <c r="C3911" s="8" t="s">
        <v>13</v>
      </c>
      <c r="D3911" s="8" t="s">
        <v>14</v>
      </c>
      <c r="E3911" s="8">
        <v>1</v>
      </c>
    </row>
    <row r="3912" spans="1:5" ht="15.75" customHeight="1" x14ac:dyDescent="0.25">
      <c r="A3912" s="6" t="s">
        <v>3852</v>
      </c>
      <c r="B3912" s="6" t="str">
        <f ca="1">IFERROR(__xludf.DUMMYFUNCTION("GOOGLETRANSLATE(A3912,""bn"",""en"")"),"He made a bed in a separate room")</f>
        <v>He made a bed in a separate room</v>
      </c>
      <c r="C3912" s="7" t="s">
        <v>6</v>
      </c>
      <c r="D3912" s="7" t="s">
        <v>7</v>
      </c>
      <c r="E3912" s="7">
        <v>0</v>
      </c>
    </row>
    <row r="3913" spans="1:5" ht="15.75" customHeight="1" x14ac:dyDescent="0.25">
      <c r="A3913" s="6" t="s">
        <v>3853</v>
      </c>
      <c r="B3913" s="6" t="str">
        <f ca="1">IFERROR(__xludf.DUMMYFUNCTION("GOOGLETRANSLATE(A3913,""bn"",""en"")"),"did you eat at night")</f>
        <v>did you eat at night</v>
      </c>
      <c r="C3913" s="7" t="s">
        <v>6</v>
      </c>
      <c r="D3913" s="7" t="s">
        <v>7</v>
      </c>
      <c r="E3913" s="7">
        <v>0</v>
      </c>
    </row>
    <row r="3914" spans="1:5" ht="15.75" customHeight="1" x14ac:dyDescent="0.25">
      <c r="A3914" s="6" t="s">
        <v>3854</v>
      </c>
      <c r="B3914" s="6" t="str">
        <f ca="1">IFERROR(__xludf.DUMMYFUNCTION("GOOGLETRANSLATE(A3914,""bn"",""en"")"),"As in forest description")</f>
        <v>As in forest description</v>
      </c>
      <c r="C3914" s="7" t="s">
        <v>6</v>
      </c>
      <c r="D3914" s="7" t="s">
        <v>7</v>
      </c>
      <c r="E3914" s="7">
        <v>0</v>
      </c>
    </row>
    <row r="3915" spans="1:5" ht="15.75" customHeight="1" x14ac:dyDescent="0.25">
      <c r="A3915" s="6" t="s">
        <v>3855</v>
      </c>
      <c r="B3915" s="6" t="str">
        <f ca="1">IFERROR(__xludf.DUMMYFUNCTION("GOOGLETRANSLATE(A3915,""bn"",""en"")"),"He does not get that much encouragement")</f>
        <v>He does not get that much encouragement</v>
      </c>
      <c r="C3915" s="7" t="s">
        <v>6</v>
      </c>
      <c r="D3915" s="7" t="s">
        <v>7</v>
      </c>
      <c r="E3915" s="7">
        <v>0</v>
      </c>
    </row>
    <row r="3916" spans="1:5" ht="15.75" customHeight="1" x14ac:dyDescent="0.25">
      <c r="A3916" s="6" t="s">
        <v>3856</v>
      </c>
      <c r="B3916" s="6" t="str">
        <f ca="1">IFERROR(__xludf.DUMMYFUNCTION("GOOGLETRANSLATE(A3916,""bn"",""en"")"),"The man appreciated my work")</f>
        <v>The man appreciated my work</v>
      </c>
      <c r="C3916" s="7" t="s">
        <v>6</v>
      </c>
      <c r="D3916" s="7" t="s">
        <v>7</v>
      </c>
      <c r="E3916" s="7">
        <v>0</v>
      </c>
    </row>
    <row r="3917" spans="1:5" ht="15.75" customHeight="1" x14ac:dyDescent="0.25">
      <c r="A3917" s="6" t="s">
        <v>3857</v>
      </c>
      <c r="B3917" s="6" t="str">
        <f ca="1">IFERROR(__xludf.DUMMYFUNCTION("GOOGLETRANSLATE(A3917,""bn"",""en"")"),"Subscribe to our newsletter")</f>
        <v>Subscribe to our newsletter</v>
      </c>
      <c r="C3917" s="8" t="s">
        <v>13</v>
      </c>
      <c r="D3917" s="8" t="s">
        <v>14</v>
      </c>
      <c r="E3917" s="8">
        <v>1</v>
      </c>
    </row>
    <row r="3918" spans="1:5" ht="15.75" customHeight="1" x14ac:dyDescent="0.25">
      <c r="A3918" s="6" t="s">
        <v>3858</v>
      </c>
      <c r="B3918" s="6" t="str">
        <f ca="1">IFERROR(__xludf.DUMMYFUNCTION("GOOGLETRANSLATE(A3918,""bn"",""en"")"),"Sujan was calling me to the room")</f>
        <v>Sujan was calling me to the room</v>
      </c>
      <c r="C3918" s="8" t="s">
        <v>13</v>
      </c>
      <c r="D3918" s="8" t="s">
        <v>14</v>
      </c>
      <c r="E3918" s="8">
        <v>1</v>
      </c>
    </row>
    <row r="3919" spans="1:5" ht="15.75" customHeight="1" x14ac:dyDescent="0.25">
      <c r="A3919" s="6" t="s">
        <v>3859</v>
      </c>
      <c r="B3919" s="6" t="str">
        <f ca="1">IFERROR(__xludf.DUMMYFUNCTION("GOOGLETRANSLATE(A3919,""bn"",""en"")"),"Takes the form of a warlock when attacked")</f>
        <v>Takes the form of a warlock when attacked</v>
      </c>
      <c r="C3919" s="8" t="s">
        <v>13</v>
      </c>
      <c r="D3919" s="8" t="s">
        <v>14</v>
      </c>
      <c r="E3919" s="8">
        <v>1</v>
      </c>
    </row>
    <row r="3920" spans="1:5" ht="15.75" customHeight="1" x14ac:dyDescent="0.25">
      <c r="A3920" s="6" t="s">
        <v>3860</v>
      </c>
      <c r="B3920" s="6" t="str">
        <f ca="1">IFERROR(__xludf.DUMMYFUNCTION("GOOGLETRANSLATE(A3920,""bn"",""en"")"),"Rumi sat reading with me")</f>
        <v>Rumi sat reading with me</v>
      </c>
      <c r="C3920" s="8" t="s">
        <v>13</v>
      </c>
      <c r="D3920" s="8" t="s">
        <v>14</v>
      </c>
      <c r="E3920" s="8">
        <v>1</v>
      </c>
    </row>
    <row r="3921" spans="1:5" ht="15.75" customHeight="1" x14ac:dyDescent="0.25">
      <c r="A3921" s="6" t="s">
        <v>3861</v>
      </c>
      <c r="B3921" s="6" t="str">
        <f ca="1">IFERROR(__xludf.DUMMYFUNCTION("GOOGLETRANSLATE(A3921,""bn"",""en"")"),"Receiving unexpected support from a stranger restored my faith in humanity")</f>
        <v>Receiving unexpected support from a stranger restored my faith in humanity</v>
      </c>
      <c r="C3921" s="8" t="s">
        <v>13</v>
      </c>
      <c r="D3921" s="8" t="s">
        <v>14</v>
      </c>
      <c r="E3921" s="8">
        <v>1</v>
      </c>
    </row>
    <row r="3922" spans="1:5" ht="15.75" customHeight="1" x14ac:dyDescent="0.25">
      <c r="A3922" s="6" t="s">
        <v>3862</v>
      </c>
      <c r="B3922" s="6" t="str">
        <f ca="1">IFERROR(__xludf.DUMMYFUNCTION("GOOGLETRANSLATE(A3922,""bn"",""en"")"),"He taught this to his entire family")</f>
        <v>He taught this to his entire family</v>
      </c>
      <c r="C3922" s="7" t="s">
        <v>6</v>
      </c>
      <c r="D3922" s="7" t="s">
        <v>7</v>
      </c>
      <c r="E3922" s="7">
        <v>0</v>
      </c>
    </row>
    <row r="3923" spans="1:5" ht="15.75" customHeight="1" x14ac:dyDescent="0.25">
      <c r="A3923" s="6" t="s">
        <v>3863</v>
      </c>
      <c r="B3923" s="6" t="str">
        <f ca="1">IFERROR(__xludf.DUMMYFUNCTION("GOOGLETRANSLATE(A3923,""bn"",""en"")"),"Navkumar could not sit in one place for a long time because of his nervousness")</f>
        <v>Navkumar could not sit in one place for a long time because of his nervousness</v>
      </c>
      <c r="C3923" s="7" t="s">
        <v>6</v>
      </c>
      <c r="D3923" s="7" t="s">
        <v>7</v>
      </c>
      <c r="E3923" s="7">
        <v>0</v>
      </c>
    </row>
    <row r="3924" spans="1:5" ht="15.75" customHeight="1" x14ac:dyDescent="0.25">
      <c r="A3924" s="6" t="s">
        <v>3864</v>
      </c>
      <c r="B3924" s="6" t="str">
        <f ca="1">IFERROR(__xludf.DUMMYFUNCTION("GOOGLETRANSLATE(A3924,""bn"",""en"")"),"After a while Ratan got up slowly and went to the kitchen to roll bread")</f>
        <v>After a while Ratan got up slowly and went to the kitchen to roll bread</v>
      </c>
      <c r="C3924" s="7" t="s">
        <v>6</v>
      </c>
      <c r="D3924" s="7" t="s">
        <v>7</v>
      </c>
      <c r="E3924" s="7">
        <v>0</v>
      </c>
    </row>
    <row r="3925" spans="1:5" ht="15.75" customHeight="1" x14ac:dyDescent="0.25">
      <c r="A3925" s="6" t="s">
        <v>3865</v>
      </c>
      <c r="B3925" s="6" t="str">
        <f ca="1">IFERROR(__xludf.DUMMYFUNCTION("GOOGLETRANSLATE(A3925,""bn"",""en"")"),"When he reached the sea, he got this news from another passenger who was behind")</f>
        <v>When he reached the sea, he got this news from another passenger who was behind</v>
      </c>
      <c r="C3925" s="7" t="s">
        <v>6</v>
      </c>
      <c r="D3925" s="7" t="s">
        <v>7</v>
      </c>
      <c r="E3925" s="7">
        <v>0</v>
      </c>
    </row>
    <row r="3926" spans="1:5" ht="15.75" customHeight="1" x14ac:dyDescent="0.25">
      <c r="A3926" s="6" t="s">
        <v>3866</v>
      </c>
      <c r="B3926" s="6" t="str">
        <f ca="1">IFERROR(__xludf.DUMMYFUNCTION("GOOGLETRANSLATE(A3926,""bn"",""en"")"),"Two policemen grabbed Phatik from the car and brought him to Biswambhar Babu.")</f>
        <v>Two policemen grabbed Phatik from the car and brought him to Biswambhar Babu.</v>
      </c>
      <c r="C3926" s="7" t="s">
        <v>6</v>
      </c>
      <c r="D3926" s="7" t="s">
        <v>7</v>
      </c>
      <c r="E3926" s="7">
        <v>0</v>
      </c>
    </row>
    <row r="3927" spans="1:5" ht="15.75" customHeight="1" x14ac:dyDescent="0.25">
      <c r="A3927" s="6" t="s">
        <v>3867</v>
      </c>
      <c r="B3927" s="6" t="str">
        <f ca="1">IFERROR(__xludf.DUMMYFUNCTION("GOOGLETRANSLATE(A3927,""bn"",""en"")"),"Subscribe for more videos")</f>
        <v>Subscribe for more videos</v>
      </c>
      <c r="C3927" s="8" t="s">
        <v>13</v>
      </c>
      <c r="D3927" s="8" t="s">
        <v>14</v>
      </c>
      <c r="E3927" s="8">
        <v>1</v>
      </c>
    </row>
    <row r="3928" spans="1:5" ht="15.75" customHeight="1" x14ac:dyDescent="0.25">
      <c r="A3928" s="6" t="s">
        <v>3868</v>
      </c>
      <c r="B3928" s="6" t="str">
        <f ca="1">IFERROR(__xludf.DUMMYFUNCTION("GOOGLETRANSLATE(A3928,""bn"",""en"")"),"His results were quite good")</f>
        <v>His results were quite good</v>
      </c>
      <c r="C3928" s="8" t="s">
        <v>13</v>
      </c>
      <c r="D3928" s="8" t="s">
        <v>14</v>
      </c>
      <c r="E3928" s="8">
        <v>1</v>
      </c>
    </row>
    <row r="3929" spans="1:5" ht="15.75" customHeight="1" x14ac:dyDescent="0.25">
      <c r="A3929" s="6" t="s">
        <v>3869</v>
      </c>
      <c r="B3929" s="6" t="str">
        <f ca="1">IFERROR(__xludf.DUMMYFUNCTION("GOOGLETRANSLATE(A3929,""bn"",""en"")"),"Setting up automatic contributions to your retirement account can help you save consistently")</f>
        <v>Setting up automatic contributions to your retirement account can help you save consistently</v>
      </c>
      <c r="C3929" s="8" t="s">
        <v>13</v>
      </c>
      <c r="D3929" s="8" t="s">
        <v>14</v>
      </c>
      <c r="E3929" s="8">
        <v>1</v>
      </c>
    </row>
    <row r="3930" spans="1:5" ht="15.75" customHeight="1" x14ac:dyDescent="0.25">
      <c r="A3930" s="6" t="s">
        <v>3870</v>
      </c>
      <c r="B3930" s="6" t="str">
        <f ca="1">IFERROR(__xludf.DUMMYFUNCTION("GOOGLETRANSLATE(A3930,""bn"",""en"")"),"Suman asked me to go play in the field")</f>
        <v>Suman asked me to go play in the field</v>
      </c>
      <c r="C3930" s="8" t="s">
        <v>13</v>
      </c>
      <c r="D3930" s="8" t="s">
        <v>14</v>
      </c>
      <c r="E3930" s="8">
        <v>1</v>
      </c>
    </row>
    <row r="3931" spans="1:5" ht="15.75" customHeight="1" x14ac:dyDescent="0.25">
      <c r="A3931" s="6" t="s">
        <v>3871</v>
      </c>
      <c r="B3931" s="6" t="str">
        <f ca="1">IFERROR(__xludf.DUMMYFUNCTION("GOOGLETRANSLATE(A3931,""bn"",""en"")"),"Delivery drivers drop off packages at customers' doorsteps")</f>
        <v>Delivery drivers drop off packages at customers' doorsteps</v>
      </c>
      <c r="C3931" s="8" t="s">
        <v>13</v>
      </c>
      <c r="D3931" s="8" t="s">
        <v>14</v>
      </c>
      <c r="E3931" s="8">
        <v>1</v>
      </c>
    </row>
    <row r="3932" spans="1:5" ht="15.75" customHeight="1" x14ac:dyDescent="0.25">
      <c r="A3932" s="6" t="s">
        <v>3872</v>
      </c>
      <c r="B3932" s="6" t="str">
        <f ca="1">IFERROR(__xludf.DUMMYFUNCTION("GOOGLETRANSLATE(A3932,""bn"",""en"")"),"Binay could not concentrate on any of his day's work")</f>
        <v>Binay could not concentrate on any of his day's work</v>
      </c>
      <c r="C3932" s="7" t="s">
        <v>6</v>
      </c>
      <c r="D3932" s="7" t="s">
        <v>7</v>
      </c>
      <c r="E3932" s="7">
        <v>0</v>
      </c>
    </row>
    <row r="3933" spans="1:5" ht="15.75" customHeight="1" x14ac:dyDescent="0.25">
      <c r="A3933" s="6" t="s">
        <v>3873</v>
      </c>
      <c r="B3933" s="6" t="str">
        <f ca="1">IFERROR(__xludf.DUMMYFUNCTION("GOOGLETRANSLATE(A3933,""bn"",""en"")"),"Panic is waiting for him with outstretched hands")</f>
        <v>Panic is waiting for him with outstretched hands</v>
      </c>
      <c r="C3933" s="7" t="s">
        <v>6</v>
      </c>
      <c r="D3933" s="7" t="s">
        <v>7</v>
      </c>
      <c r="E3933" s="7">
        <v>0</v>
      </c>
    </row>
    <row r="3934" spans="1:5" ht="15.75" customHeight="1" x14ac:dyDescent="0.25">
      <c r="A3934" s="6" t="s">
        <v>3874</v>
      </c>
      <c r="B3934" s="6" t="str">
        <f ca="1">IFERROR(__xludf.DUMMYFUNCTION("GOOGLETRANSLATE(A3934,""bn"",""en"")"),"When he asked his mother for money, he handed over a hundred taka note")</f>
        <v>When he asked his mother for money, he handed over a hundred taka note</v>
      </c>
      <c r="C3934" s="7" t="s">
        <v>6</v>
      </c>
      <c r="D3934" s="7" t="s">
        <v>7</v>
      </c>
      <c r="E3934" s="7">
        <v>0</v>
      </c>
    </row>
    <row r="3935" spans="1:5" ht="15.75" customHeight="1" x14ac:dyDescent="0.25">
      <c r="A3935" s="6" t="s">
        <v>3875</v>
      </c>
      <c r="B3935" s="6" t="str">
        <f ca="1">IFERROR(__xludf.DUMMYFUNCTION("GOOGLETRANSLATE(A3935,""bn"",""en"")"),"You don't have to work hard")</f>
        <v>You don't have to work hard</v>
      </c>
      <c r="C3935" s="7" t="s">
        <v>6</v>
      </c>
      <c r="D3935" s="7" t="s">
        <v>7</v>
      </c>
      <c r="E3935" s="7">
        <v>0</v>
      </c>
    </row>
    <row r="3936" spans="1:5" ht="15.75" customHeight="1" x14ac:dyDescent="0.25">
      <c r="A3936" s="6" t="s">
        <v>3876</v>
      </c>
      <c r="B3936" s="6" t="str">
        <f ca="1">IFERROR(__xludf.DUMMYFUNCTION("GOOGLETRANSLATE(A3936,""bn"",""en"")"),"Take your wife back to the car")</f>
        <v>Take your wife back to the car</v>
      </c>
      <c r="C3936" s="7" t="s">
        <v>6</v>
      </c>
      <c r="D3936" s="7" t="s">
        <v>7</v>
      </c>
      <c r="E3936" s="7">
        <v>0</v>
      </c>
    </row>
    <row r="3937" spans="1:5" ht="15.75" customHeight="1" x14ac:dyDescent="0.25">
      <c r="A3937" s="6" t="s">
        <v>3877</v>
      </c>
      <c r="B3937" s="6" t="str">
        <f ca="1">IFERROR(__xludf.DUMMYFUNCTION("GOOGLETRANSLATE(A3937,""bn"",""en"")"),"Most of the books in this library were destroyed during the liberation war")</f>
        <v>Most of the books in this library were destroyed during the liberation war</v>
      </c>
      <c r="C3937" s="8" t="s">
        <v>13</v>
      </c>
      <c r="D3937" s="8" t="s">
        <v>14</v>
      </c>
      <c r="E3937" s="8">
        <v>1</v>
      </c>
    </row>
    <row r="3938" spans="1:5" ht="15.75" customHeight="1" x14ac:dyDescent="0.25">
      <c r="A3938" s="6" t="s">
        <v>3878</v>
      </c>
      <c r="B3938" s="6" t="str">
        <f ca="1">IFERROR(__xludf.DUMMYFUNCTION("GOOGLETRANSLATE(A3938,""bn"",""en"")"),"He used to get the bill and complete the calculation of the day")</f>
        <v>He used to get the bill and complete the calculation of the day</v>
      </c>
      <c r="C3938" s="8" t="s">
        <v>13</v>
      </c>
      <c r="D3938" s="8" t="s">
        <v>14</v>
      </c>
      <c r="E3938" s="8">
        <v>1</v>
      </c>
    </row>
    <row r="3939" spans="1:5" ht="15.75" customHeight="1" x14ac:dyDescent="0.25">
      <c r="A3939" s="6" t="s">
        <v>3879</v>
      </c>
      <c r="B3939" s="6" t="str">
        <f ca="1">IFERROR(__xludf.DUMMYFUNCTION("GOOGLETRANSLATE(A3939,""bn"",""en"")"),"The attraction of the Sun is also largely responsible for the tides")</f>
        <v>The attraction of the Sun is also largely responsible for the tides</v>
      </c>
      <c r="C3939" s="8" t="s">
        <v>13</v>
      </c>
      <c r="D3939" s="8" t="s">
        <v>14</v>
      </c>
      <c r="E3939" s="8">
        <v>1</v>
      </c>
    </row>
    <row r="3940" spans="1:5" ht="15.75" customHeight="1" x14ac:dyDescent="0.25">
      <c r="A3940" s="6" t="s">
        <v>3880</v>
      </c>
      <c r="B3940" s="6" t="str">
        <f ca="1">IFERROR(__xludf.DUMMYFUNCTION("GOOGLETRANSLATE(A3940,""bn"",""en"")"),"The evening air was filled with discussions of Gandhi Congress Hitler EV Ramjid")</f>
        <v>The evening air was filled with discussions of Gandhi Congress Hitler EV Ramjid</v>
      </c>
      <c r="C3940" s="8" t="s">
        <v>13</v>
      </c>
      <c r="D3940" s="8" t="s">
        <v>14</v>
      </c>
      <c r="E3940" s="8">
        <v>1</v>
      </c>
    </row>
    <row r="3941" spans="1:5" ht="15.75" customHeight="1" x14ac:dyDescent="0.25">
      <c r="A3941" s="6" t="s">
        <v>3881</v>
      </c>
      <c r="B3941" s="6" t="str">
        <f ca="1">IFERROR(__xludf.DUMMYFUNCTION("GOOGLETRANSLATE(A3941,""bn"",""en"")"),"Te Mohammedan were unbeaten league champions")</f>
        <v>Te Mohammedan were unbeaten league champions</v>
      </c>
      <c r="C3941" s="8" t="s">
        <v>13</v>
      </c>
      <c r="D3941" s="8" t="s">
        <v>14</v>
      </c>
      <c r="E3941" s="8">
        <v>1</v>
      </c>
    </row>
    <row r="3942" spans="1:5" ht="15.75" customHeight="1" x14ac:dyDescent="0.25">
      <c r="A3942" s="6" t="s">
        <v>3882</v>
      </c>
      <c r="B3942" s="6" t="str">
        <f ca="1">IFERROR(__xludf.DUMMYFUNCTION("GOOGLETRANSLATE(A3942,""bn"",""en"")"),"were you talking about me")</f>
        <v>were you talking about me</v>
      </c>
      <c r="C3942" s="7" t="s">
        <v>6</v>
      </c>
      <c r="D3942" s="7" t="s">
        <v>7</v>
      </c>
      <c r="E3942" s="7">
        <v>0</v>
      </c>
    </row>
    <row r="3943" spans="1:5" ht="15.75" customHeight="1" x14ac:dyDescent="0.25">
      <c r="A3943" s="6" t="s">
        <v>3883</v>
      </c>
      <c r="B3943" s="6" t="str">
        <f ca="1">IFERROR(__xludf.DUMMYFUNCTION("GOOGLETRANSLATE(A3943,""bn"",""en"")"),"As soon as he left, Shashankamohan turned to Upendra and said that your friend is very bigoted")</f>
        <v>As soon as he left, Shashankamohan turned to Upendra and said that your friend is very bigoted</v>
      </c>
      <c r="C3943" s="7" t="s">
        <v>6</v>
      </c>
      <c r="D3943" s="7" t="s">
        <v>7</v>
      </c>
      <c r="E3943" s="7">
        <v>0</v>
      </c>
    </row>
    <row r="3944" spans="1:5" ht="15.75" customHeight="1" x14ac:dyDescent="0.25">
      <c r="A3944" s="6" t="s">
        <v>3884</v>
      </c>
      <c r="B3944" s="6" t="str">
        <f ca="1">IFERROR(__xludf.DUMMYFUNCTION("GOOGLETRANSLATE(A3944,""bn"",""en"")"),"What is indispensable to the youth is scarce to the old")</f>
        <v>What is indispensable to the youth is scarce to the old</v>
      </c>
      <c r="C3944" s="7" t="s">
        <v>6</v>
      </c>
      <c r="D3944" s="7" t="s">
        <v>7</v>
      </c>
      <c r="E3944" s="7">
        <v>0</v>
      </c>
    </row>
    <row r="3945" spans="1:5" ht="15.75" customHeight="1" x14ac:dyDescent="0.25">
      <c r="A3945" s="6" t="s">
        <v>3885</v>
      </c>
      <c r="B3945" s="6" t="str">
        <f ca="1">IFERROR(__xludf.DUMMYFUNCTION("GOOGLETRANSLATE(A3945,""bn"",""en"")"),"Do not attend to such a great work for fear of the slight loss of the theater what the people will say if they hear it")</f>
        <v>Do not attend to such a great work for fear of the slight loss of the theater what the people will say if they hear it</v>
      </c>
      <c r="C3945" s="7" t="s">
        <v>6</v>
      </c>
      <c r="D3945" s="7" t="s">
        <v>7</v>
      </c>
      <c r="E3945" s="7">
        <v>0</v>
      </c>
    </row>
    <row r="3946" spans="1:5" ht="15.75" customHeight="1" x14ac:dyDescent="0.25">
      <c r="A3946" s="6" t="s">
        <v>3886</v>
      </c>
      <c r="B3946" s="6" t="str">
        <f ca="1">IFERROR(__xludf.DUMMYFUNCTION("GOOGLETRANSLATE(A3946,""bn"",""en"")"),"The heat of grief is not yours alone, mother")</f>
        <v>The heat of grief is not yours alone, mother</v>
      </c>
      <c r="C3946" s="7" t="s">
        <v>6</v>
      </c>
      <c r="D3946" s="7" t="s">
        <v>7</v>
      </c>
      <c r="E3946" s="7">
        <v>0</v>
      </c>
    </row>
    <row r="3947" spans="1:5" ht="15.75" customHeight="1" x14ac:dyDescent="0.25">
      <c r="A3947" s="6" t="s">
        <v>3887</v>
      </c>
      <c r="B3947" s="6" t="str">
        <f ca="1">IFERROR(__xludf.DUMMYFUNCTION("GOOGLETRANSLATE(A3947,""bn"",""en"")"),"I can't do it")</f>
        <v>I can't do it</v>
      </c>
      <c r="C3947" s="8" t="s">
        <v>13</v>
      </c>
      <c r="D3947" s="8" t="s">
        <v>14</v>
      </c>
      <c r="E3947" s="8">
        <v>1</v>
      </c>
    </row>
    <row r="3948" spans="1:5" ht="15.75" customHeight="1" x14ac:dyDescent="0.25">
      <c r="A3948" s="6" t="s">
        <v>3888</v>
      </c>
      <c r="B3948" s="6" t="str">
        <f ca="1">IFERROR(__xludf.DUMMYFUNCTION("GOOGLETRANSLATE(A3948,""bn"",""en"")"),"Advaita Ashram also runs a charitable hospital at Mayawati")</f>
        <v>Advaita Ashram also runs a charitable hospital at Mayawati</v>
      </c>
      <c r="C3948" s="8" t="s">
        <v>13</v>
      </c>
      <c r="D3948" s="8" t="s">
        <v>14</v>
      </c>
      <c r="E3948" s="8">
        <v>1</v>
      </c>
    </row>
    <row r="3949" spans="1:5" ht="15.75" customHeight="1" x14ac:dyDescent="0.25">
      <c r="A3949" s="6" t="s">
        <v>3889</v>
      </c>
      <c r="B3949" s="6" t="str">
        <f ca="1">IFERROR(__xludf.DUMMYFUNCTION("GOOGLETRANSLATE(A3949,""bn"",""en"")"),"Avoiding challenges only prolongs the struggle")</f>
        <v>Avoiding challenges only prolongs the struggle</v>
      </c>
      <c r="C3949" s="8" t="s">
        <v>13</v>
      </c>
      <c r="D3949" s="8" t="s">
        <v>14</v>
      </c>
      <c r="E3949" s="8">
        <v>1</v>
      </c>
    </row>
    <row r="3950" spans="1:5" ht="15.75" customHeight="1" x14ac:dyDescent="0.25">
      <c r="A3950" s="6" t="s">
        <v>3890</v>
      </c>
      <c r="B3950" s="6" t="str">
        <f ca="1">IFERROR(__xludf.DUMMYFUNCTION("GOOGLETRANSLATE(A3950,""bn"",""en"")"),"Personal trainers guide clients through workouts at the gym")</f>
        <v>Personal trainers guide clients through workouts at the gym</v>
      </c>
      <c r="C3950" s="8" t="s">
        <v>13</v>
      </c>
      <c r="D3950" s="8" t="s">
        <v>14</v>
      </c>
      <c r="E3950" s="8">
        <v>1</v>
      </c>
    </row>
    <row r="3951" spans="1:5" ht="15.75" customHeight="1" x14ac:dyDescent="0.25">
      <c r="A3951" s="6" t="s">
        <v>3891</v>
      </c>
      <c r="B3951" s="6" t="str">
        <f ca="1">IFERROR(__xludf.DUMMYFUNCTION("GOOGLETRANSLATE(A3951,""bn"",""en"")"),"I explained it to him.")</f>
        <v>I explained it to him.</v>
      </c>
      <c r="C3951" s="8" t="s">
        <v>13</v>
      </c>
      <c r="D3951" s="8" t="s">
        <v>14</v>
      </c>
      <c r="E3951" s="8">
        <v>1</v>
      </c>
    </row>
    <row r="3952" spans="1:5" ht="15.75" customHeight="1" x14ac:dyDescent="0.25">
      <c r="A3952" s="6" t="s">
        <v>3892</v>
      </c>
      <c r="B3952" s="6" t="str">
        <f ca="1">IFERROR(__xludf.DUMMYFUNCTION("GOOGLETRANSLATE(A3952,""bn"",""en"")"),"At this, Harimohan became more angry with the grandfather than the son")</f>
        <v>At this, Harimohan became more angry with the grandfather than the son</v>
      </c>
      <c r="C3952" s="7" t="s">
        <v>6</v>
      </c>
      <c r="D3952" s="7" t="s">
        <v>7</v>
      </c>
      <c r="E3952" s="7">
        <v>0</v>
      </c>
    </row>
    <row r="3953" spans="1:5" ht="15.75" customHeight="1" x14ac:dyDescent="0.25">
      <c r="A3953" s="6" t="s">
        <v>3893</v>
      </c>
      <c r="B3953" s="6" t="str">
        <f ca="1">IFERROR(__xludf.DUMMYFUNCTION("GOOGLETRANSLATE(A3953,""bn"",""en"")"),"The slave does all his work without pay")</f>
        <v>The slave does all his work without pay</v>
      </c>
      <c r="C3953" s="7" t="s">
        <v>6</v>
      </c>
      <c r="D3953" s="7" t="s">
        <v>7</v>
      </c>
      <c r="E3953" s="7">
        <v>0</v>
      </c>
    </row>
    <row r="3954" spans="1:5" ht="15.75" customHeight="1" x14ac:dyDescent="0.25">
      <c r="A3954" s="6" t="s">
        <v>3894</v>
      </c>
      <c r="B3954" s="6" t="str">
        <f ca="1">IFERROR(__xludf.DUMMYFUNCTION("GOOGLETRANSLATE(A3954,""bn"",""en"")"),"Forgive me once what has happened")</f>
        <v>Forgive me once what has happened</v>
      </c>
      <c r="C3954" s="7" t="s">
        <v>6</v>
      </c>
      <c r="D3954" s="7" t="s">
        <v>7</v>
      </c>
      <c r="E3954" s="7">
        <v>0</v>
      </c>
    </row>
    <row r="3955" spans="1:5" ht="15.75" customHeight="1" x14ac:dyDescent="0.25">
      <c r="A3955" s="6" t="s">
        <v>1146</v>
      </c>
      <c r="B3955" s="6" t="str">
        <f ca="1">IFERROR(__xludf.DUMMYFUNCTION("GOOGLETRANSLATE(A3955,""bn"",""en"")"),"As the vitality of the individual declines, so the vitality of the species decays and gradually disappears.")</f>
        <v>As the vitality of the individual declines, so the vitality of the species decays and gradually disappears.</v>
      </c>
      <c r="C3955" s="7" t="s">
        <v>6</v>
      </c>
      <c r="D3955" s="7" t="s">
        <v>7</v>
      </c>
      <c r="E3955" s="7">
        <v>0</v>
      </c>
    </row>
    <row r="3956" spans="1:5" ht="15.75" customHeight="1" x14ac:dyDescent="0.25">
      <c r="A3956" s="6" t="s">
        <v>3895</v>
      </c>
      <c r="B3956" s="6" t="str">
        <f ca="1">IFERROR(__xludf.DUMMYFUNCTION("GOOGLETRANSLATE(A3956,""bn"",""en"")"),"The echo again went to the other side of the mountain from the long roar as before")</f>
        <v>The echo again went to the other side of the mountain from the long roar as before</v>
      </c>
      <c r="C3956" s="7" t="s">
        <v>6</v>
      </c>
      <c r="D3956" s="7" t="s">
        <v>7</v>
      </c>
      <c r="E3956" s="7">
        <v>0</v>
      </c>
    </row>
    <row r="3957" spans="1:5" ht="15.75" customHeight="1" x14ac:dyDescent="0.25">
      <c r="A3957" s="6" t="s">
        <v>3896</v>
      </c>
      <c r="B3957" s="6" t="str">
        <f ca="1">IFERROR(__xludf.DUMMYFUNCTION("GOOGLETRANSLATE(A3957,""bn"",""en"")"),"The rustling of leaves in the wind was a constant backdrop to the tranquil scene")</f>
        <v>The rustling of leaves in the wind was a constant backdrop to the tranquil scene</v>
      </c>
      <c r="C3957" s="8" t="s">
        <v>13</v>
      </c>
      <c r="D3957" s="8" t="s">
        <v>14</v>
      </c>
      <c r="E3957" s="8">
        <v>1</v>
      </c>
    </row>
    <row r="3958" spans="1:5" ht="15.75" customHeight="1" x14ac:dyDescent="0.25">
      <c r="A3958" s="6" t="s">
        <v>3897</v>
      </c>
      <c r="B3958" s="6" t="str">
        <f ca="1">IFERROR(__xludf.DUMMYFUNCTION("GOOGLETRANSLATE(A3958,""bn"",""en"")"),"Rahim Sahib ordered it to be done")</f>
        <v>Rahim Sahib ordered it to be done</v>
      </c>
      <c r="C3958" s="8" t="s">
        <v>13</v>
      </c>
      <c r="D3958" s="8" t="s">
        <v>14</v>
      </c>
      <c r="E3958" s="8">
        <v>1</v>
      </c>
    </row>
    <row r="3959" spans="1:5" ht="15.75" customHeight="1" x14ac:dyDescent="0.25">
      <c r="A3959" s="6" t="s">
        <v>3898</v>
      </c>
      <c r="B3959" s="6" t="str">
        <f ca="1">IFERROR(__xludf.DUMMYFUNCTION("GOOGLETRANSLATE(A3959,""bn"",""en"")"),"This experience left a lasting impression on me and I will definitely be back")</f>
        <v>This experience left a lasting impression on me and I will definitely be back</v>
      </c>
      <c r="C3959" s="8" t="s">
        <v>13</v>
      </c>
      <c r="D3959" s="8" t="s">
        <v>14</v>
      </c>
      <c r="E3959" s="8">
        <v>1</v>
      </c>
    </row>
    <row r="3960" spans="1:5" ht="15.75" customHeight="1" x14ac:dyDescent="0.25">
      <c r="A3960" s="6" t="s">
        <v>3899</v>
      </c>
      <c r="B3960" s="6" t="str">
        <f ca="1">IFERROR(__xludf.DUMMYFUNCTION("GOOGLETRANSLATE(A3960,""bn"",""en"")"),"The call to prayer will not be played")</f>
        <v>The call to prayer will not be played</v>
      </c>
      <c r="C3960" s="8" t="s">
        <v>13</v>
      </c>
      <c r="D3960" s="8" t="s">
        <v>14</v>
      </c>
      <c r="E3960" s="8">
        <v>1</v>
      </c>
    </row>
    <row r="3961" spans="1:5" ht="15.75" customHeight="1" x14ac:dyDescent="0.25">
      <c r="A3961" s="6" t="s">
        <v>3900</v>
      </c>
      <c r="B3961" s="6" t="str">
        <f ca="1">IFERROR(__xludf.DUMMYFUNCTION("GOOGLETRANSLATE(A3961,""bn"",""en"")"),"Zesty salsa tacos liven up the night")</f>
        <v>Zesty salsa tacos liven up the night</v>
      </c>
      <c r="C3961" s="8" t="s">
        <v>13</v>
      </c>
      <c r="D3961" s="8" t="s">
        <v>14</v>
      </c>
      <c r="E3961" s="8">
        <v>1</v>
      </c>
    </row>
    <row r="3962" spans="1:5" ht="15.75" customHeight="1" x14ac:dyDescent="0.25">
      <c r="A3962" s="6" t="s">
        <v>3901</v>
      </c>
      <c r="B3962" s="6" t="str">
        <f ca="1">IFERROR(__xludf.DUMMYFUNCTION("GOOGLETRANSLATE(A3962,""bn"",""en"")"),"Whether this was true or false, I was greatly distressed")</f>
        <v>Whether this was true or false, I was greatly distressed</v>
      </c>
      <c r="C3962" s="7" t="s">
        <v>6</v>
      </c>
      <c r="D3962" s="7" t="s">
        <v>7</v>
      </c>
      <c r="E3962" s="7">
        <v>0</v>
      </c>
    </row>
    <row r="3963" spans="1:5" ht="15.75" customHeight="1" x14ac:dyDescent="0.25">
      <c r="A3963" s="6" t="s">
        <v>3902</v>
      </c>
      <c r="B3963" s="6" t="str">
        <f ca="1">IFERROR(__xludf.DUMMYFUNCTION("GOOGLETRANSLATE(A3963,""bn"",""en"")"),"While passing through such a forest, at one place suddenly the melancholy sound of a wooden bell was heard.")</f>
        <v>While passing through such a forest, at one place suddenly the melancholy sound of a wooden bell was heard.</v>
      </c>
      <c r="C3963" s="7" t="s">
        <v>6</v>
      </c>
      <c r="D3963" s="7" t="s">
        <v>7</v>
      </c>
      <c r="E3963" s="7">
        <v>0</v>
      </c>
    </row>
    <row r="3964" spans="1:5" ht="15.75" customHeight="1" x14ac:dyDescent="0.25">
      <c r="A3964" s="6" t="s">
        <v>1227</v>
      </c>
      <c r="B3964" s="6" t="str">
        <f ca="1">IFERROR(__xludf.DUMMYFUNCTION("GOOGLETRANSLATE(A3964,""bn"",""en"")"),"For whatever reason he is afraid")</f>
        <v>For whatever reason he is afraid</v>
      </c>
      <c r="C3964" s="7" t="s">
        <v>6</v>
      </c>
      <c r="D3964" s="7" t="s">
        <v>7</v>
      </c>
      <c r="E3964" s="7">
        <v>0</v>
      </c>
    </row>
    <row r="3965" spans="1:5" ht="15.75" customHeight="1" x14ac:dyDescent="0.25">
      <c r="A3965" s="6" t="s">
        <v>3903</v>
      </c>
      <c r="B3965" s="6" t="str">
        <f ca="1">IFERROR(__xludf.DUMMYFUNCTION("GOOGLETRANSLATE(A3965,""bn"",""en"")"),"If it can be prepared according to the Bilati method, it can be Mouer brandy")</f>
        <v>If it can be prepared according to the Bilati method, it can be Mouer brandy</v>
      </c>
      <c r="C3965" s="7" t="s">
        <v>6</v>
      </c>
      <c r="D3965" s="7" t="s">
        <v>7</v>
      </c>
      <c r="E3965" s="7">
        <v>0</v>
      </c>
    </row>
    <row r="3966" spans="1:5" ht="15.75" customHeight="1" x14ac:dyDescent="0.25">
      <c r="A3966" s="6" t="s">
        <v>3503</v>
      </c>
      <c r="B3966" s="6" t="str">
        <f ca="1">IFERROR(__xludf.DUMMYFUNCTION("GOOGLETRANSLATE(A3966,""bn"",""en"")"),"At that time, he was very sleepy, so there was no special conversation")</f>
        <v>At that time, he was very sleepy, so there was no special conversation</v>
      </c>
      <c r="C3966" s="7" t="s">
        <v>6</v>
      </c>
      <c r="D3966" s="7" t="s">
        <v>7</v>
      </c>
      <c r="E3966" s="7">
        <v>0</v>
      </c>
    </row>
    <row r="3967" spans="1:5" ht="15.75" customHeight="1" x14ac:dyDescent="0.25">
      <c r="A3967" s="6" t="s">
        <v>3904</v>
      </c>
      <c r="B3967" s="6" t="str">
        <f ca="1">IFERROR(__xludf.DUMMYFUNCTION("GOOGLETRANSLATE(A3967,""bn"",""en"")"),"Noor was listening to me")</f>
        <v>Noor was listening to me</v>
      </c>
      <c r="C3967" s="8" t="s">
        <v>13</v>
      </c>
      <c r="D3967" s="8" t="s">
        <v>14</v>
      </c>
      <c r="E3967" s="8">
        <v>1</v>
      </c>
    </row>
    <row r="3968" spans="1:5" ht="15.75" customHeight="1" x14ac:dyDescent="0.25">
      <c r="A3968" s="6" t="s">
        <v>3905</v>
      </c>
      <c r="B3968" s="6" t="str">
        <f ca="1">IFERROR(__xludf.DUMMYFUNCTION("GOOGLETRANSLATE(A3968,""bn"",""en"")"),"Mix up workouts to avoid boredom")</f>
        <v>Mix up workouts to avoid boredom</v>
      </c>
      <c r="C3968" s="8" t="s">
        <v>13</v>
      </c>
      <c r="D3968" s="8" t="s">
        <v>14</v>
      </c>
      <c r="E3968" s="8">
        <v>1</v>
      </c>
    </row>
    <row r="3969" spans="1:5" ht="15.75" customHeight="1" x14ac:dyDescent="0.25">
      <c r="A3969" s="6" t="s">
        <v>3906</v>
      </c>
      <c r="B3969" s="6" t="str">
        <f ca="1">IFERROR(__xludf.DUMMYFUNCTION("GOOGLETRANSLATE(A3969,""bn"",""en"")"),"The item arrived much later than expected which was disappointing")</f>
        <v>The item arrived much later than expected which was disappointing</v>
      </c>
      <c r="C3969" s="8" t="s">
        <v>13</v>
      </c>
      <c r="D3969" s="8" t="s">
        <v>14</v>
      </c>
      <c r="E3969" s="8">
        <v>1</v>
      </c>
    </row>
    <row r="3970" spans="1:5" ht="15.75" customHeight="1" x14ac:dyDescent="0.25">
      <c r="A3970" s="6" t="s">
        <v>3907</v>
      </c>
      <c r="B3970" s="6" t="str">
        <f ca="1">IFERROR(__xludf.DUMMYFUNCTION("GOOGLETRANSLATE(A3970,""bn"",""en"")"),"do you recognize me")</f>
        <v>do you recognize me</v>
      </c>
      <c r="C3970" s="8" t="s">
        <v>13</v>
      </c>
      <c r="D3970" s="8" t="s">
        <v>14</v>
      </c>
      <c r="E3970" s="8">
        <v>1</v>
      </c>
    </row>
    <row r="3971" spans="1:5" ht="15.75" customHeight="1" x14ac:dyDescent="0.25">
      <c r="A3971" s="6" t="s">
        <v>3908</v>
      </c>
      <c r="B3971" s="6" t="str">
        <f ca="1">IFERROR(__xludf.DUMMYFUNCTION("GOOGLETRANSLATE(A3971,""bn"",""en"")"),"Many may not want to believe the story")</f>
        <v>Many may not want to believe the story</v>
      </c>
      <c r="C3971" s="8" t="s">
        <v>13</v>
      </c>
      <c r="D3971" s="8" t="s">
        <v>14</v>
      </c>
      <c r="E3971" s="8">
        <v>1</v>
      </c>
    </row>
    <row r="3972" spans="1:5" ht="15.75" customHeight="1" x14ac:dyDescent="0.25">
      <c r="A3972" s="6" t="s">
        <v>3909</v>
      </c>
      <c r="B3972" s="6" t="str">
        <f ca="1">IFERROR(__xludf.DUMMYFUNCTION("GOOGLETRANSLATE(A3972,""bn"",""en"")"),"I could not go further")</f>
        <v>I could not go further</v>
      </c>
      <c r="C3972" s="7" t="s">
        <v>6</v>
      </c>
      <c r="D3972" s="7" t="s">
        <v>7</v>
      </c>
      <c r="E3972" s="7">
        <v>0</v>
      </c>
    </row>
    <row r="3973" spans="1:5" ht="15.75" customHeight="1" x14ac:dyDescent="0.25">
      <c r="A3973" s="6" t="s">
        <v>3910</v>
      </c>
      <c r="B3973" s="6" t="str">
        <f ca="1">IFERROR(__xludf.DUMMYFUNCTION("GOOGLETRANSLATE(A3973,""bn"",""en"")"),"In the middle of his speech, he said whatever God Babu has to say to my master")</f>
        <v>In the middle of his speech, he said whatever God Babu has to say to my master</v>
      </c>
      <c r="C3973" s="7" t="s">
        <v>6</v>
      </c>
      <c r="D3973" s="7" t="s">
        <v>7</v>
      </c>
      <c r="E3973" s="7">
        <v>0</v>
      </c>
    </row>
    <row r="3974" spans="1:5" ht="15.75" customHeight="1" x14ac:dyDescent="0.25">
      <c r="A3974" s="6" t="s">
        <v>3911</v>
      </c>
      <c r="B3974" s="6" t="str">
        <f ca="1">IFERROR(__xludf.DUMMYFUNCTION("GOOGLETRANSLATE(A3974,""bn"",""en"")"),"Rony Sahib will spend the rest of his life in comfort")</f>
        <v>Rony Sahib will spend the rest of his life in comfort</v>
      </c>
      <c r="C3974" s="7" t="s">
        <v>6</v>
      </c>
      <c r="D3974" s="7" t="s">
        <v>7</v>
      </c>
      <c r="E3974" s="7">
        <v>0</v>
      </c>
    </row>
    <row r="3975" spans="1:5" ht="15.75" customHeight="1" x14ac:dyDescent="0.25">
      <c r="A3975" s="6" t="s">
        <v>1834</v>
      </c>
      <c r="B3975" s="6" t="str">
        <f ca="1">IFERROR(__xludf.DUMMYFUNCTION("GOOGLETRANSLATE(A3975,""bn"",""en"")"),"That's why I was saying that the words of Vihanga were very beautiful")</f>
        <v>That's why I was saying that the words of Vihanga were very beautiful</v>
      </c>
      <c r="C3975" s="7" t="s">
        <v>6</v>
      </c>
      <c r="D3975" s="7" t="s">
        <v>7</v>
      </c>
      <c r="E3975" s="7">
        <v>0</v>
      </c>
    </row>
    <row r="3976" spans="1:5" ht="15.75" customHeight="1" x14ac:dyDescent="0.25">
      <c r="A3976" s="6" t="s">
        <v>3912</v>
      </c>
      <c r="B3976" s="6" t="str">
        <f ca="1">IFERROR(__xludf.DUMMYFUNCTION("GOOGLETRANSLATE(A3976,""bn"",""en"")"),"The gentleman again asked where")</f>
        <v>The gentleman again asked where</v>
      </c>
      <c r="C3976" s="7" t="s">
        <v>6</v>
      </c>
      <c r="D3976" s="7" t="s">
        <v>7</v>
      </c>
      <c r="E3976" s="7">
        <v>0</v>
      </c>
    </row>
    <row r="3977" spans="1:5" ht="15.75" customHeight="1" x14ac:dyDescent="0.25">
      <c r="A3977" s="6" t="s">
        <v>3913</v>
      </c>
      <c r="B3977" s="6" t="str">
        <f ca="1">IFERROR(__xludf.DUMMYFUNCTION("GOOGLETRANSLATE(A3977,""bn"",""en"")"),"Finding an honest boss in career is now a matter of luck")</f>
        <v>Finding an honest boss in career is now a matter of luck</v>
      </c>
      <c r="C3977" s="8" t="s">
        <v>13</v>
      </c>
      <c r="D3977" s="8" t="s">
        <v>14</v>
      </c>
      <c r="E3977" s="8">
        <v>1</v>
      </c>
    </row>
    <row r="3978" spans="1:5" ht="15.75" customHeight="1" x14ac:dyDescent="0.25">
      <c r="A3978" s="6" t="s">
        <v>3914</v>
      </c>
      <c r="B3978" s="6" t="str">
        <f ca="1">IFERROR(__xludf.DUMMYFUNCTION("GOOGLETRANSLATE(A3978,""bn"",""en"")"),"Customer service representative resolved inquiry complaint over phone")</f>
        <v>Customer service representative resolved inquiry complaint over phone</v>
      </c>
      <c r="C3978" s="8" t="s">
        <v>13</v>
      </c>
      <c r="D3978" s="8" t="s">
        <v>14</v>
      </c>
      <c r="E3978" s="8">
        <v>1</v>
      </c>
    </row>
    <row r="3979" spans="1:5" ht="15.75" customHeight="1" x14ac:dyDescent="0.25">
      <c r="A3979" s="6" t="s">
        <v>3915</v>
      </c>
      <c r="B3979" s="6" t="str">
        <f ca="1">IFERROR(__xludf.DUMMYFUNCTION("GOOGLETRANSLATE(A3979,""bn"",""en"")"),"I was thoroughly impressed by the attention to detail on this product")</f>
        <v>I was thoroughly impressed by the attention to detail on this product</v>
      </c>
      <c r="C3979" s="8" t="s">
        <v>13</v>
      </c>
      <c r="D3979" s="8" t="s">
        <v>14</v>
      </c>
      <c r="E3979" s="8">
        <v>1</v>
      </c>
    </row>
    <row r="3980" spans="1:5" ht="15.75" customHeight="1" x14ac:dyDescent="0.25">
      <c r="A3980" s="6" t="s">
        <v>3916</v>
      </c>
      <c r="B3980" s="6" t="str">
        <f ca="1">IFERROR(__xludf.DUMMYFUNCTION("GOOGLETRANSLATE(A3980,""bn"",""en"")"),"Shafiq came to me and told me everything")</f>
        <v>Shafiq came to me and told me everything</v>
      </c>
      <c r="C3980" s="8" t="s">
        <v>13</v>
      </c>
      <c r="D3980" s="8" t="s">
        <v>14</v>
      </c>
      <c r="E3980" s="8">
        <v>1</v>
      </c>
    </row>
    <row r="3981" spans="1:5" ht="15.75" customHeight="1" x14ac:dyDescent="0.25">
      <c r="A3981" s="6" t="s">
        <v>3917</v>
      </c>
      <c r="B3981" s="6" t="str">
        <f ca="1">IFERROR(__xludf.DUMMYFUNCTION("GOOGLETRANSLATE(A3981,""bn"",""en"")"),"Tamim is going to the field to play")</f>
        <v>Tamim is going to the field to play</v>
      </c>
      <c r="C3981" s="8" t="s">
        <v>13</v>
      </c>
      <c r="D3981" s="8" t="s">
        <v>14</v>
      </c>
      <c r="E3981" s="8">
        <v>1</v>
      </c>
    </row>
    <row r="3982" spans="1:5" ht="15.75" customHeight="1" x14ac:dyDescent="0.25">
      <c r="A3982" s="6" t="s">
        <v>3918</v>
      </c>
      <c r="B3982" s="6" t="str">
        <f ca="1">IFERROR(__xludf.DUMMYFUNCTION("GOOGLETRANSLATE(A3982,""bn"",""en"")"),"Shashi took a breath and said de open the boat de Govardhan")</f>
        <v>Shashi took a breath and said de open the boat de Govardhan</v>
      </c>
      <c r="C3982" s="7" t="s">
        <v>6</v>
      </c>
      <c r="D3982" s="7" t="s">
        <v>7</v>
      </c>
      <c r="E3982" s="7">
        <v>0</v>
      </c>
    </row>
    <row r="3983" spans="1:5" ht="15.75" customHeight="1" x14ac:dyDescent="0.25">
      <c r="A3983" s="6" t="s">
        <v>3919</v>
      </c>
      <c r="B3983" s="6" t="str">
        <f ca="1">IFERROR(__xludf.DUMMYFUNCTION("GOOGLETRANSLATE(A3983,""bn"",""en"")"),"The tiger will come and catch me and eat me, all these things never came to my mind")</f>
        <v>The tiger will come and catch me and eat me, all these things never came to my mind</v>
      </c>
      <c r="C3983" s="7" t="s">
        <v>6</v>
      </c>
      <c r="D3983" s="7" t="s">
        <v>7</v>
      </c>
      <c r="E3983" s="7">
        <v>0</v>
      </c>
    </row>
    <row r="3984" spans="1:5" ht="15.75" customHeight="1" x14ac:dyDescent="0.25">
      <c r="A3984" s="6" t="s">
        <v>3920</v>
      </c>
      <c r="B3984" s="6" t="str">
        <f ca="1">IFERROR(__xludf.DUMMYFUNCTION("GOOGLETRANSLATE(A3984,""bn"",""en"")"),"I left saying that I can't see the stupidity of people")</f>
        <v>I left saying that I can't see the stupidity of people</v>
      </c>
      <c r="C3984" s="7" t="s">
        <v>6</v>
      </c>
      <c r="D3984" s="7" t="s">
        <v>7</v>
      </c>
      <c r="E3984" s="7">
        <v>0</v>
      </c>
    </row>
    <row r="3985" spans="1:5" ht="15.75" customHeight="1" x14ac:dyDescent="0.25">
      <c r="A3985" s="6" t="s">
        <v>3921</v>
      </c>
      <c r="B3985" s="6" t="str">
        <f ca="1">IFERROR(__xludf.DUMMYFUNCTION("GOOGLETRANSLATE(A3985,""bn"",""en"")"),"And those saints who do not have a dictionary in their house may not understand anything")</f>
        <v>And those saints who do not have a dictionary in their house may not understand anything</v>
      </c>
      <c r="C3985" s="7" t="s">
        <v>6</v>
      </c>
      <c r="D3985" s="7" t="s">
        <v>7</v>
      </c>
      <c r="E3985" s="7">
        <v>0</v>
      </c>
    </row>
    <row r="3986" spans="1:5" ht="15.75" customHeight="1" x14ac:dyDescent="0.25">
      <c r="A3986" s="6" t="s">
        <v>3922</v>
      </c>
      <c r="B3986" s="6" t="str">
        <f ca="1">IFERROR(__xludf.DUMMYFUNCTION("GOOGLETRANSLATE(A3986,""bn"",""en"")"),"Their grown men are getting chalky")</f>
        <v>Their grown men are getting chalky</v>
      </c>
      <c r="C3986" s="7" t="s">
        <v>6</v>
      </c>
      <c r="D3986" s="7" t="s">
        <v>7</v>
      </c>
      <c r="E3986" s="7">
        <v>0</v>
      </c>
    </row>
    <row r="3987" spans="1:5" ht="15.75" customHeight="1" x14ac:dyDescent="0.25">
      <c r="A3987" s="6" t="s">
        <v>3923</v>
      </c>
      <c r="B3987" s="6" t="str">
        <f ca="1">IFERROR(__xludf.DUMMYFUNCTION("GOOGLETRANSLATE(A3987,""bn"",""en"")"),"This book kept me engaged from start to finish")</f>
        <v>This book kept me engaged from start to finish</v>
      </c>
      <c r="C3987" s="8" t="s">
        <v>13</v>
      </c>
      <c r="D3987" s="8" t="s">
        <v>14</v>
      </c>
      <c r="E3987" s="8">
        <v>1</v>
      </c>
    </row>
    <row r="3988" spans="1:5" ht="15.75" customHeight="1" x14ac:dyDescent="0.25">
      <c r="A3988" s="6" t="s">
        <v>3924</v>
      </c>
      <c r="B3988" s="6" t="str">
        <f ca="1">IFERROR(__xludf.DUMMYFUNCTION("GOOGLETRANSLATE(A3988,""bn"",""en"")"),"Hypertensive retinopathy is damage to the blood vessels in the retina caused by high blood pressure")</f>
        <v>Hypertensive retinopathy is damage to the blood vessels in the retina caused by high blood pressure</v>
      </c>
      <c r="C3988" s="8" t="s">
        <v>13</v>
      </c>
      <c r="D3988" s="8" t="s">
        <v>14</v>
      </c>
      <c r="E3988" s="8">
        <v>1</v>
      </c>
    </row>
    <row r="3989" spans="1:5" ht="15.75" customHeight="1" x14ac:dyDescent="0.25">
      <c r="A3989" s="6" t="s">
        <v>3925</v>
      </c>
      <c r="B3989" s="6" t="str">
        <f ca="1">IFERROR(__xludf.DUMMYFUNCTION("GOOGLETRANSLATE(A3989,""bn"",""en"")"),"did you sleep")</f>
        <v>did you sleep</v>
      </c>
      <c r="C3989" s="8" t="s">
        <v>13</v>
      </c>
      <c r="D3989" s="8" t="s">
        <v>14</v>
      </c>
      <c r="E3989" s="8">
        <v>1</v>
      </c>
    </row>
    <row r="3990" spans="1:5" ht="15.75" customHeight="1" x14ac:dyDescent="0.25">
      <c r="A3990" s="6" t="s">
        <v>3926</v>
      </c>
      <c r="B3990" s="6" t="str">
        <f ca="1">IFERROR(__xludf.DUMMYFUNCTION("GOOGLETRANSLATE(A3990,""bn"",""en"")"),"If successful, he gets a chance to leap forward")</f>
        <v>If successful, he gets a chance to leap forward</v>
      </c>
      <c r="C3990" s="8" t="s">
        <v>13</v>
      </c>
      <c r="D3990" s="8" t="s">
        <v>14</v>
      </c>
      <c r="E3990" s="8">
        <v>1</v>
      </c>
    </row>
    <row r="3991" spans="1:5" ht="15.75" customHeight="1" x14ac:dyDescent="0.25">
      <c r="A3991" s="6" t="s">
        <v>3927</v>
      </c>
      <c r="B3991" s="6" t="str">
        <f ca="1">IFERROR(__xludf.DUMMYFUNCTION("GOOGLETRANSLATE(A3991,""bn"",""en"")"),"Our train stopped at the last station")</f>
        <v>Our train stopped at the last station</v>
      </c>
      <c r="C3991" s="8" t="s">
        <v>13</v>
      </c>
      <c r="D3991" s="8" t="s">
        <v>14</v>
      </c>
      <c r="E3991" s="8">
        <v>1</v>
      </c>
    </row>
    <row r="3992" spans="1:5" ht="15.75" customHeight="1" x14ac:dyDescent="0.25">
      <c r="A3992" s="6" t="s">
        <v>3928</v>
      </c>
      <c r="B3992" s="6" t="str">
        <f ca="1">IFERROR(__xludf.DUMMYFUNCTION("GOOGLETRANSLATE(A3992,""bn"",""en"")"),"He was burned by the intense poison of doubt")</f>
        <v>He was burned by the intense poison of doubt</v>
      </c>
      <c r="C3992" s="7" t="s">
        <v>6</v>
      </c>
      <c r="D3992" s="7" t="s">
        <v>7</v>
      </c>
      <c r="E3992" s="7">
        <v>0</v>
      </c>
    </row>
    <row r="3993" spans="1:5" ht="15.75" customHeight="1" x14ac:dyDescent="0.25">
      <c r="A3993" s="6" t="s">
        <v>3929</v>
      </c>
      <c r="B3993" s="6" t="str">
        <f ca="1">IFERROR(__xludf.DUMMYFUNCTION("GOOGLETRANSLATE(A3993,""bn"",""en"")"),"The days have passed like this - the moment has endured and nothing can be done")</f>
        <v>The days have passed like this - the moment has endured and nothing can be done</v>
      </c>
      <c r="C3993" s="7" t="s">
        <v>6</v>
      </c>
      <c r="D3993" s="7" t="s">
        <v>7</v>
      </c>
      <c r="E3993" s="7">
        <v>0</v>
      </c>
    </row>
    <row r="3994" spans="1:5" ht="15.75" customHeight="1" x14ac:dyDescent="0.25">
      <c r="A3994" s="6" t="s">
        <v>3930</v>
      </c>
      <c r="B3994" s="6" t="str">
        <f ca="1">IFERROR(__xludf.DUMMYFUNCTION("GOOGLETRANSLATE(A3994,""bn"",""en"")"),"Birds always said what they had learned without understanding its meaning")</f>
        <v>Birds always said what they had learned without understanding its meaning</v>
      </c>
      <c r="C3994" s="7" t="s">
        <v>6</v>
      </c>
      <c r="D3994" s="7" t="s">
        <v>7</v>
      </c>
      <c r="E3994" s="7">
        <v>0</v>
      </c>
    </row>
    <row r="3995" spans="1:5" ht="15.75" customHeight="1" x14ac:dyDescent="0.25">
      <c r="A3995" s="6" t="s">
        <v>3931</v>
      </c>
      <c r="B3995" s="6" t="str">
        <f ca="1">IFERROR(__xludf.DUMMYFUNCTION("GOOGLETRANSLATE(A3995,""bn"",""en"")"),"Rohit has done more than Rita")</f>
        <v>Rohit has done more than Rita</v>
      </c>
      <c r="C3995" s="7" t="s">
        <v>6</v>
      </c>
      <c r="D3995" s="7" t="s">
        <v>7</v>
      </c>
      <c r="E3995" s="7">
        <v>0</v>
      </c>
    </row>
    <row r="3996" spans="1:5" ht="15.75" customHeight="1" x14ac:dyDescent="0.25">
      <c r="A3996" s="6" t="s">
        <v>3649</v>
      </c>
      <c r="B3996" s="6" t="str">
        <f ca="1">IFERROR(__xludf.DUMMYFUNCTION("GOOGLETRANSLATE(A3996,""bn"",""en"")"),"He himself does not know where to go")</f>
        <v>He himself does not know where to go</v>
      </c>
      <c r="C3996" s="7" t="s">
        <v>6</v>
      </c>
      <c r="D3996" s="7" t="s">
        <v>7</v>
      </c>
      <c r="E3996" s="7">
        <v>0</v>
      </c>
    </row>
    <row r="3997" spans="1:5" ht="15.75" customHeight="1" x14ac:dyDescent="0.25">
      <c r="A3997" s="6" t="s">
        <v>3932</v>
      </c>
      <c r="B3997" s="6" t="str">
        <f ca="1">IFERROR(__xludf.DUMMYFUNCTION("GOOGLETRANSLATE(A3997,""bn"",""en"")"),"Photography captures cherished moments beautifully")</f>
        <v>Photography captures cherished moments beautifully</v>
      </c>
      <c r="C3997" s="8" t="s">
        <v>13</v>
      </c>
      <c r="D3997" s="8" t="s">
        <v>14</v>
      </c>
      <c r="E3997" s="8">
        <v>1</v>
      </c>
    </row>
    <row r="3998" spans="1:5" ht="15.75" customHeight="1" x14ac:dyDescent="0.25">
      <c r="A3998" s="6" t="s">
        <v>3933</v>
      </c>
      <c r="B3998" s="6" t="str">
        <f ca="1">IFERROR(__xludf.DUMMYFUNCTION("GOOGLETRANSLATE(A3998,""bn"",""en"")"),"This agreement also neutralized the judiciary to a large extent")</f>
        <v>This agreement also neutralized the judiciary to a large extent</v>
      </c>
      <c r="C3998" s="8" t="s">
        <v>13</v>
      </c>
      <c r="D3998" s="8" t="s">
        <v>14</v>
      </c>
      <c r="E3998" s="8">
        <v>1</v>
      </c>
    </row>
    <row r="3999" spans="1:5" ht="15.75" customHeight="1" x14ac:dyDescent="0.25">
      <c r="A3999" s="6" t="s">
        <v>3934</v>
      </c>
      <c r="B3999" s="6" t="str">
        <f ca="1">IFERROR(__xludf.DUMMYFUNCTION("GOOGLETRANSLATE(A3999,""bn"",""en"")"),"The original text is written in Portuguese")</f>
        <v>The original text is written in Portuguese</v>
      </c>
      <c r="C3999" s="8" t="s">
        <v>13</v>
      </c>
      <c r="D3999" s="8" t="s">
        <v>14</v>
      </c>
      <c r="E3999" s="8">
        <v>1</v>
      </c>
    </row>
    <row r="4000" spans="1:5" ht="15.75" customHeight="1" x14ac:dyDescent="0.25">
      <c r="A4000" s="6" t="s">
        <v>3935</v>
      </c>
      <c r="B4000" s="6" t="str">
        <f ca="1">IFERROR(__xludf.DUMMYFUNCTION("GOOGLETRANSLATE(A4000,""bn"",""en"")"),"Talent acquisition strategies attract top-level candidates")</f>
        <v>Talent acquisition strategies attract top-level candidates</v>
      </c>
      <c r="C4000" s="8" t="s">
        <v>13</v>
      </c>
      <c r="D4000" s="8" t="s">
        <v>14</v>
      </c>
      <c r="E4000" s="8">
        <v>1</v>
      </c>
    </row>
    <row r="4001" spans="1:5" ht="15.75" customHeight="1" x14ac:dyDescent="0.25">
      <c r="A4001" s="6" t="s">
        <v>3936</v>
      </c>
      <c r="B4001" s="6" t="str">
        <f ca="1">IFERROR(__xludf.DUMMYFUNCTION("GOOGLETRANSLATE(A4001,""bn"",""en"")"),"He got first place in the exam.")</f>
        <v>He got first place in the exam.</v>
      </c>
      <c r="C4001" s="8" t="s">
        <v>13</v>
      </c>
      <c r="D4001" s="8" t="s">
        <v>14</v>
      </c>
      <c r="E4001" s="8">
        <v>1</v>
      </c>
    </row>
    <row r="4002" spans="1:5" ht="15.75" customHeight="1" x14ac:dyDescent="0.25">
      <c r="A4002" s="6" t="s">
        <v>3937</v>
      </c>
      <c r="B4002" s="6" t="str">
        <f ca="1">IFERROR(__xludf.DUMMYFUNCTION("GOOGLETRANSLATE(A4002,""bn"",""en"")"),"So it doesn't look good if I don't say this, especially because many people know me as sir")</f>
        <v>So it doesn't look good if I don't say this, especially because many people know me as sir</v>
      </c>
      <c r="C4002" s="7" t="s">
        <v>6</v>
      </c>
      <c r="D4002" s="7" t="s">
        <v>7</v>
      </c>
      <c r="E4002" s="7">
        <v>0</v>
      </c>
    </row>
    <row r="4003" spans="1:5" ht="15.75" customHeight="1" x14ac:dyDescent="0.25">
      <c r="A4003" s="6" t="s">
        <v>3938</v>
      </c>
      <c r="B4003" s="6" t="str">
        <f ca="1">IFERROR(__xludf.DUMMYFUNCTION("GOOGLETRANSLATE(A4003,""bn"",""en"")"),"He said you are definitely not eligible")</f>
        <v>He said you are definitely not eligible</v>
      </c>
      <c r="C4003" s="7" t="s">
        <v>6</v>
      </c>
      <c r="D4003" s="7" t="s">
        <v>7</v>
      </c>
      <c r="E4003" s="7">
        <v>0</v>
      </c>
    </row>
    <row r="4004" spans="1:5" ht="15.75" customHeight="1" x14ac:dyDescent="0.25">
      <c r="A4004" s="6" t="s">
        <v>3939</v>
      </c>
      <c r="B4004" s="6" t="str">
        <f ca="1">IFERROR(__xludf.DUMMYFUNCTION("GOOGLETRANSLATE(A4004,""bn"",""en"")"),"Startled and left the road quickly")</f>
        <v>Startled and left the road quickly</v>
      </c>
      <c r="C4004" s="7" t="s">
        <v>6</v>
      </c>
      <c r="D4004" s="7" t="s">
        <v>7</v>
      </c>
      <c r="E4004" s="7">
        <v>0</v>
      </c>
    </row>
    <row r="4005" spans="1:5" ht="15.75" customHeight="1" x14ac:dyDescent="0.25">
      <c r="A4005" s="6" t="s">
        <v>3940</v>
      </c>
      <c r="B4005" s="6" t="str">
        <f ca="1">IFERROR(__xludf.DUMMYFUNCTION("GOOGLETRANSLATE(A4005,""bn"",""en"")"),"He is going home after answering the work")</f>
        <v>He is going home after answering the work</v>
      </c>
      <c r="C4005" s="7" t="s">
        <v>6</v>
      </c>
      <c r="D4005" s="7" t="s">
        <v>7</v>
      </c>
      <c r="E4005" s="7">
        <v>0</v>
      </c>
    </row>
    <row r="4006" spans="1:5" ht="15.75" customHeight="1" x14ac:dyDescent="0.25">
      <c r="A4006" s="6" t="s">
        <v>3941</v>
      </c>
      <c r="B4006" s="6" t="str">
        <f ca="1">IFERROR(__xludf.DUMMYFUNCTION("GOOGLETRANSLATE(A4006,""bn"",""en"")"),"No one will laugh at me")</f>
        <v>No one will laugh at me</v>
      </c>
      <c r="C4006" s="7" t="s">
        <v>6</v>
      </c>
      <c r="D4006" s="7" t="s">
        <v>7</v>
      </c>
      <c r="E4006" s="7">
        <v>0</v>
      </c>
    </row>
    <row r="4007" spans="1:5" ht="15.75" customHeight="1" x14ac:dyDescent="0.25">
      <c r="A4007" s="6" t="s">
        <v>3942</v>
      </c>
      <c r="B4007" s="6" t="str">
        <f ca="1">IFERROR(__xludf.DUMMYFUNCTION("GOOGLETRANSLATE(A4007,""bn"",""en"")"),"Akbar was able to expand the empire through war diplomacy")</f>
        <v>Akbar was able to expand the empire through war diplomacy</v>
      </c>
      <c r="C4007" s="8" t="s">
        <v>13</v>
      </c>
      <c r="D4007" s="8" t="s">
        <v>14</v>
      </c>
      <c r="E4007" s="8">
        <v>1</v>
      </c>
    </row>
    <row r="4008" spans="1:5" ht="15.75" customHeight="1" x14ac:dyDescent="0.25">
      <c r="A4008" s="6" t="s">
        <v>3943</v>
      </c>
      <c r="B4008" s="6" t="str">
        <f ca="1">IFERROR(__xludf.DUMMYFUNCTION("GOOGLETRANSLATE(A4008,""bn"",""en"")"),"Robson has a good foaling record")</f>
        <v>Robson has a good foaling record</v>
      </c>
      <c r="C4008" s="8" t="s">
        <v>13</v>
      </c>
      <c r="D4008" s="8" t="s">
        <v>14</v>
      </c>
      <c r="E4008" s="8">
        <v>1</v>
      </c>
    </row>
    <row r="4009" spans="1:5" ht="15.75" customHeight="1" x14ac:dyDescent="0.25">
      <c r="A4009" s="6" t="s">
        <v>3944</v>
      </c>
      <c r="B4009" s="6" t="str">
        <f ca="1">IFERROR(__xludf.DUMMYFUNCTION("GOOGLETRANSLATE(A4009,""bn"",""en"")"),"Practice gratitude not only for what you have, but also for what you have overcome")</f>
        <v>Practice gratitude not only for what you have, but also for what you have overcome</v>
      </c>
      <c r="C4009" s="8" t="s">
        <v>13</v>
      </c>
      <c r="D4009" s="8" t="s">
        <v>14</v>
      </c>
      <c r="E4009" s="8">
        <v>1</v>
      </c>
    </row>
    <row r="4010" spans="1:5" ht="15.75" customHeight="1" x14ac:dyDescent="0.25">
      <c r="A4010" s="6" t="s">
        <v>3945</v>
      </c>
      <c r="B4010" s="6" t="str">
        <f ca="1">IFERROR(__xludf.DUMMYFUNCTION("GOOGLETRANSLATE(A4010,""bn"",""en"")"),"Feeling betrayed by a loved one brings deep sadness")</f>
        <v>Feeling betrayed by a loved one brings deep sadness</v>
      </c>
      <c r="C4010" s="8" t="s">
        <v>13</v>
      </c>
      <c r="D4010" s="8" t="s">
        <v>14</v>
      </c>
      <c r="E4010" s="8">
        <v>1</v>
      </c>
    </row>
    <row r="4011" spans="1:5" ht="15.75" customHeight="1" x14ac:dyDescent="0.25">
      <c r="A4011" s="6" t="s">
        <v>3946</v>
      </c>
      <c r="B4011" s="6" t="str">
        <f ca="1">IFERROR(__xludf.DUMMYFUNCTION("GOOGLETRANSLATE(A4011,""bn"",""en"")"),"Be present in every moment life is happening now")</f>
        <v>Be present in every moment life is happening now</v>
      </c>
      <c r="C4011" s="8" t="s">
        <v>13</v>
      </c>
      <c r="D4011" s="8" t="s">
        <v>14</v>
      </c>
      <c r="E4011" s="8">
        <v>1</v>
      </c>
    </row>
    <row r="4012" spans="1:5" ht="15.75" customHeight="1" x14ac:dyDescent="0.25">
      <c r="A4012" s="6" t="s">
        <v>3947</v>
      </c>
      <c r="B4012" s="6" t="str">
        <f ca="1">IFERROR(__xludf.DUMMYFUNCTION("GOOGLETRANSLATE(A4012,""bn"",""en"")"),"Seeing the mountains near Barakar, my childhood reform started to change a bit.")</f>
        <v>Seeing the mountains near Barakar, my childhood reform started to change a bit.</v>
      </c>
      <c r="C4012" s="7" t="s">
        <v>6</v>
      </c>
      <c r="D4012" s="7" t="s">
        <v>7</v>
      </c>
      <c r="E4012" s="7">
        <v>0</v>
      </c>
    </row>
    <row r="4013" spans="1:5" ht="15.75" customHeight="1" x14ac:dyDescent="0.25">
      <c r="A4013" s="6" t="s">
        <v>3948</v>
      </c>
      <c r="B4013" s="6" t="str">
        <f ca="1">IFERROR(__xludf.DUMMYFUNCTION("GOOGLETRANSLATE(A4013,""bn"",""en"")"),"Houses are not single buildings, two houses in a house, maybe bricks, the rest are hemp-covered uncle's fences, the village's eternal own nest.")</f>
        <v>Houses are not single buildings, two houses in a house, maybe bricks, the rest are hemp-covered uncle's fences, the village's eternal own nest.</v>
      </c>
      <c r="C4013" s="7" t="s">
        <v>6</v>
      </c>
      <c r="D4013" s="7" t="s">
        <v>7</v>
      </c>
      <c r="E4013" s="7">
        <v>0</v>
      </c>
    </row>
    <row r="4014" spans="1:5" ht="15.75" customHeight="1" x14ac:dyDescent="0.25">
      <c r="A4014" s="6" t="s">
        <v>3949</v>
      </c>
      <c r="B4014" s="6" t="str">
        <f ca="1">IFERROR(__xludf.DUMMYFUNCTION("GOOGLETRANSLATE(A4014,""bn"",""en"")"),"Every day I think I'm going so I take something with my hand but I don't remember the time")</f>
        <v>Every day I think I'm going so I take something with my hand but I don't remember the time</v>
      </c>
      <c r="C4014" s="7" t="s">
        <v>6</v>
      </c>
      <c r="D4014" s="7" t="s">
        <v>7</v>
      </c>
      <c r="E4014" s="7">
        <v>0</v>
      </c>
    </row>
    <row r="4015" spans="1:5" ht="15.75" customHeight="1" x14ac:dyDescent="0.25">
      <c r="A4015" s="6" t="s">
        <v>3950</v>
      </c>
      <c r="B4015" s="6" t="str">
        <f ca="1">IFERROR(__xludf.DUMMYFUNCTION("GOOGLETRANSLATE(A4015,""bn"",""en"")"),"When everyone had arrived and went to bed, the unmarried youths of the village gradually came near the house and started joking.")</f>
        <v>When everyone had arrived and went to bed, the unmarried youths of the village gradually came near the house and started joking.</v>
      </c>
      <c r="C4015" s="7" t="s">
        <v>6</v>
      </c>
      <c r="D4015" s="7" t="s">
        <v>7</v>
      </c>
      <c r="E4015" s="7">
        <v>0</v>
      </c>
    </row>
    <row r="4016" spans="1:5" ht="15.75" customHeight="1" x14ac:dyDescent="0.25">
      <c r="A4016" s="6" t="s">
        <v>2824</v>
      </c>
      <c r="B4016" s="6" t="str">
        <f ca="1">IFERROR(__xludf.DUMMYFUNCTION("GOOGLETRANSLATE(A4016,""bn"",""en"")"),"After that, the young man alone pushed it and took it silently to the edge of the hole")</f>
        <v>After that, the young man alone pushed it and took it silently to the edge of the hole</v>
      </c>
      <c r="C4016" s="7" t="s">
        <v>6</v>
      </c>
      <c r="D4016" s="7" t="s">
        <v>7</v>
      </c>
      <c r="E4016" s="7">
        <v>0</v>
      </c>
    </row>
    <row r="4017" spans="1:5" ht="15.75" customHeight="1" x14ac:dyDescent="0.25">
      <c r="A4017" s="6" t="s">
        <v>3951</v>
      </c>
      <c r="B4017" s="6" t="str">
        <f ca="1">IFERROR(__xludf.DUMMYFUNCTION("GOOGLETRANSLATE(A4017,""bn"",""en"")"),"Today we will work")</f>
        <v>Today we will work</v>
      </c>
      <c r="C4017" s="8" t="s">
        <v>13</v>
      </c>
      <c r="D4017" s="8" t="s">
        <v>14</v>
      </c>
      <c r="E4017" s="8">
        <v>1</v>
      </c>
    </row>
    <row r="4018" spans="1:5" ht="15.75" customHeight="1" x14ac:dyDescent="0.25">
      <c r="A4018" s="6" t="s">
        <v>3952</v>
      </c>
      <c r="B4018" s="6" t="str">
        <f ca="1">IFERROR(__xludf.DUMMYFUNCTION("GOOGLETRANSLATE(A4018,""bn"",""en"")"),"He arranged the books on his reading table")</f>
        <v>He arranged the books on his reading table</v>
      </c>
      <c r="C4018" s="8" t="s">
        <v>13</v>
      </c>
      <c r="D4018" s="8" t="s">
        <v>14</v>
      </c>
      <c r="E4018" s="8">
        <v>1</v>
      </c>
    </row>
    <row r="4019" spans="1:5" ht="15.75" customHeight="1" x14ac:dyDescent="0.25">
      <c r="A4019" s="6" t="s">
        <v>3953</v>
      </c>
      <c r="B4019" s="6" t="str">
        <f ca="1">IFERROR(__xludf.DUMMYFUNCTION("GOOGLETRANSLATE(A4019,""bn"",""en"")"),"Rahim Karim will leave for Chittagong early today")</f>
        <v>Rahim Karim will leave for Chittagong early today</v>
      </c>
      <c r="C4019" s="8" t="s">
        <v>13</v>
      </c>
      <c r="D4019" s="8" t="s">
        <v>14</v>
      </c>
      <c r="E4019" s="8">
        <v>1</v>
      </c>
    </row>
    <row r="4020" spans="1:5" ht="15.75" customHeight="1" x14ac:dyDescent="0.25">
      <c r="A4020" s="6" t="s">
        <v>435</v>
      </c>
      <c r="B4020" s="6" t="str">
        <f ca="1">IFERROR(__xludf.DUMMYFUNCTION("GOOGLETRANSLATE(A4020,""bn"",""en"")"),"It is a rare honor for Hindus")</f>
        <v>It is a rare honor for Hindus</v>
      </c>
      <c r="C4020" s="8" t="s">
        <v>13</v>
      </c>
      <c r="D4020" s="8" t="s">
        <v>14</v>
      </c>
      <c r="E4020" s="8">
        <v>1</v>
      </c>
    </row>
    <row r="4021" spans="1:5" ht="15.75" customHeight="1" x14ac:dyDescent="0.25">
      <c r="A4021" s="6" t="s">
        <v>3954</v>
      </c>
      <c r="B4021" s="6" t="str">
        <f ca="1">IFERROR(__xludf.DUMMYFUNCTION("GOOGLETRANSLATE(A4021,""bn"",""en"")"),"Freshly brewed coffee energizes the morning")</f>
        <v>Freshly brewed coffee energizes the morning</v>
      </c>
      <c r="C4021" s="8" t="s">
        <v>13</v>
      </c>
      <c r="D4021" s="8" t="s">
        <v>14</v>
      </c>
      <c r="E4021" s="8">
        <v>1</v>
      </c>
    </row>
    <row r="4022" spans="1:5" ht="15.75" customHeight="1" x14ac:dyDescent="0.25">
      <c r="A4022" s="6" t="s">
        <v>3955</v>
      </c>
      <c r="B4022" s="6" t="str">
        <f ca="1">IFERROR(__xludf.DUMMYFUNCTION("GOOGLETRANSLATE(A4022,""bn"",""en"")"),"Govardhan's chest fluttered")</f>
        <v>Govardhan's chest fluttered</v>
      </c>
      <c r="C4022" s="7" t="s">
        <v>6</v>
      </c>
      <c r="D4022" s="7" t="s">
        <v>7</v>
      </c>
      <c r="E4022" s="7">
        <v>0</v>
      </c>
    </row>
    <row r="4023" spans="1:5" ht="15.75" customHeight="1" x14ac:dyDescent="0.25">
      <c r="A4023" s="6" t="s">
        <v>3956</v>
      </c>
      <c r="B4023" s="6" t="str">
        <f ca="1">IFERROR(__xludf.DUMMYFUNCTION("GOOGLETRANSLATE(A4023,""bn"",""en"")"),"At any of his insults, they were more forcibly amused than other boys")</f>
        <v>At any of his insults, they were more forcibly amused than other boys</v>
      </c>
      <c r="C4023" s="7" t="s">
        <v>6</v>
      </c>
      <c r="D4023" s="7" t="s">
        <v>7</v>
      </c>
      <c r="E4023" s="7">
        <v>0</v>
      </c>
    </row>
    <row r="4024" spans="1:5" ht="15.75" customHeight="1" x14ac:dyDescent="0.25">
      <c r="A4024" s="6" t="s">
        <v>3957</v>
      </c>
      <c r="B4024" s="6" t="str">
        <f ca="1">IFERROR(__xludf.DUMMYFUNCTION("GOOGLETRANSLATE(A4024,""bn"",""en"")"),"Once upon a time a deaf Brahmin was our resident")</f>
        <v>Once upon a time a deaf Brahmin was our resident</v>
      </c>
      <c r="C4024" s="7" t="s">
        <v>6</v>
      </c>
      <c r="D4024" s="7" t="s">
        <v>7</v>
      </c>
      <c r="E4024" s="7">
        <v>0</v>
      </c>
    </row>
    <row r="4025" spans="1:5" ht="15.75" customHeight="1" x14ac:dyDescent="0.25">
      <c r="A4025" s="6" t="s">
        <v>1916</v>
      </c>
      <c r="B4025" s="6" t="str">
        <f ca="1">IFERROR(__xludf.DUMMYFUNCTION("GOOGLETRANSLATE(A4025,""bn"",""en"")"),"I wanted to say something about Bengali on this occasion")</f>
        <v>I wanted to say something about Bengali on this occasion</v>
      </c>
      <c r="C4025" s="7" t="s">
        <v>6</v>
      </c>
      <c r="D4025" s="7" t="s">
        <v>7</v>
      </c>
      <c r="E4025" s="7">
        <v>0</v>
      </c>
    </row>
    <row r="4026" spans="1:5" ht="15.75" customHeight="1" x14ac:dyDescent="0.25">
      <c r="A4026" s="6" t="s">
        <v>3958</v>
      </c>
      <c r="B4026" s="6" t="str">
        <f ca="1">IFERROR(__xludf.DUMMYFUNCTION("GOOGLETRANSLATE(A4026,""bn"",""en"")"),"Not knowing, the one whose greeting I accepted first was the master of the bowl")</f>
        <v>Not knowing, the one whose greeting I accepted first was the master of the bowl</v>
      </c>
      <c r="C4026" s="7" t="s">
        <v>6</v>
      </c>
      <c r="D4026" s="7" t="s">
        <v>7</v>
      </c>
      <c r="E4026" s="7">
        <v>0</v>
      </c>
    </row>
    <row r="4027" spans="1:5" ht="15.75" customHeight="1" x14ac:dyDescent="0.25">
      <c r="A4027" s="6" t="s">
        <v>3959</v>
      </c>
      <c r="B4027" s="6" t="str">
        <f ca="1">IFERROR(__xludf.DUMMYFUNCTION("GOOGLETRANSLATE(A4027,""bn"",""en"")"),"Seeing danger, the king ran away from there")</f>
        <v>Seeing danger, the king ran away from there</v>
      </c>
      <c r="C4027" s="8" t="s">
        <v>13</v>
      </c>
      <c r="D4027" s="8" t="s">
        <v>14</v>
      </c>
      <c r="E4027" s="8">
        <v>1</v>
      </c>
    </row>
    <row r="4028" spans="1:5" ht="15.75" customHeight="1" x14ac:dyDescent="0.25">
      <c r="A4028" s="6" t="s">
        <v>3960</v>
      </c>
      <c r="B4028" s="6" t="str">
        <f ca="1">IFERROR(__xludf.DUMMYFUNCTION("GOOGLETRANSLATE(A4028,""bn"",""en"")"),"We offer day windows for transaction disputes")</f>
        <v>We offer day windows for transaction disputes</v>
      </c>
      <c r="C4028" s="8" t="s">
        <v>13</v>
      </c>
      <c r="D4028" s="8" t="s">
        <v>14</v>
      </c>
      <c r="E4028" s="8">
        <v>1</v>
      </c>
    </row>
    <row r="4029" spans="1:5" ht="15.75" customHeight="1" x14ac:dyDescent="0.25">
      <c r="A4029" s="6" t="s">
        <v>3961</v>
      </c>
      <c r="B4029" s="6" t="str">
        <f ca="1">IFERROR(__xludf.DUMMYFUNCTION("GOOGLETRANSLATE(A4029,""bn"",""en"")"),"This movie was a total disaster I would not recommend it to others")</f>
        <v>This movie was a total disaster I would not recommend it to others</v>
      </c>
      <c r="C4029" s="8" t="s">
        <v>13</v>
      </c>
      <c r="D4029" s="8" t="s">
        <v>14</v>
      </c>
      <c r="E4029" s="8">
        <v>1</v>
      </c>
    </row>
    <row r="4030" spans="1:5" ht="15.75" customHeight="1" x14ac:dyDescent="0.25">
      <c r="A4030" s="6" t="s">
        <v>3962</v>
      </c>
      <c r="B4030" s="6" t="str">
        <f ca="1">IFERROR(__xludf.DUMMYFUNCTION("GOOGLETRANSLATE(A4030,""bn"",""en"")"),"He fought in sector no")</f>
        <v>He fought in sector no</v>
      </c>
      <c r="C4030" s="8" t="s">
        <v>13</v>
      </c>
      <c r="D4030" s="8" t="s">
        <v>14</v>
      </c>
      <c r="E4030" s="8">
        <v>1</v>
      </c>
    </row>
    <row r="4031" spans="1:5" ht="15.75" customHeight="1" x14ac:dyDescent="0.25">
      <c r="A4031" s="6" t="s">
        <v>3963</v>
      </c>
      <c r="B4031" s="6" t="str">
        <f ca="1">IFERROR(__xludf.DUMMYFUNCTION("GOOGLETRANSLATE(A4031,""bn"",""en"")"),"One of his ancestors was killed in the massacre of AD")</f>
        <v>One of his ancestors was killed in the massacre of AD</v>
      </c>
      <c r="C4031" s="8" t="s">
        <v>13</v>
      </c>
      <c r="D4031" s="8" t="s">
        <v>14</v>
      </c>
      <c r="E4031" s="8">
        <v>1</v>
      </c>
    </row>
    <row r="4032" spans="1:5" ht="15.75" customHeight="1" x14ac:dyDescent="0.25">
      <c r="A4032" s="6" t="s">
        <v>3964</v>
      </c>
      <c r="B4032" s="6" t="str">
        <f ca="1">IFERROR(__xludf.DUMMYFUNCTION("GOOGLETRANSLATE(A4032,""bn"",""en"")"),"Mitu Meena is talking together")</f>
        <v>Mitu Meena is talking together</v>
      </c>
      <c r="C4032" s="7" t="s">
        <v>6</v>
      </c>
      <c r="D4032" s="7" t="s">
        <v>7</v>
      </c>
      <c r="E4032" s="7">
        <v>0</v>
      </c>
    </row>
    <row r="4033" spans="1:5" ht="15.75" customHeight="1" x14ac:dyDescent="0.25">
      <c r="A4033" s="6" t="s">
        <v>3965</v>
      </c>
      <c r="B4033" s="6" t="str">
        <f ca="1">IFERROR(__xludf.DUMMYFUNCTION("GOOGLETRANSLATE(A4033,""bn"",""en"")"),"Had to return home but could visit Mini once")</f>
        <v>Had to return home but could visit Mini once</v>
      </c>
      <c r="C4033" s="7" t="s">
        <v>6</v>
      </c>
      <c r="D4033" s="7" t="s">
        <v>7</v>
      </c>
      <c r="E4033" s="7">
        <v>0</v>
      </c>
    </row>
    <row r="4034" spans="1:5" ht="15.75" customHeight="1" x14ac:dyDescent="0.25">
      <c r="A4034" s="6" t="s">
        <v>3966</v>
      </c>
      <c r="B4034" s="6" t="str">
        <f ca="1">IFERROR(__xludf.DUMMYFUNCTION("GOOGLETRANSLATE(A4034,""bn"",""en"")"),"I put a penny in his hand, the child dropped it and touched it again. When the other boy picked up the coin, he had a heated argument with the child's sister.")</f>
        <v>I put a penny in his hand, the child dropped it and touched it again. When the other boy picked up the coin, he had a heated argument with the child's sister.</v>
      </c>
      <c r="C4034" s="7" t="s">
        <v>6</v>
      </c>
      <c r="D4034" s="7" t="s">
        <v>7</v>
      </c>
      <c r="E4034" s="7">
        <v>0</v>
      </c>
    </row>
    <row r="4035" spans="1:5" ht="15.75" customHeight="1" x14ac:dyDescent="0.25">
      <c r="A4035" s="6" t="s">
        <v>3967</v>
      </c>
      <c r="B4035" s="6" t="str">
        <f ca="1">IFERROR(__xludf.DUMMYFUNCTION("GOOGLETRANSLATE(A4035,""bn"",""en"")"),"Savitri was sitting on the floor with the bright light of kerosene in front")</f>
        <v>Savitri was sitting on the floor with the bright light of kerosene in front</v>
      </c>
      <c r="C4035" s="7" t="s">
        <v>6</v>
      </c>
      <c r="D4035" s="7" t="s">
        <v>7</v>
      </c>
      <c r="E4035" s="7">
        <v>0</v>
      </c>
    </row>
    <row r="4036" spans="1:5" ht="15.75" customHeight="1" x14ac:dyDescent="0.25">
      <c r="A4036" s="6" t="s">
        <v>3968</v>
      </c>
      <c r="B4036" s="6" t="str">
        <f ca="1">IFERROR(__xludf.DUMMYFUNCTION("GOOGLETRANSLATE(A4036,""bn"",""en"")"),"In the rainy evening, the darkness of the sky is wet and heavy")</f>
        <v>In the rainy evening, the darkness of the sky is wet and heavy</v>
      </c>
      <c r="C4036" s="7" t="s">
        <v>6</v>
      </c>
      <c r="D4036" s="7" t="s">
        <v>7</v>
      </c>
      <c r="E4036" s="7">
        <v>0</v>
      </c>
    </row>
    <row r="4037" spans="1:5" ht="15.75" customHeight="1" x14ac:dyDescent="0.25">
      <c r="A4037" s="6" t="s">
        <v>3969</v>
      </c>
      <c r="B4037" s="6" t="str">
        <f ca="1">IFERROR(__xludf.DUMMYFUNCTION("GOOGLETRANSLATE(A4037,""bn"",""en"")"),"He is not as used to the light of the torch as Ertazuddin Sahib")</f>
        <v>He is not as used to the light of the torch as Ertazuddin Sahib</v>
      </c>
      <c r="C4037" s="8" t="s">
        <v>13</v>
      </c>
      <c r="D4037" s="8" t="s">
        <v>14</v>
      </c>
      <c r="E4037" s="8">
        <v>1</v>
      </c>
    </row>
    <row r="4038" spans="1:5" ht="15.75" customHeight="1" x14ac:dyDescent="0.25">
      <c r="A4038" s="6" t="s">
        <v>3970</v>
      </c>
      <c r="B4038" s="6" t="str">
        <f ca="1">IFERROR(__xludf.DUMMYFUNCTION("GOOGLETRANSLATE(A4038,""bn"",""en"")"),"The air was alive with the buzz of insects drawn to the riot of colors and smells in the meadow")</f>
        <v>The air was alive with the buzz of insects drawn to the riot of colors and smells in the meadow</v>
      </c>
      <c r="C4038" s="8" t="s">
        <v>13</v>
      </c>
      <c r="D4038" s="8" t="s">
        <v>14</v>
      </c>
      <c r="E4038" s="8">
        <v>1</v>
      </c>
    </row>
    <row r="4039" spans="1:5" ht="15.75" customHeight="1" x14ac:dyDescent="0.25">
      <c r="A4039" s="6" t="s">
        <v>3971</v>
      </c>
      <c r="B4039" s="6" t="str">
        <f ca="1">IFERROR(__xludf.DUMMYFUNCTION("GOOGLETRANSLATE(A4039,""bn"",""en"")"),"The project manager coordinates the timeline resources for a large construction project")</f>
        <v>The project manager coordinates the timeline resources for a large construction project</v>
      </c>
      <c r="C4039" s="8" t="s">
        <v>13</v>
      </c>
      <c r="D4039" s="8" t="s">
        <v>14</v>
      </c>
      <c r="E4039" s="8">
        <v>1</v>
      </c>
    </row>
    <row r="4040" spans="1:5" ht="15.75" customHeight="1" x14ac:dyDescent="0.25">
      <c r="A4040" s="6" t="s">
        <v>3972</v>
      </c>
      <c r="B4040" s="6" t="str">
        <f ca="1">IFERROR(__xludf.DUMMYFUNCTION("GOOGLETRANSLATE(A4040,""bn"",""en"")"),"Practice mindfulness to quiet the mind's noise")</f>
        <v>Practice mindfulness to quiet the mind's noise</v>
      </c>
      <c r="C4040" s="8" t="s">
        <v>13</v>
      </c>
      <c r="D4040" s="8" t="s">
        <v>14</v>
      </c>
      <c r="E4040" s="8">
        <v>1</v>
      </c>
    </row>
    <row r="4041" spans="1:5" ht="15.75" customHeight="1" x14ac:dyDescent="0.25">
      <c r="A4041" s="6" t="s">
        <v>3973</v>
      </c>
      <c r="B4041" s="6" t="str">
        <f ca="1">IFERROR(__xludf.DUMMYFUNCTION("GOOGLETRANSLATE(A4041,""bn"",""en"")"),"Practice self-compassion Treat yourself with understanding kindness")</f>
        <v>Practice self-compassion Treat yourself with understanding kindness</v>
      </c>
      <c r="C4041" s="8" t="s">
        <v>13</v>
      </c>
      <c r="D4041" s="8" t="s">
        <v>14</v>
      </c>
      <c r="E4041" s="8">
        <v>1</v>
      </c>
    </row>
    <row r="4042" spans="1:5" ht="15.75" customHeight="1" x14ac:dyDescent="0.25">
      <c r="A4042" s="6" t="s">
        <v>3974</v>
      </c>
      <c r="B4042" s="6" t="str">
        <f ca="1">IFERROR(__xludf.DUMMYFUNCTION("GOOGLETRANSLATE(A4042,""bn"",""en"")"),"Everything in the city is made")</f>
        <v>Everything in the city is made</v>
      </c>
      <c r="C4042" s="7" t="s">
        <v>6</v>
      </c>
      <c r="D4042" s="7" t="s">
        <v>7</v>
      </c>
      <c r="E4042" s="7">
        <v>0</v>
      </c>
    </row>
    <row r="4043" spans="1:5" ht="15.75" customHeight="1" x14ac:dyDescent="0.25">
      <c r="A4043" s="6" t="s">
        <v>3975</v>
      </c>
      <c r="B4043" s="6" t="str">
        <f ca="1">IFERROR(__xludf.DUMMYFUNCTION("GOOGLETRANSLATE(A4043,""bn"",""en"")"),"The old man's dry, dry mouth showed a pitiful expression of worry")</f>
        <v>The old man's dry, dry mouth showed a pitiful expression of worry</v>
      </c>
      <c r="C4043" s="7" t="s">
        <v>6</v>
      </c>
      <c r="D4043" s="7" t="s">
        <v>7</v>
      </c>
      <c r="E4043" s="7">
        <v>0</v>
      </c>
    </row>
    <row r="4044" spans="1:5" ht="15.75" customHeight="1" x14ac:dyDescent="0.25">
      <c r="A4044" s="6" t="s">
        <v>3976</v>
      </c>
      <c r="B4044" s="6" t="str">
        <f ca="1">IFERROR(__xludf.DUMMYFUNCTION("GOOGLETRANSLATE(A4044,""bn"",""en"")"),"The beginning made me eat rice")</f>
        <v>The beginning made me eat rice</v>
      </c>
      <c r="C4044" s="7" t="s">
        <v>6</v>
      </c>
      <c r="D4044" s="7" t="s">
        <v>7</v>
      </c>
      <c r="E4044" s="7">
        <v>0</v>
      </c>
    </row>
    <row r="4045" spans="1:5" ht="15.75" customHeight="1" x14ac:dyDescent="0.25">
      <c r="A4045" s="6" t="s">
        <v>3977</v>
      </c>
      <c r="B4045" s="6" t="str">
        <f ca="1">IFERROR(__xludf.DUMMYFUNCTION("GOOGLETRANSLATE(A4045,""bn"",""en"")"),"If you don't understand, I took it")</f>
        <v>If you don't understand, I took it</v>
      </c>
      <c r="C4045" s="7" t="s">
        <v>6</v>
      </c>
      <c r="D4045" s="7" t="s">
        <v>7</v>
      </c>
      <c r="E4045" s="7">
        <v>0</v>
      </c>
    </row>
    <row r="4046" spans="1:5" ht="15.75" customHeight="1" x14ac:dyDescent="0.25">
      <c r="A4046" s="6" t="s">
        <v>3978</v>
      </c>
      <c r="B4046" s="6" t="str">
        <f ca="1">IFERROR(__xludf.DUMMYFUNCTION("GOOGLETRANSLATE(A4046,""bn"",""en"")"),"Just like the lotus of the last night")</f>
        <v>Just like the lotus of the last night</v>
      </c>
      <c r="C4046" s="7" t="s">
        <v>6</v>
      </c>
      <c r="D4046" s="7" t="s">
        <v>7</v>
      </c>
      <c r="E4046" s="7">
        <v>0</v>
      </c>
    </row>
    <row r="4047" spans="1:5" ht="15.75" customHeight="1" x14ac:dyDescent="0.25">
      <c r="A4047" s="6" t="s">
        <v>3979</v>
      </c>
      <c r="B4047" s="6" t="str">
        <f ca="1">IFERROR(__xludf.DUMMYFUNCTION("GOOGLETRANSLATE(A4047,""bn"",""en"")"),"This resulted in the creation of a large riverine island called Bananal Island")</f>
        <v>This resulted in the creation of a large riverine island called Bananal Island</v>
      </c>
      <c r="C4047" s="8" t="s">
        <v>13</v>
      </c>
      <c r="D4047" s="8" t="s">
        <v>14</v>
      </c>
      <c r="E4047" s="8">
        <v>1</v>
      </c>
    </row>
    <row r="4048" spans="1:5" ht="15.75" customHeight="1" x14ac:dyDescent="0.25">
      <c r="A4048" s="6" t="s">
        <v>3980</v>
      </c>
      <c r="B4048" s="6" t="str">
        <f ca="1">IFERROR(__xludf.DUMMYFUNCTION("GOOGLETRANSLATE(A4048,""bn"",""en"")"),"We entered the school now")</f>
        <v>We entered the school now</v>
      </c>
      <c r="C4048" s="8" t="s">
        <v>13</v>
      </c>
      <c r="D4048" s="8" t="s">
        <v>14</v>
      </c>
      <c r="E4048" s="8">
        <v>1</v>
      </c>
    </row>
    <row r="4049" spans="1:5" ht="15.75" customHeight="1" x14ac:dyDescent="0.25">
      <c r="A4049" s="6" t="s">
        <v>3981</v>
      </c>
      <c r="B4049" s="6" t="str">
        <f ca="1">IFERROR(__xludf.DUMMYFUNCTION("GOOGLETRANSLATE(A4049,""bn"",""en"")"),"Shakib asked Rahim to go play")</f>
        <v>Shakib asked Rahim to go play</v>
      </c>
      <c r="C4049" s="8" t="s">
        <v>13</v>
      </c>
      <c r="D4049" s="8" t="s">
        <v>14</v>
      </c>
      <c r="E4049" s="8">
        <v>1</v>
      </c>
    </row>
    <row r="4050" spans="1:5" ht="15.75" customHeight="1" x14ac:dyDescent="0.25">
      <c r="A4050" s="6" t="s">
        <v>3982</v>
      </c>
      <c r="B4050" s="6" t="str">
        <f ca="1">IFERROR(__xludf.DUMMYFUNCTION("GOOGLETRANSLATE(A4050,""bn"",""en"")"),"Is this your new school?")</f>
        <v>Is this your new school?</v>
      </c>
      <c r="C4050" s="8" t="s">
        <v>13</v>
      </c>
      <c r="D4050" s="8" t="s">
        <v>14</v>
      </c>
      <c r="E4050" s="8">
        <v>1</v>
      </c>
    </row>
    <row r="4051" spans="1:5" ht="15.75" customHeight="1" x14ac:dyDescent="0.25">
      <c r="A4051" s="6" t="s">
        <v>3983</v>
      </c>
      <c r="B4051" s="6" t="str">
        <f ca="1">IFERROR(__xludf.DUMMYFUNCTION("GOOGLETRANSLATE(A4051,""bn"",""en"")"),"It is also dangerous to build an argument based on a single piece of evidence")</f>
        <v>It is also dangerous to build an argument based on a single piece of evidence</v>
      </c>
      <c r="C4051" s="8" t="s">
        <v>13</v>
      </c>
      <c r="D4051" s="8" t="s">
        <v>14</v>
      </c>
      <c r="E4051" s="8">
        <v>1</v>
      </c>
    </row>
    <row r="4052" spans="1:5" ht="15.75" customHeight="1" x14ac:dyDescent="0.25">
      <c r="A4052" s="6" t="s">
        <v>3984</v>
      </c>
      <c r="B4052" s="6" t="str">
        <f ca="1">IFERROR(__xludf.DUMMYFUNCTION("GOOGLETRANSLATE(A4052,""bn"",""en"")"),"After making such a long introduction, he took out those three notes very easily and carelessly, like the three bones of a cage.")</f>
        <v>After making such a long introduction, he took out those three notes very easily and carelessly, like the three bones of a cage.</v>
      </c>
      <c r="C4052" s="7" t="s">
        <v>6</v>
      </c>
      <c r="D4052" s="7" t="s">
        <v>7</v>
      </c>
      <c r="E4052" s="7">
        <v>0</v>
      </c>
    </row>
    <row r="4053" spans="1:5" ht="15.75" customHeight="1" x14ac:dyDescent="0.25">
      <c r="A4053" s="6" t="s">
        <v>3985</v>
      </c>
      <c r="B4053" s="6" t="str">
        <f ca="1">IFERROR(__xludf.DUMMYFUNCTION("GOOGLETRANSLATE(A4053,""bn"",""en"")"),"Determining what a pot bracket is is very difficult")</f>
        <v>Determining what a pot bracket is is very difficult</v>
      </c>
      <c r="C4053" s="7" t="s">
        <v>6</v>
      </c>
      <c r="D4053" s="7" t="s">
        <v>7</v>
      </c>
      <c r="E4053" s="7">
        <v>0</v>
      </c>
    </row>
    <row r="4054" spans="1:5" ht="15.75" customHeight="1" x14ac:dyDescent="0.25">
      <c r="A4054" s="6" t="s">
        <v>2769</v>
      </c>
      <c r="B4054" s="6" t="str">
        <f ca="1">IFERROR(__xludf.DUMMYFUNCTION("GOOGLETRANSLATE(A4054,""bn"",""en"")"),"He was sitting quietly thinking about something")</f>
        <v>He was sitting quietly thinking about something</v>
      </c>
      <c r="C4054" s="7" t="s">
        <v>6</v>
      </c>
      <c r="D4054" s="7" t="s">
        <v>7</v>
      </c>
      <c r="E4054" s="7">
        <v>0</v>
      </c>
    </row>
    <row r="4055" spans="1:5" ht="15.75" customHeight="1" x14ac:dyDescent="0.25">
      <c r="A4055" s="6" t="s">
        <v>3986</v>
      </c>
      <c r="B4055" s="6" t="str">
        <f ca="1">IFERROR(__xludf.DUMMYFUNCTION("GOOGLETRANSLATE(A4055,""bn"",""en"")"),"Rahim asked Karim to go")</f>
        <v>Rahim asked Karim to go</v>
      </c>
      <c r="C4055" s="7" t="s">
        <v>6</v>
      </c>
      <c r="D4055" s="7" t="s">
        <v>7</v>
      </c>
      <c r="E4055" s="7">
        <v>0</v>
      </c>
    </row>
    <row r="4056" spans="1:5" ht="15.75" customHeight="1" x14ac:dyDescent="0.25">
      <c r="A4056" s="6" t="s">
        <v>2346</v>
      </c>
      <c r="B4056" s="6" t="str">
        <f ca="1">IFERROR(__xludf.DUMMYFUNCTION("GOOGLETRANSLATE(A4056,""bn"",""en"")"),"There is no doubt that this is true in many places")</f>
        <v>There is no doubt that this is true in many places</v>
      </c>
      <c r="C4056" s="7" t="s">
        <v>6</v>
      </c>
      <c r="D4056" s="7" t="s">
        <v>7</v>
      </c>
      <c r="E4056" s="7">
        <v>0</v>
      </c>
    </row>
    <row r="4057" spans="1:5" ht="15.75" customHeight="1" x14ac:dyDescent="0.25">
      <c r="A4057" s="6" t="s">
        <v>3987</v>
      </c>
      <c r="B4057" s="6" t="str">
        <f ca="1">IFERROR(__xludf.DUMMYFUNCTION("GOOGLETRANSLATE(A4057,""bn"",""en"")"),"The price seems a bit steep for the quality of the product")</f>
        <v>The price seems a bit steep for the quality of the product</v>
      </c>
      <c r="C4057" s="8" t="s">
        <v>13</v>
      </c>
      <c r="D4057" s="8" t="s">
        <v>14</v>
      </c>
      <c r="E4057" s="8">
        <v>1</v>
      </c>
    </row>
    <row r="4058" spans="1:5" ht="15.75" customHeight="1" x14ac:dyDescent="0.25">
      <c r="A4058" s="6" t="s">
        <v>3988</v>
      </c>
      <c r="B4058" s="6" t="str">
        <f ca="1">IFERROR(__xludf.DUMMYFUNCTION("GOOGLETRANSLATE(A4058,""bn"",""en"")"),"Newspapers have archives that preserve historical records of events")</f>
        <v>Newspapers have archives that preserve historical records of events</v>
      </c>
      <c r="C4058" s="8" t="s">
        <v>13</v>
      </c>
      <c r="D4058" s="8" t="s">
        <v>14</v>
      </c>
      <c r="E4058" s="8">
        <v>1</v>
      </c>
    </row>
    <row r="4059" spans="1:5" ht="15.75" customHeight="1" x14ac:dyDescent="0.25">
      <c r="A4059" s="6" t="s">
        <v>3989</v>
      </c>
      <c r="B4059" s="6" t="str">
        <f ca="1">IFERROR(__xludf.DUMMYFUNCTION("GOOGLETRANSLATE(A4059,""bn"",""en"")"),"I played cricket with you")</f>
        <v>I played cricket with you</v>
      </c>
      <c r="C4059" s="8" t="s">
        <v>13</v>
      </c>
      <c r="D4059" s="8" t="s">
        <v>14</v>
      </c>
      <c r="E4059" s="8">
        <v>1</v>
      </c>
    </row>
    <row r="4060" spans="1:5" ht="15.75" customHeight="1" x14ac:dyDescent="0.25">
      <c r="A4060" s="6" t="s">
        <v>3990</v>
      </c>
      <c r="B4060" s="6" t="str">
        <f ca="1">IFERROR(__xludf.DUMMYFUNCTION("GOOGLETRANSLATE(A4060,""bn"",""en"")"),"Ronnie Rahim had to walk to the field")</f>
        <v>Ronnie Rahim had to walk to the field</v>
      </c>
      <c r="C4060" s="8" t="s">
        <v>13</v>
      </c>
      <c r="D4060" s="8" t="s">
        <v>14</v>
      </c>
      <c r="E4060" s="8">
        <v>1</v>
      </c>
    </row>
    <row r="4061" spans="1:5" ht="15.75" customHeight="1" x14ac:dyDescent="0.25">
      <c r="A4061" s="6" t="s">
        <v>3991</v>
      </c>
      <c r="B4061" s="6" t="str">
        <f ca="1">IFERROR(__xludf.DUMMYFUNCTION("GOOGLETRANSLATE(A4061,""bn"",""en"")"),"I like doing it")</f>
        <v>I like doing it</v>
      </c>
      <c r="C4061" s="8" t="s">
        <v>13</v>
      </c>
      <c r="D4061" s="8" t="s">
        <v>14</v>
      </c>
      <c r="E4061" s="8">
        <v>1</v>
      </c>
    </row>
    <row r="4062" spans="1:5" ht="15.75" customHeight="1" x14ac:dyDescent="0.25">
      <c r="A4062" s="6" t="s">
        <v>3992</v>
      </c>
      <c r="B4062" s="6" t="str">
        <f ca="1">IFERROR(__xludf.DUMMYFUNCTION("GOOGLETRANSLATE(A4062,""bn"",""en"")"),"They will go on car rides together")</f>
        <v>They will go on car rides together</v>
      </c>
      <c r="C4062" s="7" t="s">
        <v>6</v>
      </c>
      <c r="D4062" s="7" t="s">
        <v>7</v>
      </c>
      <c r="E4062" s="7">
        <v>0</v>
      </c>
    </row>
    <row r="4063" spans="1:5" ht="15.75" customHeight="1" x14ac:dyDescent="0.25">
      <c r="A4063" s="6" t="s">
        <v>3993</v>
      </c>
      <c r="B4063" s="6" t="str">
        <f ca="1">IFERROR(__xludf.DUMMYFUNCTION("GOOGLETRANSLATE(A4063,""bn"",""en"")"),"One has only to imagine the tender words of his heart in the crooked lines of his raw letters")</f>
        <v>One has only to imagine the tender words of his heart in the crooked lines of his raw letters</v>
      </c>
      <c r="C4063" s="7" t="s">
        <v>6</v>
      </c>
      <c r="D4063" s="7" t="s">
        <v>7</v>
      </c>
      <c r="E4063" s="7">
        <v>0</v>
      </c>
    </row>
    <row r="4064" spans="1:5" ht="15.75" customHeight="1" x14ac:dyDescent="0.25">
      <c r="A4064" s="6" t="s">
        <v>3994</v>
      </c>
      <c r="B4064" s="6" t="str">
        <f ca="1">IFERROR(__xludf.DUMMYFUNCTION("GOOGLETRANSLATE(A4064,""bn"",""en"")"),"Everyone laughed like that")</f>
        <v>Everyone laughed like that</v>
      </c>
      <c r="C4064" s="7" t="s">
        <v>6</v>
      </c>
      <c r="D4064" s="7" t="s">
        <v>7</v>
      </c>
      <c r="E4064" s="7">
        <v>0</v>
      </c>
    </row>
    <row r="4065" spans="1:5" ht="15.75" customHeight="1" x14ac:dyDescent="0.25">
      <c r="A4065" s="6" t="s">
        <v>3995</v>
      </c>
      <c r="B4065" s="6" t="str">
        <f ca="1">IFERROR(__xludf.DUMMYFUNCTION("GOOGLETRANSLATE(A4065,""bn"",""en"")"),"Words did not come out of his mouth")</f>
        <v>Words did not come out of his mouth</v>
      </c>
      <c r="C4065" s="7" t="s">
        <v>6</v>
      </c>
      <c r="D4065" s="7" t="s">
        <v>7</v>
      </c>
      <c r="E4065" s="7">
        <v>0</v>
      </c>
    </row>
    <row r="4066" spans="1:5" ht="15.75" customHeight="1" x14ac:dyDescent="0.25">
      <c r="A4066" s="6" t="s">
        <v>3996</v>
      </c>
      <c r="B4066" s="6" t="str">
        <f ca="1">IFERROR(__xludf.DUMMYFUNCTION("GOOGLETRANSLATE(A4066,""bn"",""en"")"),"Ramsundar was deeply hurt but he did not go")</f>
        <v>Ramsundar was deeply hurt but he did not go</v>
      </c>
      <c r="C4066" s="7" t="s">
        <v>6</v>
      </c>
      <c r="D4066" s="7" t="s">
        <v>7</v>
      </c>
      <c r="E4066" s="7">
        <v>0</v>
      </c>
    </row>
    <row r="4067" spans="1:5" ht="15.75" customHeight="1" x14ac:dyDescent="0.25">
      <c r="A4067" s="6" t="s">
        <v>641</v>
      </c>
      <c r="B4067" s="6" t="str">
        <f ca="1">IFERROR(__xludf.DUMMYFUNCTION("GOOGLETRANSLATE(A4067,""bn"",""en"")"),"So believe in yourself more than others")</f>
        <v>So believe in yourself more than others</v>
      </c>
      <c r="C4067" s="8" t="s">
        <v>13</v>
      </c>
      <c r="D4067" s="8" t="s">
        <v>14</v>
      </c>
      <c r="E4067" s="8">
        <v>1</v>
      </c>
    </row>
    <row r="4068" spans="1:5" ht="15.75" customHeight="1" x14ac:dyDescent="0.25">
      <c r="A4068" s="6" t="s">
        <v>3997</v>
      </c>
      <c r="B4068" s="6" t="str">
        <f ca="1">IFERROR(__xludf.DUMMYFUNCTION("GOOGLETRANSLATE(A4068,""bn"",""en"")"),"This procession is smaller than the previous one")</f>
        <v>This procession is smaller than the previous one</v>
      </c>
      <c r="C4068" s="8" t="s">
        <v>13</v>
      </c>
      <c r="D4068" s="8" t="s">
        <v>14</v>
      </c>
      <c r="E4068" s="8">
        <v>1</v>
      </c>
    </row>
    <row r="4069" spans="1:5" ht="15.75" customHeight="1" x14ac:dyDescent="0.25">
      <c r="A4069" s="6" t="s">
        <v>3998</v>
      </c>
      <c r="B4069" s="6" t="str">
        <f ca="1">IFERROR(__xludf.DUMMYFUNCTION("GOOGLETRANSLATE(A4069,""bn"",""en"")"),"I am currently trying to spend time with my loved ones")</f>
        <v>I am currently trying to spend time with my loved ones</v>
      </c>
      <c r="C4069" s="8" t="s">
        <v>13</v>
      </c>
      <c r="D4069" s="8" t="s">
        <v>14</v>
      </c>
      <c r="E4069" s="8">
        <v>1</v>
      </c>
    </row>
    <row r="4070" spans="1:5" ht="15.75" customHeight="1" x14ac:dyDescent="0.25">
      <c r="A4070" s="6" t="s">
        <v>3999</v>
      </c>
      <c r="B4070" s="6" t="str">
        <f ca="1">IFERROR(__xludf.DUMMYFUNCTION("GOOGLETRANSLATE(A4070,""bn"",""en"")"),"Inclusive classrooms embrace students of all ability backgrounds")</f>
        <v>Inclusive classrooms embrace students of all ability backgrounds</v>
      </c>
      <c r="C4070" s="8" t="s">
        <v>13</v>
      </c>
      <c r="D4070" s="8" t="s">
        <v>14</v>
      </c>
      <c r="E4070" s="8">
        <v>1</v>
      </c>
    </row>
    <row r="4071" spans="1:5" ht="15.75" customHeight="1" x14ac:dyDescent="0.25">
      <c r="A4071" s="6" t="s">
        <v>4000</v>
      </c>
      <c r="B4071" s="6" t="str">
        <f ca="1">IFERROR(__xludf.DUMMYFUNCTION("GOOGLETRANSLATE(A4071,""bn"",""en"")"),"Cultivate resilience Adaptability Life is full of ups and downs You have the strength to bounce back")</f>
        <v>Cultivate resilience Adaptability Life is full of ups and downs You have the strength to bounce back</v>
      </c>
      <c r="C4071" s="8" t="s">
        <v>13</v>
      </c>
      <c r="D4071" s="8" t="s">
        <v>14</v>
      </c>
      <c r="E4071" s="8">
        <v>1</v>
      </c>
    </row>
    <row r="4072" spans="1:5" ht="15.75" customHeight="1" x14ac:dyDescent="0.25">
      <c r="A4072" s="6" t="s">
        <v>4001</v>
      </c>
      <c r="B4072" s="6" t="str">
        <f ca="1">IFERROR(__xludf.DUMMYFUNCTION("GOOGLETRANSLATE(A4072,""bn"",""en"")"),"Irtazuddin's relationship with Shahed is not a brotherly relationship")</f>
        <v>Irtazuddin's relationship with Shahed is not a brotherly relationship</v>
      </c>
      <c r="C4072" s="7" t="s">
        <v>6</v>
      </c>
      <c r="D4072" s="7" t="s">
        <v>7</v>
      </c>
      <c r="E4072" s="7">
        <v>0</v>
      </c>
    </row>
    <row r="4073" spans="1:5" ht="15.75" customHeight="1" x14ac:dyDescent="0.25">
      <c r="A4073" s="6" t="s">
        <v>4002</v>
      </c>
      <c r="B4073" s="6" t="str">
        <f ca="1">IFERROR(__xludf.DUMMYFUNCTION("GOOGLETRANSLATE(A4073,""bn"",""en"")"),"Hearing Rahmat's question, he turned his face away in shame")</f>
        <v>Hearing Rahmat's question, he turned his face away in shame</v>
      </c>
      <c r="C4073" s="7" t="s">
        <v>6</v>
      </c>
      <c r="D4073" s="7" t="s">
        <v>7</v>
      </c>
      <c r="E4073" s="7">
        <v>0</v>
      </c>
    </row>
    <row r="4074" spans="1:5" ht="15.75" customHeight="1" x14ac:dyDescent="0.25">
      <c r="A4074" s="6" t="s">
        <v>4003</v>
      </c>
      <c r="B4074" s="6" t="str">
        <f ca="1">IFERROR(__xludf.DUMMYFUNCTION("GOOGLETRANSLATE(A4074,""bn"",""en"")"),"The four-sided space is its premises")</f>
        <v>The four-sided space is its premises</v>
      </c>
      <c r="C4074" s="7" t="s">
        <v>6</v>
      </c>
      <c r="D4074" s="7" t="s">
        <v>7</v>
      </c>
      <c r="E4074" s="7">
        <v>0</v>
      </c>
    </row>
    <row r="4075" spans="1:5" ht="15.75" customHeight="1" x14ac:dyDescent="0.25">
      <c r="A4075" s="6" t="s">
        <v>4004</v>
      </c>
      <c r="B4075" s="6" t="str">
        <f ca="1">IFERROR(__xludf.DUMMYFUNCTION("GOOGLETRANSLATE(A4075,""bn"",""en"")"),"When Ramsundar met his daughter for a while with the permission of Behaibari, the heart of the father could be felt just by seeing his smile.")</f>
        <v>When Ramsundar met his daughter for a while with the permission of Behaibari, the heart of the father could be felt just by seeing his smile.</v>
      </c>
      <c r="C4075" s="7" t="s">
        <v>6</v>
      </c>
      <c r="D4075" s="7" t="s">
        <v>7</v>
      </c>
      <c r="E4075" s="7">
        <v>0</v>
      </c>
    </row>
    <row r="4076" spans="1:5" ht="15.75" customHeight="1" x14ac:dyDescent="0.25">
      <c r="A4076" s="6" t="s">
        <v>4005</v>
      </c>
      <c r="B4076" s="6" t="str">
        <f ca="1">IFERROR(__xludf.DUMMYFUNCTION("GOOGLETRANSLATE(A4076,""bn"",""en"")"),"He who rides a palanquin is therefore unfortunate village boys and girls are also very cruel and ruthless")</f>
        <v>He who rides a palanquin is therefore unfortunate village boys and girls are also very cruel and ruthless</v>
      </c>
      <c r="C4076" s="7" t="s">
        <v>6</v>
      </c>
      <c r="D4076" s="7" t="s">
        <v>7</v>
      </c>
      <c r="E4076" s="7">
        <v>0</v>
      </c>
    </row>
    <row r="4077" spans="1:5" ht="15.75" customHeight="1" x14ac:dyDescent="0.25">
      <c r="A4077" s="6" t="s">
        <v>4006</v>
      </c>
      <c r="B4077" s="6" t="str">
        <f ca="1">IFERROR(__xludf.DUMMYFUNCTION("GOOGLETRANSLATE(A4077,""bn"",""en"")"),"Chocolate desserts satisfy sweet cravings")</f>
        <v>Chocolate desserts satisfy sweet cravings</v>
      </c>
      <c r="C4077" s="8" t="s">
        <v>13</v>
      </c>
      <c r="D4077" s="8" t="s">
        <v>14</v>
      </c>
      <c r="E4077" s="8">
        <v>1</v>
      </c>
    </row>
    <row r="4078" spans="1:5" ht="15.75" customHeight="1" x14ac:dyDescent="0.25">
      <c r="A4078" s="6" t="s">
        <v>4007</v>
      </c>
      <c r="B4078" s="6" t="str">
        <f ca="1">IFERROR(__xludf.DUMMYFUNCTION("GOOGLETRANSLATE(A4078,""bn"",""en"")"),"Share your weekend plans")</f>
        <v>Share your weekend plans</v>
      </c>
      <c r="C4078" s="8" t="s">
        <v>13</v>
      </c>
      <c r="D4078" s="8" t="s">
        <v>14</v>
      </c>
      <c r="E4078" s="8">
        <v>1</v>
      </c>
    </row>
    <row r="4079" spans="1:5" ht="15.75" customHeight="1" x14ac:dyDescent="0.25">
      <c r="A4079" s="6" t="s">
        <v>4008</v>
      </c>
      <c r="B4079" s="6" t="str">
        <f ca="1">IFERROR(__xludf.DUMMYFUNCTION("GOOGLETRANSLATE(A4079,""bn"",""en"")"),"Nobel Prize in Literature for autobiography")</f>
        <v>Nobel Prize in Literature for autobiography</v>
      </c>
      <c r="C4079" s="8" t="s">
        <v>13</v>
      </c>
      <c r="D4079" s="8" t="s">
        <v>14</v>
      </c>
      <c r="E4079" s="8">
        <v>1</v>
      </c>
    </row>
    <row r="4080" spans="1:5" ht="15.75" customHeight="1" x14ac:dyDescent="0.25">
      <c r="A4080" s="6" t="s">
        <v>4009</v>
      </c>
      <c r="B4080" s="6" t="str">
        <f ca="1">IFERROR(__xludf.DUMMYFUNCTION("GOOGLETRANSLATE(A4080,""bn"",""en"")"),"Criminal investigations require careful attention to detail")</f>
        <v>Criminal investigations require careful attention to detail</v>
      </c>
      <c r="C4080" s="8" t="s">
        <v>13</v>
      </c>
      <c r="D4080" s="8" t="s">
        <v>14</v>
      </c>
      <c r="E4080" s="8">
        <v>1</v>
      </c>
    </row>
    <row r="4081" spans="1:5" ht="15.75" customHeight="1" x14ac:dyDescent="0.25">
      <c r="A4081" s="6" t="s">
        <v>4010</v>
      </c>
      <c r="B4081" s="6" t="str">
        <f ca="1">IFERROR(__xludf.DUMMYFUNCTION("GOOGLETRANSLATE(A4081,""bn"",""en"")"),"It's hot here")</f>
        <v>It's hot here</v>
      </c>
      <c r="C4081" s="8" t="s">
        <v>13</v>
      </c>
      <c r="D4081" s="8" t="s">
        <v>14</v>
      </c>
      <c r="E4081" s="8">
        <v>1</v>
      </c>
    </row>
    <row r="4082" spans="1:5" ht="15.75" customHeight="1" x14ac:dyDescent="0.25">
      <c r="A4082" s="6" t="s">
        <v>4011</v>
      </c>
      <c r="B4082" s="6" t="str">
        <f ca="1">IFERROR(__xludf.DUMMYFUNCTION("GOOGLETRANSLATE(A4082,""bn"",""en"")"),"We will be almost the same age")</f>
        <v>We will be almost the same age</v>
      </c>
      <c r="C4082" s="7" t="s">
        <v>6</v>
      </c>
      <c r="D4082" s="7" t="s">
        <v>7</v>
      </c>
      <c r="E4082" s="7">
        <v>0</v>
      </c>
    </row>
    <row r="4083" spans="1:5" ht="15.75" customHeight="1" x14ac:dyDescent="0.25">
      <c r="A4083" s="6" t="s">
        <v>4012</v>
      </c>
      <c r="B4083" s="6" t="str">
        <f ca="1">IFERROR(__xludf.DUMMYFUNCTION("GOOGLETRANSLATE(A4083,""bn"",""en"")"),"I saw him under the tree")</f>
        <v>I saw him under the tree</v>
      </c>
      <c r="C4083" s="7" t="s">
        <v>6</v>
      </c>
      <c r="D4083" s="7" t="s">
        <v>7</v>
      </c>
      <c r="E4083" s="7">
        <v>0</v>
      </c>
    </row>
    <row r="4084" spans="1:5" ht="15.75" customHeight="1" x14ac:dyDescent="0.25">
      <c r="A4084" s="6" t="s">
        <v>4013</v>
      </c>
      <c r="B4084" s="6" t="str">
        <f ca="1">IFERROR(__xludf.DUMMYFUNCTION("GOOGLETRANSLATE(A4084,""bn"",""en"")"),"In our country, during the wife's ritual, the bridegroom's surface is surrounded by a bowtie of various weights of cork which is touched.")</f>
        <v>In our country, during the wife's ritual, the bridegroom's surface is surrounded by a bowtie of various weights of cork which is touched.</v>
      </c>
      <c r="C4084" s="7" t="s">
        <v>6</v>
      </c>
      <c r="D4084" s="7" t="s">
        <v>7</v>
      </c>
      <c r="E4084" s="7">
        <v>0</v>
      </c>
    </row>
    <row r="4085" spans="1:5" ht="15.75" customHeight="1" x14ac:dyDescent="0.25">
      <c r="A4085" s="6" t="s">
        <v>4014</v>
      </c>
      <c r="B4085" s="6" t="str">
        <f ca="1">IFERROR(__xludf.DUMMYFUNCTION("GOOGLETRANSLATE(A4085,""bn"",""en"")"),"Suman will eat rice and go to the bay")</f>
        <v>Suman will eat rice and go to the bay</v>
      </c>
      <c r="C4085" s="7" t="s">
        <v>6</v>
      </c>
      <c r="D4085" s="7" t="s">
        <v>7</v>
      </c>
      <c r="E4085" s="7">
        <v>0</v>
      </c>
    </row>
    <row r="4086" spans="1:5" ht="15.75" customHeight="1" x14ac:dyDescent="0.25">
      <c r="A4086" s="6" t="s">
        <v>4015</v>
      </c>
      <c r="B4086" s="6" t="str">
        <f ca="1">IFERROR(__xludf.DUMMYFUNCTION("GOOGLETRANSLATE(A4086,""bn"",""en"")"),"It was not a secret that Ramsundar had left without giving the money he had brought because of his daughter's prohibition.")</f>
        <v>It was not a secret that Ramsundar had left without giving the money he had brought because of his daughter's prohibition.</v>
      </c>
      <c r="C4086" s="7" t="s">
        <v>6</v>
      </c>
      <c r="D4086" s="7" t="s">
        <v>7</v>
      </c>
      <c r="E4086" s="7">
        <v>0</v>
      </c>
    </row>
    <row r="4087" spans="1:5" ht="15.75" customHeight="1" x14ac:dyDescent="0.25">
      <c r="A4087" s="6" t="s">
        <v>4016</v>
      </c>
      <c r="B4087" s="6" t="str">
        <f ca="1">IFERROR(__xludf.DUMMYFUNCTION("GOOGLETRANSLATE(A4087,""bn"",""en"")"),"Rehabilitation programs are designed to help offenders reintegrate into society")</f>
        <v>Rehabilitation programs are designed to help offenders reintegrate into society</v>
      </c>
      <c r="C4087" s="8" t="s">
        <v>13</v>
      </c>
      <c r="D4087" s="8" t="s">
        <v>14</v>
      </c>
      <c r="E4087" s="8">
        <v>1</v>
      </c>
    </row>
    <row r="4088" spans="1:5" ht="15.75" customHeight="1" x14ac:dyDescent="0.25">
      <c r="A4088" s="6" t="s">
        <v>4017</v>
      </c>
      <c r="B4088" s="6" t="str">
        <f ca="1">IFERROR(__xludf.DUMMYFUNCTION("GOOGLETRANSLATE(A4088,""bn"",""en"")"),"The balsamic glaze adds depth to the dish")</f>
        <v>The balsamic glaze adds depth to the dish</v>
      </c>
      <c r="C4088" s="8" t="s">
        <v>13</v>
      </c>
      <c r="D4088" s="8" t="s">
        <v>14</v>
      </c>
      <c r="E4088" s="8">
        <v>1</v>
      </c>
    </row>
    <row r="4089" spans="1:5" ht="15.75" customHeight="1" x14ac:dyDescent="0.25">
      <c r="A4089" s="6" t="s">
        <v>4018</v>
      </c>
      <c r="B4089" s="6" t="str">
        <f ca="1">IFERROR(__xludf.DUMMYFUNCTION("GOOGLETRANSLATE(A4089,""bn"",""en"")"),"I can argue with my siblings")</f>
        <v>I can argue with my siblings</v>
      </c>
      <c r="C4089" s="8" t="s">
        <v>13</v>
      </c>
      <c r="D4089" s="8" t="s">
        <v>14</v>
      </c>
      <c r="E4089" s="8">
        <v>1</v>
      </c>
    </row>
    <row r="4090" spans="1:5" ht="15.75" customHeight="1" x14ac:dyDescent="0.25">
      <c r="A4090" s="6" t="s">
        <v>4019</v>
      </c>
      <c r="B4090" s="6" t="str">
        <f ca="1">IFERROR(__xludf.DUMMYFUNCTION("GOOGLETRANSLATE(A4090,""bn"",""en"")"),"I accidentally left my lights on now my battery is not working")</f>
        <v>I accidentally left my lights on now my battery is not working</v>
      </c>
      <c r="C4090" s="8" t="s">
        <v>13</v>
      </c>
      <c r="D4090" s="8" t="s">
        <v>14</v>
      </c>
      <c r="E4090" s="8">
        <v>1</v>
      </c>
    </row>
    <row r="4091" spans="1:5" ht="15.75" customHeight="1" x14ac:dyDescent="0.25">
      <c r="A4091" s="6" t="s">
        <v>4020</v>
      </c>
      <c r="B4091" s="6" t="str">
        <f ca="1">IFERROR(__xludf.DUMMYFUNCTION("GOOGLETRANSLATE(A4091,""bn"",""en"")"),"Paramedics provide emergency medical care at the scene of an accident")</f>
        <v>Paramedics provide emergency medical care at the scene of an accident</v>
      </c>
      <c r="C4091" s="8" t="s">
        <v>13</v>
      </c>
      <c r="D4091" s="8" t="s">
        <v>14</v>
      </c>
      <c r="E4091" s="8">
        <v>1</v>
      </c>
    </row>
    <row r="4092" spans="1:5" ht="15.75" customHeight="1" x14ac:dyDescent="0.25">
      <c r="A4092" s="6" t="s">
        <v>4021</v>
      </c>
      <c r="B4092" s="6" t="str">
        <f ca="1">IFERROR(__xludf.DUMMYFUNCTION("GOOGLETRANSLATE(A4092,""bn"",""en"")"),"I called Suman to me")</f>
        <v>I called Suman to me</v>
      </c>
      <c r="C4092" s="7" t="s">
        <v>6</v>
      </c>
      <c r="D4092" s="7" t="s">
        <v>7</v>
      </c>
      <c r="E4092" s="7">
        <v>0</v>
      </c>
    </row>
    <row r="4093" spans="1:5" ht="15.75" customHeight="1" x14ac:dyDescent="0.25">
      <c r="A4093" s="6" t="s">
        <v>4022</v>
      </c>
      <c r="B4093" s="6" t="str">
        <f ca="1">IFERROR(__xludf.DUMMYFUNCTION("GOOGLETRANSLATE(A4093,""bn"",""en"")"),"The young man stood at a place near the hole and showed the tiger very carefully")</f>
        <v>The young man stood at a place near the hole and showed the tiger very carefully</v>
      </c>
      <c r="C4093" s="7" t="s">
        <v>6</v>
      </c>
      <c r="D4093" s="7" t="s">
        <v>7</v>
      </c>
      <c r="E4093" s="7">
        <v>0</v>
      </c>
    </row>
    <row r="4094" spans="1:5" ht="15.75" customHeight="1" x14ac:dyDescent="0.25">
      <c r="A4094" s="6" t="s">
        <v>4023</v>
      </c>
      <c r="B4094" s="6" t="str">
        <f ca="1">IFERROR(__xludf.DUMMYFUNCTION("GOOGLETRANSLATE(A4094,""bn"",""en"")"),"He is so opposite to his elder brother that if he were to be written down, people would suspect him of making up the story")</f>
        <v>He is so opposite to his elder brother that if he were to be written down, people would suspect him of making up the story</v>
      </c>
      <c r="C4094" s="7" t="s">
        <v>6</v>
      </c>
      <c r="D4094" s="7" t="s">
        <v>7</v>
      </c>
      <c r="E4094" s="7">
        <v>0</v>
      </c>
    </row>
    <row r="4095" spans="1:5" ht="15.75" customHeight="1" x14ac:dyDescent="0.25">
      <c r="A4095" s="6" t="s">
        <v>4024</v>
      </c>
      <c r="B4095" s="6" t="str">
        <f ca="1">IFERROR(__xludf.DUMMYFUNCTION("GOOGLETRANSLATE(A4095,""bn"",""en"")"),"At the same time, outside the house, on the way to the Ghat, Harinam - in a low voice")</f>
        <v>At the same time, outside the house, on the way to the Ghat, Harinam - in a low voice</v>
      </c>
      <c r="C4095" s="7" t="s">
        <v>6</v>
      </c>
      <c r="D4095" s="7" t="s">
        <v>7</v>
      </c>
      <c r="E4095" s="7">
        <v>0</v>
      </c>
    </row>
    <row r="4096" spans="1:5" ht="15.75" customHeight="1" x14ac:dyDescent="0.25">
      <c r="A4096" s="6" t="s">
        <v>4025</v>
      </c>
      <c r="B4096" s="6" t="str">
        <f ca="1">IFERROR(__xludf.DUMMYFUNCTION("GOOGLETRANSLATE(A4096,""bn"",""en"")"),"Soma will change his ball")</f>
        <v>Soma will change his ball</v>
      </c>
      <c r="C4096" s="7" t="s">
        <v>6</v>
      </c>
      <c r="D4096" s="7" t="s">
        <v>7</v>
      </c>
      <c r="E4096" s="7">
        <v>0</v>
      </c>
    </row>
    <row r="4097" spans="1:5" ht="15.75" customHeight="1" x14ac:dyDescent="0.25">
      <c r="A4097" s="6" t="s">
        <v>4026</v>
      </c>
      <c r="B4097" s="6" t="str">
        <f ca="1">IFERROR(__xludf.DUMMYFUNCTION("GOOGLETRANSLATE(A4097,""bn"",""en"")"),"My uncle always gives the best advice about life")</f>
        <v>My uncle always gives the best advice about life</v>
      </c>
      <c r="C4097" s="8" t="s">
        <v>13</v>
      </c>
      <c r="D4097" s="8" t="s">
        <v>14</v>
      </c>
      <c r="E4097" s="8">
        <v>1</v>
      </c>
    </row>
    <row r="4098" spans="1:5" ht="15.75" customHeight="1" x14ac:dyDescent="0.25">
      <c r="A4098" s="6" t="s">
        <v>4027</v>
      </c>
      <c r="B4098" s="6" t="str">
        <f ca="1">IFERROR(__xludf.DUMMYFUNCTION("GOOGLETRANSLATE(A4098,""bn"",""en"")"),"He stood there dumbfounded for a while")</f>
        <v>He stood there dumbfounded for a while</v>
      </c>
      <c r="C4098" s="8" t="s">
        <v>13</v>
      </c>
      <c r="D4098" s="8" t="s">
        <v>14</v>
      </c>
      <c r="E4098" s="8">
        <v>1</v>
      </c>
    </row>
    <row r="4099" spans="1:5" ht="15.75" customHeight="1" x14ac:dyDescent="0.25">
      <c r="A4099" s="6" t="s">
        <v>4028</v>
      </c>
      <c r="B4099" s="6" t="str">
        <f ca="1">IFERROR(__xludf.DUMMYFUNCTION("GOOGLETRANSLATE(A4099,""bn"",""en"")"),"Red wine pairs well with cheese")</f>
        <v>Red wine pairs well with cheese</v>
      </c>
      <c r="C4099" s="8" t="s">
        <v>13</v>
      </c>
      <c r="D4099" s="8" t="s">
        <v>14</v>
      </c>
      <c r="E4099" s="8">
        <v>1</v>
      </c>
    </row>
    <row r="4100" spans="1:5" ht="15.75" customHeight="1" x14ac:dyDescent="0.25">
      <c r="A4100" s="6" t="s">
        <v>4029</v>
      </c>
      <c r="B4100" s="6" t="str">
        <f ca="1">IFERROR(__xludf.DUMMYFUNCTION("GOOGLETRANSLATE(A4100,""bn"",""en"")"),"The concept of Tawhid in Islam emphasizes the unity of God rejecting any notion of plurality")</f>
        <v>The concept of Tawhid in Islam emphasizes the unity of God rejecting any notion of plurality</v>
      </c>
      <c r="C4100" s="8" t="s">
        <v>13</v>
      </c>
      <c r="D4100" s="8" t="s">
        <v>14</v>
      </c>
      <c r="E4100" s="8">
        <v>1</v>
      </c>
    </row>
    <row r="4101" spans="1:5" ht="15.75" customHeight="1" x14ac:dyDescent="0.25">
      <c r="A4101" s="6" t="s">
        <v>4030</v>
      </c>
      <c r="B4101" s="6" t="str">
        <f ca="1">IFERROR(__xludf.DUMMYFUNCTION("GOOGLETRANSLATE(A4101,""bn"",""en"")"),"Seek feedback to continually improve yourself")</f>
        <v>Seek feedback to continually improve yourself</v>
      </c>
      <c r="C4101" s="8" t="s">
        <v>13</v>
      </c>
      <c r="D4101" s="8" t="s">
        <v>14</v>
      </c>
      <c r="E4101" s="8">
        <v>1</v>
      </c>
    </row>
    <row r="4102" spans="1:5" ht="15.75" customHeight="1" x14ac:dyDescent="0.25">
      <c r="A4102" s="6" t="s">
        <v>4031</v>
      </c>
      <c r="B4102" s="6" t="str">
        <f ca="1">IFERROR(__xludf.DUMMYFUNCTION("GOOGLETRANSLATE(A4102,""bn"",""en"")"),"Those who slander love slander not because they love the truth")</f>
        <v>Those who slander love slander not because they love the truth</v>
      </c>
      <c r="C4102" s="7" t="s">
        <v>6</v>
      </c>
      <c r="D4102" s="7" t="s">
        <v>7</v>
      </c>
      <c r="E4102" s="7">
        <v>0</v>
      </c>
    </row>
    <row r="4103" spans="1:5" ht="15.75" customHeight="1" x14ac:dyDescent="0.25">
      <c r="A4103" s="6" t="s">
        <v>4032</v>
      </c>
      <c r="B4103" s="6" t="str">
        <f ca="1">IFERROR(__xludf.DUMMYFUNCTION("GOOGLETRANSLATE(A4103,""bn"",""en"")"),"Niru could understand everything by seeing his father's face")</f>
        <v>Niru could understand everything by seeing his father's face</v>
      </c>
      <c r="C4103" s="7" t="s">
        <v>6</v>
      </c>
      <c r="D4103" s="7" t="s">
        <v>7</v>
      </c>
      <c r="E4103" s="7">
        <v>0</v>
      </c>
    </row>
    <row r="4104" spans="1:5" ht="15.75" customHeight="1" x14ac:dyDescent="0.25">
      <c r="A4104" s="6" t="s">
        <v>4033</v>
      </c>
      <c r="B4104" s="6" t="str">
        <f ca="1">IFERROR(__xludf.DUMMYFUNCTION("GOOGLETRANSLATE(A4104,""bn"",""en"")"),"Telling his companion to move forward, he folded his chest and stood under the window")</f>
        <v>Telling his companion to move forward, he folded his chest and stood under the window</v>
      </c>
      <c r="C4104" s="7" t="s">
        <v>6</v>
      </c>
      <c r="D4104" s="7" t="s">
        <v>7</v>
      </c>
      <c r="E4104" s="7">
        <v>0</v>
      </c>
    </row>
    <row r="4105" spans="1:5" ht="15.75" customHeight="1" x14ac:dyDescent="0.25">
      <c r="A4105" s="6" t="s">
        <v>4034</v>
      </c>
      <c r="B4105" s="6" t="str">
        <f ca="1">IFERROR(__xludf.DUMMYFUNCTION("GOOGLETRANSLATE(A4105,""bn"",""en"")"),"Never or never see a girl for five minutes in a private room outside the inner city.")</f>
        <v>Never or never see a girl for five minutes in a private room outside the inner city.</v>
      </c>
      <c r="C4105" s="7" t="s">
        <v>6</v>
      </c>
      <c r="D4105" s="7" t="s">
        <v>7</v>
      </c>
      <c r="E4105" s="7">
        <v>0</v>
      </c>
    </row>
    <row r="4106" spans="1:5" ht="15.75" customHeight="1" x14ac:dyDescent="0.25">
      <c r="A4106" s="6" t="s">
        <v>4035</v>
      </c>
      <c r="B4106" s="6" t="str">
        <f ca="1">IFERROR(__xludf.DUMMYFUNCTION("GOOGLETRANSLATE(A4106,""bn"",""en"")"),"There are only shalban and other wild trees")</f>
        <v>There are only shalban and other wild trees</v>
      </c>
      <c r="C4106" s="7" t="s">
        <v>6</v>
      </c>
      <c r="D4106" s="7" t="s">
        <v>7</v>
      </c>
      <c r="E4106" s="7">
        <v>0</v>
      </c>
    </row>
    <row r="4107" spans="1:5" ht="15.75" customHeight="1" x14ac:dyDescent="0.25">
      <c r="A4107" s="6" t="s">
        <v>4036</v>
      </c>
      <c r="B4107" s="6" t="str">
        <f ca="1">IFERROR(__xludf.DUMMYFUNCTION("GOOGLETRANSLATE(A4107,""bn"",""en"")"),"have you eaten")</f>
        <v>have you eaten</v>
      </c>
      <c r="C4107" s="8" t="s">
        <v>13</v>
      </c>
      <c r="D4107" s="8" t="s">
        <v>14</v>
      </c>
      <c r="E4107" s="8">
        <v>1</v>
      </c>
    </row>
    <row r="4108" spans="1:5" ht="15.75" customHeight="1" x14ac:dyDescent="0.25">
      <c r="A4108" s="6" t="s">
        <v>4037</v>
      </c>
      <c r="B4108" s="6" t="str">
        <f ca="1">IFERROR(__xludf.DUMMYFUNCTION("GOOGLETRANSLATE(A4108,""bn"",""en"")"),"Moreover, Buddha's saying is that giving hard chibars is the greatest gift in the world")</f>
        <v>Moreover, Buddha's saying is that giving hard chibars is the greatest gift in the world</v>
      </c>
      <c r="C4108" s="8" t="s">
        <v>13</v>
      </c>
      <c r="D4108" s="8" t="s">
        <v>14</v>
      </c>
      <c r="E4108" s="8">
        <v>1</v>
      </c>
    </row>
    <row r="4109" spans="1:5" ht="15.75" customHeight="1" x14ac:dyDescent="0.25">
      <c r="A4109" s="6" t="s">
        <v>4038</v>
      </c>
      <c r="B4109" s="6" t="str">
        <f ca="1">IFERROR(__xludf.DUMMYFUNCTION("GOOGLETRANSLATE(A4109,""bn"",""en"")"),"Rezwana Chowdhury can play banya harmonium esraj")</f>
        <v>Rezwana Chowdhury can play banya harmonium esraj</v>
      </c>
      <c r="C4109" s="8" t="s">
        <v>13</v>
      </c>
      <c r="D4109" s="8" t="s">
        <v>14</v>
      </c>
      <c r="E4109" s="8">
        <v>1</v>
      </c>
    </row>
    <row r="4110" spans="1:5" ht="15.75" customHeight="1" x14ac:dyDescent="0.25">
      <c r="A4110" s="6" t="s">
        <v>4039</v>
      </c>
      <c r="B4110" s="6" t="str">
        <f ca="1">IFERROR(__xludf.DUMMYFUNCTION("GOOGLETRANSLATE(A4110,""bn"",""en"")"),"Statutes of limitations set a time limit for prosecuting certain crimes")</f>
        <v>Statutes of limitations set a time limit for prosecuting certain crimes</v>
      </c>
      <c r="C4110" s="8" t="s">
        <v>13</v>
      </c>
      <c r="D4110" s="8" t="s">
        <v>14</v>
      </c>
      <c r="E4110" s="8">
        <v>1</v>
      </c>
    </row>
    <row r="4111" spans="1:5" ht="15.75" customHeight="1" x14ac:dyDescent="0.25">
      <c r="A4111" s="6" t="s">
        <v>4040</v>
      </c>
      <c r="B4111" s="6" t="str">
        <f ca="1">IFERROR(__xludf.DUMMYFUNCTION("GOOGLETRANSLATE(A4111,""bn"",""en"")"),"Have you ever seen a big duck before?")</f>
        <v>Have you ever seen a big duck before?</v>
      </c>
      <c r="C4111" s="8" t="s">
        <v>13</v>
      </c>
      <c r="D4111" s="8" t="s">
        <v>14</v>
      </c>
      <c r="E4111" s="8">
        <v>1</v>
      </c>
    </row>
    <row r="4112" spans="1:5" ht="15.75" customHeight="1" x14ac:dyDescent="0.25">
      <c r="A4112" s="6" t="s">
        <v>4041</v>
      </c>
      <c r="B4112" s="6" t="str">
        <f ca="1">IFERROR(__xludf.DUMMYFUNCTION("GOOGLETRANSLATE(A4112,""bn"",""en"")"),"I don't know why I had to go there")</f>
        <v>I don't know why I had to go there</v>
      </c>
      <c r="C4112" s="7" t="s">
        <v>6</v>
      </c>
      <c r="D4112" s="7" t="s">
        <v>7</v>
      </c>
      <c r="E4112" s="7">
        <v>0</v>
      </c>
    </row>
    <row r="4113" spans="1:5" ht="15.75" customHeight="1" x14ac:dyDescent="0.25">
      <c r="A4113" s="6" t="s">
        <v>4042</v>
      </c>
      <c r="B4113" s="6" t="str">
        <f ca="1">IFERROR(__xludf.DUMMYFUNCTION("GOOGLETRANSLATE(A4113,""bn"",""en"")"),"Sharif took me to the mosque")</f>
        <v>Sharif took me to the mosque</v>
      </c>
      <c r="C4113" s="7" t="s">
        <v>6</v>
      </c>
      <c r="D4113" s="7" t="s">
        <v>7</v>
      </c>
      <c r="E4113" s="7">
        <v>0</v>
      </c>
    </row>
    <row r="4114" spans="1:5" ht="15.75" customHeight="1" x14ac:dyDescent="0.25">
      <c r="A4114" s="6" t="s">
        <v>4043</v>
      </c>
      <c r="B4114" s="6" t="str">
        <f ca="1">IFERROR(__xludf.DUMMYFUNCTION("GOOGLETRANSLATE(A4114,""bn"",""en"")"),"An emaciated chick—a newborn—searches for food in a broken container of dry leaves with an upset stomach.")</f>
        <v>An emaciated chick—a newborn—searches for food in a broken container of dry leaves with an upset stomach.</v>
      </c>
      <c r="C4114" s="7" t="s">
        <v>6</v>
      </c>
      <c r="D4114" s="7" t="s">
        <v>7</v>
      </c>
      <c r="E4114" s="7">
        <v>0</v>
      </c>
    </row>
    <row r="4115" spans="1:5" ht="15.75" customHeight="1" x14ac:dyDescent="0.25">
      <c r="A4115" s="6" t="s">
        <v>4044</v>
      </c>
      <c r="B4115" s="6" t="str">
        <f ca="1">IFERROR(__xludf.DUMMYFUNCTION("GOOGLETRANSLATE(A4115,""bn"",""en"")"),"Sujan will go to market today")</f>
        <v>Sujan will go to market today</v>
      </c>
      <c r="C4115" s="7" t="s">
        <v>6</v>
      </c>
      <c r="D4115" s="7" t="s">
        <v>7</v>
      </c>
      <c r="E4115" s="7">
        <v>0</v>
      </c>
    </row>
    <row r="4116" spans="1:5" ht="15.75" customHeight="1" x14ac:dyDescent="0.25">
      <c r="A4116" s="6" t="s">
        <v>4045</v>
      </c>
      <c r="B4116" s="6" t="str">
        <f ca="1">IFERROR(__xludf.DUMMYFUNCTION("GOOGLETRANSLATE(A4116,""bn"",""en"")"),"It is also a remnant of this violence")</f>
        <v>It is also a remnant of this violence</v>
      </c>
      <c r="C4116" s="7" t="s">
        <v>6</v>
      </c>
      <c r="D4116" s="7" t="s">
        <v>7</v>
      </c>
      <c r="E4116" s="7">
        <v>0</v>
      </c>
    </row>
    <row r="4117" spans="1:5" ht="15.75" customHeight="1" x14ac:dyDescent="0.25">
      <c r="A4117" s="6" t="s">
        <v>4046</v>
      </c>
      <c r="B4117" s="6" t="str">
        <f ca="1">IFERROR(__xludf.DUMMYFUNCTION("GOOGLETRANSLATE(A4117,""bn"",""en"")"),"Like a big furnace in a brick kiln")</f>
        <v>Like a big furnace in a brick kiln</v>
      </c>
      <c r="C4117" s="8" t="s">
        <v>13</v>
      </c>
      <c r="D4117" s="8" t="s">
        <v>14</v>
      </c>
      <c r="E4117" s="8">
        <v>1</v>
      </c>
    </row>
    <row r="4118" spans="1:5" ht="15.75" customHeight="1" x14ac:dyDescent="0.25">
      <c r="A4118" s="6" t="s">
        <v>4047</v>
      </c>
      <c r="B4118" s="6" t="str">
        <f ca="1">IFERROR(__xludf.DUMMYFUNCTION("GOOGLETRANSLATE(A4118,""bn"",""en"")"),"Every afternoon I tend my garden")</f>
        <v>Every afternoon I tend my garden</v>
      </c>
      <c r="C4118" s="8" t="s">
        <v>13</v>
      </c>
      <c r="D4118" s="8" t="s">
        <v>14</v>
      </c>
      <c r="E4118" s="8">
        <v>1</v>
      </c>
    </row>
    <row r="4119" spans="1:5" ht="15.75" customHeight="1" x14ac:dyDescent="0.25">
      <c r="A4119" s="6" t="s">
        <v>4048</v>
      </c>
      <c r="B4119" s="6" t="str">
        <f ca="1">IFERROR(__xludf.DUMMYFUNCTION("GOOGLETRANSLATE(A4119,""bn"",""en"")"),"Joy Bangla Bangla's Joy written by Gazi Mazharul Anwar and composed by Anwar Pavez")</f>
        <v>Joy Bangla Bangla's Joy written by Gazi Mazharul Anwar and composed by Anwar Pavez</v>
      </c>
      <c r="C4119" s="8" t="s">
        <v>13</v>
      </c>
      <c r="D4119" s="8" t="s">
        <v>14</v>
      </c>
      <c r="E4119" s="8">
        <v>1</v>
      </c>
    </row>
    <row r="4120" spans="1:5" ht="15.75" customHeight="1" x14ac:dyDescent="0.25">
      <c r="A4120" s="6" t="s">
        <v>4049</v>
      </c>
      <c r="B4120" s="6" t="str">
        <f ca="1">IFERROR(__xludf.DUMMYFUNCTION("GOOGLETRANSLATE(A4120,""bn"",""en"")"),"In a race against time they find a legendary treasure hidden in the heart of the jungle")</f>
        <v>In a race against time they find a legendary treasure hidden in the heart of the jungle</v>
      </c>
      <c r="C4120" s="8" t="s">
        <v>13</v>
      </c>
      <c r="D4120" s="8" t="s">
        <v>14</v>
      </c>
      <c r="E4120" s="8">
        <v>1</v>
      </c>
    </row>
    <row r="4121" spans="1:5" ht="15.75" customHeight="1" x14ac:dyDescent="0.25">
      <c r="A4121" s="6" t="s">
        <v>4050</v>
      </c>
      <c r="B4121" s="6" t="str">
        <f ca="1">IFERROR(__xludf.DUMMYFUNCTION("GOOGLETRANSLATE(A4121,""bn"",""en"")"),"A family of deer grazed peacefully in the meadow, undisturbed by the world around them.")</f>
        <v>A family of deer grazed peacefully in the meadow, undisturbed by the world around them.</v>
      </c>
      <c r="C4121" s="8" t="s">
        <v>13</v>
      </c>
      <c r="D4121" s="8" t="s">
        <v>14</v>
      </c>
      <c r="E4121" s="8">
        <v>1</v>
      </c>
    </row>
    <row r="4122" spans="1:5" ht="15.75" customHeight="1" x14ac:dyDescent="0.25">
      <c r="A4122" s="6" t="s">
        <v>4051</v>
      </c>
      <c r="B4122" s="6" t="str">
        <f ca="1">IFERROR(__xludf.DUMMYFUNCTION("GOOGLETRANSLATE(A4122,""bn"",""en"")"),"The difference between a failed fighter and a successful fighter is hard work")</f>
        <v>The difference between a failed fighter and a successful fighter is hard work</v>
      </c>
      <c r="C4122" s="7" t="s">
        <v>6</v>
      </c>
      <c r="D4122" s="7" t="s">
        <v>7</v>
      </c>
      <c r="E4122" s="7">
        <v>0</v>
      </c>
    </row>
    <row r="4123" spans="1:5" ht="15.75" customHeight="1" x14ac:dyDescent="0.25">
      <c r="A4123" s="6" t="s">
        <v>4052</v>
      </c>
      <c r="B4123" s="6" t="str">
        <f ca="1">IFERROR(__xludf.DUMMYFUNCTION("GOOGLETRANSLATE(A4123,""bn"",""en"")"),"Bishvambharbabu wiped his eyes with a handkerchief and lovingly took Fatik's thin, hot hand on his hand and sat near him.")</f>
        <v>Bishvambharbabu wiped his eyes with a handkerchief and lovingly took Fatik's thin, hot hand on his hand and sat near him.</v>
      </c>
      <c r="C4123" s="7" t="s">
        <v>6</v>
      </c>
      <c r="D4123" s="7" t="s">
        <v>7</v>
      </c>
      <c r="E4123" s="7">
        <v>0</v>
      </c>
    </row>
    <row r="4124" spans="1:5" ht="15.75" customHeight="1" x14ac:dyDescent="0.25">
      <c r="A4124" s="6" t="s">
        <v>4053</v>
      </c>
      <c r="B4124" s="6" t="str">
        <f ca="1">IFERROR(__xludf.DUMMYFUNCTION("GOOGLETRANSLATE(A4124,""bn"",""en"")"),"Sharif took me to play")</f>
        <v>Sharif took me to play</v>
      </c>
      <c r="C4124" s="7" t="s">
        <v>6</v>
      </c>
      <c r="D4124" s="7" t="s">
        <v>7</v>
      </c>
      <c r="E4124" s="7">
        <v>0</v>
      </c>
    </row>
    <row r="4125" spans="1:5" ht="15.75" customHeight="1" x14ac:dyDescent="0.25">
      <c r="A4125" s="6" t="s">
        <v>4054</v>
      </c>
      <c r="B4125" s="6" t="str">
        <f ca="1">IFERROR(__xludf.DUMMYFUNCTION("GOOGLETRANSLATE(A4125,""bn"",""en"")"),"The sweet scent of care began to waft from within the nearby bush")</f>
        <v>The sweet scent of care began to waft from within the nearby bush</v>
      </c>
      <c r="C4125" s="7" t="s">
        <v>6</v>
      </c>
      <c r="D4125" s="7" t="s">
        <v>7</v>
      </c>
      <c r="E4125" s="7">
        <v>0</v>
      </c>
    </row>
    <row r="4126" spans="1:5" ht="15.75" customHeight="1" x14ac:dyDescent="0.25">
      <c r="A4126" s="6" t="s">
        <v>4055</v>
      </c>
      <c r="B4126" s="6" t="str">
        <f ca="1">IFERROR(__xludf.DUMMYFUNCTION("GOOGLETRANSLATE(A4126,""bn"",""en"")"),"The forest flowers on their heads are rising and falling at the same time")</f>
        <v>The forest flowers on their heads are rising and falling at the same time</v>
      </c>
      <c r="C4126" s="7" t="s">
        <v>6</v>
      </c>
      <c r="D4126" s="7" t="s">
        <v>7</v>
      </c>
      <c r="E4126" s="7">
        <v>0</v>
      </c>
    </row>
    <row r="4127" spans="1:5" ht="15.75" customHeight="1" x14ac:dyDescent="0.25">
      <c r="A4127" s="6" t="s">
        <v>4056</v>
      </c>
      <c r="B4127" s="6" t="str">
        <f ca="1">IFERROR(__xludf.DUMMYFUNCTION("GOOGLETRANSLATE(A4127,""bn"",""en"")"),"He was crying alone in the room")</f>
        <v>He was crying alone in the room</v>
      </c>
      <c r="C4127" s="8" t="s">
        <v>13</v>
      </c>
      <c r="D4127" s="8" t="s">
        <v>14</v>
      </c>
      <c r="E4127" s="8">
        <v>1</v>
      </c>
    </row>
    <row r="4128" spans="1:5" ht="15.75" customHeight="1" x14ac:dyDescent="0.25">
      <c r="A4128" s="6" t="s">
        <v>4057</v>
      </c>
      <c r="B4128" s="6" t="str">
        <f ca="1">IFERROR(__xludf.DUMMYFUNCTION("GOOGLETRANSLATE(A4128,""bn"",""en"")"),"Readers took it well")</f>
        <v>Readers took it well</v>
      </c>
      <c r="C4128" s="8" t="s">
        <v>13</v>
      </c>
      <c r="D4128" s="8" t="s">
        <v>14</v>
      </c>
      <c r="E4128" s="8">
        <v>1</v>
      </c>
    </row>
    <row r="4129" spans="1:5" ht="15.75" customHeight="1" x14ac:dyDescent="0.25">
      <c r="A4129" s="6" t="s">
        <v>4058</v>
      </c>
      <c r="B4129" s="6" t="str">
        <f ca="1">IFERROR(__xludf.DUMMYFUNCTION("GOOGLETRANSLATE(A4129,""bn"",""en"")"),"He performed the duty of Jumma prayer only")</f>
        <v>He performed the duty of Jumma prayer only</v>
      </c>
      <c r="C4129" s="8" t="s">
        <v>13</v>
      </c>
      <c r="D4129" s="8" t="s">
        <v>14</v>
      </c>
      <c r="E4129" s="8">
        <v>1</v>
      </c>
    </row>
    <row r="4130" spans="1:5" ht="15.75" customHeight="1" x14ac:dyDescent="0.25">
      <c r="A4130" s="6" t="s">
        <v>4059</v>
      </c>
      <c r="B4130" s="6" t="str">
        <f ca="1">IFERROR(__xludf.DUMMYFUNCTION("GOOGLETRANSLATE(A4130,""bn"",""en"")"),"Relentlessly follow your passion Be open to change")</f>
        <v>Relentlessly follow your passion Be open to change</v>
      </c>
      <c r="C4130" s="8" t="s">
        <v>13</v>
      </c>
      <c r="D4130" s="8" t="s">
        <v>14</v>
      </c>
      <c r="E4130" s="8">
        <v>1</v>
      </c>
    </row>
    <row r="4131" spans="1:5" ht="15.75" customHeight="1" x14ac:dyDescent="0.25">
      <c r="A4131" s="6" t="s">
        <v>4060</v>
      </c>
      <c r="B4131" s="6" t="str">
        <f ca="1">IFERROR(__xludf.DUMMYFUNCTION("GOOGLETRANSLATE(A4131,""bn"",""en"")"),"Green called me to play")</f>
        <v>Green called me to play</v>
      </c>
      <c r="C4131" s="8" t="s">
        <v>13</v>
      </c>
      <c r="D4131" s="8" t="s">
        <v>14</v>
      </c>
      <c r="E4131" s="8">
        <v>1</v>
      </c>
    </row>
    <row r="4132" spans="1:5" ht="15.75" customHeight="1" x14ac:dyDescent="0.25">
      <c r="A4132" s="6" t="s">
        <v>4061</v>
      </c>
      <c r="B4132" s="6" t="str">
        <f ca="1">IFERROR(__xludf.DUMMYFUNCTION("GOOGLETRANSLATE(A4132,""bn"",""en"")"),"He helped the blind man to cross the road.")</f>
        <v>He helped the blind man to cross the road.</v>
      </c>
      <c r="C4132" s="7" t="s">
        <v>6</v>
      </c>
      <c r="D4132" s="7" t="s">
        <v>7</v>
      </c>
      <c r="E4132" s="7">
        <v>0</v>
      </c>
    </row>
    <row r="4133" spans="1:5" ht="15.75" customHeight="1" x14ac:dyDescent="0.25">
      <c r="A4133" s="6" t="s">
        <v>4062</v>
      </c>
      <c r="B4133" s="6" t="str">
        <f ca="1">IFERROR(__xludf.DUMMYFUNCTION("GOOGLETRANSLATE(A4133,""bn"",""en"")"),"After coming home, Lalmia took the load down to one side of the balcony and stood there silently")</f>
        <v>After coming home, Lalmia took the load down to one side of the balcony and stood there silently</v>
      </c>
      <c r="C4133" s="7" t="s">
        <v>6</v>
      </c>
      <c r="D4133" s="7" t="s">
        <v>7</v>
      </c>
      <c r="E4133" s="7">
        <v>0</v>
      </c>
    </row>
    <row r="4134" spans="1:5" ht="15.75" customHeight="1" x14ac:dyDescent="0.25">
      <c r="A4134" s="6" t="s">
        <v>4063</v>
      </c>
      <c r="B4134" s="6" t="str">
        <f ca="1">IFERROR(__xludf.DUMMYFUNCTION("GOOGLETRANSLATE(A4134,""bn"",""en"")"),"It is very clean and the wind sweeps it away")</f>
        <v>It is very clean and the wind sweeps it away</v>
      </c>
      <c r="C4134" s="7" t="s">
        <v>6</v>
      </c>
      <c r="D4134" s="7" t="s">
        <v>7</v>
      </c>
      <c r="E4134" s="7">
        <v>0</v>
      </c>
    </row>
    <row r="4135" spans="1:5" ht="15.75" customHeight="1" x14ac:dyDescent="0.25">
      <c r="A4135" s="6" t="s">
        <v>4064</v>
      </c>
      <c r="B4135" s="6" t="str">
        <f ca="1">IFERROR(__xludf.DUMMYFUNCTION("GOOGLETRANSLATE(A4135,""bn"",""en"")"),"I did him a favor")</f>
        <v>I did him a favor</v>
      </c>
      <c r="C4135" s="7" t="s">
        <v>6</v>
      </c>
      <c r="D4135" s="7" t="s">
        <v>7</v>
      </c>
      <c r="E4135" s="7">
        <v>0</v>
      </c>
    </row>
    <row r="4136" spans="1:5" ht="15.75" customHeight="1" x14ac:dyDescent="0.25">
      <c r="A4136" s="6" t="s">
        <v>4065</v>
      </c>
      <c r="B4136" s="6" t="str">
        <f ca="1">IFERROR(__xludf.DUMMYFUNCTION("GOOGLETRANSLATE(A4136,""bn"",""en"")"),"He did me a favor")</f>
        <v>He did me a favor</v>
      </c>
      <c r="C4136" s="7" t="s">
        <v>6</v>
      </c>
      <c r="D4136" s="7" t="s">
        <v>7</v>
      </c>
      <c r="E4136" s="7">
        <v>0</v>
      </c>
    </row>
    <row r="4137" spans="1:5" ht="15.75" customHeight="1" x14ac:dyDescent="0.25">
      <c r="A4137" s="6" t="s">
        <v>4066</v>
      </c>
      <c r="B4137" s="6" t="str">
        <f ca="1">IFERROR(__xludf.DUMMYFUNCTION("GOOGLETRANSLATE(A4137,""bn"",""en"")"),"Their wings are either bat-like or bird-like, and their tail is snake-like")</f>
        <v>Their wings are either bat-like or bird-like, and their tail is snake-like</v>
      </c>
      <c r="C4137" s="8" t="s">
        <v>13</v>
      </c>
      <c r="D4137" s="8" t="s">
        <v>14</v>
      </c>
      <c r="E4137" s="8">
        <v>1</v>
      </c>
    </row>
    <row r="4138" spans="1:5" ht="15.75" customHeight="1" x14ac:dyDescent="0.25">
      <c r="A4138" s="6" t="s">
        <v>4067</v>
      </c>
      <c r="B4138" s="6" t="str">
        <f ca="1">IFERROR(__xludf.DUMMYFUNCTION("GOOGLETRANSLATE(A4138,""bn"",""en"")"),"Take risks and calculate them wisely")</f>
        <v>Take risks and calculate them wisely</v>
      </c>
      <c r="C4138" s="8" t="s">
        <v>13</v>
      </c>
      <c r="D4138" s="8" t="s">
        <v>14</v>
      </c>
      <c r="E4138" s="8">
        <v>1</v>
      </c>
    </row>
    <row r="4139" spans="1:5" ht="15.75" customHeight="1" x14ac:dyDescent="0.25">
      <c r="A4139" s="6" t="s">
        <v>303</v>
      </c>
      <c r="B4139" s="6" t="str">
        <f ca="1">IFERROR(__xludf.DUMMYFUNCTION("GOOGLETRANSLATE(A4139,""bn"",""en"")"),"His mother's last words made him think sharply")</f>
        <v>His mother's last words made him think sharply</v>
      </c>
      <c r="C4139" s="8" t="s">
        <v>13</v>
      </c>
      <c r="D4139" s="8" t="s">
        <v>14</v>
      </c>
      <c r="E4139" s="8">
        <v>1</v>
      </c>
    </row>
    <row r="4140" spans="1:5" ht="15.75" customHeight="1" x14ac:dyDescent="0.25">
      <c r="A4140" s="6" t="s">
        <v>4068</v>
      </c>
      <c r="B4140" s="6" t="str">
        <f ca="1">IFERROR(__xludf.DUMMYFUNCTION("GOOGLETRANSLATE(A4140,""bn"",""en"")"),"Rahim Rana entered the mosque together")</f>
        <v>Rahim Rana entered the mosque together</v>
      </c>
      <c r="C4140" s="8" t="s">
        <v>13</v>
      </c>
      <c r="D4140" s="8" t="s">
        <v>14</v>
      </c>
      <c r="E4140" s="8">
        <v>1</v>
      </c>
    </row>
    <row r="4141" spans="1:5" ht="15.75" customHeight="1" x14ac:dyDescent="0.25">
      <c r="A4141" s="6" t="s">
        <v>4069</v>
      </c>
      <c r="B4141" s="6" t="str">
        <f ca="1">IFERROR(__xludf.DUMMYFUNCTION("GOOGLETRANSLATE(A4141,""bn"",""en"")"),"Rafi saw me and went there")</f>
        <v>Rafi saw me and went there</v>
      </c>
      <c r="C4141" s="8" t="s">
        <v>13</v>
      </c>
      <c r="D4141" s="8" t="s">
        <v>14</v>
      </c>
      <c r="E4141" s="8">
        <v>1</v>
      </c>
    </row>
    <row r="4142" spans="1:5" ht="15.75" customHeight="1" x14ac:dyDescent="0.25">
      <c r="A4142" s="6" t="s">
        <v>4070</v>
      </c>
      <c r="B4142" s="6" t="str">
        <f ca="1">IFERROR(__xludf.DUMMYFUNCTION("GOOGLETRANSLATE(A4142,""bn"",""en"")"),"No one wanted to go with Navakumar")</f>
        <v>No one wanted to go with Navakumar</v>
      </c>
      <c r="C4142" s="7" t="s">
        <v>6</v>
      </c>
      <c r="D4142" s="7" t="s">
        <v>7</v>
      </c>
      <c r="E4142" s="7">
        <v>0</v>
      </c>
    </row>
    <row r="4143" spans="1:5" ht="15.75" customHeight="1" x14ac:dyDescent="0.25">
      <c r="A4143" s="6" t="s">
        <v>4071</v>
      </c>
      <c r="B4143" s="6" t="str">
        <f ca="1">IFERROR(__xludf.DUMMYFUNCTION("GOOGLETRANSLATE(A4143,""bn"",""en"")"),"When they were afraid of going to an unknown city, a loving voice said, ""You have no fear here.""")</f>
        <v>When they were afraid of going to an unknown city, a loving voice said, "You have no fear here."</v>
      </c>
      <c r="C4143" s="7" t="s">
        <v>6</v>
      </c>
      <c r="D4143" s="7" t="s">
        <v>7</v>
      </c>
      <c r="E4143" s="7">
        <v>0</v>
      </c>
    </row>
    <row r="4144" spans="1:5" ht="15.75" customHeight="1" x14ac:dyDescent="0.25">
      <c r="A4144" s="6" t="s">
        <v>4072</v>
      </c>
      <c r="B4144" s="6" t="str">
        <f ca="1">IFERROR(__xludf.DUMMYFUNCTION("GOOGLETRANSLATE(A4144,""bn"",""en"")"),"There is no light or people in any of them now")</f>
        <v>There is no light or people in any of them now</v>
      </c>
      <c r="C4144" s="7" t="s">
        <v>6</v>
      </c>
      <c r="D4144" s="7" t="s">
        <v>7</v>
      </c>
      <c r="E4144" s="7">
        <v>0</v>
      </c>
    </row>
    <row r="4145" spans="1:5" ht="15.75" customHeight="1" x14ac:dyDescent="0.25">
      <c r="A4145" s="6" t="s">
        <v>4073</v>
      </c>
      <c r="B4145" s="6" t="str">
        <f ca="1">IFERROR(__xludf.DUMMYFUNCTION("GOOGLETRANSLATE(A4145,""bn"",""en"")"),"There is a reason to write")</f>
        <v>There is a reason to write</v>
      </c>
      <c r="C4145" s="7" t="s">
        <v>6</v>
      </c>
      <c r="D4145" s="7" t="s">
        <v>7</v>
      </c>
      <c r="E4145" s="7">
        <v>0</v>
      </c>
    </row>
    <row r="4146" spans="1:5" ht="15.75" customHeight="1" x14ac:dyDescent="0.25">
      <c r="A4146" s="6" t="s">
        <v>4074</v>
      </c>
      <c r="B4146" s="6" t="str">
        <f ca="1">IFERROR(__xludf.DUMMYFUNCTION("GOOGLETRANSLATE(A4146,""bn"",""en"")"),"Many faults in childhood and adolescence can be measured")</f>
        <v>Many faults in childhood and adolescence can be measured</v>
      </c>
      <c r="C4146" s="7" t="s">
        <v>6</v>
      </c>
      <c r="D4146" s="7" t="s">
        <v>7</v>
      </c>
      <c r="E4146" s="7">
        <v>0</v>
      </c>
    </row>
    <row r="4147" spans="1:5" ht="15.75" customHeight="1" x14ac:dyDescent="0.25">
      <c r="A4147" s="6" t="s">
        <v>4075</v>
      </c>
      <c r="B4147" s="6" t="str">
        <f ca="1">IFERROR(__xludf.DUMMYFUNCTION("GOOGLETRANSLATE(A4147,""bn"",""en"")"),"Maple syrup sweetens breakfast")</f>
        <v>Maple syrup sweetens breakfast</v>
      </c>
      <c r="C4147" s="8" t="s">
        <v>13</v>
      </c>
      <c r="D4147" s="8" t="s">
        <v>14</v>
      </c>
      <c r="E4147" s="8">
        <v>1</v>
      </c>
    </row>
    <row r="4148" spans="1:5" ht="15.75" customHeight="1" x14ac:dyDescent="0.25">
      <c r="A4148" s="6" t="s">
        <v>4076</v>
      </c>
      <c r="B4148" s="6" t="str">
        <f ca="1">IFERROR(__xludf.DUMMYFUNCTION("GOOGLETRANSLATE(A4148,""bn"",""en"")"),"Like cows, camels also ruminate")</f>
        <v>Like cows, camels also ruminate</v>
      </c>
      <c r="C4148" s="8" t="s">
        <v>13</v>
      </c>
      <c r="D4148" s="8" t="s">
        <v>14</v>
      </c>
      <c r="E4148" s="8">
        <v>1</v>
      </c>
    </row>
    <row r="4149" spans="1:5" ht="15.75" customHeight="1" x14ac:dyDescent="0.25">
      <c r="A4149" s="6" t="s">
        <v>4077</v>
      </c>
      <c r="B4149" s="6" t="str">
        <f ca="1">IFERROR(__xludf.DUMMYFUNCTION("GOOGLETRANSLATE(A4149,""bn"",""en"")"),"Retirement planning should take into account inflation factors such as longevity")</f>
        <v>Retirement planning should take into account inflation factors such as longevity</v>
      </c>
      <c r="C4149" s="8" t="s">
        <v>13</v>
      </c>
      <c r="D4149" s="8" t="s">
        <v>14</v>
      </c>
      <c r="E4149" s="8">
        <v>1</v>
      </c>
    </row>
    <row r="4150" spans="1:5" ht="15.75" customHeight="1" x14ac:dyDescent="0.25">
      <c r="A4150" s="6" t="s">
        <v>4078</v>
      </c>
      <c r="B4150" s="6" t="str">
        <f ca="1">IFERROR(__xludf.DUMMYFUNCTION("GOOGLETRANSLATE(A4150,""bn"",""en"")"),"I had high hopes for this product it fell short of my expectations")</f>
        <v>I had high hopes for this product it fell short of my expectations</v>
      </c>
      <c r="C4150" s="8" t="s">
        <v>13</v>
      </c>
      <c r="D4150" s="8" t="s">
        <v>14</v>
      </c>
      <c r="E4150" s="8">
        <v>1</v>
      </c>
    </row>
    <row r="4151" spans="1:5" ht="15.75" customHeight="1" x14ac:dyDescent="0.25">
      <c r="A4151" s="6" t="s">
        <v>4079</v>
      </c>
      <c r="B4151" s="6" t="str">
        <f ca="1">IFERROR(__xludf.DUMMYFUNCTION("GOOGLETRANSLATE(A4151,""bn"",""en"")"),"This fish is very popular in Bangladesh")</f>
        <v>This fish is very popular in Bangladesh</v>
      </c>
      <c r="C4151" s="8" t="s">
        <v>13</v>
      </c>
      <c r="D4151" s="8" t="s">
        <v>14</v>
      </c>
      <c r="E4151" s="8">
        <v>1</v>
      </c>
    </row>
    <row r="4152" spans="1:5" ht="15.75" customHeight="1" x14ac:dyDescent="0.25">
      <c r="A4152" s="6" t="s">
        <v>4080</v>
      </c>
      <c r="B4152" s="6" t="str">
        <f ca="1">IFERROR(__xludf.DUMMYFUNCTION("GOOGLETRANSLATE(A4152,""bn"",""en"")"),"Shakib asked Rahim to go play")</f>
        <v>Shakib asked Rahim to go play</v>
      </c>
      <c r="C4152" s="7" t="s">
        <v>6</v>
      </c>
      <c r="D4152" s="7" t="s">
        <v>7</v>
      </c>
      <c r="E4152" s="7">
        <v>0</v>
      </c>
    </row>
    <row r="4153" spans="1:5" ht="15.75" customHeight="1" x14ac:dyDescent="0.25">
      <c r="A4153" s="6" t="s">
        <v>4081</v>
      </c>
      <c r="B4153" s="6" t="str">
        <f ca="1">IFERROR(__xludf.DUMMYFUNCTION("GOOGLETRANSLATE(A4153,""bn"",""en"")"),"They laughed at me")</f>
        <v>They laughed at me</v>
      </c>
      <c r="C4153" s="7" t="s">
        <v>6</v>
      </c>
      <c r="D4153" s="7" t="s">
        <v>7</v>
      </c>
      <c r="E4153" s="7">
        <v>0</v>
      </c>
    </row>
    <row r="4154" spans="1:5" ht="15.75" customHeight="1" x14ac:dyDescent="0.25">
      <c r="A4154" s="6" t="s">
        <v>4082</v>
      </c>
      <c r="B4154" s="6" t="str">
        <f ca="1">IFERROR(__xludf.DUMMYFUNCTION("GOOGLETRANSLATE(A4154,""bn"",""en"")"),"From then on, I felt better about myself")</f>
        <v>From then on, I felt better about myself</v>
      </c>
      <c r="C4154" s="7" t="s">
        <v>6</v>
      </c>
      <c r="D4154" s="7" t="s">
        <v>7</v>
      </c>
      <c r="E4154" s="7">
        <v>0</v>
      </c>
    </row>
    <row r="4155" spans="1:5" ht="15.75" customHeight="1" x14ac:dyDescent="0.25">
      <c r="A4155" s="6" t="s">
        <v>3794</v>
      </c>
      <c r="B4155" s="6" t="str">
        <f ca="1">IFERROR(__xludf.DUMMYFUNCTION("GOOGLETRANSLATE(A4155,""bn"",""en"")"),"The youth walked in the direction where the tiger was sleeping")</f>
        <v>The youth walked in the direction where the tiger was sleeping</v>
      </c>
      <c r="C4155" s="7" t="s">
        <v>6</v>
      </c>
      <c r="D4155" s="7" t="s">
        <v>7</v>
      </c>
      <c r="E4155" s="7">
        <v>0</v>
      </c>
    </row>
    <row r="4156" spans="1:5" ht="15.75" customHeight="1" x14ac:dyDescent="0.25">
      <c r="A4156" s="6" t="s">
        <v>4083</v>
      </c>
      <c r="B4156" s="6" t="str">
        <f ca="1">IFERROR(__xludf.DUMMYFUNCTION("GOOGLETRANSLATE(A4156,""bn"",""en"")"),"Fatik slowly turned aside without looking at anyone and said in a low voice, ""Mom, I'm off now. Mom, I'm going home now.""")</f>
        <v>Fatik slowly turned aside without looking at anyone and said in a low voice, "Mom, I'm off now. Mom, I'm going home now."</v>
      </c>
      <c r="C4156" s="7" t="s">
        <v>6</v>
      </c>
      <c r="D4156" s="7" t="s">
        <v>7</v>
      </c>
      <c r="E4156" s="7">
        <v>0</v>
      </c>
    </row>
    <row r="4157" spans="1:5" ht="15.75" customHeight="1" x14ac:dyDescent="0.25">
      <c r="A4157" s="6" t="s">
        <v>4084</v>
      </c>
      <c r="B4157" s="6" t="str">
        <f ca="1">IFERROR(__xludf.DUMMYFUNCTION("GOOGLETRANSLATE(A4157,""bn"",""en"")"),"Interval training increases metabolism")</f>
        <v>Interval training increases metabolism</v>
      </c>
      <c r="C4157" s="8" t="s">
        <v>13</v>
      </c>
      <c r="D4157" s="8" t="s">
        <v>14</v>
      </c>
      <c r="E4157" s="8">
        <v>1</v>
      </c>
    </row>
    <row r="4158" spans="1:5" ht="15.75" customHeight="1" x14ac:dyDescent="0.25">
      <c r="A4158" s="6" t="s">
        <v>4085</v>
      </c>
      <c r="B4158" s="6" t="str">
        <f ca="1">IFERROR(__xludf.DUMMYFUNCTION("GOOGLETRANSLATE(A4158,""bn"",""en"")"),"He has received many awards in his varied career")</f>
        <v>He has received many awards in his varied career</v>
      </c>
      <c r="C4158" s="8" t="s">
        <v>13</v>
      </c>
      <c r="D4158" s="8" t="s">
        <v>14</v>
      </c>
      <c r="E4158" s="8">
        <v>1</v>
      </c>
    </row>
    <row r="4159" spans="1:5" ht="15.75" customHeight="1" x14ac:dyDescent="0.25">
      <c r="A4159" s="6" t="s">
        <v>4086</v>
      </c>
      <c r="B4159" s="6" t="str">
        <f ca="1">IFERROR(__xludf.DUMMYFUNCTION("GOOGLETRANSLATE(A4159,""bn"",""en"")"),"Sikandar Abu Jafar died in August")</f>
        <v>Sikandar Abu Jafar died in August</v>
      </c>
      <c r="C4159" s="8" t="s">
        <v>13</v>
      </c>
      <c r="D4159" s="8" t="s">
        <v>14</v>
      </c>
      <c r="E4159" s="8">
        <v>1</v>
      </c>
    </row>
    <row r="4160" spans="1:5" ht="15.75" customHeight="1" x14ac:dyDescent="0.25">
      <c r="A4160" s="6" t="s">
        <v>4087</v>
      </c>
      <c r="B4160" s="6" t="str">
        <f ca="1">IFERROR(__xludf.DUMMYFUNCTION("GOOGLETRANSLATE(A4160,""bn"",""en"")"),"Corruption within organizations can facilitate criminal activity")</f>
        <v>Corruption within organizations can facilitate criminal activity</v>
      </c>
      <c r="C4160" s="8" t="s">
        <v>13</v>
      </c>
      <c r="D4160" s="8" t="s">
        <v>14</v>
      </c>
      <c r="E4160" s="8">
        <v>1</v>
      </c>
    </row>
    <row r="4161" spans="1:5" ht="15.75" customHeight="1" x14ac:dyDescent="0.25">
      <c r="A4161" s="6" t="s">
        <v>4088</v>
      </c>
      <c r="B4161" s="6" t="str">
        <f ca="1">IFERROR(__xludf.DUMMYFUNCTION("GOOGLETRANSLATE(A4161,""bn"",""en"")"),"I still see them in my imagination")</f>
        <v>I still see them in my imagination</v>
      </c>
      <c r="C4161" s="8" t="s">
        <v>13</v>
      </c>
      <c r="D4161" s="8" t="s">
        <v>14</v>
      </c>
      <c r="E4161" s="8">
        <v>1</v>
      </c>
    </row>
    <row r="4162" spans="1:5" ht="15.75" customHeight="1" x14ac:dyDescent="0.25">
      <c r="A4162" s="6" t="s">
        <v>4089</v>
      </c>
      <c r="B4162" s="6" t="str">
        <f ca="1">IFERROR(__xludf.DUMMYFUNCTION("GOOGLETRANSLATE(A4162,""bn"",""en"")"),"What I had seen and heard about Kalakandi in the afternoon was still replaying in my mind.")</f>
        <v>What I had seen and heard about Kalakandi in the afternoon was still replaying in my mind.</v>
      </c>
      <c r="C4162" s="7" t="s">
        <v>6</v>
      </c>
      <c r="D4162" s="7" t="s">
        <v>7</v>
      </c>
      <c r="E4162" s="7">
        <v>0</v>
      </c>
    </row>
    <row r="4163" spans="1:5" ht="15.75" customHeight="1" x14ac:dyDescent="0.25">
      <c r="A4163" s="6" t="s">
        <v>4090</v>
      </c>
      <c r="B4163" s="6" t="str">
        <f ca="1">IFERROR(__xludf.DUMMYFUNCTION("GOOGLETRANSLATE(A4163,""bn"",""en"")"),"A bird of love is sleeping in the nest of his chest")</f>
        <v>A bird of love is sleeping in the nest of his chest</v>
      </c>
      <c r="C4163" s="7" t="s">
        <v>6</v>
      </c>
      <c r="D4163" s="7" t="s">
        <v>7</v>
      </c>
      <c r="E4163" s="7">
        <v>0</v>
      </c>
    </row>
    <row r="4164" spans="1:5" ht="15.75" customHeight="1" x14ac:dyDescent="0.25">
      <c r="A4164" s="6" t="s">
        <v>4091</v>
      </c>
      <c r="B4164" s="6" t="str">
        <f ca="1">IFERROR(__xludf.DUMMYFUNCTION("GOOGLETRANSLATE(A4164,""bn"",""en"")"),"Next to the man sat a strong woman")</f>
        <v>Next to the man sat a strong woman</v>
      </c>
      <c r="C4164" s="7" t="s">
        <v>6</v>
      </c>
      <c r="D4164" s="7" t="s">
        <v>7</v>
      </c>
      <c r="E4164" s="7">
        <v>0</v>
      </c>
    </row>
    <row r="4165" spans="1:5" ht="15.75" customHeight="1" x14ac:dyDescent="0.25">
      <c r="A4165" s="6" t="s">
        <v>4092</v>
      </c>
      <c r="B4165" s="6" t="str">
        <f ca="1">IFERROR(__xludf.DUMMYFUNCTION("GOOGLETRANSLATE(A4165,""bn"",""en"")"),"I asked Suman to eat")</f>
        <v>I asked Suman to eat</v>
      </c>
      <c r="C4165" s="7" t="s">
        <v>6</v>
      </c>
      <c r="D4165" s="7" t="s">
        <v>7</v>
      </c>
      <c r="E4165" s="7">
        <v>0</v>
      </c>
    </row>
    <row r="4166" spans="1:5" ht="15.75" customHeight="1" x14ac:dyDescent="0.25">
      <c r="A4166" s="6" t="s">
        <v>2365</v>
      </c>
      <c r="B4166" s="6" t="str">
        <f ca="1">IFERROR(__xludf.DUMMYFUNCTION("GOOGLETRANSLATE(A4166,""bn"",""en"")"),"He left me in danger")</f>
        <v>He left me in danger</v>
      </c>
      <c r="C4166" s="7" t="s">
        <v>6</v>
      </c>
      <c r="D4166" s="7" t="s">
        <v>7</v>
      </c>
      <c r="E4166" s="7">
        <v>0</v>
      </c>
    </row>
    <row r="4167" spans="1:5" ht="15.75" customHeight="1" x14ac:dyDescent="0.25">
      <c r="A4167" s="6" t="s">
        <v>4093</v>
      </c>
      <c r="B4167" s="6" t="str">
        <f ca="1">IFERROR(__xludf.DUMMYFUNCTION("GOOGLETRANSLATE(A4167,""bn"",""en"")"),"Exploring uncharted territory satisfies man's desire for discovery")</f>
        <v>Exploring uncharted territory satisfies man's desire for discovery</v>
      </c>
      <c r="C4167" s="8" t="s">
        <v>13</v>
      </c>
      <c r="D4167" s="8" t="s">
        <v>14</v>
      </c>
      <c r="E4167" s="8">
        <v>1</v>
      </c>
    </row>
    <row r="4168" spans="1:5" ht="15.75" customHeight="1" x14ac:dyDescent="0.25">
      <c r="A4168" s="6" t="s">
        <v>4094</v>
      </c>
      <c r="B4168" s="6" t="str">
        <f ca="1">IFERROR(__xludf.DUMMYFUNCTION("GOOGLETRANSLATE(A4168,""bn"",""en"")"),"When making small mistakes becomes a habit")</f>
        <v>When making small mistakes becomes a habit</v>
      </c>
      <c r="C4168" s="8" t="s">
        <v>13</v>
      </c>
      <c r="D4168" s="8" t="s">
        <v>14</v>
      </c>
      <c r="E4168" s="8">
        <v>1</v>
      </c>
    </row>
    <row r="4169" spans="1:5" ht="15.75" customHeight="1" x14ac:dyDescent="0.25">
      <c r="A4169" s="6" t="s">
        <v>4095</v>
      </c>
      <c r="B4169" s="6" t="str">
        <f ca="1">IFERROR(__xludf.DUMMYFUNCTION("GOOGLETRANSLATE(A4169,""bn"",""en"")"),"The headline on the front page of the newspaper caught my attention")</f>
        <v>The headline on the front page of the newspaper caught my attention</v>
      </c>
      <c r="C4169" s="8" t="s">
        <v>13</v>
      </c>
      <c r="D4169" s="8" t="s">
        <v>14</v>
      </c>
      <c r="E4169" s="8">
        <v>1</v>
      </c>
    </row>
    <row r="4170" spans="1:5" ht="15.75" customHeight="1" x14ac:dyDescent="0.25">
      <c r="A4170" s="6" t="s">
        <v>4096</v>
      </c>
      <c r="B4170" s="6" t="str">
        <f ca="1">IFERROR(__xludf.DUMMYFUNCTION("GOOGLETRANSLATE(A4170,""bn"",""en"")"),"Organic farming relies on the practice of natural materials to produce food without synthetic chemicals")</f>
        <v>Organic farming relies on the practice of natural materials to produce food without synthetic chemicals</v>
      </c>
      <c r="C4170" s="8" t="s">
        <v>13</v>
      </c>
      <c r="D4170" s="8" t="s">
        <v>14</v>
      </c>
      <c r="E4170" s="8">
        <v>1</v>
      </c>
    </row>
    <row r="4171" spans="1:5" ht="15.75" customHeight="1" x14ac:dyDescent="0.25">
      <c r="A4171" s="6" t="s">
        <v>4097</v>
      </c>
      <c r="B4171" s="6" t="str">
        <f ca="1">IFERROR(__xludf.DUMMYFUNCTION("GOOGLETRANSLATE(A4171,""bn"",""en"")"),"Kidney stones are hard deposits that form in the kidneys that can cause severe pain when passing through the urinary tract")</f>
        <v>Kidney stones are hard deposits that form in the kidneys that can cause severe pain when passing through the urinary tract</v>
      </c>
      <c r="C4171" s="8" t="s">
        <v>13</v>
      </c>
      <c r="D4171" s="8" t="s">
        <v>14</v>
      </c>
      <c r="E4171" s="8">
        <v>1</v>
      </c>
    </row>
    <row r="4172" spans="1:5" ht="15.75" customHeight="1" x14ac:dyDescent="0.25">
      <c r="A4172" s="6" t="s">
        <v>4098</v>
      </c>
      <c r="B4172" s="6" t="str">
        <f ca="1">IFERROR(__xludf.DUMMYFUNCTION("GOOGLETRANSLATE(A4172,""bn"",""en"")"),"He casually picked up the heavy water bottle and threw it into the water")</f>
        <v>He casually picked up the heavy water bottle and threw it into the water</v>
      </c>
      <c r="C4172" s="7" t="s">
        <v>6</v>
      </c>
      <c r="D4172" s="7" t="s">
        <v>7</v>
      </c>
      <c r="E4172" s="7">
        <v>0</v>
      </c>
    </row>
    <row r="4173" spans="1:5" ht="15.75" customHeight="1" x14ac:dyDescent="0.25">
      <c r="A4173" s="6" t="s">
        <v>4099</v>
      </c>
      <c r="B4173" s="6" t="str">
        <f ca="1">IFERROR(__xludf.DUMMYFUNCTION("GOOGLETRANSLATE(A4173,""bn"",""en"")"),"Suman gave me food")</f>
        <v>Suman gave me food</v>
      </c>
      <c r="C4173" s="7" t="s">
        <v>6</v>
      </c>
      <c r="D4173" s="7" t="s">
        <v>7</v>
      </c>
      <c r="E4173" s="7">
        <v>0</v>
      </c>
    </row>
    <row r="4174" spans="1:5" ht="15.75" customHeight="1" x14ac:dyDescent="0.25">
      <c r="A4174" s="6" t="s">
        <v>4100</v>
      </c>
      <c r="B4174" s="6" t="str">
        <f ca="1">IFERROR(__xludf.DUMMYFUNCTION("GOOGLETRANSLATE(A4174,""bn"",""en"")"),"I will take a shower and go to sleep now")</f>
        <v>I will take a shower and go to sleep now</v>
      </c>
      <c r="C4174" s="7" t="s">
        <v>6</v>
      </c>
      <c r="D4174" s="7" t="s">
        <v>7</v>
      </c>
      <c r="E4174" s="7">
        <v>0</v>
      </c>
    </row>
    <row r="4175" spans="1:5" ht="15.75" customHeight="1" x14ac:dyDescent="0.25">
      <c r="A4175" s="6" t="s">
        <v>4101</v>
      </c>
      <c r="B4175" s="6" t="str">
        <f ca="1">IFERROR(__xludf.DUMMYFUNCTION("GOOGLETRANSLATE(A4175,""bn"",""en"")"),"Garwan asked where to go I said I will go to this mountain once")</f>
        <v>Garwan asked where to go I said I will go to this mountain once</v>
      </c>
      <c r="C4175" s="7" t="s">
        <v>6</v>
      </c>
      <c r="D4175" s="7" t="s">
        <v>7</v>
      </c>
      <c r="E4175" s="7">
        <v>0</v>
      </c>
    </row>
    <row r="4176" spans="1:5" ht="15.75" customHeight="1" x14ac:dyDescent="0.25">
      <c r="A4176" s="6" t="s">
        <v>4102</v>
      </c>
      <c r="B4176" s="6" t="str">
        <f ca="1">IFERROR(__xludf.DUMMYFUNCTION("GOOGLETRANSLATE(A4176,""bn"",""en"")"),"Annoyed, he said, ""Look well and see if anyone is there.""")</f>
        <v>Annoyed, he said, "Look well and see if anyone is there."</v>
      </c>
      <c r="C4176" s="7" t="s">
        <v>6</v>
      </c>
      <c r="D4176" s="7" t="s">
        <v>7</v>
      </c>
      <c r="E4176" s="7">
        <v>0</v>
      </c>
    </row>
    <row r="4177" spans="1:5" ht="15.75" customHeight="1" x14ac:dyDescent="0.25">
      <c r="A4177" s="6" t="s">
        <v>4103</v>
      </c>
      <c r="B4177" s="6" t="str">
        <f ca="1">IFERROR(__xludf.DUMMYFUNCTION("GOOGLETRANSLATE(A4177,""bn"",""en"")"),"What's the point of running after money?")</f>
        <v>What's the point of running after money?</v>
      </c>
      <c r="C4177" s="8" t="s">
        <v>13</v>
      </c>
      <c r="D4177" s="8" t="s">
        <v>14</v>
      </c>
      <c r="E4177" s="8">
        <v>1</v>
      </c>
    </row>
    <row r="4178" spans="1:5" ht="15.75" customHeight="1" x14ac:dyDescent="0.25">
      <c r="A4178" s="6" t="s">
        <v>3596</v>
      </c>
      <c r="B4178" s="6" t="str">
        <f ca="1">IFERROR(__xludf.DUMMYFUNCTION("GOOGLETRANSLATE(A4178,""bn"",""en"")"),"Many people came to the market that day")</f>
        <v>Many people came to the market that day</v>
      </c>
      <c r="C4178" s="8" t="s">
        <v>13</v>
      </c>
      <c r="D4178" s="8" t="s">
        <v>14</v>
      </c>
      <c r="E4178" s="8">
        <v>1</v>
      </c>
    </row>
    <row r="4179" spans="1:5" ht="15.75" customHeight="1" x14ac:dyDescent="0.25">
      <c r="A4179" s="6" t="s">
        <v>4104</v>
      </c>
      <c r="B4179" s="6" t="str">
        <f ca="1">IFERROR(__xludf.DUMMYFUNCTION("GOOGLETRANSLATE(A4179,""bn"",""en"")"),"The British won")</f>
        <v>The British won</v>
      </c>
      <c r="C4179" s="8" t="s">
        <v>13</v>
      </c>
      <c r="D4179" s="8" t="s">
        <v>14</v>
      </c>
      <c r="E4179" s="8">
        <v>1</v>
      </c>
    </row>
    <row r="4180" spans="1:5" ht="15.75" customHeight="1" x14ac:dyDescent="0.25">
      <c r="A4180" s="6" t="s">
        <v>4105</v>
      </c>
      <c r="B4180" s="6" t="str">
        <f ca="1">IFERROR(__xludf.DUMMYFUNCTION("GOOGLETRANSLATE(A4180,""bn"",""en"")"),"In the eyes of a nature lover, birds are the best animals in this sanctuary")</f>
        <v>In the eyes of a nature lover, birds are the best animals in this sanctuary</v>
      </c>
      <c r="C4180" s="8" t="s">
        <v>13</v>
      </c>
      <c r="D4180" s="8" t="s">
        <v>14</v>
      </c>
      <c r="E4180" s="8">
        <v>1</v>
      </c>
    </row>
    <row r="4181" spans="1:5" ht="15.75" customHeight="1" x14ac:dyDescent="0.25">
      <c r="A4181" s="6" t="s">
        <v>4106</v>
      </c>
      <c r="B4181" s="6" t="str">
        <f ca="1">IFERROR(__xludf.DUMMYFUNCTION("GOOGLETRANSLATE(A4181,""bn"",""en"")"),"The novel is named after Ulysses, the hero of the Odyssey poem")</f>
        <v>The novel is named after Ulysses, the hero of the Odyssey poem</v>
      </c>
      <c r="C4181" s="8" t="s">
        <v>13</v>
      </c>
      <c r="D4181" s="8" t="s">
        <v>14</v>
      </c>
      <c r="E4181" s="8">
        <v>1</v>
      </c>
    </row>
    <row r="4182" spans="1:5" ht="15.75" customHeight="1" x14ac:dyDescent="0.25">
      <c r="A4182" s="6" t="s">
        <v>4107</v>
      </c>
      <c r="B4182" s="6" t="str">
        <f ca="1">IFERROR(__xludf.DUMMYFUNCTION("GOOGLETRANSLATE(A4182,""bn"",""en"")"),"Sir called him to give a book")</f>
        <v>Sir called him to give a book</v>
      </c>
      <c r="C4182" s="7" t="s">
        <v>6</v>
      </c>
      <c r="D4182" s="7" t="s">
        <v>7</v>
      </c>
      <c r="E4182" s="7">
        <v>0</v>
      </c>
    </row>
    <row r="4183" spans="1:5" ht="15.75" customHeight="1" x14ac:dyDescent="0.25">
      <c r="A4183" s="6" t="s">
        <v>4108</v>
      </c>
      <c r="B4183" s="6" t="str">
        <f ca="1">IFERROR(__xludf.DUMMYFUNCTION("GOOGLETRANSLATE(A4183,""bn"",""en"")"),"We find many introductions of this word in Bengali")</f>
        <v>We find many introductions of this word in Bengali</v>
      </c>
      <c r="C4183" s="7" t="s">
        <v>6</v>
      </c>
      <c r="D4183" s="7" t="s">
        <v>7</v>
      </c>
      <c r="E4183" s="7">
        <v>0</v>
      </c>
    </row>
    <row r="4184" spans="1:5" ht="15.75" customHeight="1" x14ac:dyDescent="0.25">
      <c r="A4184" s="6" t="s">
        <v>4109</v>
      </c>
      <c r="B4184" s="6" t="str">
        <f ca="1">IFERROR(__xludf.DUMMYFUNCTION("GOOGLETRANSLATE(A4184,""bn"",""en"")"),"Is this your new ball?")</f>
        <v>Is this your new ball?</v>
      </c>
      <c r="C4184" s="7" t="s">
        <v>6</v>
      </c>
      <c r="D4184" s="7" t="s">
        <v>7</v>
      </c>
      <c r="E4184" s="7">
        <v>0</v>
      </c>
    </row>
    <row r="4185" spans="1:5" ht="15.75" customHeight="1" x14ac:dyDescent="0.25">
      <c r="A4185" s="6" t="s">
        <v>4110</v>
      </c>
      <c r="B4185" s="6" t="str">
        <f ca="1">IFERROR(__xludf.DUMMYFUNCTION("GOOGLETRANSLATE(A4185,""bn"",""en"")"),"As soon as the bracket touches it, the firecracker falls apart")</f>
        <v>As soon as the bracket touches it, the firecracker falls apart</v>
      </c>
      <c r="C4185" s="7" t="s">
        <v>6</v>
      </c>
      <c r="D4185" s="7" t="s">
        <v>7</v>
      </c>
      <c r="E4185" s="7">
        <v>0</v>
      </c>
    </row>
    <row r="4186" spans="1:5" ht="15.75" customHeight="1" x14ac:dyDescent="0.25">
      <c r="A4186" s="6" t="s">
        <v>4111</v>
      </c>
      <c r="B4186" s="6" t="str">
        <f ca="1">IFERROR(__xludf.DUMMYFUNCTION("GOOGLETRANSLATE(A4186,""bn"",""en"")"),"A girl from a poor house will not show you the same respect or reverence as a rich girl will")</f>
        <v>A girl from a poor house will not show you the same respect or reverence as a rich girl will</v>
      </c>
      <c r="C4186" s="7" t="s">
        <v>6</v>
      </c>
      <c r="D4186" s="7" t="s">
        <v>7</v>
      </c>
      <c r="E4186" s="7">
        <v>0</v>
      </c>
    </row>
    <row r="4187" spans="1:5" ht="15.75" customHeight="1" x14ac:dyDescent="0.25">
      <c r="A4187" s="6" t="s">
        <v>4112</v>
      </c>
      <c r="B4187" s="6" t="str">
        <f ca="1">IFERROR(__xludf.DUMMYFUNCTION("GOOGLETRANSLATE(A4187,""bn"",""en"")"),"He feels physically fit due to regular exercise")</f>
        <v>He feels physically fit due to regular exercise</v>
      </c>
      <c r="C4187" s="8" t="s">
        <v>13</v>
      </c>
      <c r="D4187" s="8" t="s">
        <v>14</v>
      </c>
      <c r="E4187" s="8">
        <v>1</v>
      </c>
    </row>
    <row r="4188" spans="1:5" ht="15.75" customHeight="1" x14ac:dyDescent="0.25">
      <c r="A4188" s="6" t="s">
        <v>4113</v>
      </c>
      <c r="B4188" s="6" t="str">
        <f ca="1">IFERROR(__xludf.DUMMYFUNCTION("GOOGLETRANSLATE(A4188,""bn"",""en"")"),"She knows a way to make Shahed happy suddenly")</f>
        <v>She knows a way to make Shahed happy suddenly</v>
      </c>
      <c r="C4188" s="8" t="s">
        <v>13</v>
      </c>
      <c r="D4188" s="8" t="s">
        <v>14</v>
      </c>
      <c r="E4188" s="8">
        <v>1</v>
      </c>
    </row>
    <row r="4189" spans="1:5" ht="15.75" customHeight="1" x14ac:dyDescent="0.25">
      <c r="A4189" s="6" t="s">
        <v>4114</v>
      </c>
      <c r="B4189" s="6" t="str">
        <f ca="1">IFERROR(__xludf.DUMMYFUNCTION("GOOGLETRANSLATE(A4189,""bn"",""en"")"),"Gradually increase the intensity of the exercise")</f>
        <v>Gradually increase the intensity of the exercise</v>
      </c>
      <c r="C4189" s="8" t="s">
        <v>13</v>
      </c>
      <c r="D4189" s="8" t="s">
        <v>14</v>
      </c>
      <c r="E4189" s="8">
        <v>1</v>
      </c>
    </row>
    <row r="4190" spans="1:5" ht="15.75" customHeight="1" x14ac:dyDescent="0.25">
      <c r="A4190" s="6" t="s">
        <v>4115</v>
      </c>
      <c r="B4190" s="6" t="str">
        <f ca="1">IFERROR(__xludf.DUMMYFUNCTION("GOOGLETRANSLATE(A4190,""bn"",""en"")"),"Making marshmallow candles is fragrant")</f>
        <v>Making marshmallow candles is fragrant</v>
      </c>
      <c r="C4190" s="8" t="s">
        <v>13</v>
      </c>
      <c r="D4190" s="8" t="s">
        <v>14</v>
      </c>
      <c r="E4190" s="8">
        <v>1</v>
      </c>
    </row>
    <row r="4191" spans="1:5" ht="15.75" customHeight="1" x14ac:dyDescent="0.25">
      <c r="A4191" s="6" t="s">
        <v>4116</v>
      </c>
      <c r="B4191" s="6" t="str">
        <f ca="1">IFERROR(__xludf.DUMMYFUNCTION("GOOGLETRANSLATE(A4191,""bn"",""en"")"),"Atherosclerosis is a condition in which fatty deposits in the arteries restrict blood flow and increase the risk of heart disease.")</f>
        <v>Atherosclerosis is a condition in which fatty deposits in the arteries restrict blood flow and increase the risk of heart disease.</v>
      </c>
      <c r="C4191" s="8" t="s">
        <v>13</v>
      </c>
      <c r="D4191" s="8" t="s">
        <v>14</v>
      </c>
      <c r="E4191" s="8">
        <v>1</v>
      </c>
    </row>
    <row r="4192" spans="1:5" ht="15.75" customHeight="1" x14ac:dyDescent="0.25">
      <c r="A4192" s="6" t="s">
        <v>4117</v>
      </c>
      <c r="B4192" s="6" t="str">
        <f ca="1">IFERROR(__xludf.DUMMYFUNCTION("GOOGLETRANSLATE(A4192,""bn"",""en"")"),"A helpless child was crying by the side of the road")</f>
        <v>A helpless child was crying by the side of the road</v>
      </c>
      <c r="C4192" s="7" t="s">
        <v>6</v>
      </c>
      <c r="D4192" s="7" t="s">
        <v>7</v>
      </c>
      <c r="E4192" s="7">
        <v>0</v>
      </c>
    </row>
    <row r="4193" spans="1:5" ht="15.75" customHeight="1" x14ac:dyDescent="0.25">
      <c r="A4193" s="6" t="s">
        <v>4118</v>
      </c>
      <c r="B4193" s="6" t="str">
        <f ca="1">IFERROR(__xludf.DUMMYFUNCTION("GOOGLETRANSLATE(A4193,""bn"",""en"")"),"Interested to hear")</f>
        <v>Interested to hear</v>
      </c>
      <c r="C4193" s="7" t="s">
        <v>6</v>
      </c>
      <c r="D4193" s="7" t="s">
        <v>7</v>
      </c>
      <c r="E4193" s="7">
        <v>0</v>
      </c>
    </row>
    <row r="4194" spans="1:5" ht="15.75" customHeight="1" x14ac:dyDescent="0.25">
      <c r="A4194" s="6" t="s">
        <v>4119</v>
      </c>
      <c r="B4194" s="6" t="str">
        <f ca="1">IFERROR(__xludf.DUMMYFUNCTION("GOOGLETRANSLATE(A4194,""bn"",""en"")"),"He did not appear during the period when one had agreed to lend the rest of the money at absolute extra interest")</f>
        <v>He did not appear during the period when one had agreed to lend the rest of the money at absolute extra interest</v>
      </c>
      <c r="C4194" s="7" t="s">
        <v>6</v>
      </c>
      <c r="D4194" s="7" t="s">
        <v>7</v>
      </c>
      <c r="E4194" s="7">
        <v>0</v>
      </c>
    </row>
    <row r="4195" spans="1:5" ht="15.75" customHeight="1" x14ac:dyDescent="0.25">
      <c r="A4195" s="6" t="s">
        <v>4120</v>
      </c>
      <c r="B4195" s="6" t="str">
        <f ca="1">IFERROR(__xludf.DUMMYFUNCTION("GOOGLETRANSLATE(A4195,""bn"",""en"")"),"Taking the hair saved from the barber")</f>
        <v>Taking the hair saved from the barber</v>
      </c>
      <c r="C4195" s="7" t="s">
        <v>6</v>
      </c>
      <c r="D4195" s="7" t="s">
        <v>7</v>
      </c>
      <c r="E4195" s="7">
        <v>0</v>
      </c>
    </row>
    <row r="4196" spans="1:5" ht="15.75" customHeight="1" x14ac:dyDescent="0.25">
      <c r="A4196" s="6" t="s">
        <v>4121</v>
      </c>
      <c r="B4196" s="6" t="str">
        <f ca="1">IFERROR(__xludf.DUMMYFUNCTION("GOOGLETRANSLATE(A4196,""bn"",""en"")"),"Maharaj Krishnachandra had two elephants")</f>
        <v>Maharaj Krishnachandra had two elephants</v>
      </c>
      <c r="C4196" s="7" t="s">
        <v>6</v>
      </c>
      <c r="D4196" s="7" t="s">
        <v>7</v>
      </c>
      <c r="E4196" s="7">
        <v>0</v>
      </c>
    </row>
    <row r="4197" spans="1:5" ht="15.75" customHeight="1" x14ac:dyDescent="0.25">
      <c r="A4197" s="6" t="s">
        <v>4122</v>
      </c>
      <c r="B4197" s="6" t="str">
        <f ca="1">IFERROR(__xludf.DUMMYFUNCTION("GOOGLETRANSLATE(A4197,""bn"",""en"")"),"I called Suman to me")</f>
        <v>I called Suman to me</v>
      </c>
      <c r="C4197" s="8" t="s">
        <v>13</v>
      </c>
      <c r="D4197" s="8" t="s">
        <v>14</v>
      </c>
      <c r="E4197" s="8">
        <v>1</v>
      </c>
    </row>
    <row r="4198" spans="1:5" ht="15.75" customHeight="1" x14ac:dyDescent="0.25">
      <c r="A4198" s="6" t="s">
        <v>4123</v>
      </c>
      <c r="B4198" s="6" t="str">
        <f ca="1">IFERROR(__xludf.DUMMYFUNCTION("GOOGLETRANSLATE(A4198,""bn"",""en"")"),"We always have each other's backs")</f>
        <v>We always have each other's backs</v>
      </c>
      <c r="C4198" s="8" t="s">
        <v>13</v>
      </c>
      <c r="D4198" s="8" t="s">
        <v>14</v>
      </c>
      <c r="E4198" s="8">
        <v>1</v>
      </c>
    </row>
    <row r="4199" spans="1:5" ht="15.75" customHeight="1" x14ac:dyDescent="0.25">
      <c r="A4199" s="6" t="s">
        <v>4124</v>
      </c>
      <c r="B4199" s="6" t="str">
        <f ca="1">IFERROR(__xludf.DUMMYFUNCTION("GOOGLETRANSLATE(A4199,""bn"",""en"")"),"The bus driver picked up the passengers on the scheduled route")</f>
        <v>The bus driver picked up the passengers on the scheduled route</v>
      </c>
      <c r="C4199" s="8" t="s">
        <v>13</v>
      </c>
      <c r="D4199" s="8" t="s">
        <v>14</v>
      </c>
      <c r="E4199" s="8">
        <v>1</v>
      </c>
    </row>
    <row r="4200" spans="1:5" ht="15.75" customHeight="1" x14ac:dyDescent="0.25">
      <c r="A4200" s="6" t="s">
        <v>4125</v>
      </c>
      <c r="B4200" s="6" t="str">
        <f ca="1">IFERROR(__xludf.DUMMYFUNCTION("GOOGLETRANSLATE(A4200,""bn"",""en"")"),"The river meandered lazily through the valley with its crystal clear water reflecting the blue sky above")</f>
        <v>The river meandered lazily through the valley with its crystal clear water reflecting the blue sky above</v>
      </c>
      <c r="C4200" s="8" t="s">
        <v>13</v>
      </c>
      <c r="D4200" s="8" t="s">
        <v>14</v>
      </c>
      <c r="E4200" s="8">
        <v>1</v>
      </c>
    </row>
    <row r="4201" spans="1:5" ht="15.75" customHeight="1" x14ac:dyDescent="0.25">
      <c r="A4201" s="6" t="s">
        <v>4126</v>
      </c>
      <c r="B4201" s="6" t="str">
        <f ca="1">IFERROR(__xludf.DUMMYFUNCTION("GOOGLETRANSLATE(A4201,""bn"",""en"")"),"I will eat rice and go to work")</f>
        <v>I will eat rice and go to work</v>
      </c>
      <c r="C4201" s="8" t="s">
        <v>13</v>
      </c>
      <c r="D4201" s="8" t="s">
        <v>14</v>
      </c>
      <c r="E4201" s="8">
        <v>1</v>
      </c>
    </row>
    <row r="4202" spans="1:5" ht="15.75" customHeight="1" x14ac:dyDescent="0.25">
      <c r="A4202" s="6" t="s">
        <v>4127</v>
      </c>
      <c r="B4202" s="6" t="str">
        <f ca="1">IFERROR(__xludf.DUMMYFUNCTION("GOOGLETRANSLATE(A4202,""bn"",""en"")"),"The boat had to come back so long")</f>
        <v>The boat had to come back so long</v>
      </c>
      <c r="C4202" s="7" t="s">
        <v>6</v>
      </c>
      <c r="D4202" s="7" t="s">
        <v>7</v>
      </c>
      <c r="E4202" s="7">
        <v>0</v>
      </c>
    </row>
    <row r="4203" spans="1:5" ht="15.75" customHeight="1" x14ac:dyDescent="0.25">
      <c r="A4203" s="6" t="s">
        <v>4128</v>
      </c>
      <c r="B4203" s="6" t="str">
        <f ca="1">IFERROR(__xludf.DUMMYFUNCTION("GOOGLETRANSLATE(A4203,""bn"",""en"")"),"Rahim Karim listened to me")</f>
        <v>Rahim Karim listened to me</v>
      </c>
      <c r="C4203" s="7" t="s">
        <v>6</v>
      </c>
      <c r="D4203" s="7" t="s">
        <v>7</v>
      </c>
      <c r="E4203" s="7">
        <v>0</v>
      </c>
    </row>
    <row r="4204" spans="1:5" ht="15.75" customHeight="1" x14ac:dyDescent="0.25">
      <c r="A4204" s="6" t="s">
        <v>4129</v>
      </c>
      <c r="B4204" s="6" t="str">
        <f ca="1">IFERROR(__xludf.DUMMYFUNCTION("GOOGLETRANSLATE(A4204,""bn"",""en"")"),"I had declared war on him in my heart for his use")</f>
        <v>I had declared war on him in my heart for his use</v>
      </c>
      <c r="C4204" s="7" t="s">
        <v>6</v>
      </c>
      <c r="D4204" s="7" t="s">
        <v>7</v>
      </c>
      <c r="E4204" s="7">
        <v>0</v>
      </c>
    </row>
    <row r="4205" spans="1:5" ht="15.75" customHeight="1" x14ac:dyDescent="0.25">
      <c r="A4205" s="6" t="s">
        <v>4130</v>
      </c>
      <c r="B4205" s="6" t="str">
        <f ca="1">IFERROR(__xludf.DUMMYFUNCTION("GOOGLETRANSLATE(A4205,""bn"",""en"")"),"Sujan was coming to school with her mother")</f>
        <v>Sujan was coming to school with her mother</v>
      </c>
      <c r="C4205" s="7" t="s">
        <v>6</v>
      </c>
      <c r="D4205" s="7" t="s">
        <v>7</v>
      </c>
      <c r="E4205" s="7">
        <v>0</v>
      </c>
    </row>
    <row r="4206" spans="1:5" ht="15.75" customHeight="1" x14ac:dyDescent="0.25">
      <c r="A4206" s="6" t="s">
        <v>4131</v>
      </c>
      <c r="B4206" s="6" t="str">
        <f ca="1">IFERROR(__xludf.DUMMYFUNCTION("GOOGLETRANSLATE(A4206,""bn"",""en"")"),"Tamim is going to the field to play")</f>
        <v>Tamim is going to the field to play</v>
      </c>
      <c r="C4206" s="7" t="s">
        <v>6</v>
      </c>
      <c r="D4206" s="7" t="s">
        <v>7</v>
      </c>
      <c r="E4206" s="7">
        <v>0</v>
      </c>
    </row>
    <row r="4207" spans="1:5" ht="15.75" customHeight="1" x14ac:dyDescent="0.25">
      <c r="A4207" s="6" t="s">
        <v>4132</v>
      </c>
      <c r="B4207" s="6" t="str">
        <f ca="1">IFERROR(__xludf.DUMMYFUNCTION("GOOGLETRANSLATE(A4207,""bn"",""en"")"),"Aim for a weekly full body workout")</f>
        <v>Aim for a weekly full body workout</v>
      </c>
      <c r="C4207" s="8" t="s">
        <v>13</v>
      </c>
      <c r="D4207" s="8" t="s">
        <v>14</v>
      </c>
      <c r="E4207" s="8">
        <v>1</v>
      </c>
    </row>
    <row r="4208" spans="1:5" ht="15.75" customHeight="1" x14ac:dyDescent="0.25">
      <c r="A4208" s="6" t="s">
        <v>4133</v>
      </c>
      <c r="B4208" s="6" t="str">
        <f ca="1">IFERROR(__xludf.DUMMYFUNCTION("GOOGLETRANSLATE(A4208,""bn"",""en"")"),"Stargazing brings peaceful reflection")</f>
        <v>Stargazing brings peaceful reflection</v>
      </c>
      <c r="C4208" s="8" t="s">
        <v>13</v>
      </c>
      <c r="D4208" s="8" t="s">
        <v>14</v>
      </c>
      <c r="E4208" s="8">
        <v>1</v>
      </c>
    </row>
    <row r="4209" spans="1:5" ht="15.75" customHeight="1" x14ac:dyDescent="0.25">
      <c r="A4209" s="6" t="s">
        <v>4134</v>
      </c>
      <c r="B4209" s="6" t="str">
        <f ca="1">IFERROR(__xludf.DUMMYFUNCTION("GOOGLETRANSLATE(A4209,""bn"",""en"")"),"As night fell they set up camp in the shadow of a high mountain")</f>
        <v>As night fell they set up camp in the shadow of a high mountain</v>
      </c>
      <c r="C4209" s="8" t="s">
        <v>13</v>
      </c>
      <c r="D4209" s="8" t="s">
        <v>14</v>
      </c>
      <c r="E4209" s="8">
        <v>1</v>
      </c>
    </row>
    <row r="4210" spans="1:5" ht="15.75" customHeight="1" x14ac:dyDescent="0.25">
      <c r="A4210" s="6" t="s">
        <v>4135</v>
      </c>
      <c r="B4210" s="6" t="str">
        <f ca="1">IFERROR(__xludf.DUMMYFUNCTION("GOOGLETRANSLATE(A4210,""bn"",""en"")"),"Hitler also about his Nazi army")</f>
        <v>Hitler also about his Nazi army</v>
      </c>
      <c r="C4210" s="8" t="s">
        <v>13</v>
      </c>
      <c r="D4210" s="8" t="s">
        <v>14</v>
      </c>
      <c r="E4210" s="8">
        <v>1</v>
      </c>
    </row>
    <row r="4211" spans="1:5" ht="15.75" customHeight="1" x14ac:dyDescent="0.25">
      <c r="A4211" s="6" t="s">
        <v>4136</v>
      </c>
      <c r="B4211" s="6" t="str">
        <f ca="1">IFERROR(__xludf.DUMMYFUNCTION("GOOGLETRANSLATE(A4211,""bn"",""en"")"),"Putting money aside for retirement early in your career can add up to substantial savings over time")</f>
        <v>Putting money aside for retirement early in your career can add up to substantial savings over time</v>
      </c>
      <c r="C4211" s="8" t="s">
        <v>13</v>
      </c>
      <c r="D4211" s="8" t="s">
        <v>14</v>
      </c>
      <c r="E4211" s="8">
        <v>1</v>
      </c>
    </row>
    <row r="4212" spans="1:5" ht="15.75" customHeight="1" x14ac:dyDescent="0.25">
      <c r="A4212" s="6" t="s">
        <v>4137</v>
      </c>
      <c r="B4212" s="6" t="str">
        <f ca="1">IFERROR(__xludf.DUMMYFUNCTION("GOOGLETRANSLATE(A4212,""bn"",""en"")"),"Not only tunes but Lata Pallava adorns that rural village")</f>
        <v>Not only tunes but Lata Pallava adorns that rural village</v>
      </c>
      <c r="C4212" s="7" t="s">
        <v>6</v>
      </c>
      <c r="D4212" s="7" t="s">
        <v>7</v>
      </c>
      <c r="E4212" s="7">
        <v>0</v>
      </c>
    </row>
    <row r="4213" spans="1:5" ht="15.75" customHeight="1" x14ac:dyDescent="0.25">
      <c r="A4213" s="6" t="s">
        <v>4138</v>
      </c>
      <c r="B4213" s="6" t="str">
        <f ca="1">IFERROR(__xludf.DUMMYFUNCTION("GOOGLETRANSLATE(A4213,""bn"",""en"")"),"Rumi is playing in the school ground")</f>
        <v>Rumi is playing in the school ground</v>
      </c>
      <c r="C4213" s="7" t="s">
        <v>6</v>
      </c>
      <c r="D4213" s="7" t="s">
        <v>7</v>
      </c>
      <c r="E4213" s="7">
        <v>0</v>
      </c>
    </row>
    <row r="4214" spans="1:5" ht="15.75" customHeight="1" x14ac:dyDescent="0.25">
      <c r="A4214" s="6" t="s">
        <v>4139</v>
      </c>
      <c r="B4214" s="6" t="str">
        <f ca="1">IFERROR(__xludf.DUMMYFUNCTION("GOOGLETRANSLATE(A4214,""bn"",""en"")"),"I have never been afraid of tigers because I am naturally very fearful")</f>
        <v>I have never been afraid of tigers because I am naturally very fearful</v>
      </c>
      <c r="C4214" s="7" t="s">
        <v>6</v>
      </c>
      <c r="D4214" s="7" t="s">
        <v>7</v>
      </c>
      <c r="E4214" s="7">
        <v>0</v>
      </c>
    </row>
    <row r="4215" spans="1:5" ht="15.75" customHeight="1" x14ac:dyDescent="0.25">
      <c r="A4215" s="6" t="s">
        <v>4140</v>
      </c>
      <c r="B4215" s="6" t="str">
        <f ca="1">IFERROR(__xludf.DUMMYFUNCTION("GOOGLETRANSLATE(A4215,""bn"",""en"")"),"If you put it side by side, you can't recognize it")</f>
        <v>If you put it side by side, you can't recognize it</v>
      </c>
      <c r="C4215" s="7" t="s">
        <v>6</v>
      </c>
      <c r="D4215" s="7" t="s">
        <v>7</v>
      </c>
      <c r="E4215" s="7">
        <v>0</v>
      </c>
    </row>
    <row r="4216" spans="1:5" ht="15.75" customHeight="1" x14ac:dyDescent="0.25">
      <c r="A4216" s="6" t="s">
        <v>4141</v>
      </c>
      <c r="B4216" s="6" t="str">
        <f ca="1">IFERROR(__xludf.DUMMYFUNCTION("GOOGLETRANSLATE(A4216,""bn"",""en"")"),"It is not believable")</f>
        <v>It is not believable</v>
      </c>
      <c r="C4216" s="7" t="s">
        <v>6</v>
      </c>
      <c r="D4216" s="7" t="s">
        <v>7</v>
      </c>
      <c r="E4216" s="7">
        <v>0</v>
      </c>
    </row>
    <row r="4217" spans="1:5" ht="15.75" customHeight="1" x14ac:dyDescent="0.25">
      <c r="A4217" s="6" t="s">
        <v>4142</v>
      </c>
      <c r="B4217" s="6" t="str">
        <f ca="1">IFERROR(__xludf.DUMMYFUNCTION("GOOGLETRANSLATE(A4217,""bn"",""en"")"),"I hope to improve more in the future.")</f>
        <v>I hope to improve more in the future.</v>
      </c>
      <c r="C4217" s="8" t="s">
        <v>13</v>
      </c>
      <c r="D4217" s="8" t="s">
        <v>14</v>
      </c>
      <c r="E4217" s="8">
        <v>1</v>
      </c>
    </row>
    <row r="4218" spans="1:5" ht="15.75" customHeight="1" x14ac:dyDescent="0.25">
      <c r="A4218" s="6" t="s">
        <v>4143</v>
      </c>
      <c r="B4218" s="6" t="str">
        <f ca="1">IFERROR(__xludf.DUMMYFUNCTION("GOOGLETRANSLATE(A4218,""bn"",""en"")"),"He was promoted to the post of Reader")</f>
        <v>He was promoted to the post of Reader</v>
      </c>
      <c r="C4218" s="8" t="s">
        <v>13</v>
      </c>
      <c r="D4218" s="8" t="s">
        <v>14</v>
      </c>
      <c r="E4218" s="8">
        <v>1</v>
      </c>
    </row>
    <row r="4219" spans="1:5" ht="15.75" customHeight="1" x14ac:dyDescent="0.25">
      <c r="A4219" s="6" t="s">
        <v>4144</v>
      </c>
      <c r="B4219" s="6" t="str">
        <f ca="1">IFERROR(__xludf.DUMMYFUNCTION("GOOGLETRANSLATE(A4219,""bn"",""en"")"),"He committed a murder")</f>
        <v>He committed a murder</v>
      </c>
      <c r="C4219" s="8" t="s">
        <v>13</v>
      </c>
      <c r="D4219" s="8" t="s">
        <v>14</v>
      </c>
      <c r="E4219" s="8">
        <v>1</v>
      </c>
    </row>
    <row r="4220" spans="1:5" ht="15.75" customHeight="1" x14ac:dyDescent="0.25">
      <c r="A4220" s="6" t="s">
        <v>4145</v>
      </c>
      <c r="B4220" s="6" t="str">
        <f ca="1">IFERROR(__xludf.DUMMYFUNCTION("GOOGLETRANSLATE(A4220,""bn"",""en"")"),"Pneumonia can be an inflammation of the lungs caused by bacteria, viruses or fungi")</f>
        <v>Pneumonia can be an inflammation of the lungs caused by bacteria, viruses or fungi</v>
      </c>
      <c r="C4220" s="8" t="s">
        <v>13</v>
      </c>
      <c r="D4220" s="8" t="s">
        <v>14</v>
      </c>
      <c r="E4220" s="8">
        <v>1</v>
      </c>
    </row>
    <row r="4221" spans="1:5" ht="15.75" customHeight="1" x14ac:dyDescent="0.25">
      <c r="A4221" s="6" t="s">
        <v>4146</v>
      </c>
      <c r="B4221" s="6" t="str">
        <f ca="1">IFERROR(__xludf.DUMMYFUNCTION("GOOGLETRANSLATE(A4221,""bn"",""en"")"),"Surround yourself with people who inspire and challenge you to be your best")</f>
        <v>Surround yourself with people who inspire and challenge you to be your best</v>
      </c>
      <c r="C4221" s="8" t="s">
        <v>13</v>
      </c>
      <c r="D4221" s="8" t="s">
        <v>14</v>
      </c>
      <c r="E4221" s="8">
        <v>1</v>
      </c>
    </row>
    <row r="4222" spans="1:5" ht="15.75" customHeight="1" x14ac:dyDescent="0.25">
      <c r="A4222" s="6" t="s">
        <v>4147</v>
      </c>
      <c r="B4222" s="6" t="str">
        <f ca="1">IFERROR(__xludf.DUMMYFUNCTION("GOOGLETRANSLATE(A4222,""bn"",""en"")"),"I went to his house one day")</f>
        <v>I went to his house one day</v>
      </c>
      <c r="C4222" s="7" t="s">
        <v>6</v>
      </c>
      <c r="D4222" s="7" t="s">
        <v>7</v>
      </c>
      <c r="E4222" s="7">
        <v>0</v>
      </c>
    </row>
    <row r="4223" spans="1:5" ht="15.75" customHeight="1" x14ac:dyDescent="0.25">
      <c r="A4223" s="6" t="s">
        <v>4148</v>
      </c>
      <c r="B4223" s="6" t="str">
        <f ca="1">IFERROR(__xludf.DUMMYFUNCTION("GOOGLETRANSLATE(A4223,""bn"",""en"")"),"I had to be an unpaid servant in your house")</f>
        <v>I had to be an unpaid servant in your house</v>
      </c>
      <c r="C4223" s="7" t="s">
        <v>6</v>
      </c>
      <c r="D4223" s="7" t="s">
        <v>7</v>
      </c>
      <c r="E4223" s="7">
        <v>0</v>
      </c>
    </row>
    <row r="4224" spans="1:5" ht="15.75" customHeight="1" x14ac:dyDescent="0.25">
      <c r="A4224" s="6" t="s">
        <v>4149</v>
      </c>
      <c r="B4224" s="6" t="str">
        <f ca="1">IFERROR(__xludf.DUMMYFUNCTION("GOOGLETRANSLATE(A4224,""bn"",""en"")"),"Relatives are not like those who mourn the death of a dead person")</f>
        <v>Relatives are not like those who mourn the death of a dead person</v>
      </c>
      <c r="C4224" s="7" t="s">
        <v>6</v>
      </c>
      <c r="D4224" s="7" t="s">
        <v>7</v>
      </c>
      <c r="E4224" s="7">
        <v>0</v>
      </c>
    </row>
    <row r="4225" spans="1:5" ht="15.75" customHeight="1" x14ac:dyDescent="0.25">
      <c r="A4225" s="6" t="s">
        <v>4150</v>
      </c>
      <c r="B4225" s="6" t="str">
        <f ca="1">IFERROR(__xludf.DUMMYFUNCTION("GOOGLETRANSLATE(A4225,""bn"",""en"")"),"is this your father")</f>
        <v>is this your father</v>
      </c>
      <c r="C4225" s="7" t="s">
        <v>6</v>
      </c>
      <c r="D4225" s="7" t="s">
        <v>7</v>
      </c>
      <c r="E4225" s="7">
        <v>0</v>
      </c>
    </row>
    <row r="4226" spans="1:5" ht="15.75" customHeight="1" x14ac:dyDescent="0.25">
      <c r="A4226" s="6" t="s">
        <v>4151</v>
      </c>
      <c r="B4226" s="6" t="str">
        <f ca="1">IFERROR(__xludf.DUMMYFUNCTION("GOOGLETRANSLATE(A4226,""bn"",""en"")"),"The city is not in that region, the city is far away, there is not a single village, only the mountains are full of forests")</f>
        <v>The city is not in that region, the city is far away, there is not a single village, only the mountains are full of forests</v>
      </c>
      <c r="C4226" s="7" t="s">
        <v>6</v>
      </c>
      <c r="D4226" s="7" t="s">
        <v>7</v>
      </c>
      <c r="E4226" s="7">
        <v>0</v>
      </c>
    </row>
    <row r="4227" spans="1:5" ht="15.75" customHeight="1" x14ac:dyDescent="0.25">
      <c r="A4227" s="6" t="s">
        <v>4152</v>
      </c>
      <c r="B4227" s="6" t="str">
        <f ca="1">IFERROR(__xludf.DUMMYFUNCTION("GOOGLETRANSLATE(A4227,""bn"",""en"")"),"Make regular exercise a priority for health")</f>
        <v>Make regular exercise a priority for health</v>
      </c>
      <c r="C4227" s="8" t="s">
        <v>13</v>
      </c>
      <c r="D4227" s="8" t="s">
        <v>14</v>
      </c>
      <c r="E4227" s="8">
        <v>1</v>
      </c>
    </row>
    <row r="4228" spans="1:5" ht="15.75" customHeight="1" x14ac:dyDescent="0.25">
      <c r="A4228" s="6" t="s">
        <v>4153</v>
      </c>
      <c r="B4228" s="6" t="str">
        <f ca="1">IFERROR(__xludf.DUMMYFUNCTION("GOOGLETRANSLATE(A4228,""bn"",""en"")"),"Chronic pancreatitis is inflammation of the pancreas that continues over time, often leading to abdominal pain and digestive problems")</f>
        <v>Chronic pancreatitis is inflammation of the pancreas that continues over time, often leading to abdominal pain and digestive problems</v>
      </c>
      <c r="C4228" s="8" t="s">
        <v>13</v>
      </c>
      <c r="D4228" s="8" t="s">
        <v>14</v>
      </c>
      <c r="E4228" s="8">
        <v>1</v>
      </c>
    </row>
    <row r="4229" spans="1:5" ht="15.75" customHeight="1" x14ac:dyDescent="0.25">
      <c r="A4229" s="6" t="s">
        <v>4154</v>
      </c>
      <c r="B4229" s="6" t="str">
        <f ca="1">IFERROR(__xludf.DUMMYFUNCTION("GOOGLETRANSLATE(A4229,""bn"",""en"")"),"Sufal proceeded as per Shakib's words")</f>
        <v>Sufal proceeded as per Shakib's words</v>
      </c>
      <c r="C4229" s="8" t="s">
        <v>13</v>
      </c>
      <c r="D4229" s="8" t="s">
        <v>14</v>
      </c>
      <c r="E4229" s="8">
        <v>1</v>
      </c>
    </row>
    <row r="4230" spans="1:5" ht="15.75" customHeight="1" x14ac:dyDescent="0.25">
      <c r="A4230" s="6" t="s">
        <v>4155</v>
      </c>
      <c r="B4230" s="6" t="str">
        <f ca="1">IFERROR(__xludf.DUMMYFUNCTION("GOOGLETRANSLATE(A4230,""bn"",""en"")"),"The girl was crying to her father to buy a doll")</f>
        <v>The girl was crying to her father to buy a doll</v>
      </c>
      <c r="C4230" s="8" t="s">
        <v>13</v>
      </c>
      <c r="D4230" s="8" t="s">
        <v>14</v>
      </c>
      <c r="E4230" s="8">
        <v>1</v>
      </c>
    </row>
    <row r="4231" spans="1:5" ht="15.75" customHeight="1" x14ac:dyDescent="0.25">
      <c r="A4231" s="6" t="s">
        <v>4156</v>
      </c>
      <c r="B4231" s="6" t="str">
        <f ca="1">IFERROR(__xludf.DUMMYFUNCTION("GOOGLETRANSLATE(A4231,""bn"",""en"")"),"When I was eight World War II began")</f>
        <v>When I was eight World War II began</v>
      </c>
      <c r="C4231" s="8" t="s">
        <v>13</v>
      </c>
      <c r="D4231" s="8" t="s">
        <v>14</v>
      </c>
      <c r="E4231" s="8">
        <v>1</v>
      </c>
    </row>
    <row r="4232" spans="1:5" ht="15.75" customHeight="1" x14ac:dyDescent="0.25">
      <c r="A4232" s="6" t="s">
        <v>4157</v>
      </c>
      <c r="B4232" s="6" t="str">
        <f ca="1">IFERROR(__xludf.DUMMYFUNCTION("GOOGLETRANSLATE(A4232,""bn"",""en"")"),"Her dress also changed and she wore her tsar's clothes and whenever she was seen during the day she looked as if she had just taken a bath.")</f>
        <v>Her dress also changed and she wore her tsar's clothes and whenever she was seen during the day she looked as if she had just taken a bath.</v>
      </c>
      <c r="C4232" s="7" t="s">
        <v>6</v>
      </c>
      <c r="D4232" s="7" t="s">
        <v>7</v>
      </c>
      <c r="E4232" s="7">
        <v>0</v>
      </c>
    </row>
    <row r="4233" spans="1:5" ht="15.75" customHeight="1" x14ac:dyDescent="0.25">
      <c r="A4233" s="6" t="s">
        <v>4158</v>
      </c>
      <c r="B4233" s="6" t="str">
        <f ca="1">IFERROR(__xludf.DUMMYFUNCTION("GOOGLETRANSLATE(A4233,""bn"",""en"")"),"On getting up early in the morning, the postmaster found that his bath water was fine.")</f>
        <v>On getting up early in the morning, the postmaster found that his bath water was fine.</v>
      </c>
      <c r="C4233" s="7" t="s">
        <v>6</v>
      </c>
      <c r="D4233" s="7" t="s">
        <v>7</v>
      </c>
      <c r="E4233" s="7">
        <v>0</v>
      </c>
    </row>
    <row r="4234" spans="1:5" ht="15.75" customHeight="1" x14ac:dyDescent="0.25">
      <c r="A4234" s="6" t="s">
        <v>4159</v>
      </c>
      <c r="B4234" s="6" t="str">
        <f ca="1">IFERROR(__xludf.DUMMYFUNCTION("GOOGLETRANSLATE(A4234,""bn"",""en"")"),"Karim asked me to go to school")</f>
        <v>Karim asked me to go to school</v>
      </c>
      <c r="C4234" s="7" t="s">
        <v>6</v>
      </c>
      <c r="D4234" s="7" t="s">
        <v>7</v>
      </c>
      <c r="E4234" s="7">
        <v>0</v>
      </c>
    </row>
    <row r="4235" spans="1:5" ht="15.75" customHeight="1" x14ac:dyDescent="0.25">
      <c r="A4235" s="6" t="s">
        <v>1469</v>
      </c>
      <c r="B4235" s="6" t="str">
        <f ca="1">IFERROR(__xludf.DUMMYFUNCTION("GOOGLETRANSLATE(A4235,""bn"",""en"")"),"In the Palamau pargana there are countless hills after hills after hills after hills")</f>
        <v>In the Palamau pargana there are countless hills after hills after hills after hills</v>
      </c>
      <c r="C4235" s="7" t="s">
        <v>6</v>
      </c>
      <c r="D4235" s="7" t="s">
        <v>7</v>
      </c>
      <c r="E4235" s="7">
        <v>0</v>
      </c>
    </row>
    <row r="4236" spans="1:5" ht="15.75" customHeight="1" x14ac:dyDescent="0.25">
      <c r="A4236" s="6" t="s">
        <v>4160</v>
      </c>
      <c r="B4236" s="6" t="str">
        <f ca="1">IFERROR(__xludf.DUMMYFUNCTION("GOOGLETRANSLATE(A4236,""bn"",""en"")"),"Will any of you go to Pisima with me?")</f>
        <v>Will any of you go to Pisima with me?</v>
      </c>
      <c r="C4236" s="7" t="s">
        <v>6</v>
      </c>
      <c r="D4236" s="7" t="s">
        <v>7</v>
      </c>
      <c r="E4236" s="7">
        <v>0</v>
      </c>
    </row>
    <row r="4237" spans="1:5" ht="15.75" customHeight="1" x14ac:dyDescent="0.25">
      <c r="A4237" s="6" t="s">
        <v>4161</v>
      </c>
      <c r="B4237" s="6" t="str">
        <f ca="1">IFERROR(__xludf.DUMMYFUNCTION("GOOGLETRANSLATE(A4237,""bn"",""en"")"),"Rahim tied up Karim")</f>
        <v>Rahim tied up Karim</v>
      </c>
      <c r="C4237" s="8" t="s">
        <v>13</v>
      </c>
      <c r="D4237" s="8" t="s">
        <v>14</v>
      </c>
      <c r="E4237" s="8">
        <v>1</v>
      </c>
    </row>
    <row r="4238" spans="1:5" ht="15.75" customHeight="1" x14ac:dyDescent="0.25">
      <c r="A4238" s="6" t="s">
        <v>4162</v>
      </c>
      <c r="B4238" s="6" t="str">
        <f ca="1">IFERROR(__xludf.DUMMYFUNCTION("GOOGLETRANSLATE(A4238,""bn"",""en"")"),"Rumi went to the field to play volleyball")</f>
        <v>Rumi went to the field to play volleyball</v>
      </c>
      <c r="C4238" s="8" t="s">
        <v>13</v>
      </c>
      <c r="D4238" s="8" t="s">
        <v>14</v>
      </c>
      <c r="E4238" s="8">
        <v>1</v>
      </c>
    </row>
    <row r="4239" spans="1:5" ht="15.75" customHeight="1" x14ac:dyDescent="0.25">
      <c r="A4239" s="6" t="s">
        <v>4163</v>
      </c>
      <c r="B4239" s="6" t="str">
        <f ca="1">IFERROR(__xludf.DUMMYFUNCTION("GOOGLETRANSLATE(A4239,""bn"",""en"")"),"died suddenly in")</f>
        <v>died suddenly in</v>
      </c>
      <c r="C4239" s="8" t="s">
        <v>13</v>
      </c>
      <c r="D4239" s="8" t="s">
        <v>14</v>
      </c>
      <c r="E4239" s="8">
        <v>1</v>
      </c>
    </row>
    <row r="4240" spans="1:5" ht="15.75" customHeight="1" x14ac:dyDescent="0.25">
      <c r="A4240" s="6" t="s">
        <v>4164</v>
      </c>
      <c r="B4240" s="6" t="str">
        <f ca="1">IFERROR(__xludf.DUMMYFUNCTION("GOOGLETRANSLATE(A4240,""bn"",""en"")"),"There was also other news")</f>
        <v>There was also other news</v>
      </c>
      <c r="C4240" s="8" t="s">
        <v>13</v>
      </c>
      <c r="D4240" s="8" t="s">
        <v>14</v>
      </c>
      <c r="E4240" s="8">
        <v>1</v>
      </c>
    </row>
    <row r="4241" spans="1:5" ht="15.75" customHeight="1" x14ac:dyDescent="0.25">
      <c r="A4241" s="6" t="s">
        <v>4165</v>
      </c>
      <c r="B4241" s="6" t="str">
        <f ca="1">IFERROR(__xludf.DUMMYFUNCTION("GOOGLETRANSLATE(A4241,""bn"",""en"")"),"This festival is celebrated in Bangladesh every year on April")</f>
        <v>This festival is celebrated in Bangladesh every year on April</v>
      </c>
      <c r="C4241" s="8" t="s">
        <v>13</v>
      </c>
      <c r="D4241" s="8" t="s">
        <v>14</v>
      </c>
      <c r="E4241" s="8">
        <v>1</v>
      </c>
    </row>
    <row r="4242" spans="1:5" ht="15.75" customHeight="1" x14ac:dyDescent="0.25">
      <c r="A4242" s="6" t="s">
        <v>4166</v>
      </c>
      <c r="B4242" s="6" t="str">
        <f ca="1">IFERROR(__xludf.DUMMYFUNCTION("GOOGLETRANSLATE(A4242,""bn"",""en"")"),"I have more work to do")</f>
        <v>I have more work to do</v>
      </c>
      <c r="C4242" s="7" t="s">
        <v>6</v>
      </c>
      <c r="D4242" s="7" t="s">
        <v>7</v>
      </c>
      <c r="E4242" s="7">
        <v>0</v>
      </c>
    </row>
    <row r="4243" spans="1:5" ht="15.75" customHeight="1" x14ac:dyDescent="0.25">
      <c r="A4243" s="6" t="s">
        <v>4167</v>
      </c>
      <c r="B4243" s="6" t="str">
        <f ca="1">IFERROR(__xludf.DUMMYFUNCTION("GOOGLETRANSLATE(A4243,""bn"",""en"")"),"I don't have it")</f>
        <v>I don't have it</v>
      </c>
      <c r="C4243" s="7" t="s">
        <v>6</v>
      </c>
      <c r="D4243" s="7" t="s">
        <v>7</v>
      </c>
      <c r="E4243" s="7">
        <v>0</v>
      </c>
    </row>
    <row r="4244" spans="1:5" ht="15.75" customHeight="1" x14ac:dyDescent="0.25">
      <c r="A4244" s="6" t="s">
        <v>4168</v>
      </c>
      <c r="B4244" s="6" t="str">
        <f ca="1">IFERROR(__xludf.DUMMYFUNCTION("GOOGLETRANSLATE(A4244,""bn"",""en"")"),"In this sudden and extremely unnecessary fierceness Jhi became so much")</f>
        <v>In this sudden and extremely unnecessary fierceness Jhi became so much</v>
      </c>
      <c r="C4244" s="7" t="s">
        <v>6</v>
      </c>
      <c r="D4244" s="7" t="s">
        <v>7</v>
      </c>
      <c r="E4244" s="7">
        <v>0</v>
      </c>
    </row>
    <row r="4245" spans="1:5" ht="15.75" customHeight="1" x14ac:dyDescent="0.25">
      <c r="A4245" s="6" t="s">
        <v>4169</v>
      </c>
      <c r="B4245" s="6" t="str">
        <f ca="1">IFERROR(__xludf.DUMMYFUNCTION("GOOGLETRANSLATE(A4245,""bn"",""en"")"),"Before leaving today, the winter has become very cold since two or three days.")</f>
        <v>Before leaving today, the winter has become very cold since two or three days.</v>
      </c>
      <c r="C4245" s="7" t="s">
        <v>6</v>
      </c>
      <c r="D4245" s="7" t="s">
        <v>7</v>
      </c>
      <c r="E4245" s="7">
        <v>0</v>
      </c>
    </row>
    <row r="4246" spans="1:5" ht="15.75" customHeight="1" x14ac:dyDescent="0.25">
      <c r="A4246" s="6" t="s">
        <v>4170</v>
      </c>
      <c r="B4246" s="6" t="str">
        <f ca="1">IFERROR(__xludf.DUMMYFUNCTION("GOOGLETRANSLATE(A4246,""bn"",""en"")"),"Maya put a ten taka note in his hand and said: Buy something with this")</f>
        <v>Maya put a ten taka note in his hand and said: Buy something with this</v>
      </c>
      <c r="C4246" s="7" t="s">
        <v>6</v>
      </c>
      <c r="D4246" s="7" t="s">
        <v>7</v>
      </c>
      <c r="E4246" s="7">
        <v>0</v>
      </c>
    </row>
    <row r="4247" spans="1:5" ht="15.75" customHeight="1" x14ac:dyDescent="0.25">
      <c r="A4247" s="6" t="s">
        <v>4171</v>
      </c>
      <c r="B4247" s="6" t="str">
        <f ca="1">IFERROR(__xludf.DUMMYFUNCTION("GOOGLETRANSLATE(A4247,""bn"",""en"")"),"This attraction is related to tides")</f>
        <v>This attraction is related to tides</v>
      </c>
      <c r="C4247" s="8" t="s">
        <v>13</v>
      </c>
      <c r="D4247" s="8" t="s">
        <v>14</v>
      </c>
      <c r="E4247" s="8">
        <v>1</v>
      </c>
    </row>
    <row r="4248" spans="1:5" ht="15.75" customHeight="1" x14ac:dyDescent="0.25">
      <c r="A4248" s="6" t="s">
        <v>4172</v>
      </c>
      <c r="B4248" s="6" t="str">
        <f ca="1">IFERROR(__xludf.DUMMYFUNCTION("GOOGLETRANSLATE(A4248,""bn"",""en"")"),"The man was standing on the balcony for so long")</f>
        <v>The man was standing on the balcony for so long</v>
      </c>
      <c r="C4248" s="8" t="s">
        <v>13</v>
      </c>
      <c r="D4248" s="8" t="s">
        <v>14</v>
      </c>
      <c r="E4248" s="8">
        <v>1</v>
      </c>
    </row>
    <row r="4249" spans="1:5" ht="15.75" customHeight="1" x14ac:dyDescent="0.25">
      <c r="A4249" s="6" t="s">
        <v>4173</v>
      </c>
      <c r="B4249" s="6" t="str">
        <f ca="1">IFERROR(__xludf.DUMMYFUNCTION("GOOGLETRANSLATE(A4249,""bn"",""en"")"),"Technological advancements drive process improvements")</f>
        <v>Technological advancements drive process improvements</v>
      </c>
      <c r="C4249" s="8" t="s">
        <v>13</v>
      </c>
      <c r="D4249" s="8" t="s">
        <v>14</v>
      </c>
      <c r="E4249" s="8">
        <v>1</v>
      </c>
    </row>
    <row r="4250" spans="1:5" ht="15.75" customHeight="1" x14ac:dyDescent="0.25">
      <c r="A4250" s="6" t="s">
        <v>4174</v>
      </c>
      <c r="B4250" s="6" t="str">
        <f ca="1">IFERROR(__xludf.DUMMYFUNCTION("GOOGLETRANSLATE(A4250,""bn"",""en"")"),"Follow us on Facebook")</f>
        <v>Follow us on Facebook</v>
      </c>
      <c r="C4250" s="8" t="s">
        <v>13</v>
      </c>
      <c r="D4250" s="8" t="s">
        <v>14</v>
      </c>
      <c r="E4250" s="8">
        <v>1</v>
      </c>
    </row>
    <row r="4251" spans="1:5" ht="15.75" customHeight="1" x14ac:dyDescent="0.25">
      <c r="A4251" s="6" t="s">
        <v>4175</v>
      </c>
      <c r="B4251" s="6" t="str">
        <f ca="1">IFERROR(__xludf.DUMMYFUNCTION("GOOGLETRANSLATE(A4251,""bn"",""en"")"),"Even when I am traveling abroad I am aware of various news in India")</f>
        <v>Even when I am traveling abroad I am aware of various news in India</v>
      </c>
      <c r="C4251" s="8" t="s">
        <v>13</v>
      </c>
      <c r="D4251" s="8" t="s">
        <v>14</v>
      </c>
      <c r="E4251" s="8">
        <v>1</v>
      </c>
    </row>
    <row r="4252" spans="1:5" ht="15.75" customHeight="1" x14ac:dyDescent="0.25">
      <c r="A4252" s="6" t="s">
        <v>4176</v>
      </c>
      <c r="B4252" s="6" t="str">
        <f ca="1">IFERROR(__xludf.DUMMYFUNCTION("GOOGLETRANSLATE(A4252,""bn"",""en"")"),"Sumi told me this in writing")</f>
        <v>Sumi told me this in writing</v>
      </c>
      <c r="C4252" s="7" t="s">
        <v>6</v>
      </c>
      <c r="D4252" s="7" t="s">
        <v>7</v>
      </c>
      <c r="E4252" s="7">
        <v>0</v>
      </c>
    </row>
    <row r="4253" spans="1:5" ht="15.75" customHeight="1" x14ac:dyDescent="0.25">
      <c r="A4253" s="6" t="s">
        <v>4177</v>
      </c>
      <c r="B4253" s="6" t="str">
        <f ca="1">IFERROR(__xludf.DUMMYFUNCTION("GOOGLETRANSLATE(A4253,""bn"",""en"")"),"Damini was never absent for a single day when Asar Zamita Guruji would take us to Kirtan, when he would sit in discussion, when he would explain the Gita or the Bhagavata.")</f>
        <v>Damini was never absent for a single day when Asar Zamita Guruji would take us to Kirtan, when he would sit in discussion, when he would explain the Gita or the Bhagavata.</v>
      </c>
      <c r="C4253" s="7" t="s">
        <v>6</v>
      </c>
      <c r="D4253" s="7" t="s">
        <v>7</v>
      </c>
      <c r="E4253" s="7">
        <v>0</v>
      </c>
    </row>
    <row r="4254" spans="1:5" ht="15.75" customHeight="1" x14ac:dyDescent="0.25">
      <c r="A4254" s="6" t="s">
        <v>4178</v>
      </c>
      <c r="B4254" s="6" t="str">
        <f ca="1">IFERROR(__xludf.DUMMYFUNCTION("GOOGLETRANSLATE(A4254,""bn"",""en"")"),"Crazy delirium won't stop megabytes running out")</f>
        <v>Crazy delirium won't stop megabytes running out</v>
      </c>
      <c r="C4254" s="7" t="s">
        <v>6</v>
      </c>
      <c r="D4254" s="7" t="s">
        <v>7</v>
      </c>
      <c r="E4254" s="7">
        <v>0</v>
      </c>
    </row>
    <row r="4255" spans="1:5" ht="15.75" customHeight="1" x14ac:dyDescent="0.25">
      <c r="A4255" s="6" t="s">
        <v>707</v>
      </c>
      <c r="B4255" s="6" t="str">
        <f ca="1">IFERROR(__xludf.DUMMYFUNCTION("GOOGLETRANSLATE(A4255,""bn"",""en"")"),"I do not particularly boast of my courage")</f>
        <v>I do not particularly boast of my courage</v>
      </c>
      <c r="C4255" s="7" t="s">
        <v>6</v>
      </c>
      <c r="D4255" s="7" t="s">
        <v>7</v>
      </c>
      <c r="E4255" s="7">
        <v>0</v>
      </c>
    </row>
    <row r="4256" spans="1:5" ht="15.75" customHeight="1" x14ac:dyDescent="0.25">
      <c r="A4256" s="6" t="s">
        <v>4179</v>
      </c>
      <c r="B4256" s="6" t="str">
        <f ca="1">IFERROR(__xludf.DUMMYFUNCTION("GOOGLETRANSLATE(A4256,""bn"",""en"")"),"We traveled there a lot")</f>
        <v>We traveled there a lot</v>
      </c>
      <c r="C4256" s="7" t="s">
        <v>6</v>
      </c>
      <c r="D4256" s="7" t="s">
        <v>7</v>
      </c>
      <c r="E4256" s="7">
        <v>0</v>
      </c>
    </row>
    <row r="4257" spans="1:5" ht="15.75" customHeight="1" x14ac:dyDescent="0.25">
      <c r="A4257" s="6" t="s">
        <v>4180</v>
      </c>
      <c r="B4257" s="6" t="str">
        <f ca="1">IFERROR(__xludf.DUMMYFUNCTION("GOOGLETRANSLATE(A4257,""bn"",""en"")"),"Tai Chi provides calm balance")</f>
        <v>Tai Chi provides calm balance</v>
      </c>
      <c r="C4257" s="8" t="s">
        <v>13</v>
      </c>
      <c r="D4257" s="8" t="s">
        <v>14</v>
      </c>
      <c r="E4257" s="8">
        <v>1</v>
      </c>
    </row>
    <row r="4258" spans="1:5" ht="15.75" customHeight="1" x14ac:dyDescent="0.25">
      <c r="A4258" s="6" t="s">
        <v>4181</v>
      </c>
      <c r="B4258" s="6" t="str">
        <f ca="1">IFERROR(__xludf.DUMMYFUNCTION("GOOGLETRANSLATE(A4258,""bn"",""en"")"),"A tour guide leads a group of tourists through the historic city")</f>
        <v>A tour guide leads a group of tourists through the historic city</v>
      </c>
      <c r="C4258" s="8" t="s">
        <v>13</v>
      </c>
      <c r="D4258" s="8" t="s">
        <v>14</v>
      </c>
      <c r="E4258" s="8">
        <v>1</v>
      </c>
    </row>
    <row r="4259" spans="1:5" ht="15.75" customHeight="1" x14ac:dyDescent="0.25">
      <c r="A4259" s="6" t="s">
        <v>4182</v>
      </c>
      <c r="B4259" s="6" t="str">
        <f ca="1">IFERROR(__xludf.DUMMYFUNCTION("GOOGLETRANSLATE(A4259,""bn"",""en"")"),"Before the night was over, he went out in search of work.")</f>
        <v>Before the night was over, he went out in search of work.</v>
      </c>
      <c r="C4259" s="8" t="s">
        <v>13</v>
      </c>
      <c r="D4259" s="8" t="s">
        <v>14</v>
      </c>
      <c r="E4259" s="8">
        <v>1</v>
      </c>
    </row>
    <row r="4260" spans="1:5" ht="15.75" customHeight="1" x14ac:dyDescent="0.25">
      <c r="A4260" s="6" t="s">
        <v>4183</v>
      </c>
      <c r="B4260" s="6" t="str">
        <f ca="1">IFERROR(__xludf.DUMMYFUNCTION("GOOGLETRANSLATE(A4260,""bn"",""en"")"),"You are attacking them through sin and injustice")</f>
        <v>You are attacking them through sin and injustice</v>
      </c>
      <c r="C4260" s="8" t="s">
        <v>13</v>
      </c>
      <c r="D4260" s="8" t="s">
        <v>14</v>
      </c>
      <c r="E4260" s="8">
        <v>1</v>
      </c>
    </row>
    <row r="4261" spans="1:5" ht="15.75" customHeight="1" x14ac:dyDescent="0.25">
      <c r="A4261" s="6" t="s">
        <v>4184</v>
      </c>
      <c r="B4261" s="6" t="str">
        <f ca="1">IFERROR(__xludf.DUMMYFUNCTION("GOOGLETRANSLATE(A4261,""bn"",""en"")"),"• Everything will turn black before death")</f>
        <v>• Everything will turn black before death</v>
      </c>
      <c r="C4261" s="8" t="s">
        <v>13</v>
      </c>
      <c r="D4261" s="8" t="s">
        <v>14</v>
      </c>
      <c r="E4261" s="8">
        <v>1</v>
      </c>
    </row>
    <row r="4262" spans="1:5" ht="15.75" customHeight="1" x14ac:dyDescent="0.25">
      <c r="A4262" s="6" t="s">
        <v>4185</v>
      </c>
      <c r="B4262" s="6" t="str">
        <f ca="1">IFERROR(__xludf.DUMMYFUNCTION("GOOGLETRANSLATE(A4262,""bn"",""en"")"),"Sometimes he notices the student's attention with a glance")</f>
        <v>Sometimes he notices the student's attention with a glance</v>
      </c>
      <c r="C4262" s="7" t="s">
        <v>6</v>
      </c>
      <c r="D4262" s="7" t="s">
        <v>7</v>
      </c>
      <c r="E4262" s="7">
        <v>0</v>
      </c>
    </row>
    <row r="4263" spans="1:5" ht="15.75" customHeight="1" x14ac:dyDescent="0.25">
      <c r="A4263" s="6" t="s">
        <v>4186</v>
      </c>
      <c r="B4263" s="6" t="str">
        <f ca="1">IFERROR(__xludf.DUMMYFUNCTION("GOOGLETRANSLATE(A4263,""bn"",""en"")"),"It was getting late outside")</f>
        <v>It was getting late outside</v>
      </c>
      <c r="C4263" s="7" t="s">
        <v>6</v>
      </c>
      <c r="D4263" s="7" t="s">
        <v>7</v>
      </c>
      <c r="E4263" s="7">
        <v>0</v>
      </c>
    </row>
    <row r="4264" spans="1:5" ht="15.75" customHeight="1" x14ac:dyDescent="0.25">
      <c r="A4264" s="6" t="s">
        <v>4187</v>
      </c>
      <c r="B4264" s="6" t="str">
        <f ca="1">IFERROR(__xludf.DUMMYFUNCTION("GOOGLETRANSLATE(A4264,""bn"",""en"")"),"Suphal went to Sujan")</f>
        <v>Suphal went to Sujan</v>
      </c>
      <c r="C4264" s="7" t="s">
        <v>6</v>
      </c>
      <c r="D4264" s="7" t="s">
        <v>7</v>
      </c>
      <c r="E4264" s="7">
        <v>0</v>
      </c>
    </row>
    <row r="4265" spans="1:5" ht="15.75" customHeight="1" x14ac:dyDescent="0.25">
      <c r="A4265" s="6" t="s">
        <v>4188</v>
      </c>
      <c r="B4265" s="6" t="str">
        <f ca="1">IFERROR(__xludf.DUMMYFUNCTION("GOOGLETRANSLATE(A4265,""bn"",""en"")"),"I don't know what sociologists say about why marriage is so common there")</f>
        <v>I don't know what sociologists say about why marriage is so common there</v>
      </c>
      <c r="C4265" s="7" t="s">
        <v>6</v>
      </c>
      <c r="D4265" s="7" t="s">
        <v>7</v>
      </c>
      <c r="E4265" s="7">
        <v>0</v>
      </c>
    </row>
    <row r="4266" spans="1:5" ht="15.75" customHeight="1" x14ac:dyDescent="0.25">
      <c r="A4266" s="6" t="s">
        <v>4189</v>
      </c>
      <c r="B4266" s="6" t="str">
        <f ca="1">IFERROR(__xludf.DUMMYFUNCTION("GOOGLETRANSLATE(A4266,""bn"",""en"")"),"While I was seeing this color in my mind, some boys and girls of coolies came and surrounded my car.")</f>
        <v>While I was seeing this color in my mind, some boys and girls of coolies came and surrounded my car.</v>
      </c>
      <c r="C4266" s="7" t="s">
        <v>6</v>
      </c>
      <c r="D4266" s="7" t="s">
        <v>7</v>
      </c>
      <c r="E4266" s="7">
        <v>0</v>
      </c>
    </row>
    <row r="4267" spans="1:5" ht="15.75" customHeight="1" x14ac:dyDescent="0.25">
      <c r="A4267" s="6" t="s">
        <v>4190</v>
      </c>
      <c r="B4267" s="6" t="str">
        <f ca="1">IFERROR(__xludf.DUMMYFUNCTION("GOOGLETRANSLATE(A4267,""bn"",""en"")"),"Inclusive education promotes diversity and equality")</f>
        <v>Inclusive education promotes diversity and equality</v>
      </c>
      <c r="C4267" s="8" t="s">
        <v>13</v>
      </c>
      <c r="D4267" s="8" t="s">
        <v>14</v>
      </c>
      <c r="E4267" s="8">
        <v>1</v>
      </c>
    </row>
    <row r="4268" spans="1:5" ht="15.75" customHeight="1" x14ac:dyDescent="0.25">
      <c r="A4268" s="6" t="s">
        <v>4191</v>
      </c>
      <c r="B4268" s="6" t="str">
        <f ca="1">IFERROR(__xludf.DUMMYFUNCTION("GOOGLETRANSLATE(A4268,""bn"",""en"")"),"The author has created an interesting story that captivates the readers")</f>
        <v>The author has created an interesting story that captivates the readers</v>
      </c>
      <c r="C4268" s="8" t="s">
        <v>13</v>
      </c>
      <c r="D4268" s="8" t="s">
        <v>14</v>
      </c>
      <c r="E4268" s="8">
        <v>1</v>
      </c>
    </row>
    <row r="4269" spans="1:5" ht="15.75" customHeight="1" x14ac:dyDescent="0.25">
      <c r="A4269" s="6" t="s">
        <v>4192</v>
      </c>
      <c r="B4269" s="6" t="str">
        <f ca="1">IFERROR(__xludf.DUMMYFUNCTION("GOOGLETRANSLATE(A4269,""bn"",""en"")"),"Artisan chocolates please the discerning palate")</f>
        <v>Artisan chocolates please the discerning palate</v>
      </c>
      <c r="C4269" s="8" t="s">
        <v>13</v>
      </c>
      <c r="D4269" s="8" t="s">
        <v>14</v>
      </c>
      <c r="E4269" s="8">
        <v>1</v>
      </c>
    </row>
    <row r="4270" spans="1:5" ht="15.75" customHeight="1" x14ac:dyDescent="0.25">
      <c r="A4270" s="6" t="s">
        <v>4193</v>
      </c>
      <c r="B4270" s="6" t="str">
        <f ca="1">IFERROR(__xludf.DUMMYFUNCTION("GOOGLETRANSLATE(A4270,""bn"",""en"")"),"Andrei Bely was born into a prominent Buddhist family in Moscow")</f>
        <v>Andrei Bely was born into a prominent Buddhist family in Moscow</v>
      </c>
      <c r="C4270" s="8" t="s">
        <v>13</v>
      </c>
      <c r="D4270" s="8" t="s">
        <v>14</v>
      </c>
      <c r="E4270" s="8">
        <v>1</v>
      </c>
    </row>
    <row r="4271" spans="1:5" ht="15.75" customHeight="1" x14ac:dyDescent="0.25">
      <c r="A4271" s="6" t="s">
        <v>4194</v>
      </c>
      <c r="B4271" s="6" t="str">
        <f ca="1">IFERROR(__xludf.DUMMYFUNCTION("GOOGLETRANSLATE(A4271,""bn"",""en"")"),"Hypoglycemia occurs when blood sugar levels are too low, causing symptoms such as dizziness and confusion")</f>
        <v>Hypoglycemia occurs when blood sugar levels are too low, causing symptoms such as dizziness and confusion</v>
      </c>
      <c r="C4271" s="8" t="s">
        <v>13</v>
      </c>
      <c r="D4271" s="8" t="s">
        <v>14</v>
      </c>
      <c r="E4271" s="8">
        <v>1</v>
      </c>
    </row>
    <row r="4272" spans="1:5" ht="15.75" customHeight="1" x14ac:dyDescent="0.25">
      <c r="A4272" s="6" t="s">
        <v>4195</v>
      </c>
      <c r="B4272" s="6" t="str">
        <f ca="1">IFERROR(__xludf.DUMMYFUNCTION("GOOGLETRANSLATE(A4272,""bn"",""en"")"),"At home, his son has to seek solace outside")</f>
        <v>At home, his son has to seek solace outside</v>
      </c>
      <c r="C4272" s="7" t="s">
        <v>6</v>
      </c>
      <c r="D4272" s="7" t="s">
        <v>7</v>
      </c>
      <c r="E4272" s="7">
        <v>0</v>
      </c>
    </row>
    <row r="4273" spans="1:5" ht="15.75" customHeight="1" x14ac:dyDescent="0.25">
      <c r="A4273" s="6" t="s">
        <v>4196</v>
      </c>
      <c r="B4273" s="6" t="str">
        <f ca="1">IFERROR(__xludf.DUMMYFUNCTION("GOOGLETRANSLATE(A4273,""bn"",""en"")"),"There was no shortage of eyewitnesses, with people from the suburbs ready to testify")</f>
        <v>There was no shortage of eyewitnesses, with people from the suburbs ready to testify</v>
      </c>
      <c r="C4273" s="7" t="s">
        <v>6</v>
      </c>
      <c r="D4273" s="7" t="s">
        <v>7</v>
      </c>
      <c r="E4273" s="7">
        <v>0</v>
      </c>
    </row>
    <row r="4274" spans="1:5" ht="15.75" customHeight="1" x14ac:dyDescent="0.25">
      <c r="A4274" s="6" t="s">
        <v>4197</v>
      </c>
      <c r="B4274" s="6" t="str">
        <f ca="1">IFERROR(__xludf.DUMMYFUNCTION("GOOGLETRANSLATE(A4274,""bn"",""en"")"),"They have only one option - escape")</f>
        <v>They have only one option - escape</v>
      </c>
      <c r="C4274" s="7" t="s">
        <v>6</v>
      </c>
      <c r="D4274" s="7" t="s">
        <v>7</v>
      </c>
      <c r="E4274" s="7">
        <v>0</v>
      </c>
    </row>
    <row r="4275" spans="1:5" ht="15.75" customHeight="1" x14ac:dyDescent="0.25">
      <c r="A4275" s="6" t="s">
        <v>4198</v>
      </c>
      <c r="B4275" s="6" t="str">
        <f ca="1">IFERROR(__xludf.DUMMYFUNCTION("GOOGLETRANSLATE(A4275,""bn"",""en"")"),"In other words, he could not make it popular")</f>
        <v>In other words, he could not make it popular</v>
      </c>
      <c r="C4275" s="7" t="s">
        <v>6</v>
      </c>
      <c r="D4275" s="7" t="s">
        <v>7</v>
      </c>
      <c r="E4275" s="7">
        <v>0</v>
      </c>
    </row>
    <row r="4276" spans="1:5" ht="15.75" customHeight="1" x14ac:dyDescent="0.25">
      <c r="A4276" s="6" t="s">
        <v>4199</v>
      </c>
      <c r="B4276" s="6" t="str">
        <f ca="1">IFERROR(__xludf.DUMMYFUNCTION("GOOGLETRANSLATE(A4276,""bn"",""en"")"),"Then there is no house")</f>
        <v>Then there is no house</v>
      </c>
      <c r="C4276" s="7" t="s">
        <v>6</v>
      </c>
      <c r="D4276" s="7" t="s">
        <v>7</v>
      </c>
      <c r="E4276" s="7">
        <v>0</v>
      </c>
    </row>
    <row r="4277" spans="1:5" ht="15.75" customHeight="1" x14ac:dyDescent="0.25">
      <c r="A4277" s="6" t="s">
        <v>4200</v>
      </c>
      <c r="B4277" s="6" t="str">
        <f ca="1">IFERROR(__xludf.DUMMYFUNCTION("GOOGLETRANSLATE(A4277,""bn"",""en"")"),"Employee recruitment initiatives increase morale productivity")</f>
        <v>Employee recruitment initiatives increase morale productivity</v>
      </c>
      <c r="C4277" s="8" t="s">
        <v>13</v>
      </c>
      <c r="D4277" s="8" t="s">
        <v>14</v>
      </c>
      <c r="E4277" s="8">
        <v>1</v>
      </c>
    </row>
    <row r="4278" spans="1:5" ht="15.75" customHeight="1" x14ac:dyDescent="0.25">
      <c r="A4278" s="6" t="s">
        <v>4201</v>
      </c>
      <c r="B4278" s="6" t="str">
        <f ca="1">IFERROR(__xludf.DUMMYFUNCTION("GOOGLETRANSLATE(A4278,""bn"",""en"")"),"Follow us for beauty tips")</f>
        <v>Follow us for beauty tips</v>
      </c>
      <c r="C4278" s="8" t="s">
        <v>13</v>
      </c>
      <c r="D4278" s="8" t="s">
        <v>14</v>
      </c>
      <c r="E4278" s="8">
        <v>1</v>
      </c>
    </row>
    <row r="4279" spans="1:5" ht="15.75" customHeight="1" x14ac:dyDescent="0.25">
      <c r="A4279" s="6" t="s">
        <v>4202</v>
      </c>
      <c r="B4279" s="6" t="str">
        <f ca="1">IFERROR(__xludf.DUMMYFUNCTION("GOOGLETRANSLATE(A4279,""bn"",""en"")"),"The front pages of newspapers often set the agenda for the day's discussion")</f>
        <v>The front pages of newspapers often set the agenda for the day's discussion</v>
      </c>
      <c r="C4279" s="8" t="s">
        <v>13</v>
      </c>
      <c r="D4279" s="8" t="s">
        <v>14</v>
      </c>
      <c r="E4279" s="8">
        <v>1</v>
      </c>
    </row>
    <row r="4280" spans="1:5" ht="15.75" customHeight="1" x14ac:dyDescent="0.25">
      <c r="A4280" s="6" t="s">
        <v>4203</v>
      </c>
      <c r="B4280" s="6" t="str">
        <f ca="1">IFERROR(__xludf.DUMMYFUNCTION("GOOGLETRANSLATE(A4280,""bn"",""en"")"),"He won an Oscar for this")</f>
        <v>He won an Oscar for this</v>
      </c>
      <c r="C4280" s="8" t="s">
        <v>13</v>
      </c>
      <c r="D4280" s="8" t="s">
        <v>14</v>
      </c>
      <c r="E4280" s="8">
        <v>1</v>
      </c>
    </row>
    <row r="4281" spans="1:5" ht="15.75" customHeight="1" x14ac:dyDescent="0.25">
      <c r="A4281" s="6" t="s">
        <v>4204</v>
      </c>
      <c r="B4281" s="6" t="str">
        <f ca="1">IFERROR(__xludf.DUMMYFUNCTION("GOOGLETRANSLATE(A4281,""bn"",""en"")"),"Stay connected with us")</f>
        <v>Stay connected with us</v>
      </c>
      <c r="C4281" s="8" t="s">
        <v>13</v>
      </c>
      <c r="D4281" s="8" t="s">
        <v>14</v>
      </c>
      <c r="E4281" s="8">
        <v>1</v>
      </c>
    </row>
    <row r="4282" spans="1:5" ht="15.75" customHeight="1" x14ac:dyDescent="0.25">
      <c r="A4282" s="6" t="s">
        <v>4205</v>
      </c>
      <c r="B4282" s="6" t="str">
        <f ca="1">IFERROR(__xludf.DUMMYFUNCTION("GOOGLETRANSLATE(A4282,""bn"",""en"")"),"Seeing danger, the king fled from there")</f>
        <v>Seeing danger, the king fled from there</v>
      </c>
      <c r="C4282" s="7" t="s">
        <v>6</v>
      </c>
      <c r="D4282" s="7" t="s">
        <v>7</v>
      </c>
      <c r="E4282" s="7">
        <v>0</v>
      </c>
    </row>
    <row r="4283" spans="1:5" ht="15.75" customHeight="1" x14ac:dyDescent="0.25">
      <c r="A4283" s="6" t="s">
        <v>4206</v>
      </c>
      <c r="B4283" s="6" t="str">
        <f ca="1">IFERROR(__xludf.DUMMYFUNCTION("GOOGLETRANSLATE(A4283,""bn"",""en"")"),"I couldn't imagine that they would do such a despicable act")</f>
        <v>I couldn't imagine that they would do such a despicable act</v>
      </c>
      <c r="C4283" s="7" t="s">
        <v>6</v>
      </c>
      <c r="D4283" s="7" t="s">
        <v>7</v>
      </c>
      <c r="E4283" s="7">
        <v>0</v>
      </c>
    </row>
    <row r="4284" spans="1:5" ht="15.75" customHeight="1" x14ac:dyDescent="0.25">
      <c r="A4284" s="6" t="s">
        <v>4207</v>
      </c>
      <c r="B4284" s="6" t="str">
        <f ca="1">IFERROR(__xludf.DUMMYFUNCTION("GOOGLETRANSLATE(A4284,""bn"",""en"")"),"I decided the route after looking at the map")</f>
        <v>I decided the route after looking at the map</v>
      </c>
      <c r="C4284" s="7" t="s">
        <v>6</v>
      </c>
      <c r="D4284" s="7" t="s">
        <v>7</v>
      </c>
      <c r="E4284" s="7">
        <v>0</v>
      </c>
    </row>
    <row r="4285" spans="1:5" ht="15.75" customHeight="1" x14ac:dyDescent="0.25">
      <c r="A4285" s="6" t="s">
        <v>4208</v>
      </c>
      <c r="B4285" s="6" t="str">
        <f ca="1">IFERROR(__xludf.DUMMYFUNCTION("GOOGLETRANSLATE(A4285,""bn"",""en"")"),"I can't say with certainty that any nation has been destroyed after the arrival of the British")</f>
        <v>I can't say with certainty that any nation has been destroyed after the arrival of the British</v>
      </c>
      <c r="C4285" s="7" t="s">
        <v>6</v>
      </c>
      <c r="D4285" s="7" t="s">
        <v>7</v>
      </c>
      <c r="E4285" s="7">
        <v>0</v>
      </c>
    </row>
    <row r="4286" spans="1:5" ht="15.75" customHeight="1" x14ac:dyDescent="0.25">
      <c r="A4286" s="6" t="s">
        <v>4209</v>
      </c>
      <c r="B4286" s="6" t="str">
        <f ca="1">IFERROR(__xludf.DUMMYFUNCTION("GOOGLETRANSLATE(A4286,""bn"",""en"")"),"After waiting a little, Upendra said with a smile that this is not the end of the garden")</f>
        <v>After waiting a little, Upendra said with a smile that this is not the end of the garden</v>
      </c>
      <c r="C4286" s="7" t="s">
        <v>6</v>
      </c>
      <c r="D4286" s="7" t="s">
        <v>7</v>
      </c>
      <c r="E4286" s="7">
        <v>0</v>
      </c>
    </row>
    <row r="4287" spans="1:5" ht="15.75" customHeight="1" x14ac:dyDescent="0.25">
      <c r="A4287" s="6" t="s">
        <v>4210</v>
      </c>
      <c r="B4287" s="6" t="str">
        <f ca="1">IFERROR(__xludf.DUMMYFUNCTION("GOOGLETRANSLATE(A4287,""bn"",""en"")"),"He completed the work honestly at work")</f>
        <v>He completed the work honestly at work</v>
      </c>
      <c r="C4287" s="8" t="s">
        <v>13</v>
      </c>
      <c r="D4287" s="8" t="s">
        <v>14</v>
      </c>
      <c r="E4287" s="8">
        <v>1</v>
      </c>
    </row>
    <row r="4288" spans="1:5" ht="15.75" customHeight="1" x14ac:dyDescent="0.25">
      <c r="A4288" s="6" t="s">
        <v>4211</v>
      </c>
      <c r="B4288" s="6" t="str">
        <f ca="1">IFERROR(__xludf.DUMMYFUNCTION("GOOGLETRANSLATE(A4288,""bn"",""en"")"),"The king was not listening to the queen")</f>
        <v>The king was not listening to the queen</v>
      </c>
      <c r="C4288" s="8" t="s">
        <v>13</v>
      </c>
      <c r="D4288" s="8" t="s">
        <v>14</v>
      </c>
      <c r="E4288" s="8">
        <v>1</v>
      </c>
    </row>
    <row r="4289" spans="1:5" ht="15.75" customHeight="1" x14ac:dyDescent="0.25">
      <c r="A4289" s="6" t="s">
        <v>4212</v>
      </c>
      <c r="B4289" s="6" t="str">
        <f ca="1">IFERROR(__xludf.DUMMYFUNCTION("GOOGLETRANSLATE(A4289,""bn"",""en"")"),"He wants to prosper in his life")</f>
        <v>He wants to prosper in his life</v>
      </c>
      <c r="C4289" s="8" t="s">
        <v>13</v>
      </c>
      <c r="D4289" s="8" t="s">
        <v>14</v>
      </c>
      <c r="E4289" s="8">
        <v>1</v>
      </c>
    </row>
    <row r="4290" spans="1:5" ht="15.75" customHeight="1" x14ac:dyDescent="0.25">
      <c r="A4290" s="6" t="s">
        <v>4213</v>
      </c>
      <c r="B4290" s="6" t="str">
        <f ca="1">IFERROR(__xludf.DUMMYFUNCTION("GOOGLETRANSLATE(A4290,""bn"",""en"")"),"He has overcome adversity in life and achieved success.")</f>
        <v>He has overcome adversity in life and achieved success.</v>
      </c>
      <c r="C4290" s="8" t="s">
        <v>13</v>
      </c>
      <c r="D4290" s="8" t="s">
        <v>14</v>
      </c>
      <c r="E4290" s="8">
        <v>1</v>
      </c>
    </row>
    <row r="4291" spans="1:5" ht="15.75" customHeight="1" x14ac:dyDescent="0.25">
      <c r="A4291" s="6" t="s">
        <v>4214</v>
      </c>
      <c r="B4291" s="6" t="str">
        <f ca="1">IFERROR(__xludf.DUMMYFUNCTION("GOOGLETRANSLATE(A4291,""bn"",""en"")"),"Its performance was just")</f>
        <v>Its performance was just</v>
      </c>
      <c r="C4291" s="8" t="s">
        <v>13</v>
      </c>
      <c r="D4291" s="8" t="s">
        <v>14</v>
      </c>
      <c r="E4291" s="8">
        <v>1</v>
      </c>
    </row>
    <row r="4292" spans="1:5" ht="15.75" customHeight="1" x14ac:dyDescent="0.25">
      <c r="A4292" s="6" t="s">
        <v>4215</v>
      </c>
      <c r="B4292" s="6" t="str">
        <f ca="1">IFERROR(__xludf.DUMMYFUNCTION("GOOGLETRANSLATE(A4292,""bn"",""en"")"),"He could not express the unspoken words of his mind")</f>
        <v>He could not express the unspoken words of his mind</v>
      </c>
      <c r="C4292" s="7" t="s">
        <v>6</v>
      </c>
      <c r="D4292" s="7" t="s">
        <v>7</v>
      </c>
      <c r="E4292" s="7">
        <v>0</v>
      </c>
    </row>
    <row r="4293" spans="1:5" ht="15.75" customHeight="1" x14ac:dyDescent="0.25">
      <c r="A4293" s="6" t="s">
        <v>4216</v>
      </c>
      <c r="B4293" s="6" t="str">
        <f ca="1">IFERROR(__xludf.DUMMYFUNCTION("GOOGLETRANSLATE(A4293,""bn"",""en"")"),"Raju Saju has gone to play")</f>
        <v>Raju Saju has gone to play</v>
      </c>
      <c r="C4293" s="7" t="s">
        <v>6</v>
      </c>
      <c r="D4293" s="7" t="s">
        <v>7</v>
      </c>
      <c r="E4293" s="7">
        <v>0</v>
      </c>
    </row>
    <row r="4294" spans="1:5" ht="15.75" customHeight="1" x14ac:dyDescent="0.25">
      <c r="A4294" s="6" t="s">
        <v>4217</v>
      </c>
      <c r="B4294" s="6" t="str">
        <f ca="1">IFERROR(__xludf.DUMMYFUNCTION("GOOGLETRANSLATE(A4294,""bn"",""en"")"),"After being silent for a while, he said, ""Well, mother, where are those people whose body has no faults, only virtues?""")</f>
        <v>After being silent for a while, he said, "Well, mother, where are those people whose body has no faults, only virtues?"</v>
      </c>
      <c r="C4294" s="7" t="s">
        <v>6</v>
      </c>
      <c r="D4294" s="7" t="s">
        <v>7</v>
      </c>
      <c r="E4294" s="7">
        <v>0</v>
      </c>
    </row>
    <row r="4295" spans="1:5" ht="15.75" customHeight="1" x14ac:dyDescent="0.25">
      <c r="A4295" s="6" t="s">
        <v>4218</v>
      </c>
      <c r="B4295" s="6" t="str">
        <f ca="1">IFERROR(__xludf.DUMMYFUNCTION("GOOGLETRANSLATE(A4295,""bn"",""en"")"),"Foreign language is my only expression")</f>
        <v>Foreign language is my only expression</v>
      </c>
      <c r="C4295" s="7" t="s">
        <v>6</v>
      </c>
      <c r="D4295" s="7" t="s">
        <v>7</v>
      </c>
      <c r="E4295" s="7">
        <v>0</v>
      </c>
    </row>
    <row r="4296" spans="1:5" ht="15.75" customHeight="1" x14ac:dyDescent="0.25">
      <c r="A4296" s="6" t="s">
        <v>4219</v>
      </c>
      <c r="B4296" s="6" t="str">
        <f ca="1">IFERROR(__xludf.DUMMYFUNCTION("GOOGLETRANSLATE(A4296,""bn"",""en"")"),"If that were the case, the custom of debt would not have arisen in the lap")</f>
        <v>If that were the case, the custom of debt would not have arisen in the lap</v>
      </c>
      <c r="C4296" s="7" t="s">
        <v>6</v>
      </c>
      <c r="D4296" s="7" t="s">
        <v>7</v>
      </c>
      <c r="E4296" s="7">
        <v>0</v>
      </c>
    </row>
    <row r="4297" spans="1:5" ht="15.75" customHeight="1" x14ac:dyDescent="0.25">
      <c r="A4297" s="6" t="s">
        <v>4220</v>
      </c>
      <c r="B4297" s="6" t="str">
        <f ca="1">IFERROR(__xludf.DUMMYFUNCTION("GOOGLETRANSLATE(A4297,""bn"",""en"")"),"Practice forgiveness Let go of resentment It only hurts you in the end")</f>
        <v>Practice forgiveness Let go of resentment It only hurts you in the end</v>
      </c>
      <c r="C4297" s="8" t="s">
        <v>13</v>
      </c>
      <c r="D4297" s="8" t="s">
        <v>14</v>
      </c>
      <c r="E4297" s="8">
        <v>1</v>
      </c>
    </row>
    <row r="4298" spans="1:5" ht="15.75" customHeight="1" x14ac:dyDescent="0.25">
      <c r="A4298" s="6" t="s">
        <v>4221</v>
      </c>
      <c r="B4298" s="6" t="str">
        <f ca="1">IFERROR(__xludf.DUMMYFUNCTION("GOOGLETRANSLATE(A4298,""bn"",""en"")"),"This record still stands")</f>
        <v>This record still stands</v>
      </c>
      <c r="C4298" s="8" t="s">
        <v>13</v>
      </c>
      <c r="D4298" s="8" t="s">
        <v>14</v>
      </c>
      <c r="E4298" s="8">
        <v>1</v>
      </c>
    </row>
    <row r="4299" spans="1:5" ht="15.75" customHeight="1" x14ac:dyDescent="0.25">
      <c r="A4299" s="6" t="s">
        <v>4222</v>
      </c>
      <c r="B4299" s="6" t="str">
        <f ca="1">IFERROR(__xludf.DUMMYFUNCTION("GOOGLETRANSLATE(A4299,""bn"",""en"")"),"Creating digital art on tablets")</f>
        <v>Creating digital art on tablets</v>
      </c>
      <c r="C4299" s="8" t="s">
        <v>13</v>
      </c>
      <c r="D4299" s="8" t="s">
        <v>14</v>
      </c>
      <c r="E4299" s="8">
        <v>1</v>
      </c>
    </row>
    <row r="4300" spans="1:5" ht="15.75" customHeight="1" x14ac:dyDescent="0.25">
      <c r="A4300" s="6" t="s">
        <v>4223</v>
      </c>
      <c r="B4300" s="6" t="str">
        <f ca="1">IFERROR(__xludf.DUMMYFUNCTION("GOOGLETRANSLATE(A4300,""bn"",""en"")"),"Subscribe for exclusive access")</f>
        <v>Subscribe for exclusive access</v>
      </c>
      <c r="C4300" s="8" t="s">
        <v>13</v>
      </c>
      <c r="D4300" s="8" t="s">
        <v>14</v>
      </c>
      <c r="E4300" s="8">
        <v>1</v>
      </c>
    </row>
    <row r="4301" spans="1:5" ht="15.75" customHeight="1" x14ac:dyDescent="0.25">
      <c r="A4301" s="6" t="s">
        <v>4224</v>
      </c>
      <c r="B4301" s="6" t="str">
        <f ca="1">IFERROR(__xludf.DUMMYFUNCTION("GOOGLETRANSLATE(A4301,""bn"",""en"")"),"The taxi driver was friendly and shared funny stories during the journey")</f>
        <v>The taxi driver was friendly and shared funny stories during the journey</v>
      </c>
      <c r="C4301" s="8" t="s">
        <v>13</v>
      </c>
      <c r="D4301" s="8" t="s">
        <v>14</v>
      </c>
      <c r="E4301" s="8">
        <v>1</v>
      </c>
    </row>
    <row r="4302" spans="1:5" ht="15.75" customHeight="1" x14ac:dyDescent="0.25">
      <c r="A4302" s="6" t="s">
        <v>4225</v>
      </c>
      <c r="B4302" s="6" t="str">
        <f ca="1">IFERROR(__xludf.DUMMYFUNCTION("GOOGLETRANSLATE(A4302,""bn"",""en"")"),"They had gone so far that even with the help of lies there was no way to relieve them")</f>
        <v>They had gone so far that even with the help of lies there was no way to relieve them</v>
      </c>
      <c r="C4302" s="7" t="s">
        <v>6</v>
      </c>
      <c r="D4302" s="7" t="s">
        <v>7</v>
      </c>
      <c r="E4302" s="7">
        <v>0</v>
      </c>
    </row>
    <row r="4303" spans="1:5" ht="15.75" customHeight="1" x14ac:dyDescent="0.25">
      <c r="A4303" s="6" t="s">
        <v>4226</v>
      </c>
      <c r="B4303" s="6" t="str">
        <f ca="1">IFERROR(__xludf.DUMMYFUNCTION("GOOGLETRANSLATE(A4303,""bn"",""en"")"),"The water gradually seeps into that ditch and accumulates")</f>
        <v>The water gradually seeps into that ditch and accumulates</v>
      </c>
      <c r="C4303" s="7" t="s">
        <v>6</v>
      </c>
      <c r="D4303" s="7" t="s">
        <v>7</v>
      </c>
      <c r="E4303" s="7">
        <v>0</v>
      </c>
    </row>
    <row r="4304" spans="1:5" ht="15.75" customHeight="1" x14ac:dyDescent="0.25">
      <c r="A4304" s="6" t="s">
        <v>4227</v>
      </c>
      <c r="B4304" s="6" t="str">
        <f ca="1">IFERROR(__xludf.DUMMYFUNCTION("GOOGLETRANSLATE(A4304,""bn"",""en"")"),"Shakib asked me to go near him")</f>
        <v>Shakib asked me to go near him</v>
      </c>
      <c r="C4304" s="7" t="s">
        <v>6</v>
      </c>
      <c r="D4304" s="7" t="s">
        <v>7</v>
      </c>
      <c r="E4304" s="7">
        <v>0</v>
      </c>
    </row>
    <row r="4305" spans="1:5" ht="15.75" customHeight="1" x14ac:dyDescent="0.25">
      <c r="A4305" s="6" t="s">
        <v>4228</v>
      </c>
      <c r="B4305" s="6" t="str">
        <f ca="1">IFERROR(__xludf.DUMMYFUNCTION("GOOGLETRANSLATE(A4305,""bn"",""en"")"),"Antar ate rice and went to pray")</f>
        <v>Antar ate rice and went to pray</v>
      </c>
      <c r="C4305" s="7" t="s">
        <v>6</v>
      </c>
      <c r="D4305" s="7" t="s">
        <v>7</v>
      </c>
      <c r="E4305" s="7">
        <v>0</v>
      </c>
    </row>
    <row r="4306" spans="1:5" ht="15.75" customHeight="1" x14ac:dyDescent="0.25">
      <c r="A4306" s="6" t="s">
        <v>4229</v>
      </c>
      <c r="B4306" s="6" t="str">
        <f ca="1">IFERROR(__xludf.DUMMYFUNCTION("GOOGLETRANSLATE(A4306,""bn"",""en"")"),"Late at night he heard a noise near the window")</f>
        <v>Late at night he heard a noise near the window</v>
      </c>
      <c r="C4306" s="7" t="s">
        <v>6</v>
      </c>
      <c r="D4306" s="7" t="s">
        <v>7</v>
      </c>
      <c r="E4306" s="7">
        <v>0</v>
      </c>
    </row>
    <row r="4307" spans="1:5" ht="15.75" customHeight="1" x14ac:dyDescent="0.25">
      <c r="A4307" s="6" t="s">
        <v>4230</v>
      </c>
      <c r="B4307" s="6" t="str">
        <f ca="1">IFERROR(__xludf.DUMMYFUNCTION("GOOGLETRANSLATE(A4307,""bn"",""en"")"),"I wanted to be an honest hard worker")</f>
        <v>I wanted to be an honest hard worker</v>
      </c>
      <c r="C4307" s="8" t="s">
        <v>13</v>
      </c>
      <c r="D4307" s="8" t="s">
        <v>14</v>
      </c>
      <c r="E4307" s="8">
        <v>1</v>
      </c>
    </row>
    <row r="4308" spans="1:5" ht="15.75" customHeight="1" x14ac:dyDescent="0.25">
      <c r="A4308" s="6" t="s">
        <v>4231</v>
      </c>
      <c r="B4308" s="6" t="str">
        <f ca="1">IFERROR(__xludf.DUMMYFUNCTION("GOOGLETRANSLATE(A4308,""bn"",""en"")"),"I was pleasantly surprised at how well the product performed")</f>
        <v>I was pleasantly surprised at how well the product performed</v>
      </c>
      <c r="C4308" s="8" t="s">
        <v>13</v>
      </c>
      <c r="D4308" s="8" t="s">
        <v>14</v>
      </c>
      <c r="E4308" s="8">
        <v>1</v>
      </c>
    </row>
    <row r="4309" spans="1:5" ht="15.75" customHeight="1" x14ac:dyDescent="0.25">
      <c r="A4309" s="6" t="s">
        <v>4232</v>
      </c>
      <c r="B4309" s="6" t="str">
        <f ca="1">IFERROR(__xludf.DUMMYFUNCTION("GOOGLETRANSLATE(A4309,""bn"",""en"")"),"Lifeguard rescues a swimmer struggling in rough water")</f>
        <v>Lifeguard rescues a swimmer struggling in rough water</v>
      </c>
      <c r="C4309" s="8" t="s">
        <v>13</v>
      </c>
      <c r="D4309" s="8" t="s">
        <v>14</v>
      </c>
      <c r="E4309" s="8">
        <v>1</v>
      </c>
    </row>
    <row r="4310" spans="1:5" ht="15.75" customHeight="1" x14ac:dyDescent="0.25">
      <c r="A4310" s="6" t="s">
        <v>4233</v>
      </c>
      <c r="B4310" s="6" t="str">
        <f ca="1">IFERROR(__xludf.DUMMYFUNCTION("GOOGLETRANSLATE(A4310,""bn"",""en"")"),"He has been successful in every phase of his life")</f>
        <v>He has been successful in every phase of his life</v>
      </c>
      <c r="C4310" s="8" t="s">
        <v>13</v>
      </c>
      <c r="D4310" s="8" t="s">
        <v>14</v>
      </c>
      <c r="E4310" s="8">
        <v>1</v>
      </c>
    </row>
    <row r="4311" spans="1:5" ht="15.75" customHeight="1" x14ac:dyDescent="0.25">
      <c r="A4311" s="6" t="s">
        <v>4234</v>
      </c>
      <c r="B4311" s="6" t="str">
        <f ca="1">IFERROR(__xludf.DUMMYFUNCTION("GOOGLETRANSLATE(A4311,""bn"",""en"")"),"It encourages individuals to embrace uncertainty to embrace the unknown")</f>
        <v>It encourages individuals to embrace uncertainty to embrace the unknown</v>
      </c>
      <c r="C4311" s="8" t="s">
        <v>13</v>
      </c>
      <c r="D4311" s="8" t="s">
        <v>14</v>
      </c>
      <c r="E4311" s="8">
        <v>1</v>
      </c>
    </row>
    <row r="4312" spans="1:5" ht="15.75" customHeight="1" x14ac:dyDescent="0.25">
      <c r="A4312" s="6" t="s">
        <v>4235</v>
      </c>
      <c r="B4312" s="6" t="str">
        <f ca="1">IFERROR(__xludf.DUMMYFUNCTION("GOOGLETRANSLATE(A4312,""bn"",""en"")"),"He missed the train by not being on time.")</f>
        <v>He missed the train by not being on time.</v>
      </c>
      <c r="C4312" s="7" t="s">
        <v>6</v>
      </c>
      <c r="D4312" s="7" t="s">
        <v>7</v>
      </c>
      <c r="E4312" s="7">
        <v>0</v>
      </c>
    </row>
    <row r="4313" spans="1:5" ht="15.75" customHeight="1" x14ac:dyDescent="0.25">
      <c r="A4313" s="6" t="s">
        <v>4236</v>
      </c>
      <c r="B4313" s="6" t="str">
        <f ca="1">IFERROR(__xludf.DUMMYFUNCTION("GOOGLETRANSLATE(A4313,""bn"",""en"")"),"She made me tea")</f>
        <v>She made me tea</v>
      </c>
      <c r="C4313" s="7" t="s">
        <v>6</v>
      </c>
      <c r="D4313" s="7" t="s">
        <v>7</v>
      </c>
      <c r="E4313" s="7">
        <v>0</v>
      </c>
    </row>
    <row r="4314" spans="1:5" ht="15.75" customHeight="1" x14ac:dyDescent="0.25">
      <c r="A4314" s="6" t="s">
        <v>4237</v>
      </c>
      <c r="B4314" s="6" t="str">
        <f ca="1">IFERROR(__xludf.DUMMYFUNCTION("GOOGLETRANSLATE(A4314,""bn"",""en"")"),"Sujan's mother worked in their house")</f>
        <v>Sujan's mother worked in their house</v>
      </c>
      <c r="C4314" s="7" t="s">
        <v>6</v>
      </c>
      <c r="D4314" s="7" t="s">
        <v>7</v>
      </c>
      <c r="E4314" s="7">
        <v>0</v>
      </c>
    </row>
    <row r="4315" spans="1:5" ht="15.75" customHeight="1" x14ac:dyDescent="0.25">
      <c r="A4315" s="6" t="s">
        <v>4238</v>
      </c>
      <c r="B4315" s="6" t="str">
        <f ca="1">IFERROR(__xludf.DUMMYFUNCTION("GOOGLETRANSLATE(A4315,""bn"",""en"")"),"Their mud house is ruined")</f>
        <v>Their mud house is ruined</v>
      </c>
      <c r="C4315" s="7" t="s">
        <v>6</v>
      </c>
      <c r="D4315" s="7" t="s">
        <v>7</v>
      </c>
      <c r="E4315" s="7">
        <v>0</v>
      </c>
    </row>
    <row r="4316" spans="1:5" ht="15.75" customHeight="1" x14ac:dyDescent="0.25">
      <c r="A4316" s="6" t="s">
        <v>4239</v>
      </c>
      <c r="B4316" s="6" t="str">
        <f ca="1">IFERROR(__xludf.DUMMYFUNCTION("GOOGLETRANSLATE(A4316,""bn"",""en"")"),"I don't have anything to say to you")</f>
        <v>I don't have anything to say to you</v>
      </c>
      <c r="C4316" s="7" t="s">
        <v>6</v>
      </c>
      <c r="D4316" s="7" t="s">
        <v>7</v>
      </c>
      <c r="E4316" s="7">
        <v>0</v>
      </c>
    </row>
    <row r="4317" spans="1:5" ht="15.75" customHeight="1" x14ac:dyDescent="0.25">
      <c r="A4317" s="6" t="s">
        <v>4240</v>
      </c>
      <c r="B4317" s="6" t="str">
        <f ca="1">IFERROR(__xludf.DUMMYFUNCTION("GOOGLETRANSLATE(A4317,""bn"",""en"")"),"In this one year I became physically taller than before")</f>
        <v>In this one year I became physically taller than before</v>
      </c>
      <c r="C4317" s="8" t="s">
        <v>13</v>
      </c>
      <c r="D4317" s="8" t="s">
        <v>14</v>
      </c>
      <c r="E4317" s="8">
        <v>1</v>
      </c>
    </row>
    <row r="4318" spans="1:5" ht="15.75" customHeight="1" x14ac:dyDescent="0.25">
      <c r="A4318" s="6" t="s">
        <v>4241</v>
      </c>
      <c r="B4318" s="6" t="str">
        <f ca="1">IFERROR(__xludf.DUMMYFUNCTION("GOOGLETRANSLATE(A4318,""bn"",""en"")"),"My favorite bike is lying in Bhangari's shop today after an accident")</f>
        <v>My favorite bike is lying in Bhangari's shop today after an accident</v>
      </c>
      <c r="C4318" s="8" t="s">
        <v>13</v>
      </c>
      <c r="D4318" s="8" t="s">
        <v>14</v>
      </c>
      <c r="E4318" s="8">
        <v>1</v>
      </c>
    </row>
    <row r="4319" spans="1:5" ht="15.75" customHeight="1" x14ac:dyDescent="0.25">
      <c r="A4319" s="6" t="s">
        <v>4242</v>
      </c>
      <c r="B4319" s="6" t="str">
        <f ca="1">IFERROR(__xludf.DUMMYFUNCTION("GOOGLETRANSLATE(A4319,""bn"",""en"")"),"Suman is not at home today")</f>
        <v>Suman is not at home today</v>
      </c>
      <c r="C4319" s="8" t="s">
        <v>13</v>
      </c>
      <c r="D4319" s="8" t="s">
        <v>14</v>
      </c>
      <c r="E4319" s="8">
        <v>1</v>
      </c>
    </row>
    <row r="4320" spans="1:5" ht="15.75" customHeight="1" x14ac:dyDescent="0.25">
      <c r="A4320" s="6" t="s">
        <v>4243</v>
      </c>
      <c r="B4320" s="6" t="str">
        <f ca="1">IFERROR(__xludf.DUMMYFUNCTION("GOOGLETRANSLATE(A4320,""bn"",""en"")"),"After a while we used to open the daily newspaper and sit")</f>
        <v>After a while we used to open the daily newspaper and sit</v>
      </c>
      <c r="C4320" s="8" t="s">
        <v>13</v>
      </c>
      <c r="D4320" s="8" t="s">
        <v>14</v>
      </c>
      <c r="E4320" s="8">
        <v>1</v>
      </c>
    </row>
    <row r="4321" spans="1:5" ht="15.75" customHeight="1" x14ac:dyDescent="0.25">
      <c r="A4321" s="6" t="s">
        <v>4244</v>
      </c>
      <c r="B4321" s="6" t="str">
        <f ca="1">IFERROR(__xludf.DUMMYFUNCTION("GOOGLETRANSLATE(A4321,""bn"",""en"")"),"Educational leadership guides the development of institutional progress")</f>
        <v>Educational leadership guides the development of institutional progress</v>
      </c>
      <c r="C4321" s="8" t="s">
        <v>13</v>
      </c>
      <c r="D4321" s="8" t="s">
        <v>14</v>
      </c>
      <c r="E4321" s="8">
        <v>1</v>
      </c>
    </row>
    <row r="4322" spans="1:5" ht="15.75" customHeight="1" x14ac:dyDescent="0.25">
      <c r="A4322" s="6" t="s">
        <v>4245</v>
      </c>
      <c r="B4322" s="6" t="str">
        <f ca="1">IFERROR(__xludf.DUMMYFUNCTION("GOOGLETRANSLATE(A4322,""bn"",""en"")"),"Chahiya saw a doll lying under the tree with dry and ripe leaves and a rag wrapped around the leaves.")</f>
        <v>Chahiya saw a doll lying under the tree with dry and ripe leaves and a rag wrapped around the leaves.</v>
      </c>
      <c r="C4322" s="7" t="s">
        <v>6</v>
      </c>
      <c r="D4322" s="7" t="s">
        <v>7</v>
      </c>
      <c r="E4322" s="7">
        <v>0</v>
      </c>
    </row>
    <row r="4323" spans="1:5" ht="15.75" customHeight="1" x14ac:dyDescent="0.25">
      <c r="A4323" s="6" t="s">
        <v>4246</v>
      </c>
      <c r="B4323" s="6" t="str">
        <f ca="1">IFERROR(__xludf.DUMMYFUNCTION("GOOGLETRANSLATE(A4323,""bn"",""en"")"),"I don't remember right now")</f>
        <v>I don't remember right now</v>
      </c>
      <c r="C4323" s="7" t="s">
        <v>6</v>
      </c>
      <c r="D4323" s="7" t="s">
        <v>7</v>
      </c>
      <c r="E4323" s="7">
        <v>0</v>
      </c>
    </row>
    <row r="4324" spans="1:5" ht="15.75" customHeight="1" x14ac:dyDescent="0.25">
      <c r="A4324" s="6" t="s">
        <v>4247</v>
      </c>
      <c r="B4324" s="6" t="str">
        <f ca="1">IFERROR(__xludf.DUMMYFUNCTION("GOOGLETRANSLATE(A4324,""bn"",""en"")"),"Except for some travel expenses, he took out of his pocket all the money he got from his salary")</f>
        <v>Except for some travel expenses, he took out of his pocket all the money he got from his salary</v>
      </c>
      <c r="C4324" s="7" t="s">
        <v>6</v>
      </c>
      <c r="D4324" s="7" t="s">
        <v>7</v>
      </c>
      <c r="E4324" s="7">
        <v>0</v>
      </c>
    </row>
    <row r="4325" spans="1:5" ht="15.75" customHeight="1" x14ac:dyDescent="0.25">
      <c r="A4325" s="6" t="s">
        <v>4248</v>
      </c>
      <c r="B4325" s="6" t="str">
        <f ca="1">IFERROR(__xludf.DUMMYFUNCTION("GOOGLETRANSLATE(A4325,""bn"",""en"")"),"I have never seen a bride in my lap")</f>
        <v>I have never seen a bride in my lap</v>
      </c>
      <c r="C4325" s="7" t="s">
        <v>6</v>
      </c>
      <c r="D4325" s="7" t="s">
        <v>7</v>
      </c>
      <c r="E4325" s="7">
        <v>0</v>
      </c>
    </row>
    <row r="4326" spans="1:5" ht="15.75" customHeight="1" x14ac:dyDescent="0.25">
      <c r="A4326" s="6" t="s">
        <v>4249</v>
      </c>
      <c r="B4326" s="6" t="str">
        <f ca="1">IFERROR(__xludf.DUMMYFUNCTION("GOOGLETRANSLATE(A4326,""bn"",""en"")"),"As soon as I uttered the rhyme, the verse came to my mind")</f>
        <v>As soon as I uttered the rhyme, the verse came to my mind</v>
      </c>
      <c r="C4326" s="7" t="s">
        <v>6</v>
      </c>
      <c r="D4326" s="7" t="s">
        <v>7</v>
      </c>
      <c r="E4326" s="7">
        <v>0</v>
      </c>
    </row>
    <row r="4327" spans="1:5" ht="15.75" customHeight="1" x14ac:dyDescent="0.25">
      <c r="A4327" s="6" t="s">
        <v>4250</v>
      </c>
      <c r="B4327" s="6" t="str">
        <f ca="1">IFERROR(__xludf.DUMMYFUNCTION("GOOGLETRANSLATE(A4327,""bn"",""en"")"),"I made tea for him in the morning")</f>
        <v>I made tea for him in the morning</v>
      </c>
      <c r="C4327" s="8" t="s">
        <v>13</v>
      </c>
      <c r="D4327" s="8" t="s">
        <v>14</v>
      </c>
      <c r="E4327" s="8">
        <v>1</v>
      </c>
    </row>
    <row r="4328" spans="1:5" ht="15.75" customHeight="1" x14ac:dyDescent="0.25">
      <c r="A4328" s="6" t="s">
        <v>4251</v>
      </c>
      <c r="B4328" s="6" t="str">
        <f ca="1">IFERROR(__xludf.DUMMYFUNCTION("GOOGLETRANSLATE(A4328,""bn"",""en"")"),"He helped the helpless child with food")</f>
        <v>He helped the helpless child with food</v>
      </c>
      <c r="C4328" s="8" t="s">
        <v>13</v>
      </c>
      <c r="D4328" s="8" t="s">
        <v>14</v>
      </c>
      <c r="E4328" s="8">
        <v>1</v>
      </c>
    </row>
    <row r="4329" spans="1:5" ht="15.75" customHeight="1" x14ac:dyDescent="0.25">
      <c r="A4329" s="6" t="s">
        <v>4252</v>
      </c>
      <c r="B4329" s="6" t="str">
        <f ca="1">IFERROR(__xludf.DUMMYFUNCTION("GOOGLETRANSLATE(A4329,""bn"",""en"")"),"I got worried")</f>
        <v>I got worried</v>
      </c>
      <c r="C4329" s="8" t="s">
        <v>13</v>
      </c>
      <c r="D4329" s="8" t="s">
        <v>14</v>
      </c>
      <c r="E4329" s="8">
        <v>1</v>
      </c>
    </row>
    <row r="4330" spans="1:5" ht="15.75" customHeight="1" x14ac:dyDescent="0.25">
      <c r="A4330" s="6" t="s">
        <v>4253</v>
      </c>
      <c r="B4330" s="6" t="str">
        <f ca="1">IFERROR(__xludf.DUMMYFUNCTION("GOOGLETRANSLATE(A4330,""bn"",""en"")"),"Feeling inadequate compared to others brings self-doubt")</f>
        <v>Feeling inadequate compared to others brings self-doubt</v>
      </c>
      <c r="C4330" s="8" t="s">
        <v>13</v>
      </c>
      <c r="D4330" s="8" t="s">
        <v>14</v>
      </c>
      <c r="E4330" s="8">
        <v>1</v>
      </c>
    </row>
    <row r="4331" spans="1:5" ht="15.75" customHeight="1" x14ac:dyDescent="0.25">
      <c r="A4331" s="6" t="s">
        <v>4254</v>
      </c>
      <c r="B4331" s="6" t="str">
        <f ca="1">IFERROR(__xludf.DUMMYFUNCTION("GOOGLETRANSLATE(A4331,""bn"",""en"")"),"They used to share their food with all of us instead of eating it themselves")</f>
        <v>They used to share their food with all of us instead of eating it themselves</v>
      </c>
      <c r="C4331" s="8" t="s">
        <v>13</v>
      </c>
      <c r="D4331" s="8" t="s">
        <v>14</v>
      </c>
      <c r="E4331" s="8">
        <v>1</v>
      </c>
    </row>
    <row r="4332" spans="1:5" ht="15.75" customHeight="1" x14ac:dyDescent="0.25">
      <c r="A4332" s="6" t="s">
        <v>4082</v>
      </c>
      <c r="B4332" s="6" t="str">
        <f ca="1">IFERROR(__xludf.DUMMYFUNCTION("GOOGLETRANSLATE(A4332,""bn"",""en"")"),"From then on, I felt better about myself")</f>
        <v>From then on, I felt better about myself</v>
      </c>
      <c r="C4332" s="7" t="s">
        <v>6</v>
      </c>
      <c r="D4332" s="7" t="s">
        <v>7</v>
      </c>
      <c r="E4332" s="7">
        <v>0</v>
      </c>
    </row>
    <row r="4333" spans="1:5" ht="15.75" customHeight="1" x14ac:dyDescent="0.25">
      <c r="A4333" s="6" t="s">
        <v>4255</v>
      </c>
      <c r="B4333" s="6" t="str">
        <f ca="1">IFERROR(__xludf.DUMMYFUNCTION("GOOGLETRANSLATE(A4333,""bn"",""en"")"),"I will take a bath and read now")</f>
        <v>I will take a bath and read now</v>
      </c>
      <c r="C4333" s="7" t="s">
        <v>6</v>
      </c>
      <c r="D4333" s="7" t="s">
        <v>7</v>
      </c>
      <c r="E4333" s="7">
        <v>0</v>
      </c>
    </row>
    <row r="4334" spans="1:5" ht="15.75" customHeight="1" x14ac:dyDescent="0.25">
      <c r="A4334" s="6" t="s">
        <v>4256</v>
      </c>
      <c r="B4334" s="6" t="str">
        <f ca="1">IFERROR(__xludf.DUMMYFUNCTION("GOOGLETRANSLATE(A4334,""bn"",""en"")"),"The king went to see the queen")</f>
        <v>The king went to see the queen</v>
      </c>
      <c r="C4334" s="7" t="s">
        <v>6</v>
      </c>
      <c r="D4334" s="7" t="s">
        <v>7</v>
      </c>
      <c r="E4334" s="7">
        <v>0</v>
      </c>
    </row>
    <row r="4335" spans="1:5" ht="15.75" customHeight="1" x14ac:dyDescent="0.25">
      <c r="A4335" s="6" t="s">
        <v>4257</v>
      </c>
      <c r="B4335" s="6" t="str">
        <f ca="1">IFERROR(__xludf.DUMMYFUNCTION("GOOGLETRANSLATE(A4335,""bn"",""en"")"),"Sometimes banana trees, small bamboo groves appear on the left")</f>
        <v>Sometimes banana trees, small bamboo groves appear on the left</v>
      </c>
      <c r="C4335" s="7" t="s">
        <v>6</v>
      </c>
      <c r="D4335" s="7" t="s">
        <v>7</v>
      </c>
      <c r="E4335" s="7">
        <v>0</v>
      </c>
    </row>
    <row r="4336" spans="1:5" ht="15.75" customHeight="1" x14ac:dyDescent="0.25">
      <c r="A4336" s="6" t="s">
        <v>4258</v>
      </c>
      <c r="B4336" s="6" t="str">
        <f ca="1">IFERROR(__xludf.DUMMYFUNCTION("GOOGLETRANSLATE(A4336,""bn"",""en"")"),"He wanted to come to my house but could not come for the exam")</f>
        <v>He wanted to come to my house but could not come for the exam</v>
      </c>
      <c r="C4336" s="7" t="s">
        <v>6</v>
      </c>
      <c r="D4336" s="7" t="s">
        <v>7</v>
      </c>
      <c r="E4336" s="7">
        <v>0</v>
      </c>
    </row>
    <row r="4337" spans="1:5" ht="15.75" customHeight="1" x14ac:dyDescent="0.25">
      <c r="A4337" s="6" t="s">
        <v>4259</v>
      </c>
      <c r="B4337" s="6" t="str">
        <f ca="1">IFERROR(__xludf.DUMMYFUNCTION("GOOGLETRANSLATE(A4337,""bn"",""en"")"),"Writing short stories is profitable")</f>
        <v>Writing short stories is profitable</v>
      </c>
      <c r="C4337" s="8" t="s">
        <v>13</v>
      </c>
      <c r="D4337" s="8" t="s">
        <v>14</v>
      </c>
      <c r="E4337" s="8">
        <v>1</v>
      </c>
    </row>
    <row r="4338" spans="1:5" ht="15.75" customHeight="1" x14ac:dyDescent="0.25">
      <c r="A4338" s="6" t="s">
        <v>4260</v>
      </c>
      <c r="B4338" s="6" t="str">
        <f ca="1">IFERROR(__xludf.DUMMYFUNCTION("GOOGLETRANSLATE(A4338,""bn"",""en"")"),"I had to walk from my house to school")</f>
        <v>I had to walk from my house to school</v>
      </c>
      <c r="C4338" s="8" t="s">
        <v>13</v>
      </c>
      <c r="D4338" s="8" t="s">
        <v>14</v>
      </c>
      <c r="E4338" s="8">
        <v>1</v>
      </c>
    </row>
    <row r="4339" spans="1:5" ht="15.75" customHeight="1" x14ac:dyDescent="0.25">
      <c r="A4339" s="6" t="s">
        <v>4261</v>
      </c>
      <c r="B4339" s="6" t="str">
        <f ca="1">IFERROR(__xludf.DUMMYFUNCTION("GOOGLETRANSLATE(A4339,""bn"",""en"")"),"The stars twinkled overhead, their distant light piercing the darkness of the night sky")</f>
        <v>The stars twinkled overhead, their distant light piercing the darkness of the night sky</v>
      </c>
      <c r="C4339" s="8" t="s">
        <v>13</v>
      </c>
      <c r="D4339" s="8" t="s">
        <v>14</v>
      </c>
      <c r="E4339" s="8">
        <v>1</v>
      </c>
    </row>
    <row r="4340" spans="1:5" ht="15.75" customHeight="1" x14ac:dyDescent="0.25">
      <c r="A4340" s="6" t="s">
        <v>4262</v>
      </c>
      <c r="B4340" s="6" t="str">
        <f ca="1">IFERROR(__xludf.DUMMYFUNCTION("GOOGLETRANSLATE(A4340,""bn"",""en"")"),"I proceeded according to their words")</f>
        <v>I proceeded according to their words</v>
      </c>
      <c r="C4340" s="8" t="s">
        <v>13</v>
      </c>
      <c r="D4340" s="8" t="s">
        <v>14</v>
      </c>
      <c r="E4340" s="8">
        <v>1</v>
      </c>
    </row>
    <row r="4341" spans="1:5" ht="15.75" customHeight="1" x14ac:dyDescent="0.25">
      <c r="A4341" s="6" t="s">
        <v>4263</v>
      </c>
      <c r="B4341" s="6" t="str">
        <f ca="1">IFERROR(__xludf.DUMMYFUNCTION("GOOGLETRANSLATE(A4341,""bn"",""en"")"),"It focuses on accident prevention")</f>
        <v>It focuses on accident prevention</v>
      </c>
      <c r="C4341" s="8" t="s">
        <v>13</v>
      </c>
      <c r="D4341" s="8" t="s">
        <v>14</v>
      </c>
      <c r="E4341" s="8">
        <v>1</v>
      </c>
    </row>
    <row r="4342" spans="1:5" ht="15.75" customHeight="1" x14ac:dyDescent="0.25">
      <c r="A4342" s="6" t="s">
        <v>4264</v>
      </c>
      <c r="B4342" s="6" t="str">
        <f ca="1">IFERROR(__xludf.DUMMYFUNCTION("GOOGLETRANSLATE(A4342,""bn"",""en"")"),"This scream was heard")</f>
        <v>This scream was heard</v>
      </c>
      <c r="C4342" s="7" t="s">
        <v>6</v>
      </c>
      <c r="D4342" s="7" t="s">
        <v>7</v>
      </c>
      <c r="E4342" s="7">
        <v>0</v>
      </c>
    </row>
    <row r="4343" spans="1:5" ht="15.75" customHeight="1" x14ac:dyDescent="0.25">
      <c r="A4343" s="6" t="s">
        <v>858</v>
      </c>
      <c r="B4343" s="6" t="str">
        <f ca="1">IFERROR(__xludf.DUMMYFUNCTION("GOOGLETRANSLATE(A4343,""bn"",""en"")"),"The discussion that was started was not finished")</f>
        <v>The discussion that was started was not finished</v>
      </c>
      <c r="C4343" s="7" t="s">
        <v>6</v>
      </c>
      <c r="D4343" s="7" t="s">
        <v>7</v>
      </c>
      <c r="E4343" s="7">
        <v>0</v>
      </c>
    </row>
    <row r="4344" spans="1:5" ht="15.75" customHeight="1" x14ac:dyDescent="0.25">
      <c r="A4344" s="6" t="s">
        <v>4265</v>
      </c>
      <c r="B4344" s="6" t="str">
        <f ca="1">IFERROR(__xludf.DUMMYFUNCTION("GOOGLETRANSLATE(A4344,""bn"",""en"")"),"They don't even have that infinite number")</f>
        <v>They don't even have that infinite number</v>
      </c>
      <c r="C4344" s="7" t="s">
        <v>6</v>
      </c>
      <c r="D4344" s="7" t="s">
        <v>7</v>
      </c>
      <c r="E4344" s="7">
        <v>0</v>
      </c>
    </row>
    <row r="4345" spans="1:5" ht="15.75" customHeight="1" x14ac:dyDescent="0.25">
      <c r="A4345" s="6" t="s">
        <v>4266</v>
      </c>
      <c r="B4345" s="6" t="str">
        <f ca="1">IFERROR(__xludf.DUMMYFUNCTION("GOOGLETRANSLATE(A4345,""bn"",""en"")"),"It seems that the paw was licked once before sleep")</f>
        <v>It seems that the paw was licked once before sleep</v>
      </c>
      <c r="C4345" s="7" t="s">
        <v>6</v>
      </c>
      <c r="D4345" s="7" t="s">
        <v>7</v>
      </c>
      <c r="E4345" s="7">
        <v>0</v>
      </c>
    </row>
    <row r="4346" spans="1:5" ht="15.75" customHeight="1" x14ac:dyDescent="0.25">
      <c r="A4346" s="6" t="s">
        <v>4267</v>
      </c>
      <c r="B4346" s="6" t="str">
        <f ca="1">IFERROR(__xludf.DUMMYFUNCTION("GOOGLETRANSLATE(A4346,""bn"",""en"")"),"For soon after that verse was uttered again from the branch of the virgin, then the clarity of the verse was not perceived as before, only the melody was heard.")</f>
        <v>For soon after that verse was uttered again from the branch of the virgin, then the clarity of the verse was not perceived as before, only the melody was heard.</v>
      </c>
      <c r="C4346" s="7" t="s">
        <v>6</v>
      </c>
      <c r="D4346" s="7" t="s">
        <v>7</v>
      </c>
      <c r="E4346" s="7">
        <v>0</v>
      </c>
    </row>
    <row r="4347" spans="1:5" ht="15.75" customHeight="1" x14ac:dyDescent="0.25">
      <c r="A4347" s="6" t="s">
        <v>4268</v>
      </c>
      <c r="B4347" s="6" t="str">
        <f ca="1">IFERROR(__xludf.DUMMYFUNCTION("GOOGLETRANSLATE(A4347,""bn"",""en"")"),"He forgot about me")</f>
        <v>He forgot about me</v>
      </c>
      <c r="C4347" s="8" t="s">
        <v>13</v>
      </c>
      <c r="D4347" s="8" t="s">
        <v>14</v>
      </c>
      <c r="E4347" s="8">
        <v>1</v>
      </c>
    </row>
    <row r="4348" spans="1:5" ht="15.75" customHeight="1" x14ac:dyDescent="0.25">
      <c r="A4348" s="6" t="s">
        <v>4269</v>
      </c>
      <c r="B4348" s="6" t="str">
        <f ca="1">IFERROR(__xludf.DUMMYFUNCTION("GOOGLETRANSLATE(A4348,""bn"",""en"")"),"The girl looked into his eyes for a while")</f>
        <v>The girl looked into his eyes for a while</v>
      </c>
      <c r="C4348" s="8" t="s">
        <v>13</v>
      </c>
      <c r="D4348" s="8" t="s">
        <v>14</v>
      </c>
      <c r="E4348" s="8">
        <v>1</v>
      </c>
    </row>
    <row r="4349" spans="1:5" ht="15.75" customHeight="1" x14ac:dyDescent="0.25">
      <c r="A4349" s="6" t="s">
        <v>4270</v>
      </c>
      <c r="B4349" s="6" t="str">
        <f ca="1">IFERROR(__xludf.DUMMYFUNCTION("GOOGLETRANSLATE(A4349,""bn"",""en"")"),"Risk assessment minimizes potential business disruption")</f>
        <v>Risk assessment minimizes potential business disruption</v>
      </c>
      <c r="C4349" s="8" t="s">
        <v>13</v>
      </c>
      <c r="D4349" s="8" t="s">
        <v>14</v>
      </c>
      <c r="E4349" s="8">
        <v>1</v>
      </c>
    </row>
    <row r="4350" spans="1:5" ht="15.75" customHeight="1" x14ac:dyDescent="0.25">
      <c r="A4350" s="6" t="s">
        <v>4271</v>
      </c>
      <c r="B4350" s="6" t="str">
        <f ca="1">IFERROR(__xludf.DUMMYFUNCTION("GOOGLETRANSLATE(A4350,""bn"",""en"")"),"Harishchandra recognized Mahirshi and began to lament very pitifully")</f>
        <v>Harishchandra recognized Mahirshi and began to lament very pitifully</v>
      </c>
      <c r="C4350" s="8" t="s">
        <v>13</v>
      </c>
      <c r="D4350" s="8" t="s">
        <v>14</v>
      </c>
      <c r="E4350" s="8">
        <v>1</v>
      </c>
    </row>
    <row r="4351" spans="1:5" ht="15.75" customHeight="1" x14ac:dyDescent="0.25">
      <c r="A4351" s="6" t="s">
        <v>4272</v>
      </c>
      <c r="B4351" s="6" t="str">
        <f ca="1">IFERROR(__xludf.DUMMYFUNCTION("GOOGLETRANSLATE(A4351,""bn"",""en"")"),"They then launched an attack on the East Falkland Islands")</f>
        <v>They then launched an attack on the East Falkland Islands</v>
      </c>
      <c r="C4351" s="8" t="s">
        <v>13</v>
      </c>
      <c r="D4351" s="8" t="s">
        <v>14</v>
      </c>
      <c r="E4351" s="8">
        <v>1</v>
      </c>
    </row>
    <row r="4352" spans="1:5" ht="15.75" customHeight="1" x14ac:dyDescent="0.25">
      <c r="A4352" s="6" t="s">
        <v>4273</v>
      </c>
      <c r="B4352" s="6" t="str">
        <f ca="1">IFERROR(__xludf.DUMMYFUNCTION("GOOGLETRANSLATE(A4352,""bn"",""en"")"),"Keeping the light down there, Sashi held a bidi")</f>
        <v>Keeping the light down there, Sashi held a bidi</v>
      </c>
      <c r="C4352" s="7" t="s">
        <v>6</v>
      </c>
      <c r="D4352" s="7" t="s">
        <v>7</v>
      </c>
      <c r="E4352" s="7">
        <v>0</v>
      </c>
    </row>
    <row r="4353" spans="1:5" ht="15.75" customHeight="1" x14ac:dyDescent="0.25">
      <c r="A4353" s="6" t="s">
        <v>4274</v>
      </c>
      <c r="B4353" s="6" t="str">
        <f ca="1">IFERROR(__xludf.DUMMYFUNCTION("GOOGLETRANSLATE(A4353,""bn"",""en"")"),"It was very good, I felt like reading a modern Rabindranath")</f>
        <v>It was very good, I felt like reading a modern Rabindranath</v>
      </c>
      <c r="C4353" s="7" t="s">
        <v>6</v>
      </c>
      <c r="D4353" s="7" t="s">
        <v>7</v>
      </c>
      <c r="E4353" s="7">
        <v>0</v>
      </c>
    </row>
    <row r="4354" spans="1:5" ht="15.75" customHeight="1" x14ac:dyDescent="0.25">
      <c r="A4354" s="6" t="s">
        <v>4275</v>
      </c>
      <c r="B4354" s="6" t="str">
        <f ca="1">IFERROR(__xludf.DUMMYFUNCTION("GOOGLETRANSLATE(A4354,""bn"",""en"")"),"I went with you")</f>
        <v>I went with you</v>
      </c>
      <c r="C4354" s="7" t="s">
        <v>6</v>
      </c>
      <c r="D4354" s="7" t="s">
        <v>7</v>
      </c>
      <c r="E4354" s="7">
        <v>0</v>
      </c>
    </row>
    <row r="4355" spans="1:5" ht="15.75" customHeight="1" x14ac:dyDescent="0.25">
      <c r="A4355" s="6" t="s">
        <v>4276</v>
      </c>
      <c r="B4355" s="6" t="str">
        <f ca="1">IFERROR(__xludf.DUMMYFUNCTION("GOOGLETRANSLATE(A4355,""bn"",""en"")"),"I was saddened to hear this")</f>
        <v>I was saddened to hear this</v>
      </c>
      <c r="C4355" s="7" t="s">
        <v>6</v>
      </c>
      <c r="D4355" s="7" t="s">
        <v>7</v>
      </c>
      <c r="E4355" s="7">
        <v>0</v>
      </c>
    </row>
    <row r="4356" spans="1:5" ht="15.75" customHeight="1" x14ac:dyDescent="0.25">
      <c r="A4356" s="6" t="s">
        <v>4277</v>
      </c>
      <c r="B4356" s="6" t="str">
        <f ca="1">IFERROR(__xludf.DUMMYFUNCTION("GOOGLETRANSLATE(A4356,""bn"",""en"")"),"Shashi's house after crossing three parts of the road to Kayetpara")</f>
        <v>Shashi's house after crossing three parts of the road to Kayetpara</v>
      </c>
      <c r="C4356" s="7" t="s">
        <v>6</v>
      </c>
      <c r="D4356" s="7" t="s">
        <v>7</v>
      </c>
      <c r="E4356" s="7">
        <v>0</v>
      </c>
    </row>
    <row r="4357" spans="1:5" ht="15.75" customHeight="1" x14ac:dyDescent="0.25">
      <c r="A4357" s="6" t="s">
        <v>4278</v>
      </c>
      <c r="B4357" s="6" t="str">
        <f ca="1">IFERROR(__xludf.DUMMYFUNCTION("GOOGLETRANSLATE(A4357,""bn"",""en"")"),"He couldn't keep his promise")</f>
        <v>He couldn't keep his promise</v>
      </c>
      <c r="C4357" s="8" t="s">
        <v>13</v>
      </c>
      <c r="D4357" s="8" t="s">
        <v>14</v>
      </c>
      <c r="E4357" s="8">
        <v>1</v>
      </c>
    </row>
    <row r="4358" spans="1:5" ht="15.75" customHeight="1" x14ac:dyDescent="0.25">
      <c r="A4358" s="6" t="s">
        <v>4279</v>
      </c>
      <c r="B4358" s="6" t="str">
        <f ca="1">IFERROR(__xludf.DUMMYFUNCTION("GOOGLETRANSLATE(A4358,""bn"",""en"")"),"He was arrested in")</f>
        <v>He was arrested in</v>
      </c>
      <c r="C4358" s="8" t="s">
        <v>13</v>
      </c>
      <c r="D4358" s="8" t="s">
        <v>14</v>
      </c>
      <c r="E4358" s="8">
        <v>1</v>
      </c>
    </row>
    <row r="4359" spans="1:5" ht="15.75" customHeight="1" x14ac:dyDescent="0.25">
      <c r="A4359" s="6" t="s">
        <v>4280</v>
      </c>
      <c r="B4359" s="6" t="str">
        <f ca="1">IFERROR(__xludf.DUMMYFUNCTION("GOOGLETRANSLATE(A4359,""bn"",""en"")"),"Under a canopy of stars they told stories of their past adventures around a crackling campfire")</f>
        <v>Under a canopy of stars they told stories of their past adventures around a crackling campfire</v>
      </c>
      <c r="C4359" s="8" t="s">
        <v>13</v>
      </c>
      <c r="D4359" s="8" t="s">
        <v>14</v>
      </c>
      <c r="E4359" s="8">
        <v>1</v>
      </c>
    </row>
    <row r="4360" spans="1:5" ht="15.75" customHeight="1" x14ac:dyDescent="0.25">
      <c r="A4360" s="6" t="s">
        <v>4281</v>
      </c>
      <c r="B4360" s="6" t="str">
        <f ca="1">IFERROR(__xludf.DUMMYFUNCTION("GOOGLETRANSLATE(A4360,""bn"",""en"")"),"They are all presumed dead")</f>
        <v>They are all presumed dead</v>
      </c>
      <c r="C4360" s="8" t="s">
        <v>13</v>
      </c>
      <c r="D4360" s="8" t="s">
        <v>14</v>
      </c>
      <c r="E4360" s="8">
        <v>1</v>
      </c>
    </row>
    <row r="4361" spans="1:5" ht="15.75" customHeight="1" x14ac:dyDescent="0.25">
      <c r="A4361" s="6" t="s">
        <v>4282</v>
      </c>
      <c r="B4361" s="6" t="str">
        <f ca="1">IFERROR(__xludf.DUMMYFUNCTION("GOOGLETRANSLATE(A4361,""bn"",""en"")"),"A huge bald head with a neat moustache")</f>
        <v>A huge bald head with a neat moustache</v>
      </c>
      <c r="C4361" s="8" t="s">
        <v>13</v>
      </c>
      <c r="D4361" s="8" t="s">
        <v>14</v>
      </c>
      <c r="E4361" s="8">
        <v>1</v>
      </c>
    </row>
    <row r="4362" spans="1:5" ht="15.75" customHeight="1" x14ac:dyDescent="0.25">
      <c r="A4362" s="6" t="s">
        <v>4283</v>
      </c>
      <c r="B4362" s="6" t="str">
        <f ca="1">IFERROR(__xludf.DUMMYFUNCTION("GOOGLETRANSLATE(A4362,""bn"",""en"")"),"The daughters-in-law saw me and stood up")</f>
        <v>The daughters-in-law saw me and stood up</v>
      </c>
      <c r="C4362" s="7" t="s">
        <v>6</v>
      </c>
      <c r="D4362" s="7" t="s">
        <v>7</v>
      </c>
      <c r="E4362" s="7">
        <v>0</v>
      </c>
    </row>
    <row r="4363" spans="1:5" ht="15.75" customHeight="1" x14ac:dyDescent="0.25">
      <c r="A4363" s="6" t="s">
        <v>4284</v>
      </c>
      <c r="B4363" s="6" t="str">
        <f ca="1">IFERROR(__xludf.DUMMYFUNCTION("GOOGLETRANSLATE(A4363,""bn"",""en"")"),"Until then, Khas Santals are still living there after living there for a long time")</f>
        <v>Until then, Khas Santals are still living there after living there for a long time</v>
      </c>
      <c r="C4363" s="7" t="s">
        <v>6</v>
      </c>
      <c r="D4363" s="7" t="s">
        <v>7</v>
      </c>
      <c r="E4363" s="7">
        <v>0</v>
      </c>
    </row>
    <row r="4364" spans="1:5" ht="15.75" customHeight="1" x14ac:dyDescent="0.25">
      <c r="A4364" s="6" t="s">
        <v>4285</v>
      </c>
      <c r="B4364" s="6" t="str">
        <f ca="1">IFERROR(__xludf.DUMMYFUNCTION("GOOGLETRANSLATE(A4364,""bn"",""en"")"),"Market a little earlier")</f>
        <v>Market a little earlier</v>
      </c>
      <c r="C4364" s="7" t="s">
        <v>6</v>
      </c>
      <c r="D4364" s="7" t="s">
        <v>7</v>
      </c>
      <c r="E4364" s="7">
        <v>0</v>
      </c>
    </row>
    <row r="4365" spans="1:5" ht="15.75" customHeight="1" x14ac:dyDescent="0.25">
      <c r="A4365" s="6" t="s">
        <v>2814</v>
      </c>
      <c r="B4365" s="6" t="str">
        <f ca="1">IFERROR(__xludf.DUMMYFUNCTION("GOOGLETRANSLATE(A4365,""bn"",""en"")"),"Finally, after a long time when the Aryas became powerful, they chased away the Asuras")</f>
        <v>Finally, after a long time when the Aryas became powerful, they chased away the Asuras</v>
      </c>
      <c r="C4365" s="7" t="s">
        <v>6</v>
      </c>
      <c r="D4365" s="7" t="s">
        <v>7</v>
      </c>
      <c r="E4365" s="7">
        <v>0</v>
      </c>
    </row>
    <row r="4366" spans="1:5" ht="15.75" customHeight="1" x14ac:dyDescent="0.25">
      <c r="A4366" s="6" t="s">
        <v>4286</v>
      </c>
      <c r="B4366" s="6" t="str">
        <f ca="1">IFERROR(__xludf.DUMMYFUNCTION("GOOGLETRANSLATE(A4366,""bn"",""en"")"),"Maua trees are abundant there")</f>
        <v>Maua trees are abundant there</v>
      </c>
      <c r="C4366" s="7" t="s">
        <v>6</v>
      </c>
      <c r="D4366" s="7" t="s">
        <v>7</v>
      </c>
      <c r="E4366" s="7">
        <v>0</v>
      </c>
    </row>
    <row r="4367" spans="1:5" ht="15.75" customHeight="1" x14ac:dyDescent="0.25">
      <c r="A4367" s="6" t="s">
        <v>4287</v>
      </c>
      <c r="B4367" s="6" t="str">
        <f ca="1">IFERROR(__xludf.DUMMYFUNCTION("GOOGLETRANSLATE(A4367,""bn"",""en"")"),"Such honesty and sense of social responsibility is astonishing")</f>
        <v>Such honesty and sense of social responsibility is astonishing</v>
      </c>
      <c r="C4367" s="8" t="s">
        <v>13</v>
      </c>
      <c r="D4367" s="8" t="s">
        <v>14</v>
      </c>
      <c r="E4367" s="8">
        <v>1</v>
      </c>
    </row>
    <row r="4368" spans="1:5" ht="15.75" customHeight="1" x14ac:dyDescent="0.25">
      <c r="A4368" s="6" t="s">
        <v>4288</v>
      </c>
      <c r="B4368" s="6" t="str">
        <f ca="1">IFERROR(__xludf.DUMMYFUNCTION("GOOGLETRANSLATE(A4368,""bn"",""en"")"),"Shahed went out")</f>
        <v>Shahed went out</v>
      </c>
      <c r="C4368" s="8" t="s">
        <v>13</v>
      </c>
      <c r="D4368" s="8" t="s">
        <v>14</v>
      </c>
      <c r="E4368" s="8">
        <v>1</v>
      </c>
    </row>
    <row r="4369" spans="1:5" ht="15.75" customHeight="1" x14ac:dyDescent="0.25">
      <c r="A4369" s="6" t="s">
        <v>4289</v>
      </c>
      <c r="B4369" s="6" t="str">
        <f ca="1">IFERROR(__xludf.DUMMYFUNCTION("GOOGLETRANSLATE(A4369,""bn"",""en"")"),"Paying off your mortgage early can save you thousands of dollars in interest over the life of the loan")</f>
        <v>Paying off your mortgage early can save you thousands of dollars in interest over the life of the loan</v>
      </c>
      <c r="C4369" s="8" t="s">
        <v>13</v>
      </c>
      <c r="D4369" s="8" t="s">
        <v>14</v>
      </c>
      <c r="E4369" s="8">
        <v>1</v>
      </c>
    </row>
    <row r="4370" spans="1:5" ht="15.75" customHeight="1" x14ac:dyDescent="0.25">
      <c r="A4370" s="6" t="s">
        <v>4290</v>
      </c>
      <c r="B4370" s="6" t="str">
        <f ca="1">IFERROR(__xludf.DUMMYFUNCTION("GOOGLETRANSLATE(A4370,""bn"",""en"")"),"He got the status of a hero")</f>
        <v>He got the status of a hero</v>
      </c>
      <c r="C4370" s="8" t="s">
        <v>13</v>
      </c>
      <c r="D4370" s="8" t="s">
        <v>14</v>
      </c>
      <c r="E4370" s="8">
        <v>1</v>
      </c>
    </row>
    <row r="4371" spans="1:5" ht="15.75" customHeight="1" x14ac:dyDescent="0.25">
      <c r="A4371" s="6" t="s">
        <v>4291</v>
      </c>
      <c r="B4371" s="6" t="str">
        <f ca="1">IFERROR(__xludf.DUMMYFUNCTION("GOOGLETRANSLATE(A4371,""bn"",""en"")"),"I will go for a ride in the car early this morning")</f>
        <v>I will go for a ride in the car early this morning</v>
      </c>
      <c r="C4371" s="8" t="s">
        <v>13</v>
      </c>
      <c r="D4371" s="8" t="s">
        <v>14</v>
      </c>
      <c r="E4371" s="8">
        <v>1</v>
      </c>
    </row>
    <row r="4372" spans="1:5" ht="15.75" customHeight="1" x14ac:dyDescent="0.25">
      <c r="A4372" s="6" t="s">
        <v>4292</v>
      </c>
      <c r="B4372" s="6" t="str">
        <f ca="1">IFERROR(__xludf.DUMMYFUNCTION("GOOGLETRANSLATE(A4372,""bn"",""en"")"),"Farid gave me word")</f>
        <v>Farid gave me word</v>
      </c>
      <c r="C4372" s="7" t="s">
        <v>6</v>
      </c>
      <c r="D4372" s="7" t="s">
        <v>7</v>
      </c>
      <c r="E4372" s="7">
        <v>0</v>
      </c>
    </row>
    <row r="4373" spans="1:5" ht="15.75" customHeight="1" x14ac:dyDescent="0.25">
      <c r="A4373" s="6" t="s">
        <v>2393</v>
      </c>
      <c r="B4373" s="6" t="str">
        <f ca="1">IFERROR(__xludf.DUMMYFUNCTION("GOOGLETRANSLATE(A4373,""bn"",""en"")"),"I never took it for granted and always went alone")</f>
        <v>I never took it for granted and always went alone</v>
      </c>
      <c r="C4373" s="7" t="s">
        <v>6</v>
      </c>
      <c r="D4373" s="7" t="s">
        <v>7</v>
      </c>
      <c r="E4373" s="7">
        <v>0</v>
      </c>
    </row>
    <row r="4374" spans="1:5" ht="15.75" customHeight="1" x14ac:dyDescent="0.25">
      <c r="A4374" s="6" t="s">
        <v>4293</v>
      </c>
      <c r="B4374" s="6" t="str">
        <f ca="1">IFERROR(__xludf.DUMMYFUNCTION("GOOGLETRANSLATE(A4374,""bn"",""en"")"),"He entered Guru Baba's house and took the dust of his feet with both hands and said with devotion, Baba, do not feed Baba during the day.")</f>
        <v>He entered Guru Baba's house and took the dust of his feet with both hands and said with devotion, Baba, do not feed Baba during the day.</v>
      </c>
      <c r="C4374" s="7" t="s">
        <v>6</v>
      </c>
      <c r="D4374" s="7" t="s">
        <v>7</v>
      </c>
      <c r="E4374" s="7">
        <v>0</v>
      </c>
    </row>
    <row r="4375" spans="1:5" ht="15.75" customHeight="1" x14ac:dyDescent="0.25">
      <c r="A4375" s="6" t="s">
        <v>4294</v>
      </c>
      <c r="B4375" s="6" t="str">
        <f ca="1">IFERROR(__xludf.DUMMYFUNCTION("GOOGLETRANSLATE(A4375,""bn"",""en"")"),"The view of the sunset from the window of the train was very beautiful.")</f>
        <v>The view of the sunset from the window of the train was very beautiful.</v>
      </c>
      <c r="C4375" s="7" t="s">
        <v>6</v>
      </c>
      <c r="D4375" s="7" t="s">
        <v>7</v>
      </c>
      <c r="E4375" s="7">
        <v>0</v>
      </c>
    </row>
    <row r="4376" spans="1:5" ht="15.75" customHeight="1" x14ac:dyDescent="0.25">
      <c r="A4376" s="6" t="s">
        <v>4295</v>
      </c>
      <c r="B4376" s="6" t="str">
        <f ca="1">IFERROR(__xludf.DUMMYFUNCTION("GOOGLETRANSLATE(A4376,""bn"",""en"")"),"That night it was surprisingly cold inside the house")</f>
        <v>That night it was surprisingly cold inside the house</v>
      </c>
      <c r="C4376" s="7" t="s">
        <v>6</v>
      </c>
      <c r="D4376" s="7" t="s">
        <v>7</v>
      </c>
      <c r="E4376" s="7">
        <v>0</v>
      </c>
    </row>
    <row r="4377" spans="1:5" ht="15.75" customHeight="1" x14ac:dyDescent="0.25">
      <c r="A4377" s="6" t="s">
        <v>4296</v>
      </c>
      <c r="B4377" s="6" t="str">
        <f ca="1">IFERROR(__xludf.DUMMYFUNCTION("GOOGLETRANSLATE(A4377,""bn"",""en"")"),"It is currently banned worldwide")</f>
        <v>It is currently banned worldwide</v>
      </c>
      <c r="C4377" s="8" t="s">
        <v>13</v>
      </c>
      <c r="D4377" s="8" t="s">
        <v>14</v>
      </c>
      <c r="E4377" s="8">
        <v>1</v>
      </c>
    </row>
    <row r="4378" spans="1:5" ht="15.75" customHeight="1" x14ac:dyDescent="0.25">
      <c r="A4378" s="6" t="s">
        <v>4297</v>
      </c>
      <c r="B4378" s="6" t="str">
        <f ca="1">IFERROR(__xludf.DUMMYFUNCTION("GOOGLETRANSLATE(A4378,""bn"",""en"")"),"Team coordination drives project success to client satisfaction")</f>
        <v>Team coordination drives project success to client satisfaction</v>
      </c>
      <c r="C4378" s="8" t="s">
        <v>13</v>
      </c>
      <c r="D4378" s="8" t="s">
        <v>14</v>
      </c>
      <c r="E4378" s="8">
        <v>1</v>
      </c>
    </row>
    <row r="4379" spans="1:5" ht="15.75" customHeight="1" x14ac:dyDescent="0.25">
      <c r="A4379" s="6" t="s">
        <v>4298</v>
      </c>
      <c r="B4379" s="6" t="str">
        <f ca="1">IFERROR(__xludf.DUMMYFUNCTION("GOOGLETRANSLATE(A4379,""bn"",""en"")"),"He reads story books in his spare time")</f>
        <v>He reads story books in his spare time</v>
      </c>
      <c r="C4379" s="8" t="s">
        <v>13</v>
      </c>
      <c r="D4379" s="8" t="s">
        <v>14</v>
      </c>
      <c r="E4379" s="8">
        <v>1</v>
      </c>
    </row>
    <row r="4380" spans="1:5" ht="15.75" customHeight="1" x14ac:dyDescent="0.25">
      <c r="A4380" s="6" t="s">
        <v>4299</v>
      </c>
      <c r="B4380" s="6" t="str">
        <f ca="1">IFERROR(__xludf.DUMMYFUNCTION("GOOGLETRANSLATE(A4380,""bn"",""en"")"),"They had a new experience by going to that unknown city")</f>
        <v>They had a new experience by going to that unknown city</v>
      </c>
      <c r="C4380" s="8" t="s">
        <v>13</v>
      </c>
      <c r="D4380" s="8" t="s">
        <v>14</v>
      </c>
      <c r="E4380" s="8">
        <v>1</v>
      </c>
    </row>
    <row r="4381" spans="1:5" ht="15.75" customHeight="1" x14ac:dyDescent="0.25">
      <c r="A4381" s="6" t="s">
        <v>4300</v>
      </c>
      <c r="B4381" s="6" t="str">
        <f ca="1">IFERROR(__xludf.DUMMYFUNCTION("GOOGLETRANSLATE(A4381,""bn"",""en"")"),"Hutton's character was that of a crime boss named Raymond Blossom")</f>
        <v>Hutton's character was that of a crime boss named Raymond Blossom</v>
      </c>
      <c r="C4381" s="8" t="s">
        <v>13</v>
      </c>
      <c r="D4381" s="8" t="s">
        <v>14</v>
      </c>
      <c r="E4381" s="8">
        <v>1</v>
      </c>
    </row>
    <row r="4382" spans="1:5" ht="15.75" customHeight="1" x14ac:dyDescent="0.25">
      <c r="A4382" s="6" t="s">
        <v>1169</v>
      </c>
      <c r="B4382" s="6" t="str">
        <f ca="1">IFERROR(__xludf.DUMMYFUNCTION("GOOGLETRANSLATE(A4382,""bn"",""en"")"),"None of Rameswaram had such an attitude")</f>
        <v>None of Rameswaram had such an attitude</v>
      </c>
      <c r="C4382" s="7" t="s">
        <v>6</v>
      </c>
      <c r="D4382" s="7" t="s">
        <v>7</v>
      </c>
      <c r="E4382" s="7">
        <v>0</v>
      </c>
    </row>
    <row r="4383" spans="1:5" ht="15.75" customHeight="1" x14ac:dyDescent="0.25">
      <c r="A4383" s="6" t="s">
        <v>4301</v>
      </c>
      <c r="B4383" s="6" t="str">
        <f ca="1">IFERROR(__xludf.DUMMYFUNCTION("GOOGLETRANSLATE(A4383,""bn"",""en"")"),"He always carries an umbrella when he goes out")</f>
        <v>He always carries an umbrella when he goes out</v>
      </c>
      <c r="C4383" s="7" t="s">
        <v>6</v>
      </c>
      <c r="D4383" s="7" t="s">
        <v>7</v>
      </c>
      <c r="E4383" s="7">
        <v>0</v>
      </c>
    </row>
    <row r="4384" spans="1:5" ht="15.75" customHeight="1" x14ac:dyDescent="0.25">
      <c r="A4384" s="6" t="s">
        <v>4302</v>
      </c>
      <c r="B4384" s="6" t="str">
        <f ca="1">IFERROR(__xludf.DUMMYFUNCTION("GOOGLETRANSLATE(A4384,""bn"",""en"")"),"It is not easy to read it, after that he lost the book and fell into a state of confusion")</f>
        <v>It is not easy to read it, after that he lost the book and fell into a state of confusion</v>
      </c>
      <c r="C4384" s="7" t="s">
        <v>6</v>
      </c>
      <c r="D4384" s="7" t="s">
        <v>7</v>
      </c>
      <c r="E4384" s="7">
        <v>0</v>
      </c>
    </row>
    <row r="4385" spans="1:5" ht="15.75" customHeight="1" x14ac:dyDescent="0.25">
      <c r="A4385" s="6" t="s">
        <v>4303</v>
      </c>
      <c r="B4385" s="6" t="str">
        <f ca="1">IFERROR(__xludf.DUMMYFUNCTION("GOOGLETRANSLATE(A4385,""bn"",""en"")"),"Remembering the words, his anger towards his daughter did not stop at the end of disrespect")</f>
        <v>Remembering the words, his anger towards his daughter did not stop at the end of disrespect</v>
      </c>
      <c r="C4385" s="7" t="s">
        <v>6</v>
      </c>
      <c r="D4385" s="7" t="s">
        <v>7</v>
      </c>
      <c r="E4385" s="7">
        <v>0</v>
      </c>
    </row>
    <row r="4386" spans="1:5" ht="15.75" customHeight="1" x14ac:dyDescent="0.25">
      <c r="A4386" s="6" t="s">
        <v>4304</v>
      </c>
      <c r="B4386" s="6" t="str">
        <f ca="1">IFERROR(__xludf.DUMMYFUNCTION("GOOGLETRANSLATE(A4386,""bn"",""en"")"),"Mother took Makhan's side and gave him two or three hard slaps on the face, shaking the fat.")</f>
        <v>Mother took Makhan's side and gave him two or three hard slaps on the face, shaking the fat.</v>
      </c>
      <c r="C4386" s="7" t="s">
        <v>6</v>
      </c>
      <c r="D4386" s="7" t="s">
        <v>7</v>
      </c>
      <c r="E4386" s="7">
        <v>0</v>
      </c>
    </row>
    <row r="4387" spans="1:5" ht="15.75" customHeight="1" x14ac:dyDescent="0.25">
      <c r="A4387" s="6" t="s">
        <v>4305</v>
      </c>
      <c r="B4387" s="6" t="str">
        <f ca="1">IFERROR(__xludf.DUMMYFUNCTION("GOOGLETRANSLATE(A4387,""bn"",""en"")"),"Squats build strong legs")</f>
        <v>Squats build strong legs</v>
      </c>
      <c r="C4387" s="8" t="s">
        <v>13</v>
      </c>
      <c r="D4387" s="8" t="s">
        <v>14</v>
      </c>
      <c r="E4387" s="8">
        <v>1</v>
      </c>
    </row>
    <row r="4388" spans="1:5" ht="15.75" customHeight="1" x14ac:dyDescent="0.25">
      <c r="A4388" s="6" t="s">
        <v>4306</v>
      </c>
      <c r="B4388" s="6" t="str">
        <f ca="1">IFERROR(__xludf.DUMMYFUNCTION("GOOGLETRANSLATE(A4388,""bn"",""en"")"),"Irtazuddin's heart was upset")</f>
        <v>Irtazuddin's heart was upset</v>
      </c>
      <c r="C4388" s="8" t="s">
        <v>13</v>
      </c>
      <c r="D4388" s="8" t="s">
        <v>14</v>
      </c>
      <c r="E4388" s="8">
        <v>1</v>
      </c>
    </row>
    <row r="4389" spans="1:5" ht="15.75" customHeight="1" x14ac:dyDescent="0.25">
      <c r="A4389" s="6" t="s">
        <v>4307</v>
      </c>
      <c r="B4389" s="6" t="str">
        <f ca="1">IFERROR(__xludf.DUMMYFUNCTION("GOOGLETRANSLATE(A4389,""bn"",""en"")"),"The scent of pine needles hung heavy in the air mixed with the aroma of wood smoke from a nearby cabin")</f>
        <v>The scent of pine needles hung heavy in the air mixed with the aroma of wood smoke from a nearby cabin</v>
      </c>
      <c r="C4389" s="8" t="s">
        <v>13</v>
      </c>
      <c r="D4389" s="8" t="s">
        <v>14</v>
      </c>
      <c r="E4389" s="8">
        <v>1</v>
      </c>
    </row>
    <row r="4390" spans="1:5" ht="15.75" customHeight="1" x14ac:dyDescent="0.25">
      <c r="A4390" s="6" t="s">
        <v>4308</v>
      </c>
      <c r="B4390" s="6" t="str">
        <f ca="1">IFERROR(__xludf.DUMMYFUNCTION("GOOGLETRANSLATE(A4390,""bn"",""en"")"),"It is not supposed to be hot in the month of Fallun")</f>
        <v>It is not supposed to be hot in the month of Fallun</v>
      </c>
      <c r="C4390" s="8" t="s">
        <v>13</v>
      </c>
      <c r="D4390" s="8" t="s">
        <v>14</v>
      </c>
      <c r="E4390" s="8">
        <v>1</v>
      </c>
    </row>
    <row r="4391" spans="1:5" ht="15.75" customHeight="1" x14ac:dyDescent="0.25">
      <c r="A4391" s="6" t="s">
        <v>4309</v>
      </c>
      <c r="B4391" s="6" t="str">
        <f ca="1">IFERROR(__xludf.DUMMYFUNCTION("GOOGLETRANSLATE(A4391,""bn"",""en"")"),"Educational policies affect the quality of the learning environment")</f>
        <v>Educational policies affect the quality of the learning environment</v>
      </c>
      <c r="C4391" s="8" t="s">
        <v>13</v>
      </c>
      <c r="D4391" s="8" t="s">
        <v>14</v>
      </c>
      <c r="E4391" s="8">
        <v>1</v>
      </c>
    </row>
    <row r="4392" spans="1:5" ht="15.75" customHeight="1" x14ac:dyDescent="0.25">
      <c r="A4392" s="6" t="s">
        <v>4310</v>
      </c>
      <c r="B4392" s="6" t="str">
        <f ca="1">IFERROR(__xludf.DUMMYFUNCTION("GOOGLETRANSLATE(A4392,""bn"",""en"")"),"Bindu came to her father's house only once in seven years for three days")</f>
        <v>Bindu came to her father's house only once in seven years for three days</v>
      </c>
      <c r="C4392" s="7" t="s">
        <v>6</v>
      </c>
      <c r="D4392" s="7" t="s">
        <v>7</v>
      </c>
      <c r="E4392" s="7">
        <v>0</v>
      </c>
    </row>
    <row r="4393" spans="1:5" ht="15.75" customHeight="1" x14ac:dyDescent="0.25">
      <c r="A4393" s="6" t="s">
        <v>4311</v>
      </c>
      <c r="B4393" s="6" t="str">
        <f ca="1">IFERROR(__xludf.DUMMYFUNCTION("GOOGLETRANSLATE(A4393,""bn"",""en"")"),"Rumi told his brother about me")</f>
        <v>Rumi told his brother about me</v>
      </c>
      <c r="C4393" s="7" t="s">
        <v>6</v>
      </c>
      <c r="D4393" s="7" t="s">
        <v>7</v>
      </c>
      <c r="E4393" s="7">
        <v>0</v>
      </c>
    </row>
    <row r="4394" spans="1:5" ht="15.75" customHeight="1" x14ac:dyDescent="0.25">
      <c r="A4394" s="6" t="s">
        <v>4312</v>
      </c>
      <c r="B4394" s="6" t="str">
        <f ca="1">IFERROR(__xludf.DUMMYFUNCTION("GOOGLETRANSLATE(A4394,""bn"",""en"")"),"One day in the evening, the postmaster, sitting on the api wooden stool in the corner of that big alley, was also talking about his house.")</f>
        <v>One day in the evening, the postmaster, sitting on the api wooden stool in the corner of that big alley, was also talking about his house.</v>
      </c>
      <c r="C4394" s="7" t="s">
        <v>6</v>
      </c>
      <c r="D4394" s="7" t="s">
        <v>7</v>
      </c>
      <c r="E4394" s="7">
        <v>0</v>
      </c>
    </row>
    <row r="4395" spans="1:5" ht="15.75" customHeight="1" x14ac:dyDescent="0.25">
      <c r="A4395" s="6" t="s">
        <v>4313</v>
      </c>
      <c r="B4395" s="6" t="str">
        <f ca="1">IFERROR(__xludf.DUMMYFUNCTION("GOOGLETRANSLATE(A4395,""bn"",""en"")"),"He has seen with his own eyes how much drunk people do")</f>
        <v>He has seen with his own eyes how much drunk people do</v>
      </c>
      <c r="C4395" s="7" t="s">
        <v>6</v>
      </c>
      <c r="D4395" s="7" t="s">
        <v>7</v>
      </c>
      <c r="E4395" s="7">
        <v>0</v>
      </c>
    </row>
    <row r="4396" spans="1:5" ht="15.75" customHeight="1" x14ac:dyDescent="0.25">
      <c r="A4396" s="6" t="s">
        <v>4314</v>
      </c>
      <c r="B4396" s="6" t="str">
        <f ca="1">IFERROR(__xludf.DUMMYFUNCTION("GOOGLETRANSLATE(A4396,""bn"",""en"")"),"During the jute season, the jute was stored there and sent to the warehouse of Shashi's sister-in-law Nandlal at Bajitpur.")</f>
        <v>During the jute season, the jute was stored there and sent to the warehouse of Shashi's sister-in-law Nandlal at Bajitpur.</v>
      </c>
      <c r="C4396" s="7" t="s">
        <v>6</v>
      </c>
      <c r="D4396" s="7" t="s">
        <v>7</v>
      </c>
      <c r="E4396" s="7">
        <v>0</v>
      </c>
    </row>
    <row r="4397" spans="1:5" ht="15.75" customHeight="1" x14ac:dyDescent="0.25">
      <c r="A4397" s="6" t="s">
        <v>4315</v>
      </c>
      <c r="B4397" s="6" t="str">
        <f ca="1">IFERROR(__xludf.DUMMYFUNCTION("GOOGLETRANSLATE(A4397,""bn"",""en"")"),"My parents have always encouraged me to follow my dreams")</f>
        <v>My parents have always encouraged me to follow my dreams</v>
      </c>
      <c r="C4397" s="8" t="s">
        <v>13</v>
      </c>
      <c r="D4397" s="8" t="s">
        <v>14</v>
      </c>
      <c r="E4397" s="8">
        <v>1</v>
      </c>
    </row>
    <row r="4398" spans="1:5" ht="15.75" customHeight="1" x14ac:dyDescent="0.25">
      <c r="A4398" s="6" t="s">
        <v>4316</v>
      </c>
      <c r="B4398" s="6" t="str">
        <f ca="1">IFERROR(__xludf.DUMMYFUNCTION("GOOGLETRANSLATE(A4398,""bn"",""en"")"),"He encouraged me in many ways")</f>
        <v>He encouraged me in many ways</v>
      </c>
      <c r="C4398" s="8" t="s">
        <v>13</v>
      </c>
      <c r="D4398" s="8" t="s">
        <v>14</v>
      </c>
      <c r="E4398" s="8">
        <v>1</v>
      </c>
    </row>
    <row r="4399" spans="1:5" ht="15.75" customHeight="1" x14ac:dyDescent="0.25">
      <c r="A4399" s="6" t="s">
        <v>4317</v>
      </c>
      <c r="B4399" s="6" t="str">
        <f ca="1">IFERROR(__xludf.DUMMYFUNCTION("GOOGLETRANSLATE(A4399,""bn"",""en"")"),"I failed to solve the problem")</f>
        <v>I failed to solve the problem</v>
      </c>
      <c r="C4399" s="8" t="s">
        <v>13</v>
      </c>
      <c r="D4399" s="8" t="s">
        <v>14</v>
      </c>
      <c r="E4399" s="8">
        <v>1</v>
      </c>
    </row>
    <row r="4400" spans="1:5" ht="15.75" customHeight="1" x14ac:dyDescent="0.25">
      <c r="A4400" s="6" t="s">
        <v>4318</v>
      </c>
      <c r="B4400" s="6" t="str">
        <f ca="1">IFERROR(__xludf.DUMMYFUNCTION("GOOGLETRANSLATE(A4400,""bn"",""en"")"),"Take risks and embrace the unknown")</f>
        <v>Take risks and embrace the unknown</v>
      </c>
      <c r="C4400" s="8" t="s">
        <v>13</v>
      </c>
      <c r="D4400" s="8" t="s">
        <v>14</v>
      </c>
      <c r="E4400" s="8">
        <v>1</v>
      </c>
    </row>
    <row r="4401" spans="1:5" ht="15.75" customHeight="1" x14ac:dyDescent="0.25">
      <c r="A4401" s="6" t="s">
        <v>4319</v>
      </c>
      <c r="B4401" s="6" t="str">
        <f ca="1">IFERROR(__xludf.DUMMYFUNCTION("GOOGLETRANSLATE(A4401,""bn"",""en"")"),"A family of deer grazed peacefully in the clearing undisturbed by the world around them")</f>
        <v>A family of deer grazed peacefully in the clearing undisturbed by the world around them</v>
      </c>
      <c r="C4401" s="8" t="s">
        <v>13</v>
      </c>
      <c r="D4401" s="8" t="s">
        <v>14</v>
      </c>
      <c r="E4401" s="8">
        <v>1</v>
      </c>
    </row>
    <row r="4402" spans="1:5" ht="15.75" customHeight="1" x14ac:dyDescent="0.25">
      <c r="A4402" s="6" t="s">
        <v>4320</v>
      </c>
      <c r="B4402" s="6" t="str">
        <f ca="1">IFERROR(__xludf.DUMMYFUNCTION("GOOGLETRANSLATE(A4402,""bn"",""en"")"),"Ruma told her mother about me")</f>
        <v>Ruma told her mother about me</v>
      </c>
      <c r="C4402" s="7" t="s">
        <v>6</v>
      </c>
      <c r="D4402" s="7" t="s">
        <v>7</v>
      </c>
      <c r="E4402" s="7">
        <v>0</v>
      </c>
    </row>
    <row r="4403" spans="1:5" ht="15.75" customHeight="1" x14ac:dyDescent="0.25">
      <c r="A4403" s="6" t="s">
        <v>4321</v>
      </c>
      <c r="B4403" s="6" t="str">
        <f ca="1">IFERROR(__xludf.DUMMYFUNCTION("GOOGLETRANSLATE(A4403,""bn"",""en"")"),"To wipe away the stain of friendship, I remember you, do not return empty-handed")</f>
        <v>To wipe away the stain of friendship, I remember you, do not return empty-handed</v>
      </c>
      <c r="C4403" s="7" t="s">
        <v>6</v>
      </c>
      <c r="D4403" s="7" t="s">
        <v>7</v>
      </c>
      <c r="E4403" s="7">
        <v>0</v>
      </c>
    </row>
    <row r="4404" spans="1:5" ht="15.75" customHeight="1" x14ac:dyDescent="0.25">
      <c r="A4404" s="6" t="s">
        <v>4322</v>
      </c>
      <c r="B4404" s="6" t="str">
        <f ca="1">IFERROR(__xludf.DUMMYFUNCTION("GOOGLETRANSLATE(A4404,""bn"",""en"")"),"He was very worried about his exams")</f>
        <v>He was very worried about his exams</v>
      </c>
      <c r="C4404" s="7" t="s">
        <v>6</v>
      </c>
      <c r="D4404" s="7" t="s">
        <v>7</v>
      </c>
      <c r="E4404" s="7">
        <v>0</v>
      </c>
    </row>
    <row r="4405" spans="1:5" ht="15.75" customHeight="1" x14ac:dyDescent="0.25">
      <c r="A4405" s="6" t="s">
        <v>4323</v>
      </c>
      <c r="B4405" s="6" t="str">
        <f ca="1">IFERROR(__xludf.DUMMYFUNCTION("GOOGLETRANSLATE(A4405,""bn"",""en"")"),"It is not born in all countries")</f>
        <v>It is not born in all countries</v>
      </c>
      <c r="C4405" s="7" t="s">
        <v>6</v>
      </c>
      <c r="D4405" s="7" t="s">
        <v>7</v>
      </c>
      <c r="E4405" s="7">
        <v>0</v>
      </c>
    </row>
    <row r="4406" spans="1:5" ht="15.75" customHeight="1" x14ac:dyDescent="0.25">
      <c r="A4406" s="6" t="s">
        <v>4324</v>
      </c>
      <c r="B4406" s="6" t="str">
        <f ca="1">IFERROR(__xludf.DUMMYFUNCTION("GOOGLETRANSLATE(A4406,""bn"",""en"")"),"I asked him when his exam will start")</f>
        <v>I asked him when his exam will start</v>
      </c>
      <c r="C4406" s="7" t="s">
        <v>6</v>
      </c>
      <c r="D4406" s="7" t="s">
        <v>7</v>
      </c>
      <c r="E4406" s="7">
        <v>0</v>
      </c>
    </row>
    <row r="4407" spans="1:5" ht="15.75" customHeight="1" x14ac:dyDescent="0.25">
      <c r="A4407" s="6" t="s">
        <v>4325</v>
      </c>
      <c r="B4407" s="6" t="str">
        <f ca="1">IFERROR(__xludf.DUMMYFUNCTION("GOOGLETRANSLATE(A4407,""bn"",""en"")"),"The child was playing alone on the ground")</f>
        <v>The child was playing alone on the ground</v>
      </c>
      <c r="C4407" s="8" t="s">
        <v>13</v>
      </c>
      <c r="D4407" s="8" t="s">
        <v>14</v>
      </c>
      <c r="E4407" s="8">
        <v>1</v>
      </c>
    </row>
    <row r="4408" spans="1:5" ht="15.75" customHeight="1" x14ac:dyDescent="0.25">
      <c r="A4408" s="6" t="s">
        <v>4326</v>
      </c>
      <c r="B4408" s="6" t="str">
        <f ca="1">IFERROR(__xludf.DUMMYFUNCTION("GOOGLETRANSLATE(A4408,""bn"",""en"")"),"People will have your value as long as they need you")</f>
        <v>People will have your value as long as they need you</v>
      </c>
      <c r="C4408" s="8" t="s">
        <v>13</v>
      </c>
      <c r="D4408" s="8" t="s">
        <v>14</v>
      </c>
      <c r="E4408" s="8">
        <v>1</v>
      </c>
    </row>
    <row r="4409" spans="1:5" ht="15.75" customHeight="1" x14ac:dyDescent="0.25">
      <c r="A4409" s="6" t="s">
        <v>4327</v>
      </c>
      <c r="B4409" s="6" t="str">
        <f ca="1">IFERROR(__xludf.DUMMYFUNCTION("GOOGLETRANSLATE(A4409,""bn"",""en"")"),"Suman gave me a notebook")</f>
        <v>Suman gave me a notebook</v>
      </c>
      <c r="C4409" s="8" t="s">
        <v>13</v>
      </c>
      <c r="D4409" s="8" t="s">
        <v>14</v>
      </c>
      <c r="E4409" s="8">
        <v>1</v>
      </c>
    </row>
    <row r="4410" spans="1:5" ht="15.75" customHeight="1" x14ac:dyDescent="0.25">
      <c r="A4410" s="6" t="s">
        <v>4328</v>
      </c>
      <c r="B4410" s="6" t="str">
        <f ca="1">IFERROR(__xludf.DUMMYFUNCTION("GOOGLETRANSLATE(A4410,""bn"",""en"")"),"Rumi gave me food")</f>
        <v>Rumi gave me food</v>
      </c>
      <c r="C4410" s="8" t="s">
        <v>13</v>
      </c>
      <c r="D4410" s="8" t="s">
        <v>14</v>
      </c>
      <c r="E4410" s="8">
        <v>1</v>
      </c>
    </row>
    <row r="4411" spans="1:5" ht="15.75" customHeight="1" x14ac:dyDescent="0.25">
      <c r="A4411" s="6" t="s">
        <v>4329</v>
      </c>
      <c r="B4411" s="6" t="str">
        <f ca="1">IFERROR(__xludf.DUMMYFUNCTION("GOOGLETRANSLATE(A4411,""bn"",""en"")"),"i love my family")</f>
        <v>i love my family</v>
      </c>
      <c r="C4411" s="8" t="s">
        <v>13</v>
      </c>
      <c r="D4411" s="8" t="s">
        <v>14</v>
      </c>
      <c r="E4411" s="8">
        <v>1</v>
      </c>
    </row>
    <row r="4412" spans="1:5" ht="15.75" customHeight="1" x14ac:dyDescent="0.25">
      <c r="A4412" s="6" t="s">
        <v>4330</v>
      </c>
      <c r="B4412" s="6" t="str">
        <f ca="1">IFERROR(__xludf.DUMMYFUNCTION("GOOGLETRANSLATE(A4412,""bn"",""en"")"),"He started scolding himself again and again")</f>
        <v>He started scolding himself again and again</v>
      </c>
      <c r="C4412" s="7" t="s">
        <v>6</v>
      </c>
      <c r="D4412" s="7" t="s">
        <v>7</v>
      </c>
      <c r="E4412" s="7">
        <v>0</v>
      </c>
    </row>
    <row r="4413" spans="1:5" ht="15.75" customHeight="1" x14ac:dyDescent="0.25">
      <c r="A4413" s="6" t="s">
        <v>4331</v>
      </c>
      <c r="B4413" s="6" t="str">
        <f ca="1">IFERROR(__xludf.DUMMYFUNCTION("GOOGLETRANSLATE(A4413,""bn"",""en"")"),"Sumaiya went to them")</f>
        <v>Sumaiya went to them</v>
      </c>
      <c r="C4413" s="7" t="s">
        <v>6</v>
      </c>
      <c r="D4413" s="7" t="s">
        <v>7</v>
      </c>
      <c r="E4413" s="7">
        <v>0</v>
      </c>
    </row>
    <row r="4414" spans="1:5" ht="15.75" customHeight="1" x14ac:dyDescent="0.25">
      <c r="A4414" s="6" t="s">
        <v>4332</v>
      </c>
      <c r="B4414" s="6" t="str">
        <f ca="1">IFERROR(__xludf.DUMMYFUNCTION("GOOGLETRANSLATE(A4414,""bn"",""en"")"),"He realized his own mistake in no time")</f>
        <v>He realized his own mistake in no time</v>
      </c>
      <c r="C4414" s="7" t="s">
        <v>6</v>
      </c>
      <c r="D4414" s="7" t="s">
        <v>7</v>
      </c>
      <c r="E4414" s="7">
        <v>0</v>
      </c>
    </row>
    <row r="4415" spans="1:5" ht="15.75" customHeight="1" x14ac:dyDescent="0.25">
      <c r="A4415" s="6" t="s">
        <v>4333</v>
      </c>
      <c r="B4415" s="6" t="str">
        <f ca="1">IFERROR(__xludf.DUMMYFUNCTION("GOOGLETRANSLATE(A4415,""bn"",""en"")"),"He says stone oh stone oh stone please please kill me")</f>
        <v>He says stone oh stone oh stone please please kill me</v>
      </c>
      <c r="C4415" s="7" t="s">
        <v>6</v>
      </c>
      <c r="D4415" s="7" t="s">
        <v>7</v>
      </c>
      <c r="E4415" s="7">
        <v>0</v>
      </c>
    </row>
    <row r="4416" spans="1:5" ht="15.75" customHeight="1" x14ac:dyDescent="0.25">
      <c r="A4416" s="6" t="s">
        <v>4334</v>
      </c>
      <c r="B4416" s="6" t="str">
        <f ca="1">IFERROR(__xludf.DUMMYFUNCTION("GOOGLETRANSLATE(A4416,""bn"",""en"")"),"There is a race, they don't remember what Urang is, their marriage system is very old")</f>
        <v>There is a race, they don't remember what Urang is, their marriage system is very old</v>
      </c>
      <c r="C4416" s="7" t="s">
        <v>6</v>
      </c>
      <c r="D4416" s="7" t="s">
        <v>7</v>
      </c>
      <c r="E4416" s="7">
        <v>0</v>
      </c>
    </row>
    <row r="4417" spans="1:5" ht="15.75" customHeight="1" x14ac:dyDescent="0.25">
      <c r="A4417" s="6" t="s">
        <v>4335</v>
      </c>
      <c r="B4417" s="6" t="str">
        <f ca="1">IFERROR(__xludf.DUMMYFUNCTION("GOOGLETRANSLATE(A4417,""bn"",""en"")"),"Sustainable agriculture certification programs verify adherence to environmentally friendly agricultural practices")</f>
        <v>Sustainable agriculture certification programs verify adherence to environmentally friendly agricultural practices</v>
      </c>
      <c r="C4417" s="8" t="s">
        <v>13</v>
      </c>
      <c r="D4417" s="8" t="s">
        <v>14</v>
      </c>
      <c r="E4417" s="8">
        <v>1</v>
      </c>
    </row>
    <row r="4418" spans="1:5" ht="15.75" customHeight="1" x14ac:dyDescent="0.25">
      <c r="A4418" s="6" t="s">
        <v>4336</v>
      </c>
      <c r="B4418" s="6" t="str">
        <f ca="1">IFERROR(__xludf.DUMMYFUNCTION("GOOGLETRANSLATE(A4418,""bn"",""en"")"),"Entering the forbidden temples they encountered traps designed to thwart intruders at every turn")</f>
        <v>Entering the forbidden temples they encountered traps designed to thwart intruders at every turn</v>
      </c>
      <c r="C4418" s="8" t="s">
        <v>13</v>
      </c>
      <c r="D4418" s="8" t="s">
        <v>14</v>
      </c>
      <c r="E4418" s="8">
        <v>1</v>
      </c>
    </row>
    <row r="4419" spans="1:5" ht="15.75" customHeight="1" x14ac:dyDescent="0.25">
      <c r="A4419" s="6" t="s">
        <v>4337</v>
      </c>
      <c r="B4419" s="6" t="str">
        <f ca="1">IFERROR(__xludf.DUMMYFUNCTION("GOOGLETRANSLATE(A4419,""bn"",""en"")"),"I don't remember any of these")</f>
        <v>I don't remember any of these</v>
      </c>
      <c r="C4419" s="8" t="s">
        <v>13</v>
      </c>
      <c r="D4419" s="8" t="s">
        <v>14</v>
      </c>
      <c r="E4419" s="8">
        <v>1</v>
      </c>
    </row>
    <row r="4420" spans="1:5" ht="15.75" customHeight="1" x14ac:dyDescent="0.25">
      <c r="A4420" s="6" t="s">
        <v>4338</v>
      </c>
      <c r="B4420" s="6" t="str">
        <f ca="1">IFERROR(__xludf.DUMMYFUNCTION("GOOGLETRANSLATE(A4420,""bn"",""en"")"),"Don't let him get out of your reach")</f>
        <v>Don't let him get out of your reach</v>
      </c>
      <c r="C4420" s="8" t="s">
        <v>13</v>
      </c>
      <c r="D4420" s="8" t="s">
        <v>14</v>
      </c>
      <c r="E4420" s="8">
        <v>1</v>
      </c>
    </row>
    <row r="4421" spans="1:5" ht="15.75" customHeight="1" x14ac:dyDescent="0.25">
      <c r="A4421" s="6" t="s">
        <v>4339</v>
      </c>
      <c r="B4421" s="6" t="str">
        <f ca="1">IFERROR(__xludf.DUMMYFUNCTION("GOOGLETRANSLATE(A4421,""bn"",""en"")"),"Knee length piran")</f>
        <v>Knee length piran</v>
      </c>
      <c r="C4421" s="8" t="s">
        <v>13</v>
      </c>
      <c r="D4421" s="8" t="s">
        <v>14</v>
      </c>
      <c r="E4421" s="8">
        <v>1</v>
      </c>
    </row>
    <row r="4422" spans="1:5" ht="15.75" customHeight="1" x14ac:dyDescent="0.25">
      <c r="A4422" s="6" t="s">
        <v>4340</v>
      </c>
      <c r="B4422" s="6" t="str">
        <f ca="1">IFERROR(__xludf.DUMMYFUNCTION("GOOGLETRANSLATE(A4422,""bn"",""en"")"),"From where will people come at such a time")</f>
        <v>From where will people come at such a time</v>
      </c>
      <c r="C4422" s="7" t="s">
        <v>6</v>
      </c>
      <c r="D4422" s="7" t="s">
        <v>7</v>
      </c>
      <c r="E4422" s="7">
        <v>0</v>
      </c>
    </row>
    <row r="4423" spans="1:5" ht="15.75" customHeight="1" x14ac:dyDescent="0.25">
      <c r="A4423" s="6" t="s">
        <v>4341</v>
      </c>
      <c r="B4423" s="6" t="str">
        <f ca="1">IFERROR(__xludf.DUMMYFUNCTION("GOOGLETRANSLATE(A4423,""bn"",""en"")"),"The beauty of her childhood and the sweetness of her voice are gone")</f>
        <v>The beauty of her childhood and the sweetness of her voice are gone</v>
      </c>
      <c r="C4423" s="7" t="s">
        <v>6</v>
      </c>
      <c r="D4423" s="7" t="s">
        <v>7</v>
      </c>
      <c r="E4423" s="7">
        <v>0</v>
      </c>
    </row>
    <row r="4424" spans="1:5" ht="15.75" customHeight="1" x14ac:dyDescent="0.25">
      <c r="A4424" s="6" t="s">
        <v>2141</v>
      </c>
      <c r="B4424" s="6" t="str">
        <f ca="1">IFERROR(__xludf.DUMMYFUNCTION("GOOGLETRANSLATE(A4424,""bn"",""en"")"),"There is no intersection of forest everywhere on the mountain")</f>
        <v>There is no intersection of forest everywhere on the mountain</v>
      </c>
      <c r="C4424" s="7" t="s">
        <v>6</v>
      </c>
      <c r="D4424" s="7" t="s">
        <v>7</v>
      </c>
      <c r="E4424" s="7">
        <v>0</v>
      </c>
    </row>
    <row r="4425" spans="1:5" ht="15.75" customHeight="1" x14ac:dyDescent="0.25">
      <c r="A4425" s="6" t="s">
        <v>4342</v>
      </c>
      <c r="B4425" s="6" t="str">
        <f ca="1">IFERROR(__xludf.DUMMYFUNCTION("GOOGLETRANSLATE(A4425,""bn"",""en"")"),"In a short time, their wait was over")</f>
        <v>In a short time, their wait was over</v>
      </c>
      <c r="C4425" s="7" t="s">
        <v>6</v>
      </c>
      <c r="D4425" s="7" t="s">
        <v>7</v>
      </c>
      <c r="E4425" s="7">
        <v>0</v>
      </c>
    </row>
    <row r="4426" spans="1:5" ht="15.75" customHeight="1" x14ac:dyDescent="0.25">
      <c r="A4426" s="6" t="s">
        <v>4343</v>
      </c>
      <c r="B4426" s="6" t="str">
        <f ca="1">IFERROR(__xludf.DUMMYFUNCTION("GOOGLETRANSLATE(A4426,""bn"",""en"")"),"Tell me, you listen to me and bind me forever")</f>
        <v>Tell me, you listen to me and bind me forever</v>
      </c>
      <c r="C4426" s="7" t="s">
        <v>6</v>
      </c>
      <c r="D4426" s="7" t="s">
        <v>7</v>
      </c>
      <c r="E4426" s="7">
        <v>0</v>
      </c>
    </row>
    <row r="4427" spans="1:5" ht="15.75" customHeight="1" x14ac:dyDescent="0.25">
      <c r="A4427" s="6" t="s">
        <v>4344</v>
      </c>
      <c r="B4427" s="6" t="str">
        <f ca="1">IFERROR(__xludf.DUMMYFUNCTION("GOOGLETRANSLATE(A4427,""bn"",""en"")"),"My siblings are my partners in crime")</f>
        <v>My siblings are my partners in crime</v>
      </c>
      <c r="C4427" s="8" t="s">
        <v>13</v>
      </c>
      <c r="D4427" s="8" t="s">
        <v>14</v>
      </c>
      <c r="E4427" s="8">
        <v>1</v>
      </c>
    </row>
    <row r="4428" spans="1:5" ht="15.75" customHeight="1" x14ac:dyDescent="0.25">
      <c r="A4428" s="6" t="s">
        <v>4345</v>
      </c>
      <c r="B4428" s="6" t="str">
        <f ca="1">IFERROR(__xludf.DUMMYFUNCTION("GOOGLETRANSLATE(A4428,""bn"",""en"")"),"Hunting for elusive animals They hunt their prey through the wilderness with keen senses")</f>
        <v>Hunting for elusive animals They hunt their prey through the wilderness with keen senses</v>
      </c>
      <c r="C4428" s="8" t="s">
        <v>13</v>
      </c>
      <c r="D4428" s="8" t="s">
        <v>14</v>
      </c>
      <c r="E4428" s="8">
        <v>1</v>
      </c>
    </row>
    <row r="4429" spans="1:5" ht="15.75" customHeight="1" x14ac:dyDescent="0.25">
      <c r="A4429" s="6" t="s">
        <v>4346</v>
      </c>
      <c r="B4429" s="6" t="str">
        <f ca="1">IFERROR(__xludf.DUMMYFUNCTION("GOOGLETRANSLATE(A4429,""bn"",""en"")"),"Sustainable intensification strategies aim to increase yields while minimizing negative environmental impacts")</f>
        <v>Sustainable intensification strategies aim to increase yields while minimizing negative environmental impacts</v>
      </c>
      <c r="C4429" s="8" t="s">
        <v>13</v>
      </c>
      <c r="D4429" s="8" t="s">
        <v>14</v>
      </c>
      <c r="E4429" s="8">
        <v>1</v>
      </c>
    </row>
    <row r="4430" spans="1:5" ht="15.75" customHeight="1" x14ac:dyDescent="0.25">
      <c r="A4430" s="6" t="s">
        <v>4347</v>
      </c>
      <c r="B4430" s="6" t="str">
        <f ca="1">IFERROR(__xludf.DUMMYFUNCTION("GOOGLETRANSLATE(A4430,""bn"",""en"")"),"Invest in your relationships Prioritize quality time with loved ones They are the true source of happiness")</f>
        <v>Invest in your relationships Prioritize quality time with loved ones They are the true source of happiness</v>
      </c>
      <c r="C4430" s="8" t="s">
        <v>13</v>
      </c>
      <c r="D4430" s="8" t="s">
        <v>14</v>
      </c>
      <c r="E4430" s="8">
        <v>1</v>
      </c>
    </row>
    <row r="4431" spans="1:5" ht="15.75" customHeight="1" x14ac:dyDescent="0.25">
      <c r="A4431" s="6" t="s">
        <v>4348</v>
      </c>
      <c r="B4431" s="6" t="str">
        <f ca="1">IFERROR(__xludf.DUMMYFUNCTION("GOOGLETRANSLATE(A4431,""bn"",""en"")"),"I wrote him a letter a long time ago")</f>
        <v>I wrote him a letter a long time ago</v>
      </c>
      <c r="C4431" s="8" t="s">
        <v>13</v>
      </c>
      <c r="D4431" s="8" t="s">
        <v>14</v>
      </c>
      <c r="E4431" s="8">
        <v>1</v>
      </c>
    </row>
    <row r="4432" spans="1:5" ht="15.75" customHeight="1" x14ac:dyDescent="0.25">
      <c r="A4432" s="6" t="s">
        <v>4349</v>
      </c>
      <c r="B4432" s="6" t="str">
        <f ca="1">IFERROR(__xludf.DUMMYFUNCTION("GOOGLETRANSLATE(A4432,""bn"",""en"")"),"The diet is not exactly according to Hinduism")</f>
        <v>The diet is not exactly according to Hinduism</v>
      </c>
      <c r="C4432" s="7" t="s">
        <v>6</v>
      </c>
      <c r="D4432" s="7" t="s">
        <v>7</v>
      </c>
      <c r="E4432" s="7">
        <v>0</v>
      </c>
    </row>
    <row r="4433" spans="1:5" ht="15.75" customHeight="1" x14ac:dyDescent="0.25">
      <c r="A4433" s="6" t="s">
        <v>4350</v>
      </c>
      <c r="B4433" s="6" t="str">
        <f ca="1">IFERROR(__xludf.DUMMYFUNCTION("GOOGLETRANSLATE(A4433,""bn"",""en"")"),"Rumi started to smile seeing me")</f>
        <v>Rumi started to smile seeing me</v>
      </c>
      <c r="C4433" s="7" t="s">
        <v>6</v>
      </c>
      <c r="D4433" s="7" t="s">
        <v>7</v>
      </c>
      <c r="E4433" s="7">
        <v>0</v>
      </c>
    </row>
    <row r="4434" spans="1:5" ht="15.75" customHeight="1" x14ac:dyDescent="0.25">
      <c r="A4434" s="6" t="s">
        <v>4351</v>
      </c>
      <c r="B4434" s="6" t="str">
        <f ca="1">IFERROR(__xludf.DUMMYFUNCTION("GOOGLETRANSLATE(A4434,""bn"",""en"")"),"Fearing bad news, Raja Lakshmi's chest suddenly trembled")</f>
        <v>Fearing bad news, Raja Lakshmi's chest suddenly trembled</v>
      </c>
      <c r="C4434" s="7" t="s">
        <v>6</v>
      </c>
      <c r="D4434" s="7" t="s">
        <v>7</v>
      </c>
      <c r="E4434" s="7">
        <v>0</v>
      </c>
    </row>
    <row r="4435" spans="1:5" ht="15.75" customHeight="1" x14ac:dyDescent="0.25">
      <c r="A4435" s="6" t="s">
        <v>16</v>
      </c>
      <c r="B4435" s="6" t="str">
        <f ca="1">IFERROR(__xludf.DUMMYFUNCTION("GOOGLETRANSLATE(A4435,""bn"",""en"")"),"Various news of freedom movement were printed in newspapers")</f>
        <v>Various news of freedom movement were printed in newspapers</v>
      </c>
      <c r="C4435" s="7" t="s">
        <v>6</v>
      </c>
      <c r="D4435" s="7" t="s">
        <v>7</v>
      </c>
      <c r="E4435" s="7">
        <v>0</v>
      </c>
    </row>
    <row r="4436" spans="1:5" ht="15.75" customHeight="1" x14ac:dyDescent="0.25">
      <c r="A4436" s="6" t="s">
        <v>4352</v>
      </c>
      <c r="B4436" s="6" t="str">
        <f ca="1">IFERROR(__xludf.DUMMYFUNCTION("GOOGLETRANSLATE(A4436,""bn"",""en"")"),"His shameless slowness made Mokshada absolutely furious")</f>
        <v>His shameless slowness made Mokshada absolutely furious</v>
      </c>
      <c r="C4436" s="7" t="s">
        <v>6</v>
      </c>
      <c r="D4436" s="7" t="s">
        <v>7</v>
      </c>
      <c r="E4436" s="7">
        <v>0</v>
      </c>
    </row>
    <row r="4437" spans="1:5" ht="15.75" customHeight="1" x14ac:dyDescent="0.25">
      <c r="A4437" s="6" t="s">
        <v>4353</v>
      </c>
      <c r="B4437" s="6" t="str">
        <f ca="1">IFERROR(__xludf.DUMMYFUNCTION("GOOGLETRANSLATE(A4437,""bn"",""en"")"),"White collar crime involves non-violent crimes committed for financial gain")</f>
        <v>White collar crime involves non-violent crimes committed for financial gain</v>
      </c>
      <c r="C4437" s="8" t="s">
        <v>13</v>
      </c>
      <c r="D4437" s="8" t="s">
        <v>14</v>
      </c>
      <c r="E4437" s="8">
        <v>1</v>
      </c>
    </row>
    <row r="4438" spans="1:5" ht="15.75" customHeight="1" x14ac:dyDescent="0.25">
      <c r="A4438" s="6" t="s">
        <v>4354</v>
      </c>
      <c r="B4438" s="6" t="str">
        <f ca="1">IFERROR(__xludf.DUMMYFUNCTION("GOOGLETRANSLATE(A4438,""bn"",""en"")"),"Join our online community")</f>
        <v>Join our online community</v>
      </c>
      <c r="C4438" s="8" t="s">
        <v>13</v>
      </c>
      <c r="D4438" s="8" t="s">
        <v>14</v>
      </c>
      <c r="E4438" s="8">
        <v>1</v>
      </c>
    </row>
    <row r="4439" spans="1:5" ht="15.75" customHeight="1" x14ac:dyDescent="0.25">
      <c r="A4439" s="6" t="s">
        <v>4355</v>
      </c>
      <c r="B4439" s="6" t="str">
        <f ca="1">IFERROR(__xludf.DUMMYFUNCTION("GOOGLETRANSLATE(A4439,""bn"",""en"")"),"Take ownership of your choice and their results")</f>
        <v>Take ownership of your choice and their results</v>
      </c>
      <c r="C4439" s="8" t="s">
        <v>13</v>
      </c>
      <c r="D4439" s="8" t="s">
        <v>14</v>
      </c>
      <c r="E4439" s="8">
        <v>1</v>
      </c>
    </row>
    <row r="4440" spans="1:5" ht="15.75" customHeight="1" x14ac:dyDescent="0.25">
      <c r="A4440" s="6" t="s">
        <v>4356</v>
      </c>
      <c r="B4440" s="6" t="str">
        <f ca="1">IFERROR(__xludf.DUMMYFUNCTION("GOOGLETRANSLATE(A4440,""bn"",""en"")"),"The thrill of the unknown is the driving force behind many adventures")</f>
        <v>The thrill of the unknown is the driving force behind many adventures</v>
      </c>
      <c r="C4440" s="8" t="s">
        <v>13</v>
      </c>
      <c r="D4440" s="8" t="s">
        <v>14</v>
      </c>
      <c r="E4440" s="8">
        <v>1</v>
      </c>
    </row>
    <row r="4441" spans="1:5" ht="15.75" customHeight="1" x14ac:dyDescent="0.25">
      <c r="A4441" s="6" t="s">
        <v>4357</v>
      </c>
      <c r="B4441" s="6" t="str">
        <f ca="1">IFERROR(__xludf.DUMMYFUNCTION("GOOGLETRANSLATE(A4441,""bn"",""en"")"),"Breakfast pancakes start the day right")</f>
        <v>Breakfast pancakes start the day right</v>
      </c>
      <c r="C4441" s="8" t="s">
        <v>13</v>
      </c>
      <c r="D4441" s="8" t="s">
        <v>14</v>
      </c>
      <c r="E4441" s="8">
        <v>1</v>
      </c>
    </row>
    <row r="4442" spans="1:5" ht="15.75" customHeight="1" x14ac:dyDescent="0.25">
      <c r="A4442" s="6" t="s">
        <v>4358</v>
      </c>
      <c r="B4442" s="6" t="str">
        <f ca="1">IFERROR(__xludf.DUMMYFUNCTION("GOOGLETRANSLATE(A4442,""bn"",""en"")"),"He wanted to speak his mind today")</f>
        <v>He wanted to speak his mind today</v>
      </c>
      <c r="C4442" s="7" t="s">
        <v>6</v>
      </c>
      <c r="D4442" s="7" t="s">
        <v>7</v>
      </c>
      <c r="E4442" s="7">
        <v>0</v>
      </c>
    </row>
    <row r="4443" spans="1:5" ht="15.75" customHeight="1" x14ac:dyDescent="0.25">
      <c r="A4443" s="6" t="s">
        <v>4359</v>
      </c>
      <c r="B4443" s="6" t="str">
        <f ca="1">IFERROR(__xludf.DUMMYFUNCTION("GOOGLETRANSLATE(A4443,""bn"",""en"")"),"Sasi's cremation in the cremation does not come with dispassion")</f>
        <v>Sasi's cremation in the cremation does not come with dispassion</v>
      </c>
      <c r="C4443" s="7" t="s">
        <v>6</v>
      </c>
      <c r="D4443" s="7" t="s">
        <v>7</v>
      </c>
      <c r="E4443" s="7">
        <v>0</v>
      </c>
    </row>
    <row r="4444" spans="1:5" ht="15.75" customHeight="1" x14ac:dyDescent="0.25">
      <c r="A4444" s="6" t="s">
        <v>4360</v>
      </c>
      <c r="B4444" s="6" t="str">
        <f ca="1">IFERROR(__xludf.DUMMYFUNCTION("GOOGLETRANSLATE(A4444,""bn"",""en"")"),"Referring to a common Bengali proverb, he said that he does not want to make his hands stink for a small reason")</f>
        <v>Referring to a common Bengali proverb, he said that he does not want to make his hands stink for a small reason</v>
      </c>
      <c r="C4444" s="7" t="s">
        <v>6</v>
      </c>
      <c r="D4444" s="7" t="s">
        <v>7</v>
      </c>
      <c r="E4444" s="7">
        <v>0</v>
      </c>
    </row>
    <row r="4445" spans="1:5" ht="15.75" customHeight="1" x14ac:dyDescent="0.25">
      <c r="A4445" s="6" t="s">
        <v>858</v>
      </c>
      <c r="B4445" s="6" t="str">
        <f ca="1">IFERROR(__xludf.DUMMYFUNCTION("GOOGLETRANSLATE(A4445,""bn"",""en"")"),"The discussion that was started was not finished")</f>
        <v>The discussion that was started was not finished</v>
      </c>
      <c r="C4445" s="7" t="s">
        <v>6</v>
      </c>
      <c r="D4445" s="7" t="s">
        <v>7</v>
      </c>
      <c r="E4445" s="7">
        <v>0</v>
      </c>
    </row>
    <row r="4446" spans="1:5" ht="15.75" customHeight="1" x14ac:dyDescent="0.25">
      <c r="A4446" s="6" t="s">
        <v>4361</v>
      </c>
      <c r="B4446" s="6" t="str">
        <f ca="1">IFERROR(__xludf.DUMMYFUNCTION("GOOGLETRANSLATE(A4446,""bn"",""en"")"),"I have to change the tin of my house")</f>
        <v>I have to change the tin of my house</v>
      </c>
      <c r="C4446" s="7" t="s">
        <v>6</v>
      </c>
      <c r="D4446" s="7" t="s">
        <v>7</v>
      </c>
      <c r="E4446" s="7">
        <v>0</v>
      </c>
    </row>
    <row r="4447" spans="1:5" ht="15.75" customHeight="1" x14ac:dyDescent="0.25">
      <c r="A4447" s="6" t="s">
        <v>4362</v>
      </c>
      <c r="B4447" s="6" t="str">
        <f ca="1">IFERROR(__xludf.DUMMYFUNCTION("GOOGLETRANSLATE(A4447,""bn"",""en"")"),"I was mesmerized by her beauty")</f>
        <v>I was mesmerized by her beauty</v>
      </c>
      <c r="C4447" s="8" t="s">
        <v>13</v>
      </c>
      <c r="D4447" s="8" t="s">
        <v>14</v>
      </c>
      <c r="E4447" s="8">
        <v>1</v>
      </c>
    </row>
    <row r="4448" spans="1:5" ht="15.75" customHeight="1" x14ac:dyDescent="0.25">
      <c r="A4448" s="6" t="s">
        <v>4363</v>
      </c>
      <c r="B4448" s="6" t="str">
        <f ca="1">IFERROR(__xludf.DUMMYFUNCTION("GOOGLETRANSLATE(A4448,""bn"",""en"")"),"I came to you")</f>
        <v>I came to you</v>
      </c>
      <c r="C4448" s="8" t="s">
        <v>13</v>
      </c>
      <c r="D4448" s="8" t="s">
        <v>14</v>
      </c>
      <c r="E4448" s="8">
        <v>1</v>
      </c>
    </row>
    <row r="4449" spans="1:5" ht="15.75" customHeight="1" x14ac:dyDescent="0.25">
      <c r="A4449" s="6" t="s">
        <v>4364</v>
      </c>
      <c r="B4449" s="6" t="str">
        <f ca="1">IFERROR(__xludf.DUMMYFUNCTION("GOOGLETRANSLATE(A4449,""bn"",""en"")"),"I saw him standing there alone")</f>
        <v>I saw him standing there alone</v>
      </c>
      <c r="C4449" s="8" t="s">
        <v>13</v>
      </c>
      <c r="D4449" s="8" t="s">
        <v>14</v>
      </c>
      <c r="E4449" s="8">
        <v>1</v>
      </c>
    </row>
    <row r="4450" spans="1:5" ht="15.75" customHeight="1" x14ac:dyDescent="0.25">
      <c r="A4450" s="6" t="s">
        <v>4365</v>
      </c>
      <c r="B4450" s="6" t="str">
        <f ca="1">IFERROR(__xludf.DUMMYFUNCTION("GOOGLETRANSLATE(A4450,""bn"",""en"")"),"Suman told me to go")</f>
        <v>Suman told me to go</v>
      </c>
      <c r="C4450" s="8" t="s">
        <v>13</v>
      </c>
      <c r="D4450" s="8" t="s">
        <v>14</v>
      </c>
      <c r="E4450" s="8">
        <v>1</v>
      </c>
    </row>
    <row r="4451" spans="1:5" ht="15.75" customHeight="1" x14ac:dyDescent="0.25">
      <c r="A4451" s="6" t="s">
        <v>4366</v>
      </c>
      <c r="B4451" s="6" t="str">
        <f ca="1">IFERROR(__xludf.DUMMYFUNCTION("GOOGLETRANSLATE(A4451,""bn"",""en"")"),"Halfway through the night his watchful sleep was broken by his mother's call")</f>
        <v>Halfway through the night his watchful sleep was broken by his mother's call</v>
      </c>
      <c r="C4451" s="8" t="s">
        <v>13</v>
      </c>
      <c r="D4451" s="8" t="s">
        <v>14</v>
      </c>
      <c r="E4451" s="8">
        <v>1</v>
      </c>
    </row>
    <row r="4452" spans="1:5" ht="15.75" customHeight="1" x14ac:dyDescent="0.25">
      <c r="A4452" s="6" t="s">
        <v>4367</v>
      </c>
      <c r="B4452" s="6" t="str">
        <f ca="1">IFERROR(__xludf.DUMMYFUNCTION("GOOGLETRANSLATE(A4452,""bn"",""en"")"),"I raised my gun with a smile for China's sake")</f>
        <v>I raised my gun with a smile for China's sake</v>
      </c>
      <c r="C4452" s="7" t="s">
        <v>6</v>
      </c>
      <c r="D4452" s="7" t="s">
        <v>7</v>
      </c>
      <c r="E4452" s="7">
        <v>0</v>
      </c>
    </row>
    <row r="4453" spans="1:5" ht="15.75" customHeight="1" x14ac:dyDescent="0.25">
      <c r="A4453" s="6" t="s">
        <v>4368</v>
      </c>
      <c r="B4453" s="6" t="str">
        <f ca="1">IFERROR(__xludf.DUMMYFUNCTION("GOOGLETRANSLATE(A4453,""bn"",""en"")"),"This is not the money given by the mother")</f>
        <v>This is not the money given by the mother</v>
      </c>
      <c r="C4453" s="7" t="s">
        <v>6</v>
      </c>
      <c r="D4453" s="7" t="s">
        <v>7</v>
      </c>
      <c r="E4453" s="7">
        <v>0</v>
      </c>
    </row>
    <row r="4454" spans="1:5" ht="15.75" customHeight="1" x14ac:dyDescent="0.25">
      <c r="A4454" s="6" t="s">
        <v>4369</v>
      </c>
      <c r="B4454" s="6" t="str">
        <f ca="1">IFERROR(__xludf.DUMMYFUNCTION("GOOGLETRANSLATE(A4454,""bn"",""en"")"),"He moved a little more in it and occupied the seat quite permanently")</f>
        <v>He moved a little more in it and occupied the seat quite permanently</v>
      </c>
      <c r="C4454" s="7" t="s">
        <v>6</v>
      </c>
      <c r="D4454" s="7" t="s">
        <v>7</v>
      </c>
      <c r="E4454" s="7">
        <v>0</v>
      </c>
    </row>
    <row r="4455" spans="1:5" ht="15.75" customHeight="1" x14ac:dyDescent="0.25">
      <c r="A4455" s="6" t="s">
        <v>4370</v>
      </c>
      <c r="B4455" s="6" t="str">
        <f ca="1">IFERROR(__xludf.DUMMYFUNCTION("GOOGLETRANSLATE(A4455,""bn"",""en"")"),"Shashi didn't get upset and was distracted")</f>
        <v>Shashi didn't get upset and was distracted</v>
      </c>
      <c r="C4455" s="7" t="s">
        <v>6</v>
      </c>
      <c r="D4455" s="7" t="s">
        <v>7</v>
      </c>
      <c r="E4455" s="7">
        <v>0</v>
      </c>
    </row>
    <row r="4456" spans="1:5" ht="15.75" customHeight="1" x14ac:dyDescent="0.25">
      <c r="A4456" s="6" t="s">
        <v>4371</v>
      </c>
      <c r="B4456" s="6" t="str">
        <f ca="1">IFERROR(__xludf.DUMMYFUNCTION("GOOGLETRANSLATE(A4456,""bn"",""en"")"),"Until then, the Santals have been living there for a long time, but it is not heard that they have lost their roots.")</f>
        <v>Until then, the Santals have been living there for a long time, but it is not heard that they have lost their roots.</v>
      </c>
      <c r="C4456" s="7" t="s">
        <v>6</v>
      </c>
      <c r="D4456" s="7" t="s">
        <v>7</v>
      </c>
      <c r="E4456" s="7">
        <v>0</v>
      </c>
    </row>
    <row r="4457" spans="1:5" ht="15.75" customHeight="1" x14ac:dyDescent="0.25">
      <c r="A4457" s="6" t="s">
        <v>4372</v>
      </c>
      <c r="B4457" s="6" t="str">
        <f ca="1">IFERROR(__xludf.DUMMYFUNCTION("GOOGLETRANSLATE(A4457,""bn"",""en"")"),"Accomplishing long-term goals brings satisfaction")</f>
        <v>Accomplishing long-term goals brings satisfaction</v>
      </c>
      <c r="C4457" s="8" t="s">
        <v>13</v>
      </c>
      <c r="D4457" s="8" t="s">
        <v>14</v>
      </c>
      <c r="E4457" s="8">
        <v>1</v>
      </c>
    </row>
    <row r="4458" spans="1:5" ht="15.75" customHeight="1" x14ac:dyDescent="0.25">
      <c r="A4458" s="6" t="s">
        <v>4373</v>
      </c>
      <c r="B4458" s="6" t="str">
        <f ca="1">IFERROR(__xludf.DUMMYFUNCTION("GOOGLETRANSLATE(A4458,""bn"",""en"")"),"Bank tellers process deposit withdrawals for customers")</f>
        <v>Bank tellers process deposit withdrawals for customers</v>
      </c>
      <c r="C4458" s="8" t="s">
        <v>13</v>
      </c>
      <c r="D4458" s="8" t="s">
        <v>14</v>
      </c>
      <c r="E4458" s="8">
        <v>1</v>
      </c>
    </row>
    <row r="4459" spans="1:5" ht="15.75" customHeight="1" x14ac:dyDescent="0.25">
      <c r="A4459" s="6" t="s">
        <v>4374</v>
      </c>
      <c r="B4459" s="6" t="str">
        <f ca="1">IFERROR(__xludf.DUMMYFUNCTION("GOOGLETRANSLATE(A4459,""bn"",""en"")"),"I always want to be happy")</f>
        <v>I always want to be happy</v>
      </c>
      <c r="C4459" s="8" t="s">
        <v>13</v>
      </c>
      <c r="D4459" s="8" t="s">
        <v>14</v>
      </c>
      <c r="E4459" s="8">
        <v>1</v>
      </c>
    </row>
    <row r="4460" spans="1:5" ht="15.75" customHeight="1" x14ac:dyDescent="0.25">
      <c r="A4460" s="6" t="s">
        <v>4375</v>
      </c>
      <c r="B4460" s="6" t="str">
        <f ca="1">IFERROR(__xludf.DUMMYFUNCTION("GOOGLETRANSLATE(A4460,""bn"",""en"")"),"Rubina wasted a lot of food")</f>
        <v>Rubina wasted a lot of food</v>
      </c>
      <c r="C4460" s="8" t="s">
        <v>13</v>
      </c>
      <c r="D4460" s="8" t="s">
        <v>14</v>
      </c>
      <c r="E4460" s="8">
        <v>1</v>
      </c>
    </row>
    <row r="4461" spans="1:5" ht="15.75" customHeight="1" x14ac:dyDescent="0.25">
      <c r="A4461" s="6" t="s">
        <v>4376</v>
      </c>
      <c r="B4461" s="6" t="str">
        <f ca="1">IFERROR(__xludf.DUMMYFUNCTION("GOOGLETRANSLATE(A4461,""bn"",""en"")"),"He brought up his younger brother almost in his arms")</f>
        <v>He brought up his younger brother almost in his arms</v>
      </c>
      <c r="C4461" s="8" t="s">
        <v>13</v>
      </c>
      <c r="D4461" s="8" t="s">
        <v>14</v>
      </c>
      <c r="E4461" s="8">
        <v>1</v>
      </c>
    </row>
    <row r="4462" spans="1:5" ht="15.75" customHeight="1" x14ac:dyDescent="0.25">
      <c r="A4462" s="6" t="s">
        <v>4377</v>
      </c>
      <c r="B4462" s="6" t="str">
        <f ca="1">IFERROR(__xludf.DUMMYFUNCTION("GOOGLETRANSLATE(A4462,""bn"",""en"")"),"We didn't think you were roaming the streets")</f>
        <v>We didn't think you were roaming the streets</v>
      </c>
      <c r="C4462" s="7" t="s">
        <v>6</v>
      </c>
      <c r="D4462" s="7" t="s">
        <v>7</v>
      </c>
      <c r="E4462" s="7">
        <v>0</v>
      </c>
    </row>
    <row r="4463" spans="1:5" ht="15.75" customHeight="1" x14ac:dyDescent="0.25">
      <c r="A4463" s="6" t="s">
        <v>4378</v>
      </c>
      <c r="B4463" s="6" t="str">
        <f ca="1">IFERROR(__xludf.DUMMYFUNCTION("GOOGLETRANSLATE(A4463,""bn"",""en"")"),"He went to the lion and sat down and said, ""It's hard, old lady.""")</f>
        <v>He went to the lion and sat down and said, "It's hard, old lady."</v>
      </c>
      <c r="C4463" s="7" t="s">
        <v>6</v>
      </c>
      <c r="D4463" s="7" t="s">
        <v>7</v>
      </c>
      <c r="E4463" s="7">
        <v>0</v>
      </c>
    </row>
    <row r="4464" spans="1:5" ht="15.75" customHeight="1" x14ac:dyDescent="0.25">
      <c r="A4464" s="6" t="s">
        <v>4379</v>
      </c>
      <c r="B4464" s="6" t="str">
        <f ca="1">IFERROR(__xludf.DUMMYFUNCTION("GOOGLETRANSLATE(A4464,""bn"",""en"")"),"Why not, there was an excess of palandus")</f>
        <v>Why not, there was an excess of palandus</v>
      </c>
      <c r="C4464" s="7" t="s">
        <v>6</v>
      </c>
      <c r="D4464" s="7" t="s">
        <v>7</v>
      </c>
      <c r="E4464" s="7">
        <v>0</v>
      </c>
    </row>
    <row r="4465" spans="1:5" ht="15.75" customHeight="1" x14ac:dyDescent="0.25">
      <c r="A4465" s="6" t="s">
        <v>3785</v>
      </c>
      <c r="B4465" s="6" t="str">
        <f ca="1">IFERROR(__xludf.DUMMYFUNCTION("GOOGLETRANSLATE(A4465,""bn"",""en"")"),"These rocky boys looked particularly beautiful in such a place that they were useful")</f>
        <v>These rocky boys looked particularly beautiful in such a place that they were useful</v>
      </c>
      <c r="C4465" s="7" t="s">
        <v>6</v>
      </c>
      <c r="D4465" s="7" t="s">
        <v>7</v>
      </c>
      <c r="E4465" s="7">
        <v>0</v>
      </c>
    </row>
    <row r="4466" spans="1:5" ht="15.75" customHeight="1" x14ac:dyDescent="0.25">
      <c r="A4466" s="6" t="s">
        <v>4380</v>
      </c>
      <c r="B4466" s="6" t="str">
        <f ca="1">IFERROR(__xludf.DUMMYFUNCTION("GOOGLETRANSLATE(A4466,""bn"",""en"")"),"Don't praise too much, the old man will sit and listen to you old things")</f>
        <v>Don't praise too much, the old man will sit and listen to you old things</v>
      </c>
      <c r="C4466" s="7" t="s">
        <v>6</v>
      </c>
      <c r="D4466" s="7" t="s">
        <v>7</v>
      </c>
      <c r="E4466" s="7">
        <v>0</v>
      </c>
    </row>
    <row r="4467" spans="1:5" ht="15.75" customHeight="1" x14ac:dyDescent="0.25">
      <c r="A4467" s="6" t="s">
        <v>4381</v>
      </c>
      <c r="B4467" s="6" t="str">
        <f ca="1">IFERROR(__xludf.DUMMYFUNCTION("GOOGLETRANSLATE(A4467,""bn"",""en"")"),"He wants to participate in new campaigns")</f>
        <v>He wants to participate in new campaigns</v>
      </c>
      <c r="C4467" s="8" t="s">
        <v>13</v>
      </c>
      <c r="D4467" s="8" t="s">
        <v>14</v>
      </c>
      <c r="E4467" s="8">
        <v>1</v>
      </c>
    </row>
    <row r="4468" spans="1:5" ht="15.75" customHeight="1" x14ac:dyDescent="0.25">
      <c r="A4468" s="6" t="s">
        <v>4382</v>
      </c>
      <c r="B4468" s="6" t="str">
        <f ca="1">IFERROR(__xludf.DUMMYFUNCTION("GOOGLETRANSLATE(A4468,""bn"",""en"")"),"My brother is working in the field")</f>
        <v>My brother is working in the field</v>
      </c>
      <c r="C4468" s="8" t="s">
        <v>13</v>
      </c>
      <c r="D4468" s="8" t="s">
        <v>14</v>
      </c>
      <c r="E4468" s="8">
        <v>1</v>
      </c>
    </row>
    <row r="4469" spans="1:5" ht="15.75" customHeight="1" x14ac:dyDescent="0.25">
      <c r="A4469" s="6" t="s">
        <v>4383</v>
      </c>
      <c r="B4469" s="6" t="str">
        <f ca="1">IFERROR(__xludf.DUMMYFUNCTION("GOOGLETRANSLATE(A4469,""bn"",""en"")"),"My neighbor just got a moped it's perfect for zipping around town")</f>
        <v>My neighbor just got a moped it's perfect for zipping around town</v>
      </c>
      <c r="C4469" s="8" t="s">
        <v>13</v>
      </c>
      <c r="D4469" s="8" t="s">
        <v>14</v>
      </c>
      <c r="E4469" s="8">
        <v>1</v>
      </c>
    </row>
    <row r="4470" spans="1:5" ht="15.75" customHeight="1" x14ac:dyDescent="0.25">
      <c r="A4470" s="6" t="s">
        <v>4384</v>
      </c>
      <c r="B4470" s="6" t="str">
        <f ca="1">IFERROR(__xludf.DUMMYFUNCTION("GOOGLETRANSLATE(A4470,""bn"",""en"")"),"Private Lower Secondary School: T")</f>
        <v>Private Lower Secondary School: T</v>
      </c>
      <c r="C4470" s="8" t="s">
        <v>13</v>
      </c>
      <c r="D4470" s="8" t="s">
        <v>14</v>
      </c>
      <c r="E4470" s="8">
        <v>1</v>
      </c>
    </row>
    <row r="4471" spans="1:5" ht="15.75" customHeight="1" x14ac:dyDescent="0.25">
      <c r="A4471" s="6" t="s">
        <v>4385</v>
      </c>
      <c r="B4471" s="6" t="str">
        <f ca="1">IFERROR(__xludf.DUMMYFUNCTION("GOOGLETRANSLATE(A4471,""bn"",""en"")"),"Mim was listening to us")</f>
        <v>Mim was listening to us</v>
      </c>
      <c r="C4471" s="8" t="s">
        <v>13</v>
      </c>
      <c r="D4471" s="8" t="s">
        <v>14</v>
      </c>
      <c r="E4471" s="8">
        <v>1</v>
      </c>
    </row>
    <row r="4472" spans="1:5" ht="15.75" customHeight="1" x14ac:dyDescent="0.25">
      <c r="A4472" s="6" t="s">
        <v>4386</v>
      </c>
      <c r="B4472" s="6" t="str">
        <f ca="1">IFERROR(__xludf.DUMMYFUNCTION("GOOGLETRANSLATE(A4472,""bn"",""en"")"),"They gave me story books")</f>
        <v>They gave me story books</v>
      </c>
      <c r="C4472" s="7" t="s">
        <v>6</v>
      </c>
      <c r="D4472" s="7" t="s">
        <v>7</v>
      </c>
      <c r="E4472" s="7">
        <v>0</v>
      </c>
    </row>
    <row r="4473" spans="1:5" ht="15.75" customHeight="1" x14ac:dyDescent="0.25">
      <c r="A4473" s="6" t="s">
        <v>4387</v>
      </c>
      <c r="B4473" s="6" t="str">
        <f ca="1">IFERROR(__xludf.DUMMYFUNCTION("GOOGLETRANSLATE(A4473,""bn"",""en"")"),"There is no market in my house now")</f>
        <v>There is no market in my house now</v>
      </c>
      <c r="C4473" s="7" t="s">
        <v>6</v>
      </c>
      <c r="D4473" s="7" t="s">
        <v>7</v>
      </c>
      <c r="E4473" s="7">
        <v>0</v>
      </c>
    </row>
    <row r="4474" spans="1:5" ht="15.75" customHeight="1" x14ac:dyDescent="0.25">
      <c r="A4474" s="6" t="s">
        <v>4388</v>
      </c>
      <c r="B4474" s="6" t="str">
        <f ca="1">IFERROR(__xludf.DUMMYFUNCTION("GOOGLETRANSLATE(A4474,""bn"",""en"")"),"The old men sit motionless on high earthen platforms at the roots of trees")</f>
        <v>The old men sit motionless on high earthen platforms at the roots of trees</v>
      </c>
      <c r="C4474" s="7" t="s">
        <v>6</v>
      </c>
      <c r="D4474" s="7" t="s">
        <v>7</v>
      </c>
      <c r="E4474" s="7">
        <v>0</v>
      </c>
    </row>
    <row r="4475" spans="1:5" ht="15.75" customHeight="1" x14ac:dyDescent="0.25">
      <c r="A4475" s="6" t="s">
        <v>4389</v>
      </c>
      <c r="B4475" s="6" t="str">
        <f ca="1">IFERROR(__xludf.DUMMYFUNCTION("GOOGLETRANSLATE(A4475,""bn"",""en"")"),"In the blink of an eye, Behari pressed the two feet of Prabhu and said, ""Don't say it, baby.""")</f>
        <v>In the blink of an eye, Behari pressed the two feet of Prabhu and said, "Don't say it, baby."</v>
      </c>
      <c r="C4475" s="7" t="s">
        <v>6</v>
      </c>
      <c r="D4475" s="7" t="s">
        <v>7</v>
      </c>
      <c r="E4475" s="7">
        <v>0</v>
      </c>
    </row>
    <row r="4476" spans="1:5" ht="15.75" customHeight="1" x14ac:dyDescent="0.25">
      <c r="A4476" s="6" t="s">
        <v>4390</v>
      </c>
      <c r="B4476" s="6" t="str">
        <f ca="1">IFERROR(__xludf.DUMMYFUNCTION("GOOGLETRANSLATE(A4476,""bn"",""en"")"),"After evening I saw the boys sitting at the table studying in front of the teacher")</f>
        <v>After evening I saw the boys sitting at the table studying in front of the teacher</v>
      </c>
      <c r="C4476" s="7" t="s">
        <v>6</v>
      </c>
      <c r="D4476" s="7" t="s">
        <v>7</v>
      </c>
      <c r="E4476" s="7">
        <v>0</v>
      </c>
    </row>
    <row r="4477" spans="1:5" ht="15.75" customHeight="1" x14ac:dyDescent="0.25">
      <c r="A4477" s="6" t="s">
        <v>4391</v>
      </c>
      <c r="B4477" s="6" t="str">
        <f ca="1">IFERROR(__xludf.DUMMYFUNCTION("GOOGLETRANSLATE(A4477,""bn"",""en"")"),"Grahavarma was killed by Devagupta")</f>
        <v>Grahavarma was killed by Devagupta</v>
      </c>
      <c r="C4477" s="8" t="s">
        <v>13</v>
      </c>
      <c r="D4477" s="8" t="s">
        <v>14</v>
      </c>
      <c r="E4477" s="8">
        <v>1</v>
      </c>
    </row>
    <row r="4478" spans="1:5" ht="15.75" customHeight="1" x14ac:dyDescent="0.25">
      <c r="A4478" s="6" t="s">
        <v>4392</v>
      </c>
      <c r="B4478" s="6" t="str">
        <f ca="1">IFERROR(__xludf.DUMMYFUNCTION("GOOGLETRANSLATE(A4478,""bn"",""en"")"),"are you going to sleep")</f>
        <v>are you going to sleep</v>
      </c>
      <c r="C4478" s="8" t="s">
        <v>13</v>
      </c>
      <c r="D4478" s="8" t="s">
        <v>14</v>
      </c>
      <c r="E4478" s="8">
        <v>1</v>
      </c>
    </row>
    <row r="4479" spans="1:5" ht="15.75" customHeight="1" x14ac:dyDescent="0.25">
      <c r="A4479" s="6" t="s">
        <v>4393</v>
      </c>
      <c r="B4479" s="6" t="str">
        <f ca="1">IFERROR(__xludf.DUMMYFUNCTION("GOOGLETRANSLATE(A4479,""bn"",""en"")"),"Deep Brain Stimulation DBS is a surgical procedure used to treat symptoms of Parkinson's disease and other movement disorders.")</f>
        <v>Deep Brain Stimulation DBS is a surgical procedure used to treat symptoms of Parkinson's disease and other movement disorders.</v>
      </c>
      <c r="C4479" s="8" t="s">
        <v>13</v>
      </c>
      <c r="D4479" s="8" t="s">
        <v>14</v>
      </c>
      <c r="E4479" s="8">
        <v>1</v>
      </c>
    </row>
    <row r="4480" spans="1:5" ht="15.75" customHeight="1" x14ac:dyDescent="0.25">
      <c r="A4480" s="6" t="s">
        <v>4394</v>
      </c>
      <c r="B4480" s="6" t="str">
        <f ca="1">IFERROR(__xludf.DUMMYFUNCTION("GOOGLETRANSLATE(A4480,""bn"",""en"")"),"Even the extreme fatigue of the night after a long day's work never stopped me")</f>
        <v>Even the extreme fatigue of the night after a long day's work never stopped me</v>
      </c>
      <c r="C4480" s="8" t="s">
        <v>13</v>
      </c>
      <c r="D4480" s="8" t="s">
        <v>14</v>
      </c>
      <c r="E4480" s="8">
        <v>1</v>
      </c>
    </row>
    <row r="4481" spans="1:5" ht="15.75" customHeight="1" x14ac:dyDescent="0.25">
      <c r="A4481" s="6" t="s">
        <v>4395</v>
      </c>
      <c r="B4481" s="6" t="str">
        <f ca="1">IFERROR(__xludf.DUMMYFUNCTION("GOOGLETRANSLATE(A4481,""bn"",""en"")"),"They won this award for inventing the coincidence circuit")</f>
        <v>They won this award for inventing the coincidence circuit</v>
      </c>
      <c r="C4481" s="8" t="s">
        <v>13</v>
      </c>
      <c r="D4481" s="8" t="s">
        <v>14</v>
      </c>
      <c r="E4481" s="8">
        <v>1</v>
      </c>
    </row>
    <row r="4482" spans="1:5" ht="15.75" customHeight="1" x14ac:dyDescent="0.25">
      <c r="A4482" s="6" t="s">
        <v>4396</v>
      </c>
      <c r="B4482" s="6" t="str">
        <f ca="1">IFERROR(__xludf.DUMMYFUNCTION("GOOGLETRANSLATE(A4482,""bn"",""en"")"),"Everything else is correct as per the past")</f>
        <v>Everything else is correct as per the past</v>
      </c>
      <c r="C4482" s="7" t="s">
        <v>6</v>
      </c>
      <c r="D4482" s="7" t="s">
        <v>7</v>
      </c>
      <c r="E4482" s="7">
        <v>0</v>
      </c>
    </row>
    <row r="4483" spans="1:5" ht="15.75" customHeight="1" x14ac:dyDescent="0.25">
      <c r="A4483" s="6" t="s">
        <v>4397</v>
      </c>
      <c r="B4483" s="6" t="str">
        <f ca="1">IFERROR(__xludf.DUMMYFUNCTION("GOOGLETRANSLATE(A4483,""bn"",""en"")"),"So every morning many bees came and blocked the goal")</f>
        <v>So every morning many bees came and blocked the goal</v>
      </c>
      <c r="C4483" s="7" t="s">
        <v>6</v>
      </c>
      <c r="D4483" s="7" t="s">
        <v>7</v>
      </c>
      <c r="E4483" s="7">
        <v>0</v>
      </c>
    </row>
    <row r="4484" spans="1:5" ht="15.75" customHeight="1" x14ac:dyDescent="0.25">
      <c r="A4484" s="6" t="s">
        <v>4398</v>
      </c>
      <c r="B4484" s="6" t="str">
        <f ca="1">IFERROR(__xludf.DUMMYFUNCTION("GOOGLETRANSLATE(A4484,""bn"",""en"")"),"Safi took me to school")</f>
        <v>Safi took me to school</v>
      </c>
      <c r="C4484" s="7" t="s">
        <v>6</v>
      </c>
      <c r="D4484" s="7" t="s">
        <v>7</v>
      </c>
      <c r="E4484" s="7">
        <v>0</v>
      </c>
    </row>
    <row r="4485" spans="1:5" ht="15.75" customHeight="1" x14ac:dyDescent="0.25">
      <c r="A4485" s="6" t="s">
        <v>4399</v>
      </c>
      <c r="B4485" s="6" t="str">
        <f ca="1">IFERROR(__xludf.DUMMYFUNCTION("GOOGLETRANSLATE(A4485,""bn"",""en"")"),"His whole mind is like a sudden release from the clutching arms of a stranger")</f>
        <v>His whole mind is like a sudden release from the clutching arms of a stranger</v>
      </c>
      <c r="C4485" s="7" t="s">
        <v>6</v>
      </c>
      <c r="D4485" s="7" t="s">
        <v>7</v>
      </c>
      <c r="E4485" s="7">
        <v>0</v>
      </c>
    </row>
    <row r="4486" spans="1:5" ht="15.75" customHeight="1" x14ac:dyDescent="0.25">
      <c r="A4486" s="6" t="s">
        <v>4400</v>
      </c>
      <c r="B4486" s="6" t="str">
        <f ca="1">IFERROR(__xludf.DUMMYFUNCTION("GOOGLETRANSLATE(A4486,""bn"",""en"")"),"Anyway, I'll be careful next time")</f>
        <v>Anyway, I'll be careful next time</v>
      </c>
      <c r="C4486" s="7" t="s">
        <v>6</v>
      </c>
      <c r="D4486" s="7" t="s">
        <v>7</v>
      </c>
      <c r="E4486" s="7">
        <v>0</v>
      </c>
    </row>
    <row r="4487" spans="1:5" ht="15.75" customHeight="1" x14ac:dyDescent="0.25">
      <c r="A4487" s="6" t="s">
        <v>4401</v>
      </c>
      <c r="B4487" s="6" t="str">
        <f ca="1">IFERROR(__xludf.DUMMYFUNCTION("GOOGLETRANSLATE(A4487,""bn"",""en"")"),"He spent his life surrounded by the moonlight")</f>
        <v>He spent his life surrounded by the moonlight</v>
      </c>
      <c r="C4487" s="8" t="s">
        <v>13</v>
      </c>
      <c r="D4487" s="8" t="s">
        <v>14</v>
      </c>
      <c r="E4487" s="8">
        <v>1</v>
      </c>
    </row>
    <row r="4488" spans="1:5" ht="15.75" customHeight="1" x14ac:dyDescent="0.25">
      <c r="A4488" s="6" t="s">
        <v>4402</v>
      </c>
      <c r="B4488" s="6" t="str">
        <f ca="1">IFERROR(__xludf.DUMMYFUNCTION("GOOGLETRANSLATE(A4488,""bn"",""en"")"),"A lone wolf howled in the distance, its mournful cry echoing through the night")</f>
        <v>A lone wolf howled in the distance, its mournful cry echoing through the night</v>
      </c>
      <c r="C4488" s="8" t="s">
        <v>13</v>
      </c>
      <c r="D4488" s="8" t="s">
        <v>14</v>
      </c>
      <c r="E4488" s="8">
        <v>1</v>
      </c>
    </row>
    <row r="4489" spans="1:5" ht="15.75" customHeight="1" x14ac:dyDescent="0.25">
      <c r="A4489" s="6" t="s">
        <v>3974</v>
      </c>
      <c r="B4489" s="6" t="str">
        <f ca="1">IFERROR(__xludf.DUMMYFUNCTION("GOOGLETRANSLATE(A4489,""bn"",""en"")"),"Everything in the city is made")</f>
        <v>Everything in the city is made</v>
      </c>
      <c r="C4489" s="8" t="s">
        <v>13</v>
      </c>
      <c r="D4489" s="8" t="s">
        <v>14</v>
      </c>
      <c r="E4489" s="8">
        <v>1</v>
      </c>
    </row>
    <row r="4490" spans="1:5" ht="15.75" customHeight="1" x14ac:dyDescent="0.25">
      <c r="A4490" s="6" t="s">
        <v>4403</v>
      </c>
      <c r="B4490" s="6" t="str">
        <f ca="1">IFERROR(__xludf.DUMMYFUNCTION("GOOGLETRANSLATE(A4490,""bn"",""en"")"),"It is D three-dimensional science fiction horror film Parasite")</f>
        <v>It is D three-dimensional science fiction horror film Parasite</v>
      </c>
      <c r="C4490" s="8" t="s">
        <v>13</v>
      </c>
      <c r="D4490" s="8" t="s">
        <v>14</v>
      </c>
      <c r="E4490" s="8">
        <v>1</v>
      </c>
    </row>
    <row r="4491" spans="1:5" ht="15.75" customHeight="1" x14ac:dyDescent="0.25">
      <c r="A4491" s="6" t="s">
        <v>4404</v>
      </c>
      <c r="B4491" s="6" t="str">
        <f ca="1">IFERROR(__xludf.DUMMYFUNCTION("GOOGLETRANSLATE(A4491,""bn"",""en"")"),"Regulatory compliance ensures ethical business practices")</f>
        <v>Regulatory compliance ensures ethical business practices</v>
      </c>
      <c r="C4491" s="8" t="s">
        <v>13</v>
      </c>
      <c r="D4491" s="8" t="s">
        <v>14</v>
      </c>
      <c r="E4491" s="8">
        <v>1</v>
      </c>
    </row>
    <row r="4492" spans="1:5" ht="15.75" customHeight="1" x14ac:dyDescent="0.25">
      <c r="A4492" s="6" t="s">
        <v>4405</v>
      </c>
      <c r="B4492" s="6" t="str">
        <f ca="1">IFERROR(__xludf.DUMMYFUNCTION("GOOGLETRANSLATE(A4492,""bn"",""en"")"),"If this is true, let them say it freely")</f>
        <v>If this is true, let them say it freely</v>
      </c>
      <c r="C4492" s="7" t="s">
        <v>6</v>
      </c>
      <c r="D4492" s="7" t="s">
        <v>7</v>
      </c>
      <c r="E4492" s="7">
        <v>0</v>
      </c>
    </row>
    <row r="4493" spans="1:5" ht="15.75" customHeight="1" x14ac:dyDescent="0.25">
      <c r="A4493" s="6" t="s">
        <v>4406</v>
      </c>
      <c r="B4493" s="6" t="str">
        <f ca="1">IFERROR(__xludf.DUMMYFUNCTION("GOOGLETRANSLATE(A4493,""bn"",""en"")"),"Youth is ahead and I am behind")</f>
        <v>Youth is ahead and I am behind</v>
      </c>
      <c r="C4493" s="7" t="s">
        <v>6</v>
      </c>
      <c r="D4493" s="7" t="s">
        <v>7</v>
      </c>
      <c r="E4493" s="7">
        <v>0</v>
      </c>
    </row>
    <row r="4494" spans="1:5" ht="15.75" customHeight="1" x14ac:dyDescent="0.25">
      <c r="A4494" s="6" t="s">
        <v>4407</v>
      </c>
      <c r="B4494" s="6" t="str">
        <f ca="1">IFERROR(__xludf.DUMMYFUNCTION("GOOGLETRANSLATE(A4494,""bn"",""en"")"),"How many years has he seen Kusum's madness like this?")</f>
        <v>How many years has he seen Kusum's madness like this?</v>
      </c>
      <c r="C4494" s="7" t="s">
        <v>6</v>
      </c>
      <c r="D4494" s="7" t="s">
        <v>7</v>
      </c>
      <c r="E4494" s="7">
        <v>0</v>
      </c>
    </row>
    <row r="4495" spans="1:5" ht="15.75" customHeight="1" x14ac:dyDescent="0.25">
      <c r="A4495" s="6" t="s">
        <v>4408</v>
      </c>
      <c r="B4495" s="6" t="str">
        <f ca="1">IFERROR(__xludf.DUMMYFUNCTION("GOOGLETRANSLATE(A4495,""bn"",""en"")"),"I called Mini from Anthpur with the intention of dispelling her irrational fear")</f>
        <v>I called Mini from Anthpur with the intention of dispelling her irrational fear</v>
      </c>
      <c r="C4495" s="7" t="s">
        <v>6</v>
      </c>
      <c r="D4495" s="7" t="s">
        <v>7</v>
      </c>
      <c r="E4495" s="7">
        <v>0</v>
      </c>
    </row>
    <row r="4496" spans="1:5" ht="15.75" customHeight="1" x14ac:dyDescent="0.25">
      <c r="A4496" s="6" t="s">
        <v>4409</v>
      </c>
      <c r="B4496" s="6" t="str">
        <f ca="1">IFERROR(__xludf.DUMMYFUNCTION("GOOGLETRANSLATE(A4496,""bn"",""en"")"),"They are very hardworking and do all the household and agricultural work")</f>
        <v>They are very hardworking and do all the household and agricultural work</v>
      </c>
      <c r="C4496" s="7" t="s">
        <v>6</v>
      </c>
      <c r="D4496" s="7" t="s">
        <v>7</v>
      </c>
      <c r="E4496" s="7">
        <v>0</v>
      </c>
    </row>
    <row r="4497" spans="1:5" ht="15.75" customHeight="1" x14ac:dyDescent="0.25">
      <c r="A4497" s="6" t="s">
        <v>4410</v>
      </c>
      <c r="B4497" s="6" t="str">
        <f ca="1">IFERROR(__xludf.DUMMYFUNCTION("GOOGLETRANSLATE(A4497,""bn"",""en"")"),"The transaction fee was higher than I expected")</f>
        <v>The transaction fee was higher than I expected</v>
      </c>
      <c r="C4497" s="8" t="s">
        <v>13</v>
      </c>
      <c r="D4497" s="8" t="s">
        <v>14</v>
      </c>
      <c r="E4497" s="8">
        <v>1</v>
      </c>
    </row>
    <row r="4498" spans="1:5" ht="15.75" customHeight="1" x14ac:dyDescent="0.25">
      <c r="A4498" s="6" t="s">
        <v>4411</v>
      </c>
      <c r="B4498" s="6" t="str">
        <f ca="1">IFERROR(__xludf.DUMMYFUNCTION("GOOGLETRANSLATE(A4498,""bn"",""en"")"),"I would highly recommend this service to anyone in need of help")</f>
        <v>I would highly recommend this service to anyone in need of help</v>
      </c>
      <c r="C4498" s="8" t="s">
        <v>13</v>
      </c>
      <c r="D4498" s="8" t="s">
        <v>14</v>
      </c>
      <c r="E4498" s="8">
        <v>1</v>
      </c>
    </row>
    <row r="4499" spans="1:5" ht="15.75" customHeight="1" x14ac:dyDescent="0.25">
      <c r="A4499" s="6" t="s">
        <v>4412</v>
      </c>
      <c r="B4499" s="6" t="str">
        <f ca="1">IFERROR(__xludf.DUMMYFUNCTION("GOOGLETRANSLATE(A4499,""bn"",""en"")"),"We do all the colors of our house")</f>
        <v>We do all the colors of our house</v>
      </c>
      <c r="C4499" s="8" t="s">
        <v>13</v>
      </c>
      <c r="D4499" s="8" t="s">
        <v>14</v>
      </c>
      <c r="E4499" s="8">
        <v>1</v>
      </c>
    </row>
    <row r="4500" spans="1:5" ht="15.75" customHeight="1" x14ac:dyDescent="0.25">
      <c r="A4500" s="6" t="s">
        <v>4413</v>
      </c>
      <c r="B4500" s="6" t="str">
        <f ca="1">IFERROR(__xludf.DUMMYFUNCTION("GOOGLETRANSLATE(A4500,""bn"",""en"")"),"Hepatitis is an inflammation of the liver often caused by a viral infection or excessive alcohol consumption")</f>
        <v>Hepatitis is an inflammation of the liver often caused by a viral infection or excessive alcohol consumption</v>
      </c>
      <c r="C4500" s="8" t="s">
        <v>13</v>
      </c>
      <c r="D4500" s="8" t="s">
        <v>14</v>
      </c>
      <c r="E4500" s="8">
        <v>1</v>
      </c>
    </row>
    <row r="4501" spans="1:5" ht="15.75" customHeight="1" x14ac:dyDescent="0.25">
      <c r="A4501" s="6" t="s">
        <v>4414</v>
      </c>
      <c r="B4501" s="6" t="str">
        <f ca="1">IFERROR(__xludf.DUMMYFUNCTION("GOOGLETRANSLATE(A4501,""bn"",""en"")"),"Parkinson's disease is a progressive nervous system disorder that affects movement coordination")</f>
        <v>Parkinson's disease is a progressive nervous system disorder that affects movement coordination</v>
      </c>
      <c r="C4501" s="8" t="s">
        <v>13</v>
      </c>
      <c r="D4501" s="8" t="s">
        <v>14</v>
      </c>
      <c r="E4501" s="8">
        <v>1</v>
      </c>
    </row>
    <row r="4502" spans="1:5" ht="15.75" customHeight="1" x14ac:dyDescent="0.25">
      <c r="A4502" s="6" t="s">
        <v>4415</v>
      </c>
      <c r="B4502" s="6" t="str">
        <f ca="1">IFERROR(__xludf.DUMMYFUNCTION("GOOGLETRANSLATE(A4502,""bn"",""en"")"),"The road from unknown to identity is very long")</f>
        <v>The road from unknown to identity is very long</v>
      </c>
      <c r="C4502" s="7" t="s">
        <v>6</v>
      </c>
      <c r="D4502" s="7" t="s">
        <v>7</v>
      </c>
      <c r="E4502" s="7">
        <v>0</v>
      </c>
    </row>
    <row r="4503" spans="1:5" ht="15.75" customHeight="1" x14ac:dyDescent="0.25">
      <c r="A4503" s="6" t="s">
        <v>4416</v>
      </c>
      <c r="B4503" s="6" t="str">
        <f ca="1">IFERROR(__xludf.DUMMYFUNCTION("GOOGLETRANSLATE(A4503,""bn"",""en"")"),"Even after a long time, Satish remained sitting like that")</f>
        <v>Even after a long time, Satish remained sitting like that</v>
      </c>
      <c r="C4503" s="7" t="s">
        <v>6</v>
      </c>
      <c r="D4503" s="7" t="s">
        <v>7</v>
      </c>
      <c r="E4503" s="7">
        <v>0</v>
      </c>
    </row>
    <row r="4504" spans="1:5" ht="15.75" customHeight="1" x14ac:dyDescent="0.25">
      <c r="A4504" s="6" t="s">
        <v>4417</v>
      </c>
      <c r="B4504" s="6" t="str">
        <f ca="1">IFERROR(__xludf.DUMMYFUNCTION("GOOGLETRANSLATE(A4504,""bn"",""en"")"),"That flute is crying and playing from the cage bone of my chest")</f>
        <v>That flute is crying and playing from the cage bone of my chest</v>
      </c>
      <c r="C4504" s="7" t="s">
        <v>6</v>
      </c>
      <c r="D4504" s="7" t="s">
        <v>7</v>
      </c>
      <c r="E4504" s="7">
        <v>0</v>
      </c>
    </row>
    <row r="4505" spans="1:5" ht="15.75" customHeight="1" x14ac:dyDescent="0.25">
      <c r="A4505" s="6" t="s">
        <v>4418</v>
      </c>
      <c r="B4505" s="6" t="str">
        <f ca="1">IFERROR(__xludf.DUMMYFUNCTION("GOOGLETRANSLATE(A4505,""bn"",""en"")"),"In such a situation, any unfamiliar place other than mother's house is hell for a boy")</f>
        <v>In such a situation, any unfamiliar place other than mother's house is hell for a boy</v>
      </c>
      <c r="C4505" s="7" t="s">
        <v>6</v>
      </c>
      <c r="D4505" s="7" t="s">
        <v>7</v>
      </c>
      <c r="E4505" s="7">
        <v>0</v>
      </c>
    </row>
    <row r="4506" spans="1:5" ht="15.75" customHeight="1" x14ac:dyDescent="0.25">
      <c r="A4506" s="6" t="s">
        <v>2351</v>
      </c>
      <c r="B4506" s="6" t="str">
        <f ca="1">IFERROR(__xludf.DUMMYFUNCTION("GOOGLETRANSLATE(A4506,""bn"",""en"")"),"He went to the market with his father")</f>
        <v>He went to the market with his father</v>
      </c>
      <c r="C4506" s="7" t="s">
        <v>6</v>
      </c>
      <c r="D4506" s="7" t="s">
        <v>7</v>
      </c>
      <c r="E4506" s="7">
        <v>0</v>
      </c>
    </row>
    <row r="4507" spans="1:5" ht="15.75" customHeight="1" x14ac:dyDescent="0.25">
      <c r="A4507" s="6" t="s">
        <v>4419</v>
      </c>
      <c r="B4507" s="6" t="str">
        <f ca="1">IFERROR(__xludf.DUMMYFUNCTION("GOOGLETRANSLATE(A4507,""bn"",""en"")"),"Rashid Rahim is reading the story")</f>
        <v>Rashid Rahim is reading the story</v>
      </c>
      <c r="C4507" s="8" t="s">
        <v>13</v>
      </c>
      <c r="D4507" s="8" t="s">
        <v>14</v>
      </c>
      <c r="E4507" s="8">
        <v>1</v>
      </c>
    </row>
    <row r="4508" spans="1:5" ht="15.75" customHeight="1" x14ac:dyDescent="0.25">
      <c r="A4508" s="6" t="s">
        <v>4420</v>
      </c>
      <c r="B4508" s="6" t="str">
        <f ca="1">IFERROR(__xludf.DUMMYFUNCTION("GOOGLETRANSLATE(A4508,""bn"",""en"")"),"Tangy vinaigrettes enhance the salad experience")</f>
        <v>Tangy vinaigrettes enhance the salad experience</v>
      </c>
      <c r="C4508" s="8" t="s">
        <v>13</v>
      </c>
      <c r="D4508" s="8" t="s">
        <v>14</v>
      </c>
      <c r="E4508" s="8">
        <v>1</v>
      </c>
    </row>
    <row r="4509" spans="1:5" ht="15.75" customHeight="1" x14ac:dyDescent="0.25">
      <c r="A4509" s="6" t="s">
        <v>4421</v>
      </c>
      <c r="B4509" s="6" t="str">
        <f ca="1">IFERROR(__xludf.DUMMYFUNCTION("GOOGLETRANSLATE(A4509,""bn"",""en"")"),"Breaking news alerts on my phone keep me updated throughout the day")</f>
        <v>Breaking news alerts on my phone keep me updated throughout the day</v>
      </c>
      <c r="C4509" s="8" t="s">
        <v>13</v>
      </c>
      <c r="D4509" s="8" t="s">
        <v>14</v>
      </c>
      <c r="E4509" s="8">
        <v>1</v>
      </c>
    </row>
    <row r="4510" spans="1:5" ht="15.75" customHeight="1" x14ac:dyDescent="0.25">
      <c r="A4510" s="6" t="s">
        <v>4422</v>
      </c>
      <c r="B4510" s="6" t="str">
        <f ca="1">IFERROR(__xludf.DUMMYFUNCTION("GOOGLETRANSLATE(A4510,""bn"",""en"")"),"I will go to Hilsa's house Chandpur very soon")</f>
        <v>I will go to Hilsa's house Chandpur very soon</v>
      </c>
      <c r="C4510" s="8" t="s">
        <v>13</v>
      </c>
      <c r="D4510" s="8" t="s">
        <v>14</v>
      </c>
      <c r="E4510" s="8">
        <v>1</v>
      </c>
    </row>
    <row r="4511" spans="1:5" ht="15.75" customHeight="1" x14ac:dyDescent="0.25">
      <c r="A4511" s="6" t="s">
        <v>4423</v>
      </c>
      <c r="B4511" s="6" t="str">
        <f ca="1">IFERROR(__xludf.DUMMYFUNCTION("GOOGLETRANSLATE(A4511,""bn"",""en"")"),"My grandparents' stories are like a window into the past")</f>
        <v>My grandparents' stories are like a window into the past</v>
      </c>
      <c r="C4511" s="8" t="s">
        <v>13</v>
      </c>
      <c r="D4511" s="8" t="s">
        <v>14</v>
      </c>
      <c r="E4511" s="8">
        <v>1</v>
      </c>
    </row>
    <row r="4512" spans="1:5" ht="15.75" customHeight="1" x14ac:dyDescent="0.25">
      <c r="A4512" s="6" t="s">
        <v>4424</v>
      </c>
      <c r="B4512" s="6" t="str">
        <f ca="1">IFERROR(__xludf.DUMMYFUNCTION("GOOGLETRANSLATE(A4512,""bn"",""en"")"),"Kumar's relative kept abusing his friend")</f>
        <v>Kumar's relative kept abusing his friend</v>
      </c>
      <c r="C4512" s="7" t="s">
        <v>6</v>
      </c>
      <c r="D4512" s="7" t="s">
        <v>7</v>
      </c>
      <c r="E4512" s="7">
        <v>0</v>
      </c>
    </row>
    <row r="4513" spans="1:5" ht="15.75" customHeight="1" x14ac:dyDescent="0.25">
      <c r="A4513" s="6" t="s">
        <v>4425</v>
      </c>
      <c r="B4513" s="6" t="str">
        <f ca="1">IFERROR(__xludf.DUMMYFUNCTION("GOOGLETRANSLATE(A4513,""bn"",""en"")"),"The doctor pretended to smile and said why are you Kiran")</f>
        <v>The doctor pretended to smile and said why are you Kiran</v>
      </c>
      <c r="C4513" s="7" t="s">
        <v>6</v>
      </c>
      <c r="D4513" s="7" t="s">
        <v>7</v>
      </c>
      <c r="E4513" s="7">
        <v>0</v>
      </c>
    </row>
    <row r="4514" spans="1:5" ht="15.75" customHeight="1" x14ac:dyDescent="0.25">
      <c r="A4514" s="6" t="s">
        <v>4426</v>
      </c>
      <c r="B4514" s="6" t="str">
        <f ca="1">IFERROR(__xludf.DUMMYFUNCTION("GOOGLETRANSLATE(A4514,""bn"",""en"")"),"At this time he may gain affection or friendship from a kind hearted person and sell himself to him.")</f>
        <v>At this time he may gain affection or friendship from a kind hearted person and sell himself to him.</v>
      </c>
      <c r="C4514" s="7" t="s">
        <v>6</v>
      </c>
      <c r="D4514" s="7" t="s">
        <v>7</v>
      </c>
      <c r="E4514" s="7">
        <v>0</v>
      </c>
    </row>
    <row r="4515" spans="1:5" ht="15.75" customHeight="1" x14ac:dyDescent="0.25">
      <c r="A4515" s="6" t="s">
        <v>4427</v>
      </c>
      <c r="B4515" s="6" t="str">
        <f ca="1">IFERROR(__xludf.DUMMYFUNCTION("GOOGLETRANSLATE(A4515,""bn"",""en"")"),"Gentlemen cannot be accommodated in my room, so I have seated them in yours")</f>
        <v>Gentlemen cannot be accommodated in my room, so I have seated them in yours</v>
      </c>
      <c r="C4515" s="7" t="s">
        <v>6</v>
      </c>
      <c r="D4515" s="7" t="s">
        <v>7</v>
      </c>
      <c r="E4515" s="7">
        <v>0</v>
      </c>
    </row>
    <row r="4516" spans="1:5" ht="15.75" customHeight="1" x14ac:dyDescent="0.25">
      <c r="A4516" s="6" t="s">
        <v>4428</v>
      </c>
      <c r="B4516" s="6" t="str">
        <f ca="1">IFERROR(__xludf.DUMMYFUNCTION("GOOGLETRANSLATE(A4516,""bn"",""en"")"),"The handkerchief is lying on the bed")</f>
        <v>The handkerchief is lying on the bed</v>
      </c>
      <c r="C4516" s="7" t="s">
        <v>6</v>
      </c>
      <c r="D4516" s="7" t="s">
        <v>7</v>
      </c>
      <c r="E4516" s="7">
        <v>0</v>
      </c>
    </row>
    <row r="4517" spans="1:5" ht="15.75" customHeight="1" x14ac:dyDescent="0.25">
      <c r="A4517" s="6" t="s">
        <v>4429</v>
      </c>
      <c r="B4517" s="6" t="str">
        <f ca="1">IFERROR(__xludf.DUMMYFUNCTION("GOOGLETRANSLATE(A4517,""bn"",""en"")"),"Surround yourself with people who support your growth and let go of toxic relationships")</f>
        <v>Surround yourself with people who support your growth and let go of toxic relationships</v>
      </c>
      <c r="C4517" s="8" t="s">
        <v>13</v>
      </c>
      <c r="D4517" s="8" t="s">
        <v>14</v>
      </c>
      <c r="E4517" s="8">
        <v>1</v>
      </c>
    </row>
    <row r="4518" spans="1:5" ht="15.75" customHeight="1" x14ac:dyDescent="0.25">
      <c r="A4518" s="6" t="s">
        <v>4430</v>
      </c>
      <c r="B4518" s="6" t="str">
        <f ca="1">IFERROR(__xludf.DUMMYFUNCTION("GOOGLETRANSLATE(A4518,""bn"",""en"")"),"He won this cup in")</f>
        <v>He won this cup in</v>
      </c>
      <c r="C4518" s="8" t="s">
        <v>13</v>
      </c>
      <c r="D4518" s="8" t="s">
        <v>14</v>
      </c>
      <c r="E4518" s="8">
        <v>1</v>
      </c>
    </row>
    <row r="4519" spans="1:5" ht="15.75" customHeight="1" x14ac:dyDescent="0.25">
      <c r="A4519" s="6" t="s">
        <v>4431</v>
      </c>
      <c r="B4519" s="6" t="str">
        <f ca="1">IFERROR(__xludf.DUMMYFUNCTION("GOOGLETRANSLATE(A4519,""bn"",""en"")"),"My cousin is very intelligent")</f>
        <v>My cousin is very intelligent</v>
      </c>
      <c r="C4519" s="8" t="s">
        <v>13</v>
      </c>
      <c r="D4519" s="8" t="s">
        <v>14</v>
      </c>
      <c r="E4519" s="8">
        <v>1</v>
      </c>
    </row>
    <row r="4520" spans="1:5" ht="15.75" customHeight="1" x14ac:dyDescent="0.25">
      <c r="A4520" s="6" t="s">
        <v>4432</v>
      </c>
      <c r="B4520" s="6" t="str">
        <f ca="1">IFERROR(__xludf.DUMMYFUNCTION("GOOGLETRANSLATE(A4520,""bn"",""en"")"),"Financial management techniques optimize asset allocation")</f>
        <v>Financial management techniques optimize asset allocation</v>
      </c>
      <c r="C4520" s="8" t="s">
        <v>13</v>
      </c>
      <c r="D4520" s="8" t="s">
        <v>14</v>
      </c>
      <c r="E4520" s="8">
        <v>1</v>
      </c>
    </row>
    <row r="4521" spans="1:5" ht="15.75" customHeight="1" x14ac:dyDescent="0.25">
      <c r="A4521" s="6" t="s">
        <v>4433</v>
      </c>
      <c r="B4521" s="6" t="str">
        <f ca="1">IFERROR(__xludf.DUMMYFUNCTION("GOOGLETRANSLATE(A4521,""bn"",""en"")"),"Suddenly one day they saw a beautiful island in the distance")</f>
        <v>Suddenly one day they saw a beautiful island in the distance</v>
      </c>
      <c r="C4521" s="8" t="s">
        <v>13</v>
      </c>
      <c r="D4521" s="8" t="s">
        <v>14</v>
      </c>
      <c r="E4521" s="8">
        <v>1</v>
      </c>
    </row>
    <row r="4522" spans="1:5" ht="15.75" customHeight="1" x14ac:dyDescent="0.25">
      <c r="A4522" s="6" t="s">
        <v>4434</v>
      </c>
      <c r="B4522" s="6" t="str">
        <f ca="1">IFERROR(__xludf.DUMMYFUNCTION("GOOGLETRANSLATE(A4522,""bn"",""en"")"),"Ritu gets the job done by him")</f>
        <v>Ritu gets the job done by him</v>
      </c>
      <c r="C4522" s="7" t="s">
        <v>6</v>
      </c>
      <c r="D4522" s="7" t="s">
        <v>7</v>
      </c>
      <c r="E4522" s="7">
        <v>0</v>
      </c>
    </row>
    <row r="4523" spans="1:5" ht="15.75" customHeight="1" x14ac:dyDescent="0.25">
      <c r="A4523" s="6" t="s">
        <v>4435</v>
      </c>
      <c r="B4523" s="6" t="str">
        <f ca="1">IFERROR(__xludf.DUMMYFUNCTION("GOOGLETRANSLATE(A4523,""bn"",""en"")"),"In one night his wonder has changed")</f>
        <v>In one night his wonder has changed</v>
      </c>
      <c r="C4523" s="7" t="s">
        <v>6</v>
      </c>
      <c r="D4523" s="7" t="s">
        <v>7</v>
      </c>
      <c r="E4523" s="7">
        <v>0</v>
      </c>
    </row>
    <row r="4524" spans="1:5" ht="15.75" customHeight="1" x14ac:dyDescent="0.25">
      <c r="A4524" s="6" t="s">
        <v>4436</v>
      </c>
      <c r="B4524" s="6" t="str">
        <f ca="1">IFERROR(__xludf.DUMMYFUNCTION("GOOGLETRANSLATE(A4524,""bn"",""en"")"),"He might be dying to think of you")</f>
        <v>He might be dying to think of you</v>
      </c>
      <c r="C4524" s="7" t="s">
        <v>6</v>
      </c>
      <c r="D4524" s="7" t="s">
        <v>7</v>
      </c>
      <c r="E4524" s="7">
        <v>0</v>
      </c>
    </row>
    <row r="4525" spans="1:5" ht="15.75" customHeight="1" x14ac:dyDescent="0.25">
      <c r="A4525" s="6" t="s">
        <v>608</v>
      </c>
      <c r="B4525" s="6" t="str">
        <f ca="1">IFERROR(__xludf.DUMMYFUNCTION("GOOGLETRANSLATE(A4525,""bn"",""en"")"),"I understand that today even the housewives of our country can talk about it even if they speak in favor of it")</f>
        <v>I understand that today even the housewives of our country can talk about it even if they speak in favor of it</v>
      </c>
      <c r="C4525" s="7" t="s">
        <v>6</v>
      </c>
      <c r="D4525" s="7" t="s">
        <v>7</v>
      </c>
      <c r="E4525" s="7">
        <v>0</v>
      </c>
    </row>
    <row r="4526" spans="1:5" ht="15.75" customHeight="1" x14ac:dyDescent="0.25">
      <c r="A4526" s="6" t="s">
        <v>4437</v>
      </c>
      <c r="B4526" s="6" t="str">
        <f ca="1">IFERROR(__xludf.DUMMYFUNCTION("GOOGLETRANSLATE(A4526,""bn"",""en"")"),"Maths will hand over to him in weakness")</f>
        <v>Maths will hand over to him in weakness</v>
      </c>
      <c r="C4526" s="7" t="s">
        <v>6</v>
      </c>
      <c r="D4526" s="7" t="s">
        <v>7</v>
      </c>
      <c r="E4526" s="7">
        <v>0</v>
      </c>
    </row>
    <row r="4527" spans="1:5" ht="15.75" customHeight="1" x14ac:dyDescent="0.25">
      <c r="A4527" s="6" t="s">
        <v>4438</v>
      </c>
      <c r="B4527" s="6" t="str">
        <f ca="1">IFERROR(__xludf.DUMMYFUNCTION("GOOGLETRANSLATE(A4527,""bn"",""en"")"),"Racing against the elements they battled raging fires threatening to consume everything in their path")</f>
        <v>Racing against the elements they battled raging fires threatening to consume everything in their path</v>
      </c>
      <c r="C4527" s="8" t="s">
        <v>13</v>
      </c>
      <c r="D4527" s="8" t="s">
        <v>14</v>
      </c>
      <c r="E4527" s="8">
        <v>1</v>
      </c>
    </row>
    <row r="4528" spans="1:5" ht="15.75" customHeight="1" x14ac:dyDescent="0.25">
      <c r="A4528" s="6" t="s">
        <v>4439</v>
      </c>
      <c r="B4528" s="6" t="str">
        <f ca="1">IFERROR(__xludf.DUMMYFUNCTION("GOOGLETRANSLATE(A4528,""bn"",""en"")"),"Allergies can cause symptoms such as sneezing, itching, and a runny nose")</f>
        <v>Allergies can cause symptoms such as sneezing, itching, and a runny nose</v>
      </c>
      <c r="C4528" s="8" t="s">
        <v>13</v>
      </c>
      <c r="D4528" s="8" t="s">
        <v>14</v>
      </c>
      <c r="E4528" s="8">
        <v>1</v>
      </c>
    </row>
    <row r="4529" spans="1:5" ht="15.75" customHeight="1" x14ac:dyDescent="0.25">
      <c r="A4529" s="6" t="s">
        <v>4440</v>
      </c>
      <c r="B4529" s="6" t="str">
        <f ca="1">IFERROR(__xludf.DUMMYFUNCTION("GOOGLETRANSLATE(A4529,""bn"",""en"")"),"Told me to go to them")</f>
        <v>Told me to go to them</v>
      </c>
      <c r="C4529" s="8" t="s">
        <v>13</v>
      </c>
      <c r="D4529" s="8" t="s">
        <v>14</v>
      </c>
      <c r="E4529" s="8">
        <v>1</v>
      </c>
    </row>
    <row r="4530" spans="1:5" ht="15.75" customHeight="1" x14ac:dyDescent="0.25">
      <c r="A4530" s="6" t="s">
        <v>4441</v>
      </c>
      <c r="B4530" s="6" t="str">
        <f ca="1">IFERROR(__xludf.DUMMYFUNCTION("GOOGLETRANSLATE(A4530,""bn"",""en"")"),"Share the love around")</f>
        <v>Share the love around</v>
      </c>
      <c r="C4530" s="8" t="s">
        <v>13</v>
      </c>
      <c r="D4530" s="8" t="s">
        <v>14</v>
      </c>
      <c r="E4530" s="8">
        <v>1</v>
      </c>
    </row>
    <row r="4531" spans="1:5" ht="15.75" customHeight="1" x14ac:dyDescent="0.25">
      <c r="A4531" s="6" t="s">
        <v>4442</v>
      </c>
      <c r="B4531" s="6" t="str">
        <f ca="1">IFERROR(__xludf.DUMMYFUNCTION("GOOGLETRANSLATE(A4531,""bn"",""en"")"),"As I sat helplessly I suddenly realized he was trying to hypnotize me")</f>
        <v>As I sat helplessly I suddenly realized he was trying to hypnotize me</v>
      </c>
      <c r="C4531" s="8" t="s">
        <v>13</v>
      </c>
      <c r="D4531" s="8" t="s">
        <v>14</v>
      </c>
      <c r="E4531" s="8">
        <v>1</v>
      </c>
    </row>
    <row r="4532" spans="1:5" ht="15.75" customHeight="1" x14ac:dyDescent="0.25">
      <c r="A4532" s="6" t="s">
        <v>4443</v>
      </c>
      <c r="B4532" s="6" t="str">
        <f ca="1">IFERROR(__xludf.DUMMYFUNCTION("GOOGLETRANSLATE(A4532,""bn"",""en"")"),"Behind him some women are accompanying him")</f>
        <v>Behind him some women are accompanying him</v>
      </c>
      <c r="C4532" s="7" t="s">
        <v>6</v>
      </c>
      <c r="D4532" s="7" t="s">
        <v>7</v>
      </c>
      <c r="E4532" s="7">
        <v>0</v>
      </c>
    </row>
    <row r="4533" spans="1:5" ht="15.75" customHeight="1" x14ac:dyDescent="0.25">
      <c r="A4533" s="6" t="s">
        <v>4444</v>
      </c>
      <c r="B4533" s="6" t="str">
        <f ca="1">IFERROR(__xludf.DUMMYFUNCTION("GOOGLETRANSLATE(A4533,""bn"",""en"")"),"Have you talked to them?")</f>
        <v>Have you talked to them?</v>
      </c>
      <c r="C4533" s="7" t="s">
        <v>6</v>
      </c>
      <c r="D4533" s="7" t="s">
        <v>7</v>
      </c>
      <c r="E4533" s="7">
        <v>0</v>
      </c>
    </row>
    <row r="4534" spans="1:5" ht="15.75" customHeight="1" x14ac:dyDescent="0.25">
      <c r="A4534" s="6" t="s">
        <v>4445</v>
      </c>
      <c r="B4534" s="6" t="str">
        <f ca="1">IFERROR(__xludf.DUMMYFUNCTION("GOOGLETRANSLATE(A4534,""bn"",""en"")"),"His lyrics are very beautiful.")</f>
        <v>His lyrics are very beautiful.</v>
      </c>
      <c r="C4534" s="7" t="s">
        <v>6</v>
      </c>
      <c r="D4534" s="7" t="s">
        <v>7</v>
      </c>
      <c r="E4534" s="7">
        <v>0</v>
      </c>
    </row>
    <row r="4535" spans="1:5" ht="15.75" customHeight="1" x14ac:dyDescent="0.25">
      <c r="A4535" s="6" t="s">
        <v>4446</v>
      </c>
      <c r="B4535" s="6" t="str">
        <f ca="1">IFERROR(__xludf.DUMMYFUNCTION("GOOGLETRANSLATE(A4535,""bn"",""en"")"),"There was no result except that the old age line on his forehead became deeper")</f>
        <v>There was no result except that the old age line on his forehead became deeper</v>
      </c>
      <c r="C4535" s="7" t="s">
        <v>6</v>
      </c>
      <c r="D4535" s="7" t="s">
        <v>7</v>
      </c>
      <c r="E4535" s="7">
        <v>0</v>
      </c>
    </row>
    <row r="4536" spans="1:5" ht="15.75" customHeight="1" x14ac:dyDescent="0.25">
      <c r="A4536" s="6" t="s">
        <v>4447</v>
      </c>
      <c r="B4536" s="6" t="str">
        <f ca="1">IFERROR(__xludf.DUMMYFUNCTION("GOOGLETRANSLATE(A4536,""bn"",""en"")"),"What their family lives on is the property of the gods")</f>
        <v>What their family lives on is the property of the gods</v>
      </c>
      <c r="C4536" s="7" t="s">
        <v>6</v>
      </c>
      <c r="D4536" s="7" t="s">
        <v>7</v>
      </c>
      <c r="E4536" s="7">
        <v>0</v>
      </c>
    </row>
    <row r="4537" spans="1:5" ht="15.75" customHeight="1" x14ac:dyDescent="0.25">
      <c r="A4537" s="6" t="s">
        <v>4448</v>
      </c>
      <c r="B4537" s="6" t="str">
        <f ca="1">IFERROR(__xludf.DUMMYFUNCTION("GOOGLETRANSLATE(A4537,""bn"",""en"")"),"I saw you there")</f>
        <v>I saw you there</v>
      </c>
      <c r="C4537" s="8" t="s">
        <v>13</v>
      </c>
      <c r="D4537" s="8" t="s">
        <v>14</v>
      </c>
      <c r="E4537" s="8">
        <v>1</v>
      </c>
    </row>
    <row r="4538" spans="1:5" ht="15.75" customHeight="1" x14ac:dyDescent="0.25">
      <c r="A4538" s="6" t="s">
        <v>4449</v>
      </c>
      <c r="B4538" s="6" t="str">
        <f ca="1">IFERROR(__xludf.DUMMYFUNCTION("GOOGLETRANSLATE(A4538,""bn"",""en"")"),"Not everyone can organize their own life")</f>
        <v>Not everyone can organize their own life</v>
      </c>
      <c r="C4538" s="8" t="s">
        <v>13</v>
      </c>
      <c r="D4538" s="8" t="s">
        <v>14</v>
      </c>
      <c r="E4538" s="8">
        <v>1</v>
      </c>
    </row>
    <row r="4539" spans="1:5" ht="15.75" customHeight="1" x14ac:dyDescent="0.25">
      <c r="A4539" s="6" t="s">
        <v>4450</v>
      </c>
      <c r="B4539" s="6" t="str">
        <f ca="1">IFERROR(__xludf.DUMMYFUNCTION("GOOGLETRANSLATE(A4539,""bn"",""en"")"),"Soma asked me for books")</f>
        <v>Soma asked me for books</v>
      </c>
      <c r="C4539" s="8" t="s">
        <v>13</v>
      </c>
      <c r="D4539" s="8" t="s">
        <v>14</v>
      </c>
      <c r="E4539" s="8">
        <v>1</v>
      </c>
    </row>
    <row r="4540" spans="1:5" ht="15.75" customHeight="1" x14ac:dyDescent="0.25">
      <c r="A4540" s="6" t="s">
        <v>4451</v>
      </c>
      <c r="B4540" s="6" t="str">
        <f ca="1">IFERROR(__xludf.DUMMYFUNCTION("GOOGLETRANSLATE(A4540,""bn"",""en"")"),"Gastroesophageal reflux disease is a chronic condition in which stomach acid backs up into the esophagus, causing heartburn.")</f>
        <v>Gastroesophageal reflux disease is a chronic condition in which stomach acid backs up into the esophagus, causing heartburn.</v>
      </c>
      <c r="C4540" s="8" t="s">
        <v>13</v>
      </c>
      <c r="D4540" s="8" t="s">
        <v>14</v>
      </c>
      <c r="E4540" s="8">
        <v>1</v>
      </c>
    </row>
    <row r="4541" spans="1:5" ht="15.75" customHeight="1" x14ac:dyDescent="0.25">
      <c r="A4541" s="6" t="s">
        <v>4452</v>
      </c>
      <c r="B4541" s="6" t="str">
        <f ca="1">IFERROR(__xludf.DUMMYFUNCTION("GOOGLETRANSLATE(A4541,""bn"",""en"")"),"Sumi asks Sharif to do it")</f>
        <v>Sumi asks Sharif to do it</v>
      </c>
      <c r="C4541" s="8" t="s">
        <v>13</v>
      </c>
      <c r="D4541" s="8" t="s">
        <v>14</v>
      </c>
      <c r="E4541" s="8">
        <v>1</v>
      </c>
    </row>
    <row r="4542" spans="1:5" ht="15.75" customHeight="1" x14ac:dyDescent="0.25">
      <c r="A4542" s="6" t="s">
        <v>4453</v>
      </c>
      <c r="B4542" s="6" t="str">
        <f ca="1">IFERROR(__xludf.DUMMYFUNCTION("GOOGLETRANSLATE(A4542,""bn"",""en"")"),"Sumi will eat rice and talk")</f>
        <v>Sumi will eat rice and talk</v>
      </c>
      <c r="C4542" s="7" t="s">
        <v>6</v>
      </c>
      <c r="D4542" s="7" t="s">
        <v>7</v>
      </c>
      <c r="E4542" s="7">
        <v>0</v>
      </c>
    </row>
    <row r="4543" spans="1:5" ht="15.75" customHeight="1" x14ac:dyDescent="0.25">
      <c r="A4543" s="6" t="s">
        <v>3564</v>
      </c>
      <c r="B4543" s="6" t="str">
        <f ca="1">IFERROR(__xludf.DUMMYFUNCTION("GOOGLETRANSLATE(A4543,""bn"",""en"")"),"There are very few old women in the bosom, they are old, but young women, unless they are exposed to the cold, they do not become red-skinned.")</f>
        <v>There are very few old women in the bosom, they are old, but young women, unless they are exposed to the cold, they do not become red-skinned.</v>
      </c>
      <c r="C4543" s="7" t="s">
        <v>6</v>
      </c>
      <c r="D4543" s="7" t="s">
        <v>7</v>
      </c>
      <c r="E4543" s="7">
        <v>0</v>
      </c>
    </row>
    <row r="4544" spans="1:5" ht="15.75" customHeight="1" x14ac:dyDescent="0.25">
      <c r="A4544" s="6" t="s">
        <v>788</v>
      </c>
      <c r="B4544" s="6" t="str">
        <f ca="1">IFERROR(__xludf.DUMMYFUNCTION("GOOGLETRANSLATE(A4544,""bn"",""en"")"),"On that naked chest, the satnari of the bride hangs a tiny Arsi, a tiny forest flower in the ear and a big forest flower on the head.")</f>
        <v>On that naked chest, the satnari of the bride hangs a tiny Arsi, a tiny forest flower in the ear and a big forest flower on the head.</v>
      </c>
      <c r="C4544" s="7" t="s">
        <v>6</v>
      </c>
      <c r="D4544" s="7" t="s">
        <v>7</v>
      </c>
      <c r="E4544" s="7">
        <v>0</v>
      </c>
    </row>
    <row r="4545" spans="1:5" ht="15.75" customHeight="1" x14ac:dyDescent="0.25">
      <c r="A4545" s="6" t="s">
        <v>4454</v>
      </c>
      <c r="B4545" s="6" t="str">
        <f ca="1">IFERROR(__xludf.DUMMYFUNCTION("GOOGLETRANSLATE(A4545,""bn"",""en"")"),"At the end of the courtyard, a large stone with his hand said")</f>
        <v>At the end of the courtyard, a large stone with his hand said</v>
      </c>
      <c r="C4545" s="7" t="s">
        <v>6</v>
      </c>
      <c r="D4545" s="7" t="s">
        <v>7</v>
      </c>
      <c r="E4545" s="7">
        <v>0</v>
      </c>
    </row>
    <row r="4546" spans="1:5" ht="15.75" customHeight="1" x14ac:dyDescent="0.25">
      <c r="A4546" s="6" t="s">
        <v>60</v>
      </c>
      <c r="B4546" s="6" t="str">
        <f ca="1">IFERROR(__xludf.DUMMYFUNCTION("GOOGLETRANSLATE(A4546,""bn"",""en"")"),"This time I understood that words adopt a special level")</f>
        <v>This time I understood that words adopt a special level</v>
      </c>
      <c r="C4546" s="7" t="s">
        <v>6</v>
      </c>
      <c r="D4546" s="7" t="s">
        <v>7</v>
      </c>
      <c r="E4546" s="7">
        <v>0</v>
      </c>
    </row>
    <row r="4547" spans="1:5" ht="15.75" customHeight="1" x14ac:dyDescent="0.25">
      <c r="A4547" s="6" t="s">
        <v>4455</v>
      </c>
      <c r="B4547" s="6" t="str">
        <f ca="1">IFERROR(__xludf.DUMMYFUNCTION("GOOGLETRANSLATE(A4547,""bn"",""en"")"),"This cemetery is historically important")</f>
        <v>This cemetery is historically important</v>
      </c>
      <c r="C4547" s="8" t="s">
        <v>13</v>
      </c>
      <c r="D4547" s="8" t="s">
        <v>14</v>
      </c>
      <c r="E4547" s="8">
        <v>1</v>
      </c>
    </row>
    <row r="4548" spans="1:5" ht="15.75" customHeight="1" x14ac:dyDescent="0.25">
      <c r="A4548" s="6" t="s">
        <v>4456</v>
      </c>
      <c r="B4548" s="6" t="str">
        <f ca="1">IFERROR(__xludf.DUMMYFUNCTION("GOOGLETRANSLATE(A4548,""bn"",""en"")"),"People tend to make small mistakes as they age")</f>
        <v>People tend to make small mistakes as they age</v>
      </c>
      <c r="C4548" s="8" t="s">
        <v>13</v>
      </c>
      <c r="D4548" s="8" t="s">
        <v>14</v>
      </c>
      <c r="E4548" s="8">
        <v>1</v>
      </c>
    </row>
    <row r="4549" spans="1:5" ht="15.75" customHeight="1" x14ac:dyDescent="0.25">
      <c r="A4549" s="6" t="s">
        <v>4457</v>
      </c>
      <c r="B4549" s="6" t="str">
        <f ca="1">IFERROR(__xludf.DUMMYFUNCTION("GOOGLETRANSLATE(A4549,""bn"",""en"")"),"He was awarded the National Award in")</f>
        <v>He was awarded the National Award in</v>
      </c>
      <c r="C4549" s="8" t="s">
        <v>13</v>
      </c>
      <c r="D4549" s="8" t="s">
        <v>14</v>
      </c>
      <c r="E4549" s="8">
        <v>1</v>
      </c>
    </row>
    <row r="4550" spans="1:5" ht="15.75" customHeight="1" x14ac:dyDescent="0.25">
      <c r="A4550" s="6" t="s">
        <v>4458</v>
      </c>
      <c r="B4550" s="6" t="str">
        <f ca="1">IFERROR(__xludf.DUMMYFUNCTION("GOOGLETRANSLATE(A4550,""bn"",""en"")"),"Six of its students have won the Turing Prize")</f>
        <v>Six of its students have won the Turing Prize</v>
      </c>
      <c r="C4550" s="8" t="s">
        <v>13</v>
      </c>
      <c r="D4550" s="8" t="s">
        <v>14</v>
      </c>
      <c r="E4550" s="8">
        <v>1</v>
      </c>
    </row>
    <row r="4551" spans="1:5" ht="15.75" customHeight="1" x14ac:dyDescent="0.25">
      <c r="A4551" s="6" t="s">
        <v>4459</v>
      </c>
      <c r="B4551" s="6" t="str">
        <f ca="1">IFERROR(__xludf.DUMMYFUNCTION("GOOGLETRANSLATE(A4551,""bn"",""en"")"),"Tag someone who needs a smile")</f>
        <v>Tag someone who needs a smile</v>
      </c>
      <c r="C4551" s="8" t="s">
        <v>13</v>
      </c>
      <c r="D4551" s="8" t="s">
        <v>14</v>
      </c>
      <c r="E4551" s="8">
        <v>1</v>
      </c>
    </row>
    <row r="4552" spans="1:5" ht="15.75" customHeight="1" x14ac:dyDescent="0.25">
      <c r="A4552" s="6" t="s">
        <v>4460</v>
      </c>
      <c r="B4552" s="6" t="str">
        <f ca="1">IFERROR(__xludf.DUMMYFUNCTION("GOOGLETRANSLATE(A4552,""bn"",""en"")"),"They explained where and how to go")</f>
        <v>They explained where and how to go</v>
      </c>
      <c r="C4552" s="7" t="s">
        <v>6</v>
      </c>
      <c r="D4552" s="7" t="s">
        <v>7</v>
      </c>
      <c r="E4552" s="7">
        <v>0</v>
      </c>
    </row>
    <row r="4553" spans="1:5" ht="15.75" customHeight="1" x14ac:dyDescent="0.25">
      <c r="A4553" s="6" t="s">
        <v>4461</v>
      </c>
      <c r="B4553" s="6" t="str">
        <f ca="1">IFERROR(__xludf.DUMMYFUNCTION("GOOGLETRANSLATE(A4553,""bn"",""en"")"),"Govardhan was afraid that Shashi might want to go to the village himself after keeping him in the boat")</f>
        <v>Govardhan was afraid that Shashi might want to go to the village himself after keeping him in the boat</v>
      </c>
      <c r="C4553" s="7" t="s">
        <v>6</v>
      </c>
      <c r="D4553" s="7" t="s">
        <v>7</v>
      </c>
      <c r="E4553" s="7">
        <v>0</v>
      </c>
    </row>
    <row r="4554" spans="1:5" ht="15.75" customHeight="1" x14ac:dyDescent="0.25">
      <c r="A4554" s="6" t="s">
        <v>4462</v>
      </c>
      <c r="B4554" s="6" t="str">
        <f ca="1">IFERROR(__xludf.DUMMYFUNCTION("GOOGLETRANSLATE(A4554,""bn"",""en"")"),"Then I felt as if I had a cloud over my soul")</f>
        <v>Then I felt as if I had a cloud over my soul</v>
      </c>
      <c r="C4554" s="7" t="s">
        <v>6</v>
      </c>
      <c r="D4554" s="7" t="s">
        <v>7</v>
      </c>
      <c r="E4554" s="7">
        <v>0</v>
      </c>
    </row>
    <row r="4555" spans="1:5" ht="15.75" customHeight="1" x14ac:dyDescent="0.25">
      <c r="A4555" s="6" t="s">
        <v>4463</v>
      </c>
      <c r="B4555" s="6" t="str">
        <f ca="1">IFERROR(__xludf.DUMMYFUNCTION("GOOGLETRANSLATE(A4555,""bn"",""en"")"),"He said step carefully Nitai step slowly")</f>
        <v>He said step carefully Nitai step slowly</v>
      </c>
      <c r="C4555" s="7" t="s">
        <v>6</v>
      </c>
      <c r="D4555" s="7" t="s">
        <v>7</v>
      </c>
      <c r="E4555" s="7">
        <v>0</v>
      </c>
    </row>
    <row r="4556" spans="1:5" ht="15.75" customHeight="1" x14ac:dyDescent="0.25">
      <c r="A4556" s="6" t="s">
        <v>4464</v>
      </c>
      <c r="B4556" s="6" t="str">
        <f ca="1">IFERROR(__xludf.DUMMYFUNCTION("GOOGLETRANSLATE(A4556,""bn"",""en"")"),"He couldn't tell me the right answer")</f>
        <v>He couldn't tell me the right answer</v>
      </c>
      <c r="C4556" s="7" t="s">
        <v>6</v>
      </c>
      <c r="D4556" s="7" t="s">
        <v>7</v>
      </c>
      <c r="E4556" s="7">
        <v>0</v>
      </c>
    </row>
    <row r="4557" spans="1:5" ht="15.75" customHeight="1" x14ac:dyDescent="0.25">
      <c r="A4557" s="6" t="s">
        <v>4465</v>
      </c>
      <c r="B4557" s="6" t="str">
        <f ca="1">IFERROR(__xludf.DUMMYFUNCTION("GOOGLETRANSLATE(A4557,""bn"",""en"")"),"He lives in a place called Basabo")</f>
        <v>He lives in a place called Basabo</v>
      </c>
      <c r="C4557" s="8" t="s">
        <v>13</v>
      </c>
      <c r="D4557" s="8" t="s">
        <v>14</v>
      </c>
      <c r="E4557" s="8">
        <v>1</v>
      </c>
    </row>
    <row r="4558" spans="1:5" ht="15.75" customHeight="1" x14ac:dyDescent="0.25">
      <c r="A4558" s="6" t="s">
        <v>4466</v>
      </c>
      <c r="B4558" s="6" t="str">
        <f ca="1">IFERROR(__xludf.DUMMYFUNCTION("GOOGLETRANSLATE(A4558,""bn"",""en"")"),"Reading literature enriches my leisure")</f>
        <v>Reading literature enriches my leisure</v>
      </c>
      <c r="C4558" s="8" t="s">
        <v>13</v>
      </c>
      <c r="D4558" s="8" t="s">
        <v>14</v>
      </c>
      <c r="E4558" s="8">
        <v>1</v>
      </c>
    </row>
    <row r="4559" spans="1:5" ht="15.75" customHeight="1" x14ac:dyDescent="0.25">
      <c r="A4559" s="6" t="s">
        <v>4467</v>
      </c>
      <c r="B4559" s="6" t="str">
        <f ca="1">IFERROR(__xludf.DUMMYFUNCTION("GOOGLETRANSLATE(A4559,""bn"",""en"")"),"Shakespeare was even sexually attracted to men")</f>
        <v>Shakespeare was even sexually attracted to men</v>
      </c>
      <c r="C4559" s="8" t="s">
        <v>13</v>
      </c>
      <c r="D4559" s="8" t="s">
        <v>14</v>
      </c>
      <c r="E4559" s="8">
        <v>1</v>
      </c>
    </row>
    <row r="4560" spans="1:5" ht="15.75" customHeight="1" x14ac:dyDescent="0.25">
      <c r="A4560" s="6" t="s">
        <v>4468</v>
      </c>
      <c r="B4560" s="6" t="str">
        <f ca="1">IFERROR(__xludf.DUMMYFUNCTION("GOOGLETRANSLATE(A4560,""bn"",""en"")"),"It encourages personal growth self discovery")</f>
        <v>It encourages personal growth self discovery</v>
      </c>
      <c r="C4560" s="8" t="s">
        <v>13</v>
      </c>
      <c r="D4560" s="8" t="s">
        <v>14</v>
      </c>
      <c r="E4560" s="8">
        <v>1</v>
      </c>
    </row>
    <row r="4561" spans="1:5" ht="15.75" customHeight="1" x14ac:dyDescent="0.25">
      <c r="A4561" s="6" t="s">
        <v>4469</v>
      </c>
      <c r="B4561" s="6" t="str">
        <f ca="1">IFERROR(__xludf.DUMMYFUNCTION("GOOGLETRANSLATE(A4561,""bn"",""en"")"),"The transaction was flagged for possible money laundering")</f>
        <v>The transaction was flagged for possible money laundering</v>
      </c>
      <c r="C4561" s="8" t="s">
        <v>13</v>
      </c>
      <c r="D4561" s="8" t="s">
        <v>14</v>
      </c>
      <c r="E4561" s="8">
        <v>1</v>
      </c>
    </row>
    <row r="4562" spans="1:5" ht="15.75" customHeight="1" x14ac:dyDescent="0.25">
      <c r="A4562" s="6" t="s">
        <v>4470</v>
      </c>
      <c r="B4562" s="6" t="str">
        <f ca="1">IFERROR(__xludf.DUMMYFUNCTION("GOOGLETRANSLATE(A4562,""bn"",""en"")"),"His strength is not less on a twenty-three-year-old Baja girl")</f>
        <v>His strength is not less on a twenty-three-year-old Baja girl</v>
      </c>
      <c r="C4562" s="7" t="s">
        <v>6</v>
      </c>
      <c r="D4562" s="7" t="s">
        <v>7</v>
      </c>
      <c r="E4562" s="7">
        <v>0</v>
      </c>
    </row>
    <row r="4563" spans="1:5" ht="15.75" customHeight="1" x14ac:dyDescent="0.25">
      <c r="A4563" s="6" t="s">
        <v>4471</v>
      </c>
      <c r="B4563" s="6" t="str">
        <f ca="1">IFERROR(__xludf.DUMMYFUNCTION("GOOGLETRANSLATE(A4563,""bn"",""en"")"),"Who will say where Kusum goes after leaving the kitchen")</f>
        <v>Who will say where Kusum goes after leaving the kitchen</v>
      </c>
      <c r="C4563" s="7" t="s">
        <v>6</v>
      </c>
      <c r="D4563" s="7" t="s">
        <v>7</v>
      </c>
      <c r="E4563" s="7">
        <v>0</v>
      </c>
    </row>
    <row r="4564" spans="1:5" ht="15.75" customHeight="1" x14ac:dyDescent="0.25">
      <c r="A4564" s="6" t="s">
        <v>890</v>
      </c>
      <c r="B4564" s="6" t="str">
        <f ca="1">IFERROR(__xludf.DUMMYFUNCTION("GOOGLETRANSLATE(A4564,""bn"",""en"")"),"It is the custom of Koljati women to fast by touching their knees")</f>
        <v>It is the custom of Koljati women to fast by touching their knees</v>
      </c>
      <c r="C4564" s="7" t="s">
        <v>6</v>
      </c>
      <c r="D4564" s="7" t="s">
        <v>7</v>
      </c>
      <c r="E4564" s="7">
        <v>0</v>
      </c>
    </row>
    <row r="4565" spans="1:5" ht="15.75" customHeight="1" x14ac:dyDescent="0.25">
      <c r="A4565" s="6" t="s">
        <v>4472</v>
      </c>
      <c r="B4565" s="6" t="str">
        <f ca="1">IFERROR(__xludf.DUMMYFUNCTION("GOOGLETRANSLATE(A4565,""bn"",""en"")"),"I asked Saju to eat at home")</f>
        <v>I asked Saju to eat at home</v>
      </c>
      <c r="C4565" s="7" t="s">
        <v>6</v>
      </c>
      <c r="D4565" s="7" t="s">
        <v>7</v>
      </c>
      <c r="E4565" s="7">
        <v>0</v>
      </c>
    </row>
    <row r="4566" spans="1:5" ht="15.75" customHeight="1" x14ac:dyDescent="0.25">
      <c r="A4566" s="6" t="s">
        <v>4473</v>
      </c>
      <c r="B4566" s="6" t="str">
        <f ca="1">IFERROR(__xludf.DUMMYFUNCTION("GOOGLETRANSLATE(A4566,""bn"",""en"")"),"When I went out and caught my table brother, I learned about his great happiness")</f>
        <v>When I went out and caught my table brother, I learned about his great happiness</v>
      </c>
      <c r="C4566" s="7" t="s">
        <v>6</v>
      </c>
      <c r="D4566" s="7" t="s">
        <v>7</v>
      </c>
      <c r="E4566" s="7">
        <v>0</v>
      </c>
    </row>
    <row r="4567" spans="1:5" ht="15.75" customHeight="1" x14ac:dyDescent="0.25">
      <c r="A4567" s="6" t="s">
        <v>4474</v>
      </c>
      <c r="B4567" s="6" t="str">
        <f ca="1">IFERROR(__xludf.DUMMYFUNCTION("GOOGLETRANSLATE(A4567,""bn"",""en"")"),"On the other hand, it is helping a large disabled population to maintain a minimum standard of living")</f>
        <v>On the other hand, it is helping a large disabled population to maintain a minimum standard of living</v>
      </c>
      <c r="C4567" s="8" t="s">
        <v>13</v>
      </c>
      <c r="D4567" s="8" t="s">
        <v>14</v>
      </c>
      <c r="E4567" s="8">
        <v>1</v>
      </c>
    </row>
    <row r="4568" spans="1:5" ht="15.75" customHeight="1" x14ac:dyDescent="0.25">
      <c r="A4568" s="6" t="s">
        <v>4475</v>
      </c>
      <c r="B4568" s="6" t="str">
        <f ca="1">IFERROR(__xludf.DUMMYFUNCTION("GOOGLETRANSLATE(A4568,""bn"",""en"")"),"Celebrate your successes no matter how small")</f>
        <v>Celebrate your successes no matter how small</v>
      </c>
      <c r="C4568" s="8" t="s">
        <v>13</v>
      </c>
      <c r="D4568" s="8" t="s">
        <v>14</v>
      </c>
      <c r="E4568" s="8">
        <v>1</v>
      </c>
    </row>
    <row r="4569" spans="1:5" ht="15.75" customHeight="1" x14ac:dyDescent="0.25">
      <c r="A4569" s="6" t="s">
        <v>4476</v>
      </c>
      <c r="B4569" s="6" t="str">
        <f ca="1">IFERROR(__xludf.DUMMYFUNCTION("GOOGLETRANSLATE(A4569,""bn"",""en"")"),"Retweet to support local businesses")</f>
        <v>Retweet to support local businesses</v>
      </c>
      <c r="C4569" s="8" t="s">
        <v>13</v>
      </c>
      <c r="D4569" s="8" t="s">
        <v>14</v>
      </c>
      <c r="E4569" s="8">
        <v>1</v>
      </c>
    </row>
    <row r="4570" spans="1:5" ht="15.75" customHeight="1" x14ac:dyDescent="0.25">
      <c r="A4570" s="6" t="s">
        <v>4477</v>
      </c>
      <c r="B4570" s="6" t="str">
        <f ca="1">IFERROR(__xludf.DUMMYFUNCTION("GOOGLETRANSLATE(A4570,""bn"",""en"")"),"Neha came to my room")</f>
        <v>Neha came to my room</v>
      </c>
      <c r="C4570" s="8" t="s">
        <v>13</v>
      </c>
      <c r="D4570" s="8" t="s">
        <v>14</v>
      </c>
      <c r="E4570" s="8">
        <v>1</v>
      </c>
    </row>
    <row r="4571" spans="1:5" ht="15.75" customHeight="1" x14ac:dyDescent="0.25">
      <c r="A4571" s="6" t="s">
        <v>4478</v>
      </c>
      <c r="B4571" s="6" t="str">
        <f ca="1">IFERROR(__xludf.DUMMYFUNCTION("GOOGLETRANSLATE(A4571,""bn"",""en"")"),"Receiving unexpected kindness from a stranger restores my faith in humanity")</f>
        <v>Receiving unexpected kindness from a stranger restores my faith in humanity</v>
      </c>
      <c r="C4571" s="8" t="s">
        <v>13</v>
      </c>
      <c r="D4571" s="8" t="s">
        <v>14</v>
      </c>
      <c r="E4571" s="8">
        <v>1</v>
      </c>
    </row>
    <row r="4572" spans="1:5" ht="15.75" customHeight="1" x14ac:dyDescent="0.25">
      <c r="A4572" s="6" t="s">
        <v>4479</v>
      </c>
      <c r="B4572" s="6" t="str">
        <f ca="1">IFERROR(__xludf.DUMMYFUNCTION("GOOGLETRANSLATE(A4572,""bn"",""en"")"),"Khatak doesn't know how to count, can't count from one to ten")</f>
        <v>Khatak doesn't know how to count, can't count from one to ten</v>
      </c>
      <c r="C4572" s="7" t="s">
        <v>6</v>
      </c>
      <c r="D4572" s="7" t="s">
        <v>7</v>
      </c>
      <c r="E4572" s="7">
        <v>0</v>
      </c>
    </row>
    <row r="4573" spans="1:5" ht="15.75" customHeight="1" x14ac:dyDescent="0.25">
      <c r="A4573" s="6" t="s">
        <v>4480</v>
      </c>
      <c r="B4573" s="6" t="str">
        <f ca="1">IFERROR(__xludf.DUMMYFUNCTION("GOOGLETRANSLATE(A4573,""bn"",""en"")"),"After going some distance with Yuva, he told me that I will kill the tiger with my own hands")</f>
        <v>After going some distance with Yuva, he told me that I will kill the tiger with my own hands</v>
      </c>
      <c r="C4573" s="7" t="s">
        <v>6</v>
      </c>
      <c r="D4573" s="7" t="s">
        <v>7</v>
      </c>
      <c r="E4573" s="7">
        <v>0</v>
      </c>
    </row>
    <row r="4574" spans="1:5" ht="15.75" customHeight="1" x14ac:dyDescent="0.25">
      <c r="A4574" s="6" t="s">
        <v>4481</v>
      </c>
      <c r="B4574" s="6" t="str">
        <f ca="1">IFERROR(__xludf.DUMMYFUNCTION("GOOGLETRANSLATE(A4574,""bn"",""en"")"),"I wanted to go to his house but could not go because of the rain")</f>
        <v>I wanted to go to his house but could not go because of the rain</v>
      </c>
      <c r="C4574" s="7" t="s">
        <v>6</v>
      </c>
      <c r="D4574" s="7" t="s">
        <v>7</v>
      </c>
      <c r="E4574" s="7">
        <v>0</v>
      </c>
    </row>
    <row r="4575" spans="1:5" ht="15.75" customHeight="1" x14ac:dyDescent="0.25">
      <c r="A4575" s="6" t="s">
        <v>4482</v>
      </c>
      <c r="B4575" s="6" t="str">
        <f ca="1">IFERROR(__xludf.DUMMYFUNCTION("GOOGLETRANSLATE(A4575,""bn"",""en"")"),"I don't even want to find out why he insulted me like that. I don't even want to find out why he insulted me like that.")</f>
        <v>I don't even want to find out why he insulted me like that. I don't even want to find out why he insulted me like that.</v>
      </c>
      <c r="C4575" s="7" t="s">
        <v>6</v>
      </c>
      <c r="D4575" s="7" t="s">
        <v>7</v>
      </c>
      <c r="E4575" s="7">
        <v>0</v>
      </c>
    </row>
    <row r="4576" spans="1:5" ht="15.75" customHeight="1" x14ac:dyDescent="0.25">
      <c r="A4576" s="6" t="s">
        <v>4483</v>
      </c>
      <c r="B4576" s="6" t="str">
        <f ca="1">IFERROR(__xludf.DUMMYFUNCTION("GOOGLETRANSLATE(A4576,""bn"",""en"")"),"The boys came to know and cried")</f>
        <v>The boys came to know and cried</v>
      </c>
      <c r="C4576" s="7" t="s">
        <v>6</v>
      </c>
      <c r="D4576" s="7" t="s">
        <v>7</v>
      </c>
      <c r="E4576" s="7">
        <v>0</v>
      </c>
    </row>
    <row r="4577" spans="1:5" ht="15.75" customHeight="1" x14ac:dyDescent="0.25">
      <c r="A4577" s="6" t="s">
        <v>4484</v>
      </c>
      <c r="B4577" s="6" t="str">
        <f ca="1">IFERROR(__xludf.DUMMYFUNCTION("GOOGLETRANSLATE(A4577,""bn"",""en"")"),"It is celebrated every year on the date of October")</f>
        <v>It is celebrated every year on the date of October</v>
      </c>
      <c r="C4577" s="8" t="s">
        <v>13</v>
      </c>
      <c r="D4577" s="8" t="s">
        <v>14</v>
      </c>
      <c r="E4577" s="8">
        <v>1</v>
      </c>
    </row>
    <row r="4578" spans="1:5" ht="15.75" customHeight="1" x14ac:dyDescent="0.25">
      <c r="A4578" s="6" t="s">
        <v>4485</v>
      </c>
      <c r="B4578" s="6" t="str">
        <f ca="1">IFERROR(__xludf.DUMMYFUNCTION("GOOGLETRANSLATE(A4578,""bn"",""en"")"),"Agricultural biotechnology raises ethical concerns regarding genetically modified organisms")</f>
        <v>Agricultural biotechnology raises ethical concerns regarding genetically modified organisms</v>
      </c>
      <c r="C4578" s="8" t="s">
        <v>13</v>
      </c>
      <c r="D4578" s="8" t="s">
        <v>14</v>
      </c>
      <c r="E4578" s="8">
        <v>1</v>
      </c>
    </row>
    <row r="4579" spans="1:5" ht="15.75" customHeight="1" x14ac:dyDescent="0.25">
      <c r="A4579" s="6" t="s">
        <v>4486</v>
      </c>
      <c r="B4579" s="6" t="str">
        <f ca="1">IFERROR(__xludf.DUMMYFUNCTION("GOOGLETRANSLATE(A4579,""bn"",""en"")"),"Delicate pastries sweeten special occasions")</f>
        <v>Delicate pastries sweeten special occasions</v>
      </c>
      <c r="C4579" s="8" t="s">
        <v>13</v>
      </c>
      <c r="D4579" s="8" t="s">
        <v>14</v>
      </c>
      <c r="E4579" s="8">
        <v>1</v>
      </c>
    </row>
    <row r="4580" spans="1:5" ht="15.75" customHeight="1" x14ac:dyDescent="0.25">
      <c r="A4580" s="6" t="s">
        <v>4487</v>
      </c>
      <c r="B4580" s="6" t="str">
        <f ca="1">IFERROR(__xludf.DUMMYFUNCTION("GOOGLETRANSLATE(A4580,""bn"",""en"")"),"Shamsuddin's newspaper distribution agency was the only newspaper distribution company in the city")</f>
        <v>Shamsuddin's newspaper distribution agency was the only newspaper distribution company in the city</v>
      </c>
      <c r="C4580" s="8" t="s">
        <v>13</v>
      </c>
      <c r="D4580" s="8" t="s">
        <v>14</v>
      </c>
      <c r="E4580" s="8">
        <v>1</v>
      </c>
    </row>
    <row r="4581" spans="1:5" ht="15.75" customHeight="1" x14ac:dyDescent="0.25">
      <c r="A4581" s="6" t="s">
        <v>4488</v>
      </c>
      <c r="B4581" s="6" t="str">
        <f ca="1">IFERROR(__xludf.DUMMYFUNCTION("GOOGLETRANSLATE(A4581,""bn"",""en"")"),"Porto won their 1st Super Liga title")</f>
        <v>Porto won their 1st Super Liga title</v>
      </c>
      <c r="C4581" s="8" t="s">
        <v>13</v>
      </c>
      <c r="D4581" s="8" t="s">
        <v>14</v>
      </c>
      <c r="E4581" s="8">
        <v>1</v>
      </c>
    </row>
    <row r="4582" spans="1:5" ht="15.75" customHeight="1" x14ac:dyDescent="0.25">
      <c r="A4582" s="6" t="s">
        <v>4489</v>
      </c>
      <c r="B4582" s="6" t="str">
        <f ca="1">IFERROR(__xludf.DUMMYFUNCTION("GOOGLETRANSLATE(A4582,""bn"",""en"")"),"Even so close, Haru's face became blurred")</f>
        <v>Even so close, Haru's face became blurred</v>
      </c>
      <c r="C4582" s="7" t="s">
        <v>6</v>
      </c>
      <c r="D4582" s="7" t="s">
        <v>7</v>
      </c>
      <c r="E4582" s="7">
        <v>0</v>
      </c>
    </row>
    <row r="4583" spans="1:5" ht="15.75" customHeight="1" x14ac:dyDescent="0.25">
      <c r="A4583" s="6" t="s">
        <v>4490</v>
      </c>
      <c r="B4583" s="6" t="str">
        <f ca="1">IFERROR(__xludf.DUMMYFUNCTION("GOOGLETRANSLATE(A4583,""bn"",""en"")"),"So how far did I go back?")</f>
        <v>So how far did I go back?</v>
      </c>
      <c r="C4583" s="7" t="s">
        <v>6</v>
      </c>
      <c r="D4583" s="7" t="s">
        <v>7</v>
      </c>
      <c r="E4583" s="7">
        <v>0</v>
      </c>
    </row>
    <row r="4584" spans="1:5" ht="15.75" customHeight="1" x14ac:dyDescent="0.25">
      <c r="A4584" s="6" t="s">
        <v>4491</v>
      </c>
      <c r="B4584" s="6" t="str">
        <f ca="1">IFERROR(__xludf.DUMMYFUNCTION("GOOGLETRANSLATE(A4584,""bn"",""en"")"),"He smiled and said nothing")</f>
        <v>He smiled and said nothing</v>
      </c>
      <c r="C4584" s="7" t="s">
        <v>6</v>
      </c>
      <c r="D4584" s="7" t="s">
        <v>7</v>
      </c>
      <c r="E4584" s="7">
        <v>0</v>
      </c>
    </row>
    <row r="4585" spans="1:5" ht="15.75" customHeight="1" x14ac:dyDescent="0.25">
      <c r="A4585" s="6" t="s">
        <v>4492</v>
      </c>
      <c r="B4585" s="6" t="str">
        <f ca="1">IFERROR(__xludf.DUMMYFUNCTION("GOOGLETRANSLATE(A4585,""bn"",""en"")"),"I didn't notice it before because it happened later")</f>
        <v>I didn't notice it before because it happened later</v>
      </c>
      <c r="C4585" s="7" t="s">
        <v>6</v>
      </c>
      <c r="D4585" s="7" t="s">
        <v>7</v>
      </c>
      <c r="E4585" s="7">
        <v>0</v>
      </c>
    </row>
    <row r="4586" spans="1:5" ht="15.75" customHeight="1" x14ac:dyDescent="0.25">
      <c r="A4586" s="6" t="s">
        <v>4493</v>
      </c>
      <c r="B4586" s="6" t="str">
        <f ca="1">IFERROR(__xludf.DUMMYFUNCTION("GOOGLETRANSLATE(A4586,""bn"",""en"")"),"Rather, I felt very ugly")</f>
        <v>Rather, I felt very ugly</v>
      </c>
      <c r="C4586" s="7" t="s">
        <v>6</v>
      </c>
      <c r="D4586" s="7" t="s">
        <v>7</v>
      </c>
      <c r="E4586" s="7">
        <v>0</v>
      </c>
    </row>
    <row r="4587" spans="1:5" ht="15.75" customHeight="1" x14ac:dyDescent="0.25">
      <c r="A4587" s="6" t="s">
        <v>4494</v>
      </c>
      <c r="B4587" s="6" t="str">
        <f ca="1">IFERROR(__xludf.DUMMYFUNCTION("GOOGLETRANSLATE(A4587,""bn"",""en"")"),"Rafiq went to buy new books")</f>
        <v>Rafiq went to buy new books</v>
      </c>
      <c r="C4587" s="8" t="s">
        <v>13</v>
      </c>
      <c r="D4587" s="8" t="s">
        <v>14</v>
      </c>
      <c r="E4587" s="8">
        <v>1</v>
      </c>
    </row>
    <row r="4588" spans="1:5" ht="15.75" customHeight="1" x14ac:dyDescent="0.25">
      <c r="A4588" s="6" t="s">
        <v>4495</v>
      </c>
      <c r="B4588" s="6" t="str">
        <f ca="1">IFERROR(__xludf.DUMMYFUNCTION("GOOGLETRANSLATE(A4588,""bn"",""en"")"),"The club went into decline after being defeated in the FA Cup final in 2008")</f>
        <v>The club went into decline after being defeated in the FA Cup final in 2008</v>
      </c>
      <c r="C4588" s="8" t="s">
        <v>13</v>
      </c>
      <c r="D4588" s="8" t="s">
        <v>14</v>
      </c>
      <c r="E4588" s="8">
        <v>1</v>
      </c>
    </row>
    <row r="4589" spans="1:5" ht="15.75" customHeight="1" x14ac:dyDescent="0.25">
      <c r="A4589" s="6" t="s">
        <v>4496</v>
      </c>
      <c r="B4589" s="6" t="str">
        <f ca="1">IFERROR(__xludf.DUMMYFUNCTION("GOOGLETRANSLATE(A4589,""bn"",""en"")"),"When I got up, mother would give me a bath")</f>
        <v>When I got up, mother would give me a bath</v>
      </c>
      <c r="C4589" s="8" t="s">
        <v>13</v>
      </c>
      <c r="D4589" s="8" t="s">
        <v>14</v>
      </c>
      <c r="E4589" s="8">
        <v>1</v>
      </c>
    </row>
    <row r="4590" spans="1:5" ht="15.75" customHeight="1" x14ac:dyDescent="0.25">
      <c r="A4590" s="6" t="s">
        <v>4497</v>
      </c>
      <c r="B4590" s="6" t="str">
        <f ca="1">IFERROR(__xludf.DUMMYFUNCTION("GOOGLETRANSLATE(A4590,""bn"",""en"")"),"In hoarse language he described twelve Bolshevik murderers and rapists")</f>
        <v>In hoarse language he described twelve Bolshevik murderers and rapists</v>
      </c>
      <c r="C4590" s="8" t="s">
        <v>13</v>
      </c>
      <c r="D4590" s="8" t="s">
        <v>14</v>
      </c>
      <c r="E4590" s="8">
        <v>1</v>
      </c>
    </row>
    <row r="4591" spans="1:5" ht="15.75" customHeight="1" x14ac:dyDescent="0.25">
      <c r="A4591" s="6" t="s">
        <v>4498</v>
      </c>
      <c r="B4591" s="6" t="str">
        <f ca="1">IFERROR(__xludf.DUMMYFUNCTION("GOOGLETRANSLATE(A4591,""bn"",""en"")"),"Agronomy Agriculture studies the interactions of organisms within their environment")</f>
        <v>Agronomy Agriculture studies the interactions of organisms within their environment</v>
      </c>
      <c r="C4591" s="8" t="s">
        <v>13</v>
      </c>
      <c r="D4591" s="8" t="s">
        <v>14</v>
      </c>
      <c r="E4591" s="8">
        <v>1</v>
      </c>
    </row>
    <row r="4592" spans="1:5" ht="15.75" customHeight="1" x14ac:dyDescent="0.25">
      <c r="A4592" s="6" t="s">
        <v>4499</v>
      </c>
      <c r="B4592" s="6" t="str">
        <f ca="1">IFERROR(__xludf.DUMMYFUNCTION("GOOGLETRANSLATE(A4592,""bn"",""en"")"),"If we can send our country's liquor to Bilat once, the birth is worthwhile")</f>
        <v>If we can send our country's liquor to Bilat once, the birth is worthwhile</v>
      </c>
      <c r="C4592" s="7" t="s">
        <v>6</v>
      </c>
      <c r="D4592" s="7" t="s">
        <v>7</v>
      </c>
      <c r="E4592" s="7">
        <v>0</v>
      </c>
    </row>
    <row r="4593" spans="1:5" ht="15.75" customHeight="1" x14ac:dyDescent="0.25">
      <c r="A4593" s="6" t="s">
        <v>4500</v>
      </c>
      <c r="B4593" s="6" t="str">
        <f ca="1">IFERROR(__xludf.DUMMYFUNCTION("GOOGLETRANSLATE(A4593,""bn"",""en"")"),"So I doubt it is authentic")</f>
        <v>So I doubt it is authentic</v>
      </c>
      <c r="C4593" s="7" t="s">
        <v>6</v>
      </c>
      <c r="D4593" s="7" t="s">
        <v>7</v>
      </c>
      <c r="E4593" s="7">
        <v>0</v>
      </c>
    </row>
    <row r="4594" spans="1:5" ht="15.75" customHeight="1" x14ac:dyDescent="0.25">
      <c r="A4594" s="6" t="s">
        <v>4501</v>
      </c>
      <c r="B4594" s="6" t="str">
        <f ca="1">IFERROR(__xludf.DUMMYFUNCTION("GOOGLETRANSLATE(A4594,""bn"",""en"")"),"Shakib came to me to take books")</f>
        <v>Shakib came to me to take books</v>
      </c>
      <c r="C4594" s="7" t="s">
        <v>6</v>
      </c>
      <c r="D4594" s="7" t="s">
        <v>7</v>
      </c>
      <c r="E4594" s="7">
        <v>0</v>
      </c>
    </row>
    <row r="4595" spans="1:5" ht="15.75" customHeight="1" x14ac:dyDescent="0.25">
      <c r="A4595" s="6" t="s">
        <v>4502</v>
      </c>
      <c r="B4595" s="6" t="str">
        <f ca="1">IFERROR(__xludf.DUMMYFUNCTION("GOOGLETRANSLATE(A4595,""bn"",""en"")"),"The groom looks inside the palanquin to see the bride")</f>
        <v>The groom looks inside the palanquin to see the bride</v>
      </c>
      <c r="C4595" s="7" t="s">
        <v>6</v>
      </c>
      <c r="D4595" s="7" t="s">
        <v>7</v>
      </c>
      <c r="E4595" s="7">
        <v>0</v>
      </c>
    </row>
    <row r="4596" spans="1:5" ht="15.75" customHeight="1" x14ac:dyDescent="0.25">
      <c r="A4596" s="6" t="s">
        <v>4503</v>
      </c>
      <c r="B4596" s="6" t="str">
        <f ca="1">IFERROR(__xludf.DUMMYFUNCTION("GOOGLETRANSLATE(A4596,""bn"",""en"")"),"Heard from Shashi once")</f>
        <v>Heard from Shashi once</v>
      </c>
      <c r="C4596" s="7" t="s">
        <v>6</v>
      </c>
      <c r="D4596" s="7" t="s">
        <v>7</v>
      </c>
      <c r="E4596" s="7">
        <v>0</v>
      </c>
    </row>
    <row r="4597" spans="1:5" ht="15.75" customHeight="1" x14ac:dyDescent="0.25">
      <c r="A4597" s="6" t="s">
        <v>387</v>
      </c>
      <c r="B4597" s="6" t="str">
        <f ca="1">IFERROR(__xludf.DUMMYFUNCTION("GOOGLETRANSLATE(A4597,""bn"",""en"")"),"Various strange sounds are heard in that deep forest")</f>
        <v>Various strange sounds are heard in that deep forest</v>
      </c>
      <c r="C4597" s="8" t="s">
        <v>13</v>
      </c>
      <c r="D4597" s="8" t="s">
        <v>14</v>
      </c>
      <c r="E4597" s="8">
        <v>1</v>
      </c>
    </row>
    <row r="4598" spans="1:5" ht="15.75" customHeight="1" x14ac:dyDescent="0.25">
      <c r="A4598" s="6" t="s">
        <v>4504</v>
      </c>
      <c r="B4598" s="6" t="str">
        <f ca="1">IFERROR(__xludf.DUMMYFUNCTION("GOOGLETRANSLATE(A4598,""bn"",""en"")"),"Failure experiences teach me valuable lessons")</f>
        <v>Failure experiences teach me valuable lessons</v>
      </c>
      <c r="C4598" s="8" t="s">
        <v>13</v>
      </c>
      <c r="D4598" s="8" t="s">
        <v>14</v>
      </c>
      <c r="E4598" s="8">
        <v>1</v>
      </c>
    </row>
    <row r="4599" spans="1:5" ht="15.75" customHeight="1" x14ac:dyDescent="0.25">
      <c r="A4599" s="6" t="s">
        <v>4505</v>
      </c>
      <c r="B4599" s="6" t="str">
        <f ca="1">IFERROR(__xludf.DUMMYFUNCTION("GOOGLETRANSLATE(A4599,""bn"",""en"")"),"Hearing his angry voice, the girl shuddered in fear")</f>
        <v>Hearing his angry voice, the girl shuddered in fear</v>
      </c>
      <c r="C4599" s="8" t="s">
        <v>13</v>
      </c>
      <c r="D4599" s="8" t="s">
        <v>14</v>
      </c>
      <c r="E4599" s="8">
        <v>1</v>
      </c>
    </row>
    <row r="4600" spans="1:5" ht="15.75" customHeight="1" x14ac:dyDescent="0.25">
      <c r="A4600" s="6" t="s">
        <v>4506</v>
      </c>
      <c r="B4600" s="6" t="str">
        <f ca="1">IFERROR(__xludf.DUMMYFUNCTION("GOOGLETRANSLATE(A4600,""bn"",""en"")"),"Harinath's books were published after his death")</f>
        <v>Harinath's books were published after his death</v>
      </c>
      <c r="C4600" s="8" t="s">
        <v>13</v>
      </c>
      <c r="D4600" s="8" t="s">
        <v>14</v>
      </c>
      <c r="E4600" s="8">
        <v>1</v>
      </c>
    </row>
    <row r="4601" spans="1:5" ht="15.75" customHeight="1" x14ac:dyDescent="0.25">
      <c r="A4601" s="6" t="s">
        <v>4507</v>
      </c>
      <c r="B4601" s="6" t="str">
        <f ca="1">IFERROR(__xludf.DUMMYFUNCTION("GOOGLETRANSLATE(A4601,""bn"",""en"")"),"Icelanders have full religious freedom")</f>
        <v>Icelanders have full religious freedom</v>
      </c>
      <c r="C4601" s="8" t="s">
        <v>13</v>
      </c>
      <c r="D4601" s="8" t="s">
        <v>14</v>
      </c>
      <c r="E4601" s="8">
        <v>1</v>
      </c>
    </row>
    <row r="4602" spans="1:5" ht="15.75" customHeight="1" x14ac:dyDescent="0.25">
      <c r="A4602" s="6" t="s">
        <v>4508</v>
      </c>
      <c r="B4602" s="6" t="str">
        <f ca="1">IFERROR(__xludf.DUMMYFUNCTION("GOOGLETRANSLATE(A4602,""bn"",""en"")"),"The gopis told this to Radhika so many times that the Kunj birds learned it")</f>
        <v>The gopis told this to Radhika so many times that the Kunj birds learned it</v>
      </c>
      <c r="C4602" s="7" t="s">
        <v>6</v>
      </c>
      <c r="D4602" s="7" t="s">
        <v>7</v>
      </c>
      <c r="E4602" s="7">
        <v>0</v>
      </c>
    </row>
    <row r="4603" spans="1:5" ht="15.75" customHeight="1" x14ac:dyDescent="0.25">
      <c r="A4603" s="6" t="s">
        <v>4509</v>
      </c>
      <c r="B4603" s="6" t="str">
        <f ca="1">IFERROR(__xludf.DUMMYFUNCTION("GOOGLETRANSLATE(A4603,""bn"",""en"")"),"I don't like the identity of the tiger")</f>
        <v>I don't like the identity of the tiger</v>
      </c>
      <c r="C4603" s="7" t="s">
        <v>6</v>
      </c>
      <c r="D4603" s="7" t="s">
        <v>7</v>
      </c>
      <c r="E4603" s="7">
        <v>0</v>
      </c>
    </row>
    <row r="4604" spans="1:5" ht="15.75" customHeight="1" x14ac:dyDescent="0.25">
      <c r="A4604" s="6" t="s">
        <v>4510</v>
      </c>
      <c r="B4604" s="6" t="str">
        <f ca="1">IFERROR(__xludf.DUMMYFUNCTION("GOOGLETRANSLATE(A4604,""bn"",""en"")"),"Suman asked me to go")</f>
        <v>Suman asked me to go</v>
      </c>
      <c r="C4604" s="7" t="s">
        <v>6</v>
      </c>
      <c r="D4604" s="7" t="s">
        <v>7</v>
      </c>
      <c r="E4604" s="7">
        <v>0</v>
      </c>
    </row>
    <row r="4605" spans="1:5" ht="15.75" customHeight="1" x14ac:dyDescent="0.25">
      <c r="A4605" s="6" t="s">
        <v>4511</v>
      </c>
      <c r="B4605" s="6" t="str">
        <f ca="1">IFERROR(__xludf.DUMMYFUNCTION("GOOGLETRANSLATE(A4605,""bn"",""en"")"),"The Tivas are arrogant, arrogant, quarrelsome, greedy, miserly crooks")</f>
        <v>The Tivas are arrogant, arrogant, quarrelsome, greedy, miserly crooks</v>
      </c>
      <c r="C4605" s="7" t="s">
        <v>6</v>
      </c>
      <c r="D4605" s="7" t="s">
        <v>7</v>
      </c>
      <c r="E4605" s="7">
        <v>0</v>
      </c>
    </row>
    <row r="4606" spans="1:5" ht="15.75" customHeight="1" x14ac:dyDescent="0.25">
      <c r="A4606" s="6" t="s">
        <v>4512</v>
      </c>
      <c r="B4606" s="6" t="str">
        <f ca="1">IFERROR(__xludf.DUMMYFUNCTION("GOOGLETRANSLATE(A4606,""bn"",""en"")"),"Shawn saw me and called me to play")</f>
        <v>Shawn saw me and called me to play</v>
      </c>
      <c r="C4606" s="7" t="s">
        <v>6</v>
      </c>
      <c r="D4606" s="7" t="s">
        <v>7</v>
      </c>
      <c r="E4606" s="7">
        <v>0</v>
      </c>
    </row>
    <row r="4607" spans="1:5" ht="15.75" customHeight="1" x14ac:dyDescent="0.25">
      <c r="A4607" s="6" t="s">
        <v>4513</v>
      </c>
      <c r="B4607" s="6" t="str">
        <f ca="1">IFERROR(__xludf.DUMMYFUNCTION("GOOGLETRANSLATE(A4607,""bn"",""en"")"),"Facing fear brings a sense of empowerment")</f>
        <v>Facing fear brings a sense of empowerment</v>
      </c>
      <c r="C4607" s="8" t="s">
        <v>13</v>
      </c>
      <c r="D4607" s="8" t="s">
        <v>14</v>
      </c>
      <c r="E4607" s="8">
        <v>1</v>
      </c>
    </row>
    <row r="4608" spans="1:5" ht="15.75" customHeight="1" x14ac:dyDescent="0.25">
      <c r="A4608" s="6" t="s">
        <v>4514</v>
      </c>
      <c r="B4608" s="6" t="str">
        <f ca="1">IFERROR(__xludf.DUMMYFUNCTION("GOOGLETRANSLATE(A4608,""bn"",""en"")"),"Educational psychology explores the cognitive processes of students")</f>
        <v>Educational psychology explores the cognitive processes of students</v>
      </c>
      <c r="C4608" s="8" t="s">
        <v>13</v>
      </c>
      <c r="D4608" s="8" t="s">
        <v>14</v>
      </c>
      <c r="E4608" s="8">
        <v>1</v>
      </c>
    </row>
    <row r="4609" spans="1:5" ht="15.75" customHeight="1" x14ac:dyDescent="0.25">
      <c r="A4609" s="6" t="s">
        <v>4515</v>
      </c>
      <c r="B4609" s="6" t="str">
        <f ca="1">IFERROR(__xludf.DUMMYFUNCTION("GOOGLETRANSLATE(A4609,""bn"",""en"")"),"Retweet for positive vibes")</f>
        <v>Retweet for positive vibes</v>
      </c>
      <c r="C4609" s="8" t="s">
        <v>13</v>
      </c>
      <c r="D4609" s="8" t="s">
        <v>14</v>
      </c>
      <c r="E4609" s="8">
        <v>1</v>
      </c>
    </row>
    <row r="4610" spans="1:5" ht="15.75" customHeight="1" x14ac:dyDescent="0.25">
      <c r="A4610" s="6" t="s">
        <v>4516</v>
      </c>
      <c r="B4610" s="6" t="str">
        <f ca="1">IFERROR(__xludf.DUMMYFUNCTION("GOOGLETRANSLATE(A4610,""bn"",""en"")"),"The taxi driver took a shortcut to avoid the traffic and it saved us time")</f>
        <v>The taxi driver took a shortcut to avoid the traffic and it saved us time</v>
      </c>
      <c r="C4610" s="8" t="s">
        <v>13</v>
      </c>
      <c r="D4610" s="8" t="s">
        <v>14</v>
      </c>
      <c r="E4610" s="8">
        <v>1</v>
      </c>
    </row>
    <row r="4611" spans="1:5" ht="15.75" customHeight="1" x14ac:dyDescent="0.25">
      <c r="A4611" s="6" t="s">
        <v>4517</v>
      </c>
      <c r="B4611" s="6" t="str">
        <f ca="1">IFERROR(__xludf.DUMMYFUNCTION("GOOGLETRANSLATE(A4611,""bn"",""en"")"),"The Mughal Empire began with Babur's victory over Ibrahim Lodi in the First Battle of Jwalpatha.")</f>
        <v>The Mughal Empire began with Babur's victory over Ibrahim Lodi in the First Battle of Jwalpatha.</v>
      </c>
      <c r="C4611" s="8" t="s">
        <v>13</v>
      </c>
      <c r="D4611" s="8" t="s">
        <v>14</v>
      </c>
      <c r="E4611" s="8">
        <v>1</v>
      </c>
    </row>
    <row r="4612" spans="1:5" ht="15.75" customHeight="1" x14ac:dyDescent="0.25">
      <c r="A4612" s="6" t="s">
        <v>3919</v>
      </c>
      <c r="B4612" s="6" t="str">
        <f ca="1">IFERROR(__xludf.DUMMYFUNCTION("GOOGLETRANSLATE(A4612,""bn"",""en"")"),"The tiger will come and catch me and eat me, all these things never came to my mind")</f>
        <v>The tiger will come and catch me and eat me, all these things never came to my mind</v>
      </c>
      <c r="C4612" s="7" t="s">
        <v>6</v>
      </c>
      <c r="D4612" s="7" t="s">
        <v>7</v>
      </c>
      <c r="E4612" s="7">
        <v>0</v>
      </c>
    </row>
    <row r="4613" spans="1:5" ht="15.75" customHeight="1" x14ac:dyDescent="0.25">
      <c r="A4613" s="6" t="s">
        <v>4518</v>
      </c>
      <c r="B4613" s="6" t="str">
        <f ca="1">IFERROR(__xludf.DUMMYFUNCTION("GOOGLETRANSLATE(A4613,""bn"",""en"")"),"Shafiq came to me and told me everything")</f>
        <v>Shafiq came to me and told me everything</v>
      </c>
      <c r="C4613" s="7" t="s">
        <v>6</v>
      </c>
      <c r="D4613" s="7" t="s">
        <v>7</v>
      </c>
      <c r="E4613" s="7">
        <v>0</v>
      </c>
    </row>
    <row r="4614" spans="1:5" ht="15.75" customHeight="1" x14ac:dyDescent="0.25">
      <c r="A4614" s="6" t="s">
        <v>4519</v>
      </c>
      <c r="B4614" s="6" t="str">
        <f ca="1">IFERROR(__xludf.DUMMYFUNCTION("GOOGLETRANSLATE(A4614,""bn"",""en"")"),"I said how much is the width of the paper")</f>
        <v>I said how much is the width of the paper</v>
      </c>
      <c r="C4614" s="7" t="s">
        <v>6</v>
      </c>
      <c r="D4614" s="7" t="s">
        <v>7</v>
      </c>
      <c r="E4614" s="7">
        <v>0</v>
      </c>
    </row>
    <row r="4615" spans="1:5" ht="15.75" customHeight="1" x14ac:dyDescent="0.25">
      <c r="A4615" s="6" t="s">
        <v>4520</v>
      </c>
      <c r="B4615" s="6" t="str">
        <f ca="1">IFERROR(__xludf.DUMMYFUNCTION("GOOGLETRANSLATE(A4615,""bn"",""en"")"),"Hadith words are always good words")</f>
        <v>Hadith words are always good words</v>
      </c>
      <c r="C4615" s="7" t="s">
        <v>6</v>
      </c>
      <c r="D4615" s="7" t="s">
        <v>7</v>
      </c>
      <c r="E4615" s="7">
        <v>0</v>
      </c>
    </row>
    <row r="4616" spans="1:5" ht="15.75" customHeight="1" x14ac:dyDescent="0.25">
      <c r="A4616" s="6" t="s">
        <v>4521</v>
      </c>
      <c r="B4616" s="6" t="str">
        <f ca="1">IFERROR(__xludf.DUMMYFUNCTION("GOOGLETRANSLATE(A4616,""bn"",""en"")"),"Only he who is my special relative can call me")</f>
        <v>Only he who is my special relative can call me</v>
      </c>
      <c r="C4616" s="7" t="s">
        <v>6</v>
      </c>
      <c r="D4616" s="7" t="s">
        <v>7</v>
      </c>
      <c r="E4616" s="7">
        <v>0</v>
      </c>
    </row>
    <row r="4617" spans="1:5" ht="15.75" customHeight="1" x14ac:dyDescent="0.25">
      <c r="A4617" s="6" t="s">
        <v>4522</v>
      </c>
      <c r="B4617" s="6" t="str">
        <f ca="1">IFERROR(__xludf.DUMMYFUNCTION("GOOGLETRANSLATE(A4617,""bn"",""en"")"),"Another animal similar to the llama is the alpaca")</f>
        <v>Another animal similar to the llama is the alpaca</v>
      </c>
      <c r="C4617" s="8" t="s">
        <v>13</v>
      </c>
      <c r="D4617" s="8" t="s">
        <v>14</v>
      </c>
      <c r="E4617" s="8">
        <v>1</v>
      </c>
    </row>
    <row r="4618" spans="1:5" ht="15.75" customHeight="1" x14ac:dyDescent="0.25">
      <c r="A4618" s="6" t="s">
        <v>4523</v>
      </c>
      <c r="B4618" s="6" t="str">
        <f ca="1">IFERROR(__xludf.DUMMYFUNCTION("GOOGLETRANSLATE(A4618,""bn"",""en"")"),"Lifeguards keep an eye on swimmers on the beach")</f>
        <v>Lifeguards keep an eye on swimmers on the beach</v>
      </c>
      <c r="C4618" s="8" t="s">
        <v>13</v>
      </c>
      <c r="D4618" s="8" t="s">
        <v>14</v>
      </c>
      <c r="E4618" s="8">
        <v>1</v>
      </c>
    </row>
    <row r="4619" spans="1:5" ht="15.75" customHeight="1" x14ac:dyDescent="0.25">
      <c r="A4619" s="6" t="s">
        <v>4524</v>
      </c>
      <c r="B4619" s="6" t="str">
        <f ca="1">IFERROR(__xludf.DUMMYFUNCTION("GOOGLETRANSLATE(A4619,""bn"",""en"")"),"The doctor examines the patient's symptoms carefully")</f>
        <v>The doctor examines the patient's symptoms carefully</v>
      </c>
      <c r="C4619" s="8" t="s">
        <v>13</v>
      </c>
      <c r="D4619" s="8" t="s">
        <v>14</v>
      </c>
      <c r="E4619" s="8">
        <v>1</v>
      </c>
    </row>
    <row r="4620" spans="1:5" ht="15.75" customHeight="1" x14ac:dyDescent="0.25">
      <c r="A4620" s="6" t="s">
        <v>4525</v>
      </c>
      <c r="B4620" s="6" t="str">
        <f ca="1">IFERROR(__xludf.DUMMYFUNCTION("GOOGLETRANSLATE(A4620,""bn"",""en"")"),"While collecting fish with his father, he gasped")</f>
        <v>While collecting fish with his father, he gasped</v>
      </c>
      <c r="C4620" s="8" t="s">
        <v>13</v>
      </c>
      <c r="D4620" s="8" t="s">
        <v>14</v>
      </c>
      <c r="E4620" s="8">
        <v>1</v>
      </c>
    </row>
    <row r="4621" spans="1:5" ht="15.75" customHeight="1" x14ac:dyDescent="0.25">
      <c r="A4621" s="6" t="s">
        <v>4526</v>
      </c>
      <c r="B4621" s="6" t="str">
        <f ca="1">IFERROR(__xludf.DUMMYFUNCTION("GOOGLETRANSLATE(A4621,""bn"",""en"")"),"Product arrived as described I am satisfied with my purchase")</f>
        <v>Product arrived as described I am satisfied with my purchase</v>
      </c>
      <c r="C4621" s="8" t="s">
        <v>13</v>
      </c>
      <c r="D4621" s="8" t="s">
        <v>14</v>
      </c>
      <c r="E4621" s="8">
        <v>1</v>
      </c>
    </row>
    <row r="4622" spans="1:5" ht="15.75" customHeight="1" x14ac:dyDescent="0.25">
      <c r="A4622" s="6" t="s">
        <v>4527</v>
      </c>
      <c r="B4622" s="6" t="str">
        <f ca="1">IFERROR(__xludf.DUMMYFUNCTION("GOOGLETRANSLATE(A4622,""bn"",""en"")"),"He showed me a beautiful bird")</f>
        <v>He showed me a beautiful bird</v>
      </c>
      <c r="C4622" s="7" t="s">
        <v>6</v>
      </c>
      <c r="D4622" s="7" t="s">
        <v>7</v>
      </c>
      <c r="E4622" s="7">
        <v>0</v>
      </c>
    </row>
    <row r="4623" spans="1:5" ht="15.75" customHeight="1" x14ac:dyDescent="0.25">
      <c r="A4623" s="6" t="s">
        <v>4528</v>
      </c>
      <c r="B4623" s="6" t="str">
        <f ca="1">IFERROR(__xludf.DUMMYFUNCTION("GOOGLETRANSLATE(A4623,""bn"",""en"")"),"I have to return home after school")</f>
        <v>I have to return home after school</v>
      </c>
      <c r="C4623" s="7" t="s">
        <v>6</v>
      </c>
      <c r="D4623" s="7" t="s">
        <v>7</v>
      </c>
      <c r="E4623" s="7">
        <v>0</v>
      </c>
    </row>
    <row r="4624" spans="1:5" ht="15.75" customHeight="1" x14ac:dyDescent="0.25">
      <c r="A4624" s="6" t="s">
        <v>4529</v>
      </c>
      <c r="B4624" s="6" t="str">
        <f ca="1">IFERROR(__xludf.DUMMYFUNCTION("GOOGLETRANSLATE(A4624,""bn"",""en"")"),"The other day I was sitting reading")</f>
        <v>The other day I was sitting reading</v>
      </c>
      <c r="C4624" s="7" t="s">
        <v>6</v>
      </c>
      <c r="D4624" s="7" t="s">
        <v>7</v>
      </c>
      <c r="E4624" s="7">
        <v>0</v>
      </c>
    </row>
    <row r="4625" spans="1:5" ht="15.75" customHeight="1" x14ac:dyDescent="0.25">
      <c r="A4625" s="6" t="s">
        <v>1745</v>
      </c>
      <c r="B4625" s="6" t="str">
        <f ca="1">IFERROR(__xludf.DUMMYFUNCTION("GOOGLETRANSLATE(A4625,""bn"",""en"")"),"All men were brave in the primitive state, they did not know the consequences")</f>
        <v>All men were brave in the primitive state, they did not know the consequences</v>
      </c>
      <c r="C4625" s="7" t="s">
        <v>6</v>
      </c>
      <c r="D4625" s="7" t="s">
        <v>7</v>
      </c>
      <c r="E4625" s="7">
        <v>0</v>
      </c>
    </row>
    <row r="4626" spans="1:5" ht="15.75" customHeight="1" x14ac:dyDescent="0.25">
      <c r="A4626" s="6" t="s">
        <v>4530</v>
      </c>
      <c r="B4626" s="6" t="str">
        <f ca="1">IFERROR(__xludf.DUMMYFUNCTION("GOOGLETRANSLATE(A4626,""bn"",""en"")"),"The difference between saint and dishonest in the world is that saints are hypocritical and dishonest are sincere")</f>
        <v>The difference between saint and dishonest in the world is that saints are hypocritical and dishonest are sincere</v>
      </c>
      <c r="C4626" s="7" t="s">
        <v>6</v>
      </c>
      <c r="D4626" s="7" t="s">
        <v>7</v>
      </c>
      <c r="E4626" s="7">
        <v>0</v>
      </c>
    </row>
    <row r="4627" spans="1:5" ht="15.75" customHeight="1" x14ac:dyDescent="0.25">
      <c r="A4627" s="6" t="s">
        <v>4531</v>
      </c>
      <c r="B4627" s="6" t="str">
        <f ca="1">IFERROR(__xludf.DUMMYFUNCTION("GOOGLETRANSLATE(A4627,""bn"",""en"")"),"I asked him about his test results")</f>
        <v>I asked him about his test results</v>
      </c>
      <c r="C4627" s="8" t="s">
        <v>13</v>
      </c>
      <c r="D4627" s="8" t="s">
        <v>14</v>
      </c>
      <c r="E4627" s="8">
        <v>1</v>
      </c>
    </row>
    <row r="4628" spans="1:5" ht="15.75" customHeight="1" x14ac:dyDescent="0.25">
      <c r="A4628" s="6" t="s">
        <v>4532</v>
      </c>
      <c r="B4628" s="6" t="str">
        <f ca="1">IFERROR(__xludf.DUMMYFUNCTION("GOOGLETRANSLATE(A4628,""bn"",""en"")"),"The city of Petra was highly fortified and economically prosperous")</f>
        <v>The city of Petra was highly fortified and economically prosperous</v>
      </c>
      <c r="C4628" s="8" t="s">
        <v>13</v>
      </c>
      <c r="D4628" s="8" t="s">
        <v>14</v>
      </c>
      <c r="E4628" s="8">
        <v>1</v>
      </c>
    </row>
    <row r="4629" spans="1:5" ht="15.75" customHeight="1" x14ac:dyDescent="0.25">
      <c r="A4629" s="6" t="s">
        <v>4533</v>
      </c>
      <c r="B4629" s="6" t="str">
        <f ca="1">IFERROR(__xludf.DUMMYFUNCTION("GOOGLETRANSLATE(A4629,""bn"",""en"")"),"Include flexibility exercises for mobility")</f>
        <v>Include flexibility exercises for mobility</v>
      </c>
      <c r="C4629" s="8" t="s">
        <v>13</v>
      </c>
      <c r="D4629" s="8" t="s">
        <v>14</v>
      </c>
      <c r="E4629" s="8">
        <v>1</v>
      </c>
    </row>
    <row r="4630" spans="1:5" ht="15.75" customHeight="1" x14ac:dyDescent="0.25">
      <c r="A4630" s="6" t="s">
        <v>4534</v>
      </c>
      <c r="B4630" s="6" t="str">
        <f ca="1">IFERROR(__xludf.DUMMYFUNCTION("GOOGLETRANSLATE(A4630,""bn"",""en"")"),"For the next hour I was delivering newspapers door to door at Rameswaram's house")</f>
        <v>For the next hour I was delivering newspapers door to door at Rameswaram's house</v>
      </c>
      <c r="C4630" s="8" t="s">
        <v>13</v>
      </c>
      <c r="D4630" s="8" t="s">
        <v>14</v>
      </c>
      <c r="E4630" s="8">
        <v>1</v>
      </c>
    </row>
    <row r="4631" spans="1:5" ht="15.75" customHeight="1" x14ac:dyDescent="0.25">
      <c r="A4631" s="6" t="s">
        <v>4535</v>
      </c>
      <c r="B4631" s="6" t="str">
        <f ca="1">IFERROR(__xludf.DUMMYFUNCTION("GOOGLETRANSLATE(A4631,""bn"",""en"")"),"Sustainable intensification aims to increase agricultural productivity while reducing environmental impact")</f>
        <v>Sustainable intensification aims to increase agricultural productivity while reducing environmental impact</v>
      </c>
      <c r="C4631" s="8" t="s">
        <v>13</v>
      </c>
      <c r="D4631" s="8" t="s">
        <v>14</v>
      </c>
      <c r="E4631" s="8">
        <v>1</v>
      </c>
    </row>
    <row r="4632" spans="1:5" ht="15.75" customHeight="1" x14ac:dyDescent="0.25">
      <c r="A4632" s="6" t="s">
        <v>4536</v>
      </c>
      <c r="B4632" s="6" t="str">
        <f ca="1">IFERROR(__xludf.DUMMYFUNCTION("GOOGLETRANSLATE(A4632,""bn"",""en"")"),"Sujan asked me to play football")</f>
        <v>Sujan asked me to play football</v>
      </c>
      <c r="C4632" s="7" t="s">
        <v>6</v>
      </c>
      <c r="D4632" s="7" t="s">
        <v>7</v>
      </c>
      <c r="E4632" s="7">
        <v>0</v>
      </c>
    </row>
    <row r="4633" spans="1:5" ht="15.75" customHeight="1" x14ac:dyDescent="0.25">
      <c r="A4633" s="6" t="s">
        <v>4537</v>
      </c>
      <c r="B4633" s="6" t="str">
        <f ca="1">IFERROR(__xludf.DUMMYFUNCTION("GOOGLETRANSLATE(A4633,""bn"",""en"")"),"When I came back home, I saw that the dust had caused a mess")</f>
        <v>When I came back home, I saw that the dust had caused a mess</v>
      </c>
      <c r="C4633" s="7" t="s">
        <v>6</v>
      </c>
      <c r="D4633" s="7" t="s">
        <v>7</v>
      </c>
      <c r="E4633" s="7">
        <v>0</v>
      </c>
    </row>
    <row r="4634" spans="1:5" ht="15.75" customHeight="1" x14ac:dyDescent="0.25">
      <c r="A4634" s="6" t="s">
        <v>4538</v>
      </c>
      <c r="B4634" s="6" t="str">
        <f ca="1">IFERROR(__xludf.DUMMYFUNCTION("GOOGLETRANSLATE(A4634,""bn"",""en"")"),"Marriage is not particularly likely")</f>
        <v>Marriage is not particularly likely</v>
      </c>
      <c r="C4634" s="7" t="s">
        <v>6</v>
      </c>
      <c r="D4634" s="7" t="s">
        <v>7</v>
      </c>
      <c r="E4634" s="7">
        <v>0</v>
      </c>
    </row>
    <row r="4635" spans="1:5" ht="15.75" customHeight="1" x14ac:dyDescent="0.25">
      <c r="A4635" s="6" t="s">
        <v>4539</v>
      </c>
      <c r="B4635" s="6" t="str">
        <f ca="1">IFERROR(__xludf.DUMMYFUNCTION("GOOGLETRANSLATE(A4635,""bn"",""en"")"),"I will eat rice and go to work")</f>
        <v>I will eat rice and go to work</v>
      </c>
      <c r="C4635" s="7" t="s">
        <v>6</v>
      </c>
      <c r="D4635" s="7" t="s">
        <v>7</v>
      </c>
      <c r="E4635" s="7">
        <v>0</v>
      </c>
    </row>
    <row r="4636" spans="1:5" ht="15.75" customHeight="1" x14ac:dyDescent="0.25">
      <c r="A4636" s="6" t="s">
        <v>4540</v>
      </c>
      <c r="B4636" s="6" t="str">
        <f ca="1">IFERROR(__xludf.DUMMYFUNCTION("GOOGLETRANSLATE(A4636,""bn"",""en"")"),"He asked the bridegroom for ten thousand rupees and a lot of donations")</f>
        <v>He asked the bridegroom for ten thousand rupees and a lot of donations</v>
      </c>
      <c r="C4636" s="7" t="s">
        <v>6</v>
      </c>
      <c r="D4636" s="7" t="s">
        <v>7</v>
      </c>
      <c r="E4636" s="7">
        <v>0</v>
      </c>
    </row>
    <row r="4637" spans="1:5" ht="15.75" customHeight="1" x14ac:dyDescent="0.25">
      <c r="A4637" s="6" t="s">
        <v>4541</v>
      </c>
      <c r="B4637" s="6" t="str">
        <f ca="1">IFERROR(__xludf.DUMMYFUNCTION("GOOGLETRANSLATE(A4637,""bn"",""en"")"),"Retweet to support the cause")</f>
        <v>Retweet to support the cause</v>
      </c>
      <c r="C4637" s="8" t="s">
        <v>13</v>
      </c>
      <c r="D4637" s="8" t="s">
        <v>14</v>
      </c>
      <c r="E4637" s="8">
        <v>1</v>
      </c>
    </row>
    <row r="4638" spans="1:5" ht="15.75" customHeight="1" x14ac:dyDescent="0.25">
      <c r="A4638" s="6" t="s">
        <v>4542</v>
      </c>
      <c r="B4638" s="6" t="str">
        <f ca="1">IFERROR(__xludf.DUMMYFUNCTION("GOOGLETRANSLATE(A4638,""bn"",""en"")"),"They used to give ajhar water")</f>
        <v>They used to give ajhar water</v>
      </c>
      <c r="C4638" s="8" t="s">
        <v>13</v>
      </c>
      <c r="D4638" s="8" t="s">
        <v>14</v>
      </c>
      <c r="E4638" s="8">
        <v>1</v>
      </c>
    </row>
    <row r="4639" spans="1:5" ht="15.75" customHeight="1" x14ac:dyDescent="0.25">
      <c r="A4639" s="6" t="s">
        <v>4543</v>
      </c>
      <c r="B4639" s="6" t="str">
        <f ca="1">IFERROR(__xludf.DUMMYFUNCTION("GOOGLETRANSLATE(A4639,""bn"",""en"")"),"I was impressed with how quickly the company responded to my inquiries")</f>
        <v>I was impressed with how quickly the company responded to my inquiries</v>
      </c>
      <c r="C4639" s="8" t="s">
        <v>13</v>
      </c>
      <c r="D4639" s="8" t="s">
        <v>14</v>
      </c>
      <c r="E4639" s="8">
        <v>1</v>
      </c>
    </row>
    <row r="4640" spans="1:5" ht="15.75" customHeight="1" x14ac:dyDescent="0.25">
      <c r="A4640" s="6" t="s">
        <v>4544</v>
      </c>
      <c r="B4640" s="6" t="str">
        <f ca="1">IFERROR(__xludf.DUMMYFUNCTION("GOOGLETRANSLATE(A4640,""bn"",""en"")"),"Credit cards can be useful tools for managing spending, but it's important to use them responsibly")</f>
        <v>Credit cards can be useful tools for managing spending, but it's important to use them responsibly</v>
      </c>
      <c r="C4640" s="8" t="s">
        <v>13</v>
      </c>
      <c r="D4640" s="8" t="s">
        <v>14</v>
      </c>
      <c r="E4640" s="8">
        <v>1</v>
      </c>
    </row>
    <row r="4641" spans="1:5" ht="15.75" customHeight="1" x14ac:dyDescent="0.25">
      <c r="A4641" s="6" t="s">
        <v>4545</v>
      </c>
      <c r="B4641" s="6" t="str">
        <f ca="1">IFERROR(__xludf.DUMMYFUNCTION("GOOGLETRANSLATE(A4641,""bn"",""en"")"),"Tintin realizes the returning statue is fake")</f>
        <v>Tintin realizes the returning statue is fake</v>
      </c>
      <c r="C4641" s="8" t="s">
        <v>13</v>
      </c>
      <c r="D4641" s="8" t="s">
        <v>14</v>
      </c>
      <c r="E4641" s="8">
        <v>1</v>
      </c>
    </row>
    <row r="4642" spans="1:5" ht="15.75" customHeight="1" x14ac:dyDescent="0.25">
      <c r="A4642" s="6" t="s">
        <v>4546</v>
      </c>
      <c r="B4642" s="6" t="str">
        <f ca="1">IFERROR(__xludf.DUMMYFUNCTION("GOOGLETRANSLATE(A4642,""bn"",""en"")"),"He suddenly realized clearly that his daughter had already grown up like this and he would have to have a new conversation with her.")</f>
        <v>He suddenly realized clearly that his daughter had already grown up like this and he would have to have a new conversation with her.</v>
      </c>
      <c r="C4642" s="7" t="s">
        <v>6</v>
      </c>
      <c r="D4642" s="7" t="s">
        <v>7</v>
      </c>
      <c r="E4642" s="7">
        <v>0</v>
      </c>
    </row>
    <row r="4643" spans="1:5" ht="15.75" customHeight="1" x14ac:dyDescent="0.25">
      <c r="A4643" s="6" t="s">
        <v>4547</v>
      </c>
      <c r="B4643" s="6" t="str">
        <f ca="1">IFERROR(__xludf.DUMMYFUNCTION("GOOGLETRANSLATE(A4643,""bn"",""en"")"),"I gave him a task")</f>
        <v>I gave him a task</v>
      </c>
      <c r="C4643" s="7" t="s">
        <v>6</v>
      </c>
      <c r="D4643" s="7" t="s">
        <v>7</v>
      </c>
      <c r="E4643" s="7">
        <v>0</v>
      </c>
    </row>
    <row r="4644" spans="1:5" ht="15.75" customHeight="1" x14ac:dyDescent="0.25">
      <c r="A4644" s="6" t="s">
        <v>4548</v>
      </c>
      <c r="B4644" s="6" t="str">
        <f ca="1">IFERROR(__xludf.DUMMYFUNCTION("GOOGLETRANSLATE(A4644,""bn"",""en"")"),"I was making tea for him in the morning")</f>
        <v>I was making tea for him in the morning</v>
      </c>
      <c r="C4644" s="7" t="s">
        <v>6</v>
      </c>
      <c r="D4644" s="7" t="s">
        <v>7</v>
      </c>
      <c r="E4644" s="7">
        <v>0</v>
      </c>
    </row>
    <row r="4645" spans="1:5" ht="15.75" customHeight="1" x14ac:dyDescent="0.25">
      <c r="A4645" s="6" t="s">
        <v>4549</v>
      </c>
      <c r="B4645" s="6" t="str">
        <f ca="1">IFERROR(__xludf.DUMMYFUNCTION("GOOGLETRANSLATE(A4645,""bn"",""en"")"),"I saved money for Eid")</f>
        <v>I saved money for Eid</v>
      </c>
      <c r="C4645" s="7" t="s">
        <v>6</v>
      </c>
      <c r="D4645" s="7" t="s">
        <v>7</v>
      </c>
      <c r="E4645" s="7">
        <v>0</v>
      </c>
    </row>
    <row r="4646" spans="1:5" ht="15.75" customHeight="1" x14ac:dyDescent="0.25">
      <c r="A4646" s="6" t="s">
        <v>4550</v>
      </c>
      <c r="B4646" s="6" t="str">
        <f ca="1">IFERROR(__xludf.DUMMYFUNCTION("GOOGLETRANSLATE(A4646,""bn"",""en"")"),"At that age it is not religious to look good at the old man")</f>
        <v>At that age it is not religious to look good at the old man</v>
      </c>
      <c r="C4646" s="7" t="s">
        <v>6</v>
      </c>
      <c r="D4646" s="7" t="s">
        <v>7</v>
      </c>
      <c r="E4646" s="7">
        <v>0</v>
      </c>
    </row>
    <row r="4647" spans="1:5" ht="15.75" customHeight="1" x14ac:dyDescent="0.25">
      <c r="A4647" s="6" t="s">
        <v>4551</v>
      </c>
      <c r="B4647" s="6" t="str">
        <f ca="1">IFERROR(__xludf.DUMMYFUNCTION("GOOGLETRANSLATE(A4647,""bn"",""en"")"),"Achieving inner peace brings a sense of peace")</f>
        <v>Achieving inner peace brings a sense of peace</v>
      </c>
      <c r="C4647" s="8" t="s">
        <v>13</v>
      </c>
      <c r="D4647" s="8" t="s">
        <v>14</v>
      </c>
      <c r="E4647" s="8">
        <v>1</v>
      </c>
    </row>
    <row r="4648" spans="1:5" ht="15.75" customHeight="1" x14ac:dyDescent="0.25">
      <c r="A4648" s="6" t="s">
        <v>1897</v>
      </c>
      <c r="B4648" s="6" t="str">
        <f ca="1">IFERROR(__xludf.DUMMYFUNCTION("GOOGLETRANSLATE(A4648,""bn"",""en"")"),"Peace prevailed among people of all communities in our Rameswaram")</f>
        <v>Peace prevailed among people of all communities in our Rameswaram</v>
      </c>
      <c r="C4648" s="8" t="s">
        <v>13</v>
      </c>
      <c r="D4648" s="8" t="s">
        <v>14</v>
      </c>
      <c r="E4648" s="8">
        <v>1</v>
      </c>
    </row>
    <row r="4649" spans="1:5" ht="15.75" customHeight="1" x14ac:dyDescent="0.25">
      <c r="A4649" s="6" t="s">
        <v>4552</v>
      </c>
      <c r="B4649" s="6" t="str">
        <f ca="1">IFERROR(__xludf.DUMMYFUNCTION("GOOGLETRANSLATE(A4649,""bn"",""en"")"),"She enjoys every moment of her life beautifully")</f>
        <v>She enjoys every moment of her life beautifully</v>
      </c>
      <c r="C4649" s="8" t="s">
        <v>13</v>
      </c>
      <c r="D4649" s="8" t="s">
        <v>14</v>
      </c>
      <c r="E4649" s="8">
        <v>1</v>
      </c>
    </row>
    <row r="4650" spans="1:5" ht="15.75" customHeight="1" x14ac:dyDescent="0.25">
      <c r="A4650" s="6" t="s">
        <v>4553</v>
      </c>
      <c r="B4650" s="6" t="str">
        <f ca="1">IFERROR(__xludf.DUMMYFUNCTION("GOOGLETRANSLATE(A4650,""bn"",""en"")"),"Irrigation scheduling optimizes water use efficiency by applying water when plants need it most")</f>
        <v>Irrigation scheduling optimizes water use efficiency by applying water when plants need it most</v>
      </c>
      <c r="C4650" s="8" t="s">
        <v>13</v>
      </c>
      <c r="D4650" s="8" t="s">
        <v>14</v>
      </c>
      <c r="E4650" s="8">
        <v>1</v>
      </c>
    </row>
    <row r="4651" spans="1:5" ht="15.75" customHeight="1" x14ac:dyDescent="0.25">
      <c r="A4651" s="6" t="s">
        <v>4554</v>
      </c>
      <c r="B4651" s="6" t="str">
        <f ca="1">IFERROR(__xludf.DUMMYFUNCTION("GOOGLETRANSLATE(A4651,""bn"",""en"")"),"Many of Dylan's greatest works were composed over decades")</f>
        <v>Many of Dylan's greatest works were composed over decades</v>
      </c>
      <c r="C4651" s="8" t="s">
        <v>13</v>
      </c>
      <c r="D4651" s="8" t="s">
        <v>14</v>
      </c>
      <c r="E4651" s="8">
        <v>1</v>
      </c>
    </row>
    <row r="4652" spans="1:5" ht="15.75" customHeight="1" x14ac:dyDescent="0.25">
      <c r="A4652" s="6" t="s">
        <v>4555</v>
      </c>
      <c r="B4652" s="6" t="str">
        <f ca="1">IFERROR(__xludf.DUMMYFUNCTION("GOOGLETRANSLATE(A4652,""bn"",""en"")"),"First listen to me then say whatever you want")</f>
        <v>First listen to me then say whatever you want</v>
      </c>
      <c r="C4652" s="7" t="s">
        <v>6</v>
      </c>
      <c r="D4652" s="7" t="s">
        <v>7</v>
      </c>
      <c r="E4652" s="7">
        <v>0</v>
      </c>
    </row>
    <row r="4653" spans="1:5" ht="15.75" customHeight="1" x14ac:dyDescent="0.25">
      <c r="A4653" s="6" t="s">
        <v>4556</v>
      </c>
      <c r="B4653" s="6" t="str">
        <f ca="1">IFERROR(__xludf.DUMMYFUNCTION("GOOGLETRANSLATE(A4653,""bn"",""en"")"),"The nearness of death thus distresses Sasi")</f>
        <v>The nearness of death thus distresses Sasi</v>
      </c>
      <c r="C4653" s="7" t="s">
        <v>6</v>
      </c>
      <c r="D4653" s="7" t="s">
        <v>7</v>
      </c>
      <c r="E4653" s="7">
        <v>0</v>
      </c>
    </row>
    <row r="4654" spans="1:5" ht="15.75" customHeight="1" x14ac:dyDescent="0.25">
      <c r="A4654" s="6" t="s">
        <v>4557</v>
      </c>
      <c r="B4654" s="6" t="str">
        <f ca="1">IFERROR(__xludf.DUMMYFUNCTION("GOOGLETRANSLATE(A4654,""bn"",""en"")"),"My elder brother is Suman")</f>
        <v>My elder brother is Suman</v>
      </c>
      <c r="C4654" s="7" t="s">
        <v>6</v>
      </c>
      <c r="D4654" s="7" t="s">
        <v>7</v>
      </c>
      <c r="E4654" s="7">
        <v>0</v>
      </c>
    </row>
    <row r="4655" spans="1:5" ht="15.75" customHeight="1" x14ac:dyDescent="0.25">
      <c r="A4655" s="6" t="s">
        <v>1577</v>
      </c>
      <c r="B4655" s="6" t="str">
        <f ca="1">IFERROR(__xludf.DUMMYFUNCTION("GOOGLETRANSLATE(A4655,""bn"",""en"")"),"Haste marib means that it is possible to kill a tiger with bare hands")</f>
        <v>Haste marib means that it is possible to kill a tiger with bare hands</v>
      </c>
      <c r="C4655" s="7" t="s">
        <v>6</v>
      </c>
      <c r="D4655" s="7" t="s">
        <v>7</v>
      </c>
      <c r="E4655" s="7">
        <v>0</v>
      </c>
    </row>
    <row r="4656" spans="1:5" ht="15.75" customHeight="1" x14ac:dyDescent="0.25">
      <c r="A4656" s="6" t="s">
        <v>4558</v>
      </c>
      <c r="B4656" s="6" t="str">
        <f ca="1">IFERROR(__xludf.DUMMYFUNCTION("GOOGLETRANSLATE(A4656,""bn"",""en"")"),"He looked at the sky and said that it was raining beautifully")</f>
        <v>He looked at the sky and said that it was raining beautifully</v>
      </c>
      <c r="C4656" s="7" t="s">
        <v>6</v>
      </c>
      <c r="D4656" s="7" t="s">
        <v>7</v>
      </c>
      <c r="E4656" s="7">
        <v>0</v>
      </c>
    </row>
    <row r="4657" spans="1:5" ht="15.75" customHeight="1" x14ac:dyDescent="0.25">
      <c r="A4657" s="6" t="s">
        <v>4559</v>
      </c>
      <c r="B4657" s="6" t="str">
        <f ca="1">IFERROR(__xludf.DUMMYFUNCTION("GOOGLETRANSLATE(A4657,""bn"",""en"")"),"Fatima did well in the exam")</f>
        <v>Fatima did well in the exam</v>
      </c>
      <c r="C4657" s="8" t="s">
        <v>13</v>
      </c>
      <c r="D4657" s="8" t="s">
        <v>14</v>
      </c>
      <c r="E4657" s="8">
        <v>1</v>
      </c>
    </row>
    <row r="4658" spans="1:5" ht="15.75" customHeight="1" x14ac:dyDescent="0.25">
      <c r="A4658" s="6" t="s">
        <v>4560</v>
      </c>
      <c r="B4658" s="6" t="str">
        <f ca="1">IFERROR(__xludf.DUMMYFUNCTION("GOOGLETRANSLATE(A4658,""bn"",""en"")"),"I went to play with you")</f>
        <v>I went to play with you</v>
      </c>
      <c r="C4658" s="8" t="s">
        <v>13</v>
      </c>
      <c r="D4658" s="8" t="s">
        <v>14</v>
      </c>
      <c r="E4658" s="8">
        <v>1</v>
      </c>
    </row>
    <row r="4659" spans="1:5" ht="15.75" customHeight="1" x14ac:dyDescent="0.25">
      <c r="A4659" s="6" t="s">
        <v>4561</v>
      </c>
      <c r="B4659" s="6" t="str">
        <f ca="1">IFERROR(__xludf.DUMMYFUNCTION("GOOGLETRANSLATE(A4659,""bn"",""en"")"),"All the leaves of their trees have fallen")</f>
        <v>All the leaves of their trees have fallen</v>
      </c>
      <c r="C4659" s="8" t="s">
        <v>13</v>
      </c>
      <c r="D4659" s="8" t="s">
        <v>14</v>
      </c>
      <c r="E4659" s="8">
        <v>1</v>
      </c>
    </row>
    <row r="4660" spans="1:5" ht="15.75" customHeight="1" x14ac:dyDescent="0.25">
      <c r="A4660" s="6" t="s">
        <v>4562</v>
      </c>
      <c r="B4660" s="6" t="str">
        <f ca="1">IFERROR(__xludf.DUMMYFUNCTION("GOOGLETRANSLATE(A4660,""bn"",""en"")"),"Agroecological Principles Biodiversity Soil Health Promotes Resilience in Agricultural Systems")</f>
        <v>Agroecological Principles Biodiversity Soil Health Promotes Resilience in Agricultural Systems</v>
      </c>
      <c r="C4660" s="8" t="s">
        <v>13</v>
      </c>
      <c r="D4660" s="8" t="s">
        <v>14</v>
      </c>
      <c r="E4660" s="8">
        <v>1</v>
      </c>
    </row>
    <row r="4661" spans="1:5" ht="15.75" customHeight="1" x14ac:dyDescent="0.25">
      <c r="A4661" s="6" t="s">
        <v>4563</v>
      </c>
      <c r="B4661" s="6" t="str">
        <f ca="1">IFERROR(__xludf.DUMMYFUNCTION("GOOGLETRANSLATE(A4661,""bn"",""en"")"),"Sinusitis is an inflammation of the sinuses that causes symptoms such as facial pain and congestion")</f>
        <v>Sinusitis is an inflammation of the sinuses that causes symptoms such as facial pain and congestion</v>
      </c>
      <c r="C4661" s="8" t="s">
        <v>13</v>
      </c>
      <c r="D4661" s="8" t="s">
        <v>14</v>
      </c>
      <c r="E4661" s="8">
        <v>1</v>
      </c>
    </row>
    <row r="4662" spans="1:5" ht="15.75" customHeight="1" x14ac:dyDescent="0.25">
      <c r="A4662" s="6" t="s">
        <v>4564</v>
      </c>
      <c r="B4662" s="6" t="str">
        <f ca="1">IFERROR(__xludf.DUMMYFUNCTION("GOOGLETRANSLATE(A4662,""bn"",""en"")"),"Damini was seen falling on the ground with her hair loose and hitting her head on the table.")</f>
        <v>Damini was seen falling on the ground with her hair loose and hitting her head on the table.</v>
      </c>
      <c r="C4662" s="7" t="s">
        <v>6</v>
      </c>
      <c r="D4662" s="7" t="s">
        <v>7</v>
      </c>
      <c r="E4662" s="7">
        <v>0</v>
      </c>
    </row>
    <row r="4663" spans="1:5" ht="15.75" customHeight="1" x14ac:dyDescent="0.25">
      <c r="A4663" s="6" t="s">
        <v>4565</v>
      </c>
      <c r="B4663" s="6" t="str">
        <f ca="1">IFERROR(__xludf.DUMMYFUNCTION("GOOGLETRANSLATE(A4663,""bn"",""en"")"),"The young man left with the girl on his chest")</f>
        <v>The young man left with the girl on his chest</v>
      </c>
      <c r="C4663" s="7" t="s">
        <v>6</v>
      </c>
      <c r="D4663" s="7" t="s">
        <v>7</v>
      </c>
      <c r="E4663" s="7">
        <v>0</v>
      </c>
    </row>
    <row r="4664" spans="1:5" ht="15.75" customHeight="1" x14ac:dyDescent="0.25">
      <c r="A4664" s="6" t="s">
        <v>4566</v>
      </c>
      <c r="B4664" s="6" t="str">
        <f ca="1">IFERROR(__xludf.DUMMYFUNCTION("GOOGLETRANSLATE(A4664,""bn"",""en"")"),"I heard that the number of Bengalis in the house is very good")</f>
        <v>I heard that the number of Bengalis in the house is very good</v>
      </c>
      <c r="C4664" s="7" t="s">
        <v>6</v>
      </c>
      <c r="D4664" s="7" t="s">
        <v>7</v>
      </c>
      <c r="E4664" s="7">
        <v>0</v>
      </c>
    </row>
    <row r="4665" spans="1:5" ht="15.75" customHeight="1" x14ac:dyDescent="0.25">
      <c r="A4665" s="6" t="s">
        <v>4567</v>
      </c>
      <c r="B4665" s="6" t="str">
        <f ca="1">IFERROR(__xludf.DUMMYFUNCTION("GOOGLETRANSLATE(A4665,""bn"",""en"")"),"Their growth is not disturbed by contact with the white race")</f>
        <v>Their growth is not disturbed by contact with the white race</v>
      </c>
      <c r="C4665" s="7" t="s">
        <v>6</v>
      </c>
      <c r="D4665" s="7" t="s">
        <v>7</v>
      </c>
      <c r="E4665" s="7">
        <v>0</v>
      </c>
    </row>
    <row r="4666" spans="1:5" ht="15.75" customHeight="1" x14ac:dyDescent="0.25">
      <c r="A4666" s="6" t="s">
        <v>4568</v>
      </c>
      <c r="B4666" s="6" t="str">
        <f ca="1">IFERROR(__xludf.DUMMYFUNCTION("GOOGLETRANSLATE(A4666,""bn"",""en"")"),"Ronnie will not come to the field today")</f>
        <v>Ronnie will not come to the field today</v>
      </c>
      <c r="C4666" s="7" t="s">
        <v>6</v>
      </c>
      <c r="D4666" s="7" t="s">
        <v>7</v>
      </c>
      <c r="E4666" s="7">
        <v>0</v>
      </c>
    </row>
    <row r="4667" spans="1:5" ht="15.75" customHeight="1" x14ac:dyDescent="0.25">
      <c r="A4667" s="6" t="s">
        <v>4569</v>
      </c>
      <c r="B4667" s="6" t="str">
        <f ca="1">IFERROR(__xludf.DUMMYFUNCTION("GOOGLETRANSLATE(A4667,""bn"",""en"")"),"The train moved smoothly without stopping at the station")</f>
        <v>The train moved smoothly without stopping at the station</v>
      </c>
      <c r="C4667" s="8" t="s">
        <v>13</v>
      </c>
      <c r="D4667" s="8" t="s">
        <v>14</v>
      </c>
      <c r="E4667" s="8">
        <v>1</v>
      </c>
    </row>
    <row r="4668" spans="1:5" ht="15.75" customHeight="1" x14ac:dyDescent="0.25">
      <c r="A4668" s="6" t="s">
        <v>4570</v>
      </c>
      <c r="B4668" s="6" t="str">
        <f ca="1">IFERROR(__xludf.DUMMYFUNCTION("GOOGLETRANSLATE(A4668,""bn"",""en"")"),"Include strength training for endurance")</f>
        <v>Include strength training for endurance</v>
      </c>
      <c r="C4668" s="8" t="s">
        <v>13</v>
      </c>
      <c r="D4668" s="8" t="s">
        <v>14</v>
      </c>
      <c r="E4668" s="8">
        <v>1</v>
      </c>
    </row>
    <row r="4669" spans="1:5" ht="15.75" customHeight="1" x14ac:dyDescent="0.25">
      <c r="A4669" s="6" t="s">
        <v>4571</v>
      </c>
      <c r="B4669" s="6" t="str">
        <f ca="1">IFERROR(__xludf.DUMMYFUNCTION("GOOGLETRANSLATE(A4669,""bn"",""en"")"),"He gave me a good news")</f>
        <v>He gave me a good news</v>
      </c>
      <c r="C4669" s="8" t="s">
        <v>13</v>
      </c>
      <c r="D4669" s="8" t="s">
        <v>14</v>
      </c>
      <c r="E4669" s="8">
        <v>1</v>
      </c>
    </row>
    <row r="4670" spans="1:5" ht="15.75" customHeight="1" x14ac:dyDescent="0.25">
      <c r="A4670" s="6" t="s">
        <v>4572</v>
      </c>
      <c r="B4670" s="6" t="str">
        <f ca="1">IFERROR(__xludf.DUMMYFUNCTION("GOOGLETRANSLATE(A4670,""bn"",""en"")"),"Livestock nutrition involves balancing feed ingredients for optimal animal growth health")</f>
        <v>Livestock nutrition involves balancing feed ingredients for optimal animal growth health</v>
      </c>
      <c r="C4670" s="8" t="s">
        <v>13</v>
      </c>
      <c r="D4670" s="8" t="s">
        <v>14</v>
      </c>
      <c r="E4670" s="8">
        <v>1</v>
      </c>
    </row>
    <row r="4671" spans="1:5" ht="15.75" customHeight="1" x14ac:dyDescent="0.25">
      <c r="A4671" s="6" t="s">
        <v>4573</v>
      </c>
      <c r="B4671" s="6" t="str">
        <f ca="1">IFERROR(__xludf.DUMMYFUNCTION("GOOGLETRANSLATE(A4671,""bn"",""en"")"),"Do you know my brother?")</f>
        <v>Do you know my brother?</v>
      </c>
      <c r="C4671" s="8" t="s">
        <v>13</v>
      </c>
      <c r="D4671" s="8" t="s">
        <v>14</v>
      </c>
      <c r="E4671" s="8">
        <v>1</v>
      </c>
    </row>
    <row r="4672" spans="1:5" ht="15.75" customHeight="1" x14ac:dyDescent="0.25">
      <c r="A4672" s="6" t="s">
        <v>4574</v>
      </c>
      <c r="B4672" s="6" t="str">
        <f ca="1">IFERROR(__xludf.DUMMYFUNCTION("GOOGLETRANSLATE(A4672,""bn"",""en"")"),"How much he will bear and when he will get angry is still a bit of a danger to everyone.")</f>
        <v>How much he will bear and when he will get angry is still a bit of a danger to everyone.</v>
      </c>
      <c r="C4672" s="7" t="s">
        <v>6</v>
      </c>
      <c r="D4672" s="7" t="s">
        <v>7</v>
      </c>
      <c r="E4672" s="7">
        <v>0</v>
      </c>
    </row>
    <row r="4673" spans="1:5" ht="15.75" customHeight="1" x14ac:dyDescent="0.25">
      <c r="A4673" s="6" t="s">
        <v>4575</v>
      </c>
      <c r="B4673" s="6" t="str">
        <f ca="1">IFERROR(__xludf.DUMMYFUNCTION("GOOGLETRANSLATE(A4673,""bn"",""en"")"),"It is unlikely that he will agree to anything")</f>
        <v>It is unlikely that he will agree to anything</v>
      </c>
      <c r="C4673" s="7" t="s">
        <v>6</v>
      </c>
      <c r="D4673" s="7" t="s">
        <v>7</v>
      </c>
      <c r="E4673" s="7">
        <v>0</v>
      </c>
    </row>
    <row r="4674" spans="1:5" ht="15.75" customHeight="1" x14ac:dyDescent="0.25">
      <c r="A4674" s="6" t="s">
        <v>4576</v>
      </c>
      <c r="B4674" s="6" t="str">
        <f ca="1">IFERROR(__xludf.DUMMYFUNCTION("GOOGLETRANSLATE(A4674,""bn"",""en"")"),"I have a lot of work to do, said Upendra, passing through the middle of Satish, and hurried down")</f>
        <v>I have a lot of work to do, said Upendra, passing through the middle of Satish, and hurried down</v>
      </c>
      <c r="C4674" s="7" t="s">
        <v>6</v>
      </c>
      <c r="D4674" s="7" t="s">
        <v>7</v>
      </c>
      <c r="E4674" s="7">
        <v>0</v>
      </c>
    </row>
    <row r="4675" spans="1:5" ht="15.75" customHeight="1" x14ac:dyDescent="0.25">
      <c r="A4675" s="6" t="s">
        <v>4577</v>
      </c>
      <c r="B4675" s="6" t="str">
        <f ca="1">IFERROR(__xludf.DUMMYFUNCTION("GOOGLETRANSLATE(A4675,""bn"",""en"")"),"Subh called me to his house")</f>
        <v>Subh called me to his house</v>
      </c>
      <c r="C4675" s="7" t="s">
        <v>6</v>
      </c>
      <c r="D4675" s="7" t="s">
        <v>7</v>
      </c>
      <c r="E4675" s="7">
        <v>0</v>
      </c>
    </row>
    <row r="4676" spans="1:5" ht="15.75" customHeight="1" x14ac:dyDescent="0.25">
      <c r="A4676" s="6" t="s">
        <v>4578</v>
      </c>
      <c r="B4676" s="6" t="str">
        <f ca="1">IFERROR(__xludf.DUMMYFUNCTION("GOOGLETRANSLATE(A4676,""bn"",""en"")"),"There is the death of man and the extinction of the nation")</f>
        <v>There is the death of man and the extinction of the nation</v>
      </c>
      <c r="C4676" s="7" t="s">
        <v>6</v>
      </c>
      <c r="D4676" s="7" t="s">
        <v>7</v>
      </c>
      <c r="E4676" s="7">
        <v>0</v>
      </c>
    </row>
    <row r="4677" spans="1:5" ht="15.75" customHeight="1" x14ac:dyDescent="0.25">
      <c r="A4677" s="6" t="s">
        <v>4579</v>
      </c>
      <c r="B4677" s="6" t="str">
        <f ca="1">IFERROR(__xludf.DUMMYFUNCTION("GOOGLETRANSLATE(A4677,""bn"",""en"")"),"This technology is simply amazing")</f>
        <v>This technology is simply amazing</v>
      </c>
      <c r="C4677" s="8" t="s">
        <v>13</v>
      </c>
      <c r="D4677" s="8" t="s">
        <v>14</v>
      </c>
      <c r="E4677" s="8">
        <v>1</v>
      </c>
    </row>
    <row r="4678" spans="1:5" ht="15.75" customHeight="1" x14ac:dyDescent="0.25">
      <c r="A4678" s="6" t="s">
        <v>4580</v>
      </c>
      <c r="B4678" s="6" t="str">
        <f ca="1">IFERROR(__xludf.DUMMYFUNCTION("GOOGLETRANSLATE(A4678,""bn"",""en"")"),"At the end of the night watch they returned home.")</f>
        <v>At the end of the night watch they returned home.</v>
      </c>
      <c r="C4678" s="8" t="s">
        <v>13</v>
      </c>
      <c r="D4678" s="8" t="s">
        <v>14</v>
      </c>
      <c r="E4678" s="8">
        <v>1</v>
      </c>
    </row>
    <row r="4679" spans="1:5" ht="15.75" customHeight="1" x14ac:dyDescent="0.25">
      <c r="A4679" s="6" t="s">
        <v>4581</v>
      </c>
      <c r="B4679" s="6" t="str">
        <f ca="1">IFERROR(__xludf.DUMMYFUNCTION("GOOGLETRANSLATE(A4679,""bn"",""en"")"),"Ride a bike for exercise")</f>
        <v>Ride a bike for exercise</v>
      </c>
      <c r="C4679" s="8" t="s">
        <v>13</v>
      </c>
      <c r="D4679" s="8" t="s">
        <v>14</v>
      </c>
      <c r="E4679" s="8">
        <v>1</v>
      </c>
    </row>
    <row r="4680" spans="1:5" ht="15.75" customHeight="1" x14ac:dyDescent="0.25">
      <c r="A4680" s="6" t="s">
        <v>4582</v>
      </c>
      <c r="B4680" s="6" t="str">
        <f ca="1">IFERROR(__xludf.DUMMYFUNCTION("GOOGLETRANSLATE(A4680,""bn"",""en"")"),"Those who can manage are successful")</f>
        <v>Those who can manage are successful</v>
      </c>
      <c r="C4680" s="8" t="s">
        <v>13</v>
      </c>
      <c r="D4680" s="8" t="s">
        <v>14</v>
      </c>
      <c r="E4680" s="8">
        <v>1</v>
      </c>
    </row>
    <row r="4681" spans="1:5" ht="15.75" customHeight="1" x14ac:dyDescent="0.25">
      <c r="A4681" s="6" t="s">
        <v>4583</v>
      </c>
      <c r="B4681" s="6" t="str">
        <f ca="1">IFERROR(__xludf.DUMMYFUNCTION("GOOGLETRANSLATE(A4681,""bn"",""en"")"),"A dollop of whipped cream is satisfying")</f>
        <v>A dollop of whipped cream is satisfying</v>
      </c>
      <c r="C4681" s="8" t="s">
        <v>13</v>
      </c>
      <c r="D4681" s="8" t="s">
        <v>14</v>
      </c>
      <c r="E4681" s="8">
        <v>1</v>
      </c>
    </row>
    <row r="4682" spans="1:5" ht="15.75" customHeight="1" x14ac:dyDescent="0.25">
      <c r="A4682" s="6" t="s">
        <v>4584</v>
      </c>
      <c r="B4682" s="6" t="str">
        <f ca="1">IFERROR(__xludf.DUMMYFUNCTION("GOOGLETRANSLATE(A4682,""bn"",""en"")"),"Rahim could hear me")</f>
        <v>Rahim could hear me</v>
      </c>
      <c r="C4682" s="7" t="s">
        <v>6</v>
      </c>
      <c r="D4682" s="7" t="s">
        <v>7</v>
      </c>
      <c r="E4682" s="7">
        <v>0</v>
      </c>
    </row>
    <row r="4683" spans="1:5" ht="15.75" customHeight="1" x14ac:dyDescent="0.25">
      <c r="A4683" s="6" t="s">
        <v>4443</v>
      </c>
      <c r="B4683" s="6" t="str">
        <f ca="1">IFERROR(__xludf.DUMMYFUNCTION("GOOGLETRANSLATE(A4683,""bn"",""en"")"),"Behind him some women are accompanying him")</f>
        <v>Behind him some women are accompanying him</v>
      </c>
      <c r="C4683" s="7" t="s">
        <v>6</v>
      </c>
      <c r="D4683" s="7" t="s">
        <v>7</v>
      </c>
      <c r="E4683" s="7">
        <v>0</v>
      </c>
    </row>
    <row r="4684" spans="1:5" ht="15.75" customHeight="1" x14ac:dyDescent="0.25">
      <c r="A4684" s="6" t="s">
        <v>4585</v>
      </c>
      <c r="B4684" s="6" t="str">
        <f ca="1">IFERROR(__xludf.DUMMYFUNCTION("GOOGLETRANSLATE(A4684,""bn"",""en"")"),"In Sangopane, the burden of cancer disease was renewed and increased the burden a hundredfold by grazing the elder brother's body.")</f>
        <v>In Sangopane, the burden of cancer disease was renewed and increased the burden a hundredfold by grazing the elder brother's body.</v>
      </c>
      <c r="C4684" s="7" t="s">
        <v>6</v>
      </c>
      <c r="D4684" s="7" t="s">
        <v>7</v>
      </c>
      <c r="E4684" s="7">
        <v>0</v>
      </c>
    </row>
    <row r="4685" spans="1:5" ht="15.75" customHeight="1" x14ac:dyDescent="0.25">
      <c r="A4685" s="6" t="s">
        <v>4586</v>
      </c>
      <c r="B4685" s="6" t="str">
        <f ca="1">IFERROR(__xludf.DUMMYFUNCTION("GOOGLETRANSLATE(A4685,""bn"",""en"")"),"I sat with him and talked for a while.")</f>
        <v>I sat with him and talked for a while.</v>
      </c>
      <c r="C4685" s="7" t="s">
        <v>6</v>
      </c>
      <c r="D4685" s="7" t="s">
        <v>7</v>
      </c>
      <c r="E4685" s="7">
        <v>0</v>
      </c>
    </row>
    <row r="4686" spans="1:5" ht="15.75" customHeight="1" x14ac:dyDescent="0.25">
      <c r="A4686" s="6" t="s">
        <v>4587</v>
      </c>
      <c r="B4686" s="6" t="str">
        <f ca="1">IFERROR(__xludf.DUMMYFUNCTION("GOOGLETRANSLATE(A4686,""bn"",""en"")"),"After that, Rishi will have to take the bar exam or apply to the Deputy Magistrate.")</f>
        <v>After that, Rishi will have to take the bar exam or apply to the Deputy Magistrate.</v>
      </c>
      <c r="C4686" s="7" t="s">
        <v>6</v>
      </c>
      <c r="D4686" s="7" t="s">
        <v>7</v>
      </c>
      <c r="E4686" s="7">
        <v>0</v>
      </c>
    </row>
    <row r="4687" spans="1:5" ht="15.75" customHeight="1" x14ac:dyDescent="0.25">
      <c r="A4687" s="6" t="s">
        <v>4588</v>
      </c>
      <c r="B4687" s="6" t="str">
        <f ca="1">IFERROR(__xludf.DUMMYFUNCTION("GOOGLETRANSLATE(A4687,""bn"",""en"")"),"Then Garuda himself wanted to give a boon to Vishnu")</f>
        <v>Then Garuda himself wanted to give a boon to Vishnu</v>
      </c>
      <c r="C4687" s="8" t="s">
        <v>13</v>
      </c>
      <c r="D4687" s="8" t="s">
        <v>14</v>
      </c>
      <c r="E4687" s="8">
        <v>1</v>
      </c>
    </row>
    <row r="4688" spans="1:5" ht="15.75" customHeight="1" x14ac:dyDescent="0.25">
      <c r="A4688" s="6" t="s">
        <v>1015</v>
      </c>
      <c r="B4688" s="6" t="str">
        <f ca="1">IFERROR(__xludf.DUMMYFUNCTION("GOOGLETRANSLATE(A4688,""bn"",""en"")"),"Symptoms Symptoms Weakness")</f>
        <v>Symptoms Symptoms Weakness</v>
      </c>
      <c r="C4688" s="8" t="s">
        <v>13</v>
      </c>
      <c r="D4688" s="8" t="s">
        <v>14</v>
      </c>
      <c r="E4688" s="8">
        <v>1</v>
      </c>
    </row>
    <row r="4689" spans="1:5" ht="15.75" customHeight="1" x14ac:dyDescent="0.25">
      <c r="A4689" s="6" t="s">
        <v>4589</v>
      </c>
      <c r="B4689" s="6" t="str">
        <f ca="1">IFERROR(__xludf.DUMMYFUNCTION("GOOGLETRANSLATE(A4689,""bn"",""en"")"),"His father died in")</f>
        <v>His father died in</v>
      </c>
      <c r="C4689" s="8" t="s">
        <v>13</v>
      </c>
      <c r="D4689" s="8" t="s">
        <v>14</v>
      </c>
      <c r="E4689" s="8">
        <v>1</v>
      </c>
    </row>
    <row r="4690" spans="1:5" ht="15.75" customHeight="1" x14ac:dyDescent="0.25">
      <c r="A4690" s="6" t="s">
        <v>4590</v>
      </c>
      <c r="B4690" s="6" t="str">
        <f ca="1">IFERROR(__xludf.DUMMYFUNCTION("GOOGLETRANSLATE(A4690,""bn"",""en"")"),"Or did the previous procession come back and Irtajuddin started walking with the procession")</f>
        <v>Or did the previous procession come back and Irtajuddin started walking with the procession</v>
      </c>
      <c r="C4690" s="8" t="s">
        <v>13</v>
      </c>
      <c r="D4690" s="8" t="s">
        <v>14</v>
      </c>
      <c r="E4690" s="8">
        <v>1</v>
      </c>
    </row>
    <row r="4691" spans="1:5" ht="15.75" customHeight="1" x14ac:dyDescent="0.25">
      <c r="A4691" s="6" t="s">
        <v>4591</v>
      </c>
      <c r="B4691" s="6" t="str">
        <f ca="1">IFERROR(__xludf.DUMMYFUNCTION("GOOGLETRANSLATE(A4691,""bn"",""en"")"),"Trust yourself in your instincts you know what is best for you")</f>
        <v>Trust yourself in your instincts you know what is best for you</v>
      </c>
      <c r="C4691" s="8" t="s">
        <v>13</v>
      </c>
      <c r="D4691" s="8" t="s">
        <v>14</v>
      </c>
      <c r="E4691" s="8">
        <v>1</v>
      </c>
    </row>
    <row r="4692" spans="1:5" ht="15.75" customHeight="1" x14ac:dyDescent="0.25">
      <c r="A4692" s="6" t="s">
        <v>4592</v>
      </c>
      <c r="B4692" s="6" t="str">
        <f ca="1">IFERROR(__xludf.DUMMYFUNCTION("GOOGLETRANSLATE(A4692,""bn"",""en"")"),"Mati's fever has not decreased")</f>
        <v>Mati's fever has not decreased</v>
      </c>
      <c r="C4692" s="7" t="s">
        <v>6</v>
      </c>
      <c r="D4692" s="7" t="s">
        <v>7</v>
      </c>
      <c r="E4692" s="7">
        <v>0</v>
      </c>
    </row>
    <row r="4693" spans="1:5" ht="15.75" customHeight="1" x14ac:dyDescent="0.25">
      <c r="A4693" s="6" t="s">
        <v>4593</v>
      </c>
      <c r="B4693" s="6" t="str">
        <f ca="1">IFERROR(__xludf.DUMMYFUNCTION("GOOGLETRANSLATE(A4693,""bn"",""en"")"),"I saw Sujan coming out of the house")</f>
        <v>I saw Sujan coming out of the house</v>
      </c>
      <c r="C4693" s="7" t="s">
        <v>6</v>
      </c>
      <c r="D4693" s="7" t="s">
        <v>7</v>
      </c>
      <c r="E4693" s="7">
        <v>0</v>
      </c>
    </row>
    <row r="4694" spans="1:5" ht="15.75" customHeight="1" x14ac:dyDescent="0.25">
      <c r="A4694" s="6" t="s">
        <v>4594</v>
      </c>
      <c r="B4694" s="6" t="str">
        <f ca="1">IFERROR(__xludf.DUMMYFUNCTION("GOOGLETRANSLATE(A4694,""bn"",""en"")"),"If you look at their eyes, you can tell that they have either smoked marijuana or both")</f>
        <v>If you look at their eyes, you can tell that they have either smoked marijuana or both</v>
      </c>
      <c r="C4694" s="7" t="s">
        <v>6</v>
      </c>
      <c r="D4694" s="7" t="s">
        <v>7</v>
      </c>
      <c r="E4694" s="7">
        <v>0</v>
      </c>
    </row>
    <row r="4695" spans="1:5" ht="15.75" customHeight="1" x14ac:dyDescent="0.25">
      <c r="A4695" s="6" t="s">
        <v>4595</v>
      </c>
      <c r="B4695" s="6" t="str">
        <f ca="1">IFERROR(__xludf.DUMMYFUNCTION("GOOGLETRANSLATE(A4695,""bn"",""en"")"),"He has no mother and father, no home, nothing")</f>
        <v>He has no mother and father, no home, nothing</v>
      </c>
      <c r="C4695" s="7" t="s">
        <v>6</v>
      </c>
      <c r="D4695" s="7" t="s">
        <v>7</v>
      </c>
      <c r="E4695" s="7">
        <v>0</v>
      </c>
    </row>
    <row r="4696" spans="1:5" ht="15.75" customHeight="1" x14ac:dyDescent="0.25">
      <c r="A4696" s="6" t="s">
        <v>4596</v>
      </c>
      <c r="B4696" s="6" t="str">
        <f ca="1">IFERROR(__xludf.DUMMYFUNCTION("GOOGLETRANSLATE(A4696,""bn"",""en"")"),"Now I am old myself and almost look old")</f>
        <v>Now I am old myself and almost look old</v>
      </c>
      <c r="C4696" s="7" t="s">
        <v>6</v>
      </c>
      <c r="D4696" s="7" t="s">
        <v>7</v>
      </c>
      <c r="E4696" s="7">
        <v>0</v>
      </c>
    </row>
    <row r="4697" spans="1:5" ht="15.75" customHeight="1" x14ac:dyDescent="0.25">
      <c r="A4697" s="6" t="s">
        <v>4597</v>
      </c>
      <c r="B4697" s="6" t="str">
        <f ca="1">IFERROR(__xludf.DUMMYFUNCTION("GOOGLETRANSLATE(A4697,""bn"",""en"")"),"The show featured crocodile hunter Big Steve Wynn")</f>
        <v>The show featured crocodile hunter Big Steve Wynn</v>
      </c>
      <c r="C4697" s="8" t="s">
        <v>13</v>
      </c>
      <c r="D4697" s="8" t="s">
        <v>14</v>
      </c>
      <c r="E4697" s="8">
        <v>1</v>
      </c>
    </row>
    <row r="4698" spans="1:5" ht="15.75" customHeight="1" x14ac:dyDescent="0.25">
      <c r="A4698" s="6" t="s">
        <v>4598</v>
      </c>
      <c r="B4698" s="6" t="str">
        <f ca="1">IFERROR(__xludf.DUMMYFUNCTION("GOOGLETRANSLATE(A4698,""bn"",""en"")"),"The British government imposed sanctions on many essential commodities")</f>
        <v>The British government imposed sanctions on many essential commodities</v>
      </c>
      <c r="C4698" s="8" t="s">
        <v>13</v>
      </c>
      <c r="D4698" s="8" t="s">
        <v>14</v>
      </c>
      <c r="E4698" s="8">
        <v>1</v>
      </c>
    </row>
    <row r="4699" spans="1:5" ht="15.75" customHeight="1" x14ac:dyDescent="0.25">
      <c r="A4699" s="6" t="s">
        <v>4599</v>
      </c>
      <c r="B4699" s="6" t="str">
        <f ca="1">IFERROR(__xludf.DUMMYFUNCTION("GOOGLETRANSLATE(A4699,""bn"",""en"")"),"The river bank began to break")</f>
        <v>The river bank began to break</v>
      </c>
      <c r="C4699" s="8" t="s">
        <v>13</v>
      </c>
      <c r="D4699" s="8" t="s">
        <v>14</v>
      </c>
      <c r="E4699" s="8">
        <v>1</v>
      </c>
    </row>
    <row r="4700" spans="1:5" ht="15.75" customHeight="1" x14ac:dyDescent="0.25">
      <c r="A4700" s="6" t="s">
        <v>2166</v>
      </c>
      <c r="B4700" s="6" t="str">
        <f ca="1">IFERROR(__xludf.DUMMYFUNCTION("GOOGLETRANSLATE(A4700,""bn"",""en"")"),"After evening he went for tea")</f>
        <v>After evening he went for tea</v>
      </c>
      <c r="C4700" s="8" t="s">
        <v>13</v>
      </c>
      <c r="D4700" s="8" t="s">
        <v>14</v>
      </c>
      <c r="E4700" s="8">
        <v>1</v>
      </c>
    </row>
    <row r="4701" spans="1:5" ht="15.75" customHeight="1" x14ac:dyDescent="0.25">
      <c r="A4701" s="6" t="s">
        <v>4600</v>
      </c>
      <c r="B4701" s="6" t="str">
        <f ca="1">IFERROR(__xludf.DUMMYFUNCTION("GOOGLETRANSLATE(A4701,""bn"",""en"")"),"Lara and her team rescue it")</f>
        <v>Lara and her team rescue it</v>
      </c>
      <c r="C4701" s="8" t="s">
        <v>13</v>
      </c>
      <c r="D4701" s="8" t="s">
        <v>14</v>
      </c>
      <c r="E4701" s="8">
        <v>1</v>
      </c>
    </row>
    <row r="4702" spans="1:5" ht="15.75" customHeight="1" x14ac:dyDescent="0.25">
      <c r="A4702" s="6" t="s">
        <v>4601</v>
      </c>
      <c r="B4702" s="6" t="str">
        <f ca="1">IFERROR(__xludf.DUMMYFUNCTION("GOOGLETRANSLATE(A4702,""bn"",""en"")"),"The people of the house feel his absence by the smell of burning")</f>
        <v>The people of the house feel his absence by the smell of burning</v>
      </c>
      <c r="C4702" s="7" t="s">
        <v>6</v>
      </c>
      <c r="D4702" s="7" t="s">
        <v>7</v>
      </c>
      <c r="E4702" s="7">
        <v>0</v>
      </c>
    </row>
    <row r="4703" spans="1:5" ht="15.75" customHeight="1" x14ac:dyDescent="0.25">
      <c r="A4703" s="6" t="s">
        <v>3076</v>
      </c>
      <c r="B4703" s="6" t="str">
        <f ca="1">IFERROR(__xludf.DUMMYFUNCTION("GOOGLETRANSLATE(A4703,""bn"",""en"")"),"I was dissatisfied with his work")</f>
        <v>I was dissatisfied with his work</v>
      </c>
      <c r="C4703" s="7" t="s">
        <v>6</v>
      </c>
      <c r="D4703" s="7" t="s">
        <v>7</v>
      </c>
      <c r="E4703" s="7">
        <v>0</v>
      </c>
    </row>
    <row r="4704" spans="1:5" ht="15.75" customHeight="1" x14ac:dyDescent="0.25">
      <c r="A4704" s="6" t="s">
        <v>4602</v>
      </c>
      <c r="B4704" s="6" t="str">
        <f ca="1">IFERROR(__xludf.DUMMYFUNCTION("GOOGLETRANSLATE(A4704,""bn"",""en"")"),"Every afternoon he goes to play in the field.")</f>
        <v>Every afternoon he goes to play in the field.</v>
      </c>
      <c r="C4704" s="7" t="s">
        <v>6</v>
      </c>
      <c r="D4704" s="7" t="s">
        <v>7</v>
      </c>
      <c r="E4704" s="7">
        <v>0</v>
      </c>
    </row>
    <row r="4705" spans="1:5" ht="15.75" customHeight="1" x14ac:dyDescent="0.25">
      <c r="A4705" s="6" t="s">
        <v>4603</v>
      </c>
      <c r="B4705" s="6" t="str">
        <f ca="1">IFERROR(__xludf.DUMMYFUNCTION("GOOGLETRANSLATE(A4705,""bn"",""en"")"),"Sometimes I get results, sometimes I don't get it, everything is God's will")</f>
        <v>Sometimes I get results, sometimes I don't get it, everything is God's will</v>
      </c>
      <c r="C4705" s="7" t="s">
        <v>6</v>
      </c>
      <c r="D4705" s="7" t="s">
        <v>7</v>
      </c>
      <c r="E4705" s="7">
        <v>0</v>
      </c>
    </row>
    <row r="4706" spans="1:5" ht="15.75" customHeight="1" x14ac:dyDescent="0.25">
      <c r="A4706" s="6" t="s">
        <v>4604</v>
      </c>
      <c r="B4706" s="6" t="str">
        <f ca="1">IFERROR(__xludf.DUMMYFUNCTION("GOOGLETRANSLATE(A4706,""bn"",""en"")"),"After this, Ratan gradually fell down on the ground at the postmaster's feet")</f>
        <v>After this, Ratan gradually fell down on the ground at the postmaster's feet</v>
      </c>
      <c r="C4706" s="7" t="s">
        <v>6</v>
      </c>
      <c r="D4706" s="7" t="s">
        <v>7</v>
      </c>
      <c r="E4706" s="7">
        <v>0</v>
      </c>
    </row>
    <row r="4707" spans="1:5" ht="15.75" customHeight="1" x14ac:dyDescent="0.25">
      <c r="A4707" s="6" t="s">
        <v>4605</v>
      </c>
      <c r="B4707" s="6" t="str">
        <f ca="1">IFERROR(__xludf.DUMMYFUNCTION("GOOGLETRANSLATE(A4707,""bn"",""en"")"),"Practice mindfulness to cultivate presence of awareness")</f>
        <v>Practice mindfulness to cultivate presence of awareness</v>
      </c>
      <c r="C4707" s="8" t="s">
        <v>13</v>
      </c>
      <c r="D4707" s="8" t="s">
        <v>14</v>
      </c>
      <c r="E4707" s="8">
        <v>1</v>
      </c>
    </row>
    <row r="4708" spans="1:5" ht="15.75" customHeight="1" x14ac:dyDescent="0.25">
      <c r="A4708" s="6" t="s">
        <v>4606</v>
      </c>
      <c r="B4708" s="6" t="str">
        <f ca="1">IFERROR(__xludf.DUMMYFUNCTION("GOOGLETRANSLATE(A4708,""bn"",""en"")"),"Ginger tea upsets the stomach")</f>
        <v>Ginger tea upsets the stomach</v>
      </c>
      <c r="C4708" s="8" t="s">
        <v>13</v>
      </c>
      <c r="D4708" s="8" t="s">
        <v>14</v>
      </c>
      <c r="E4708" s="8">
        <v>1</v>
      </c>
    </row>
    <row r="4709" spans="1:5" ht="15.75" customHeight="1" x14ac:dyDescent="0.25">
      <c r="A4709" s="6" t="s">
        <v>4607</v>
      </c>
      <c r="B4709" s="6" t="str">
        <f ca="1">IFERROR(__xludf.DUMMYFUNCTION("GOOGLETRANSLATE(A4709,""bn"",""en"")"),"Controversy After the arrival of Channel S, they clashed with Bangla TV")</f>
        <v>Controversy After the arrival of Channel S, they clashed with Bangla TV</v>
      </c>
      <c r="C4709" s="8" t="s">
        <v>13</v>
      </c>
      <c r="D4709" s="8" t="s">
        <v>14</v>
      </c>
      <c r="E4709" s="8">
        <v>1</v>
      </c>
    </row>
    <row r="4710" spans="1:5" ht="15.75" customHeight="1" x14ac:dyDescent="0.25">
      <c r="A4710" s="6" t="s">
        <v>4608</v>
      </c>
      <c r="B4710" s="6" t="str">
        <f ca="1">IFERROR(__xludf.DUMMYFUNCTION("GOOGLETRANSLATE(A4710,""bn"",""en"")"),"Especially for those of us who were in the southern part of the country, life was going on as usual")</f>
        <v>Especially for those of us who were in the southern part of the country, life was going on as usual</v>
      </c>
      <c r="C4710" s="8" t="s">
        <v>13</v>
      </c>
      <c r="D4710" s="8" t="s">
        <v>14</v>
      </c>
      <c r="E4710" s="8">
        <v>1</v>
      </c>
    </row>
    <row r="4711" spans="1:5" ht="15.75" customHeight="1" x14ac:dyDescent="0.25">
      <c r="A4711" s="6" t="s">
        <v>4609</v>
      </c>
      <c r="B4711" s="6" t="str">
        <f ca="1">IFERROR(__xludf.DUMMYFUNCTION("GOOGLETRANSLATE(A4711,""bn"",""en"")"),"Prioritize self care to nurture your soul to replenish your energy")</f>
        <v>Prioritize self care to nurture your soul to replenish your energy</v>
      </c>
      <c r="C4711" s="8" t="s">
        <v>13</v>
      </c>
      <c r="D4711" s="8" t="s">
        <v>14</v>
      </c>
      <c r="E4711" s="8">
        <v>1</v>
      </c>
    </row>
    <row r="4712" spans="1:5" ht="15.75" customHeight="1" x14ac:dyDescent="0.25">
      <c r="A4712" s="6" t="s">
        <v>4610</v>
      </c>
      <c r="B4712" s="6" t="str">
        <f ca="1">IFERROR(__xludf.DUMMYFUNCTION("GOOGLETRANSLATE(A4712,""bn"",""en"")"),"They have no sperm")</f>
        <v>They have no sperm</v>
      </c>
      <c r="C4712" s="7" t="s">
        <v>6</v>
      </c>
      <c r="D4712" s="7" t="s">
        <v>7</v>
      </c>
      <c r="E4712" s="7">
        <v>0</v>
      </c>
    </row>
    <row r="4713" spans="1:5" ht="15.75" customHeight="1" x14ac:dyDescent="0.25">
      <c r="A4713" s="6" t="s">
        <v>4611</v>
      </c>
      <c r="B4713" s="6" t="str">
        <f ca="1">IFERROR(__xludf.DUMMYFUNCTION("GOOGLETRANSLATE(A4713,""bn"",""en"")"),"I love him all over the world")</f>
        <v>I love him all over the world</v>
      </c>
      <c r="C4713" s="7" t="s">
        <v>6</v>
      </c>
      <c r="D4713" s="7" t="s">
        <v>7</v>
      </c>
      <c r="E4713" s="7">
        <v>0</v>
      </c>
    </row>
    <row r="4714" spans="1:5" ht="15.75" customHeight="1" x14ac:dyDescent="0.25">
      <c r="A4714" s="6" t="s">
        <v>4612</v>
      </c>
      <c r="B4714" s="6" t="str">
        <f ca="1">IFERROR(__xludf.DUMMYFUNCTION("GOOGLETRANSLATE(A4714,""bn"",""en"")"),"That must have worked for the Asuras")</f>
        <v>That must have worked for the Asuras</v>
      </c>
      <c r="C4714" s="7" t="s">
        <v>6</v>
      </c>
      <c r="D4714" s="7" t="s">
        <v>7</v>
      </c>
      <c r="E4714" s="7">
        <v>0</v>
      </c>
    </row>
    <row r="4715" spans="1:5" ht="15.75" customHeight="1" x14ac:dyDescent="0.25">
      <c r="A4715" s="6" t="s">
        <v>4613</v>
      </c>
      <c r="B4715" s="6" t="str">
        <f ca="1">IFERROR(__xludf.DUMMYFUNCTION("GOOGLETRANSLATE(A4715,""bn"",""en"")"),"Baliya went away with a smile")</f>
        <v>Baliya went away with a smile</v>
      </c>
      <c r="C4715" s="7" t="s">
        <v>6</v>
      </c>
      <c r="D4715" s="7" t="s">
        <v>7</v>
      </c>
      <c r="E4715" s="7">
        <v>0</v>
      </c>
    </row>
    <row r="4716" spans="1:5" ht="15.75" customHeight="1" x14ac:dyDescent="0.25">
      <c r="A4716" s="6" t="s">
        <v>4614</v>
      </c>
      <c r="B4716" s="6" t="str">
        <f ca="1">IFERROR(__xludf.DUMMYFUNCTION("GOOGLETRANSLATE(A4716,""bn"",""en"")"),"It was very sad to establish contact")</f>
        <v>It was very sad to establish contact</v>
      </c>
      <c r="C4716" s="7" t="s">
        <v>6</v>
      </c>
      <c r="D4716" s="7" t="s">
        <v>7</v>
      </c>
      <c r="E4716" s="7">
        <v>0</v>
      </c>
    </row>
    <row r="4717" spans="1:5" ht="15.75" customHeight="1" x14ac:dyDescent="0.25">
      <c r="A4717" s="6" t="s">
        <v>4615</v>
      </c>
      <c r="B4717" s="6" t="str">
        <f ca="1">IFERROR(__xludf.DUMMYFUNCTION("GOOGLETRANSLATE(A4717,""bn"",""en"")"),"Budget forecasting guides financial planning decision making")</f>
        <v>Budget forecasting guides financial planning decision making</v>
      </c>
      <c r="C4717" s="8" t="s">
        <v>13</v>
      </c>
      <c r="D4717" s="8" t="s">
        <v>14</v>
      </c>
      <c r="E4717" s="8">
        <v>1</v>
      </c>
    </row>
    <row r="4718" spans="1:5" ht="15.75" customHeight="1" x14ac:dyDescent="0.25">
      <c r="A4718" s="6" t="s">
        <v>4616</v>
      </c>
      <c r="B4718" s="6" t="str">
        <f ca="1">IFERROR(__xludf.DUMMYFUNCTION("GOOGLETRANSLATE(A4718,""bn"",""en"")"),"Understanding the criminal mind is a complex and challenging task")</f>
        <v>Understanding the criminal mind is a complex and challenging task</v>
      </c>
      <c r="C4718" s="8" t="s">
        <v>13</v>
      </c>
      <c r="D4718" s="8" t="s">
        <v>14</v>
      </c>
      <c r="E4718" s="8">
        <v>1</v>
      </c>
    </row>
    <row r="4719" spans="1:5" ht="15.75" customHeight="1" x14ac:dyDescent="0.25">
      <c r="A4719" s="6" t="s">
        <v>4617</v>
      </c>
      <c r="B4719" s="6" t="str">
        <f ca="1">IFERROR(__xludf.DUMMYFUNCTION("GOOGLETRANSLATE(A4719,""bn"",""en"")"),"We will all work together")</f>
        <v>We will all work together</v>
      </c>
      <c r="C4719" s="8" t="s">
        <v>13</v>
      </c>
      <c r="D4719" s="8" t="s">
        <v>14</v>
      </c>
      <c r="E4719" s="8">
        <v>1</v>
      </c>
    </row>
    <row r="4720" spans="1:5" ht="15.75" customHeight="1" x14ac:dyDescent="0.25">
      <c r="A4720" s="6" t="s">
        <v>4618</v>
      </c>
      <c r="B4720" s="6" t="str">
        <f ca="1">IFERROR(__xludf.DUMMYFUNCTION("GOOGLETRANSLATE(A4720,""bn"",""en"")"),"Fruit sherbet refreshes summer evenings")</f>
        <v>Fruit sherbet refreshes summer evenings</v>
      </c>
      <c r="C4720" s="8" t="s">
        <v>13</v>
      </c>
      <c r="D4720" s="8" t="s">
        <v>14</v>
      </c>
      <c r="E4720" s="8">
        <v>1</v>
      </c>
    </row>
    <row r="4721" spans="1:5" ht="15.75" customHeight="1" x14ac:dyDescent="0.25">
      <c r="A4721" s="6" t="s">
        <v>4619</v>
      </c>
      <c r="B4721" s="6" t="str">
        <f ca="1">IFERROR(__xludf.DUMMYFUNCTION("GOOGLETRANSLATE(A4721,""bn"",""en"")"),"Product performance was inconsistent and unreliable")</f>
        <v>Product performance was inconsistent and unreliable</v>
      </c>
      <c r="C4721" s="8" t="s">
        <v>13</v>
      </c>
      <c r="D4721" s="8" t="s">
        <v>14</v>
      </c>
      <c r="E4721" s="8">
        <v>1</v>
      </c>
    </row>
    <row r="4722" spans="1:5" ht="15.75" customHeight="1" x14ac:dyDescent="0.25">
      <c r="A4722" s="6" t="s">
        <v>4620</v>
      </c>
      <c r="B4722" s="6" t="str">
        <f ca="1">IFERROR(__xludf.DUMMYFUNCTION("GOOGLETRANSLATE(A4722,""bn"",""en"")"),"The next day, in a gap in the class, Sachish is reading a book half asleep on the grass under the shadow of Goldighi.")</f>
        <v>The next day, in a gap in the class, Sachish is reading a book half asleep on the grass under the shadow of Goldighi.</v>
      </c>
      <c r="C4722" s="7" t="s">
        <v>6</v>
      </c>
      <c r="D4722" s="7" t="s">
        <v>7</v>
      </c>
      <c r="E4722" s="7">
        <v>0</v>
      </c>
    </row>
    <row r="4723" spans="1:5" ht="15.75" customHeight="1" x14ac:dyDescent="0.25">
      <c r="A4723" s="6" t="s">
        <v>4621</v>
      </c>
      <c r="B4723" s="6" t="str">
        <f ca="1">IFERROR(__xludf.DUMMYFUNCTION("GOOGLETRANSLATE(A4723,""bn"",""en"")"),"Bihari sat in darkness for a long time")</f>
        <v>Bihari sat in darkness for a long time</v>
      </c>
      <c r="C4723" s="7" t="s">
        <v>6</v>
      </c>
      <c r="D4723" s="7" t="s">
        <v>7</v>
      </c>
      <c r="E4723" s="7">
        <v>0</v>
      </c>
    </row>
    <row r="4724" spans="1:5" ht="15.75" customHeight="1" x14ac:dyDescent="0.25">
      <c r="A4724" s="6" t="s">
        <v>4622</v>
      </c>
      <c r="B4724" s="6" t="str">
        <f ca="1">IFERROR(__xludf.DUMMYFUNCTION("GOOGLETRANSLATE(A4724,""bn"",""en"")"),"Later in the evening he went for tea")</f>
        <v>Later in the evening he went for tea</v>
      </c>
      <c r="C4724" s="7" t="s">
        <v>6</v>
      </c>
      <c r="D4724" s="7" t="s">
        <v>7</v>
      </c>
      <c r="E4724" s="7">
        <v>0</v>
      </c>
    </row>
    <row r="4725" spans="1:5" ht="15.75" customHeight="1" x14ac:dyDescent="0.25">
      <c r="A4725" s="6" t="s">
        <v>4623</v>
      </c>
      <c r="B4725" s="6" t="str">
        <f ca="1">IFERROR(__xludf.DUMMYFUNCTION("GOOGLETRANSLATE(A4725,""bn"",""en"")"),"It has stopped raining since four o'clock today, the movement of the clouds is not good")</f>
        <v>It has stopped raining since four o'clock today, the movement of the clouds is not good</v>
      </c>
      <c r="C4725" s="7" t="s">
        <v>6</v>
      </c>
      <c r="D4725" s="7" t="s">
        <v>7</v>
      </c>
      <c r="E4725" s="7">
        <v>0</v>
      </c>
    </row>
    <row r="4726" spans="1:5" ht="15.75" customHeight="1" x14ac:dyDescent="0.25">
      <c r="A4726" s="6" t="s">
        <v>4624</v>
      </c>
      <c r="B4726" s="6" t="str">
        <f ca="1">IFERROR(__xludf.DUMMYFUNCTION("GOOGLETRANSLATE(A4726,""bn"",""en"")"),"Kusum said again that you are listening to the words")</f>
        <v>Kusum said again that you are listening to the words</v>
      </c>
      <c r="C4726" s="7" t="s">
        <v>6</v>
      </c>
      <c r="D4726" s="7" t="s">
        <v>7</v>
      </c>
      <c r="E4726" s="7">
        <v>0</v>
      </c>
    </row>
    <row r="4727" spans="1:5" ht="15.75" customHeight="1" x14ac:dyDescent="0.25">
      <c r="A4727" s="6" t="s">
        <v>4625</v>
      </c>
      <c r="B4727" s="6" t="str">
        <f ca="1">IFERROR(__xludf.DUMMYFUNCTION("GOOGLETRANSLATE(A4727,""bn"",""en"")"),"Suman asked me to go to him")</f>
        <v>Suman asked me to go to him</v>
      </c>
      <c r="C4727" s="8" t="s">
        <v>13</v>
      </c>
      <c r="D4727" s="8" t="s">
        <v>14</v>
      </c>
      <c r="E4727" s="8">
        <v>1</v>
      </c>
    </row>
    <row r="4728" spans="1:5" ht="15.75" customHeight="1" x14ac:dyDescent="0.25">
      <c r="A4728" s="6" t="s">
        <v>4626</v>
      </c>
      <c r="B4728" s="6" t="str">
        <f ca="1">IFERROR(__xludf.DUMMYFUNCTION("GOOGLETRANSLATE(A4728,""bn"",""en"")"),"Rana Roni is playing football in the field")</f>
        <v>Rana Roni is playing football in the field</v>
      </c>
      <c r="C4728" s="8" t="s">
        <v>13</v>
      </c>
      <c r="D4728" s="8" t="s">
        <v>14</v>
      </c>
      <c r="E4728" s="8">
        <v>1</v>
      </c>
    </row>
    <row r="4729" spans="1:5" ht="15.75" customHeight="1" x14ac:dyDescent="0.25">
      <c r="A4729" s="6" t="s">
        <v>4627</v>
      </c>
      <c r="B4729" s="6" t="str">
        <f ca="1">IFERROR(__xludf.DUMMYFUNCTION("GOOGLETRANSLATE(A4729,""bn"",""en"")"),"Newspapers have historically played an important role in shaping public opinion")</f>
        <v>Newspapers have historically played an important role in shaping public opinion</v>
      </c>
      <c r="C4729" s="8" t="s">
        <v>13</v>
      </c>
      <c r="D4729" s="8" t="s">
        <v>14</v>
      </c>
      <c r="E4729" s="8">
        <v>1</v>
      </c>
    </row>
    <row r="4730" spans="1:5" ht="15.75" customHeight="1" x14ac:dyDescent="0.25">
      <c r="A4730" s="6" t="s">
        <v>4628</v>
      </c>
      <c r="B4730" s="6" t="str">
        <f ca="1">IFERROR(__xludf.DUMMYFUNCTION("GOOGLETRANSLATE(A4730,""bn"",""en"")"),"Mother did not say anything about it")</f>
        <v>Mother did not say anything about it</v>
      </c>
      <c r="C4730" s="8" t="s">
        <v>13</v>
      </c>
      <c r="D4730" s="8" t="s">
        <v>14</v>
      </c>
      <c r="E4730" s="8">
        <v>1</v>
      </c>
    </row>
    <row r="4731" spans="1:5" ht="15.75" customHeight="1" x14ac:dyDescent="0.25">
      <c r="A4731" s="6" t="s">
        <v>4629</v>
      </c>
      <c r="B4731" s="6" t="str">
        <f ca="1">IFERROR(__xludf.DUMMYFUNCTION("GOOGLETRANSLATE(A4731,""bn"",""en"")"),"you don't talk")</f>
        <v>you don't talk</v>
      </c>
      <c r="C4731" s="8" t="s">
        <v>13</v>
      </c>
      <c r="D4731" s="8" t="s">
        <v>14</v>
      </c>
      <c r="E4731" s="8">
        <v>1</v>
      </c>
    </row>
    <row r="4732" spans="1:5" ht="15.75" customHeight="1" x14ac:dyDescent="0.25">
      <c r="A4732" s="6" t="s">
        <v>4630</v>
      </c>
      <c r="B4732" s="6" t="str">
        <f ca="1">IFERROR(__xludf.DUMMYFUNCTION("GOOGLETRANSLATE(A4732,""bn"",""en"")"),"He fell after that")</f>
        <v>He fell after that</v>
      </c>
      <c r="C4732" s="7" t="s">
        <v>6</v>
      </c>
      <c r="D4732" s="7" t="s">
        <v>7</v>
      </c>
      <c r="E4732" s="7">
        <v>0</v>
      </c>
    </row>
    <row r="4733" spans="1:5" ht="15.75" customHeight="1" x14ac:dyDescent="0.25">
      <c r="A4733" s="6" t="s">
        <v>4631</v>
      </c>
      <c r="B4733" s="6" t="str">
        <f ca="1">IFERROR(__xludf.DUMMYFUNCTION("GOOGLETRANSLATE(A4733,""bn"",""en"")"),"In front of some houses, Kamini Gandharaj is seen trying to cultivate a garden of Jabaful")</f>
        <v>In front of some houses, Kamini Gandharaj is seen trying to cultivate a garden of Jabaful</v>
      </c>
      <c r="C4733" s="7" t="s">
        <v>6</v>
      </c>
      <c r="D4733" s="7" t="s">
        <v>7</v>
      </c>
      <c r="E4733" s="7">
        <v>0</v>
      </c>
    </row>
    <row r="4734" spans="1:5" ht="15.75" customHeight="1" x14ac:dyDescent="0.25">
      <c r="A4734" s="6" t="s">
        <v>4632</v>
      </c>
      <c r="B4734" s="6" t="str">
        <f ca="1">IFERROR(__xludf.DUMMYFUNCTION("GOOGLETRANSLATE(A4734,""bn"",""en"")"),"I hired a separate car")</f>
        <v>I hired a separate car</v>
      </c>
      <c r="C4734" s="7" t="s">
        <v>6</v>
      </c>
      <c r="D4734" s="7" t="s">
        <v>7</v>
      </c>
      <c r="E4734" s="7">
        <v>0</v>
      </c>
    </row>
    <row r="4735" spans="1:5" ht="15.75" customHeight="1" x14ac:dyDescent="0.25">
      <c r="A4735" s="6" t="s">
        <v>4633</v>
      </c>
      <c r="B4735" s="6" t="str">
        <f ca="1">IFERROR(__xludf.DUMMYFUNCTION("GOOGLETRANSLATE(A4735,""bn"",""en"")"),"Rana Roni will go for a drive in the car")</f>
        <v>Rana Roni will go for a drive in the car</v>
      </c>
      <c r="C4735" s="7" t="s">
        <v>6</v>
      </c>
      <c r="D4735" s="7" t="s">
        <v>7</v>
      </c>
      <c r="E4735" s="7">
        <v>0</v>
      </c>
    </row>
    <row r="4736" spans="1:5" ht="15.75" customHeight="1" x14ac:dyDescent="0.25">
      <c r="A4736" s="6" t="s">
        <v>4634</v>
      </c>
      <c r="B4736" s="6" t="str">
        <f ca="1">IFERROR(__xludf.DUMMYFUNCTION("GOOGLETRANSLATE(A4736,""bn"",""en"")"),"Karim has come to play football")</f>
        <v>Karim has come to play football</v>
      </c>
      <c r="C4736" s="7" t="s">
        <v>6</v>
      </c>
      <c r="D4736" s="7" t="s">
        <v>7</v>
      </c>
      <c r="E4736" s="7">
        <v>0</v>
      </c>
    </row>
    <row r="4737" spans="1:5" ht="15.75" customHeight="1" x14ac:dyDescent="0.25">
      <c r="A4737" s="6" t="s">
        <v>4635</v>
      </c>
      <c r="B4737" s="6" t="str">
        <f ca="1">IFERROR(__xludf.DUMMYFUNCTION("GOOGLETRANSLATE(A4737,""bn"",""en"")"),"Sujan's mother worked in their house")</f>
        <v>Sujan's mother worked in their house</v>
      </c>
      <c r="C4737" s="8" t="s">
        <v>13</v>
      </c>
      <c r="D4737" s="8" t="s">
        <v>14</v>
      </c>
      <c r="E4737" s="8">
        <v>1</v>
      </c>
    </row>
    <row r="4738" spans="1:5" ht="15.75" customHeight="1" x14ac:dyDescent="0.25">
      <c r="A4738" s="6" t="s">
        <v>4636</v>
      </c>
      <c r="B4738" s="6" t="str">
        <f ca="1">IFERROR(__xludf.DUMMYFUNCTION("GOOGLETRANSLATE(A4738,""bn"",""en"")"),"Naturally, there were occasional quarrels between people")</f>
        <v>Naturally, there were occasional quarrels between people</v>
      </c>
      <c r="C4738" s="8" t="s">
        <v>13</v>
      </c>
      <c r="D4738" s="8" t="s">
        <v>14</v>
      </c>
      <c r="E4738" s="8">
        <v>1</v>
      </c>
    </row>
    <row r="4739" spans="1:5" ht="15.75" customHeight="1" x14ac:dyDescent="0.25">
      <c r="A4739" s="6" t="s">
        <v>4637</v>
      </c>
      <c r="B4739" s="6" t="str">
        <f ca="1">IFERROR(__xludf.DUMMYFUNCTION("GOOGLETRANSLATE(A4739,""bn"",""en"")"),"I feel validated when I am appreciated for my efforts")</f>
        <v>I feel validated when I am appreciated for my efforts</v>
      </c>
      <c r="C4739" s="8" t="s">
        <v>13</v>
      </c>
      <c r="D4739" s="8" t="s">
        <v>14</v>
      </c>
      <c r="E4739" s="8">
        <v>1</v>
      </c>
    </row>
    <row r="4740" spans="1:5" ht="15.75" customHeight="1" x14ac:dyDescent="0.25">
      <c r="A4740" s="6" t="s">
        <v>4638</v>
      </c>
      <c r="B4740" s="6" t="str">
        <f ca="1">IFERROR(__xludf.DUMMYFUNCTION("GOOGLETRANSLATE(A4740,""bn"",""en"")"),"Robin betrayed me")</f>
        <v>Robin betrayed me</v>
      </c>
      <c r="C4740" s="8" t="s">
        <v>13</v>
      </c>
      <c r="D4740" s="8" t="s">
        <v>14</v>
      </c>
      <c r="E4740" s="8">
        <v>1</v>
      </c>
    </row>
    <row r="4741" spans="1:5" ht="15.75" customHeight="1" x14ac:dyDescent="0.25">
      <c r="A4741" s="6" t="s">
        <v>4639</v>
      </c>
      <c r="B4741" s="6" t="str">
        <f ca="1">IFERROR(__xludf.DUMMYFUNCTION("GOOGLETRANSLATE(A4741,""bn"",""en"")"),"Comment with your favorite")</f>
        <v>Comment with your favorite</v>
      </c>
      <c r="C4741" s="8" t="s">
        <v>13</v>
      </c>
      <c r="D4741" s="8" t="s">
        <v>14</v>
      </c>
      <c r="E4741" s="8">
        <v>1</v>
      </c>
    </row>
    <row r="4742" spans="1:5" ht="15.75" customHeight="1" x14ac:dyDescent="0.25">
      <c r="A4742" s="6" t="s">
        <v>4640</v>
      </c>
      <c r="B4742" s="6" t="str">
        <f ca="1">IFERROR(__xludf.DUMMYFUNCTION("GOOGLETRANSLATE(A4742,""bn"",""en"")"),"How happy I was to think that I would go now into the dark clouds")</f>
        <v>How happy I was to think that I would go now into the dark clouds</v>
      </c>
      <c r="C4742" s="7" t="s">
        <v>6</v>
      </c>
      <c r="D4742" s="7" t="s">
        <v>7</v>
      </c>
      <c r="E4742" s="7">
        <v>0</v>
      </c>
    </row>
    <row r="4743" spans="1:5" ht="15.75" customHeight="1" x14ac:dyDescent="0.25">
      <c r="A4743" s="6" t="s">
        <v>4641</v>
      </c>
      <c r="B4743" s="6" t="str">
        <f ca="1">IFERROR(__xludf.DUMMYFUNCTION("GOOGLETRANSLATE(A4743,""bn"",""en"")"),"Roni went to Rahman")</f>
        <v>Roni went to Rahman</v>
      </c>
      <c r="C4743" s="7" t="s">
        <v>6</v>
      </c>
      <c r="D4743" s="7" t="s">
        <v>7</v>
      </c>
      <c r="E4743" s="7">
        <v>0</v>
      </c>
    </row>
    <row r="4744" spans="1:5" ht="15.75" customHeight="1" x14ac:dyDescent="0.25">
      <c r="A4744" s="6" t="s">
        <v>4642</v>
      </c>
      <c r="B4744" s="6" t="str">
        <f ca="1">IFERROR(__xludf.DUMMYFUNCTION("GOOGLETRANSLATE(A4744,""bn"",""en"")"),"Education cannot be given to anyone")</f>
        <v>Education cannot be given to anyone</v>
      </c>
      <c r="C4744" s="7" t="s">
        <v>6</v>
      </c>
      <c r="D4744" s="7" t="s">
        <v>7</v>
      </c>
      <c r="E4744" s="7">
        <v>0</v>
      </c>
    </row>
    <row r="4745" spans="1:5" ht="15.75" customHeight="1" x14ac:dyDescent="0.25">
      <c r="A4745" s="6" t="s">
        <v>4643</v>
      </c>
      <c r="B4745" s="6" t="str">
        <f ca="1">IFERROR(__xludf.DUMMYFUNCTION("GOOGLETRANSLATE(A4745,""bn"",""en"")"),"In a harsh tone he asked me a question I failed to answer")</f>
        <v>In a harsh tone he asked me a question I failed to answer</v>
      </c>
      <c r="C4745" s="7" t="s">
        <v>6</v>
      </c>
      <c r="D4745" s="7" t="s">
        <v>7</v>
      </c>
      <c r="E4745" s="7">
        <v>0</v>
      </c>
    </row>
    <row r="4746" spans="1:5" ht="15.75" customHeight="1" x14ac:dyDescent="0.25">
      <c r="A4746" s="6" t="s">
        <v>4644</v>
      </c>
      <c r="B4746" s="6" t="str">
        <f ca="1">IFERROR(__xludf.DUMMYFUNCTION("GOOGLETRANSLATE(A4746,""bn"",""en"")"),"Fatik made his uncle restless with enthusiasm and he could not sleep at night")</f>
        <v>Fatik made his uncle restless with enthusiasm and he could not sleep at night</v>
      </c>
      <c r="C4746" s="7" t="s">
        <v>6</v>
      </c>
      <c r="D4746" s="7" t="s">
        <v>7</v>
      </c>
      <c r="E4746" s="7">
        <v>0</v>
      </c>
    </row>
    <row r="4747" spans="1:5" ht="15.75" customHeight="1" x14ac:dyDescent="0.25">
      <c r="A4747" s="6" t="s">
        <v>4645</v>
      </c>
      <c r="B4747" s="6" t="str">
        <f ca="1">IFERROR(__xludf.DUMMYFUNCTION("GOOGLETRANSLATE(A4747,""bn"",""en"")"),"Despite the challenges they face, newspapers are an important source of information analysis in today's society")</f>
        <v>Despite the challenges they face, newspapers are an important source of information analysis in today's society</v>
      </c>
      <c r="C4747" s="8" t="s">
        <v>13</v>
      </c>
      <c r="D4747" s="8" t="s">
        <v>14</v>
      </c>
      <c r="E4747" s="8">
        <v>1</v>
      </c>
    </row>
    <row r="4748" spans="1:5" ht="15.75" customHeight="1" x14ac:dyDescent="0.25">
      <c r="A4748" s="6" t="s">
        <v>4646</v>
      </c>
      <c r="B4748" s="6" t="str">
        <f ca="1">IFERROR(__xludf.DUMMYFUNCTION("GOOGLETRANSLATE(A4748,""bn"",""en"")"),"Reaching out to someone in need increases empathy")</f>
        <v>Reaching out to someone in need increases empathy</v>
      </c>
      <c r="C4748" s="8" t="s">
        <v>13</v>
      </c>
      <c r="D4748" s="8" t="s">
        <v>14</v>
      </c>
      <c r="E4748" s="8">
        <v>1</v>
      </c>
    </row>
    <row r="4749" spans="1:5" ht="15.75" customHeight="1" x14ac:dyDescent="0.25">
      <c r="A4749" s="6" t="s">
        <v>4647</v>
      </c>
      <c r="B4749" s="6" t="str">
        <f ca="1">IFERROR(__xludf.DUMMYFUNCTION("GOOGLETRANSLATE(A4749,""bn"",""en"")"),"I am awaiting confirmation from the other party involved in the transaction")</f>
        <v>I am awaiting confirmation from the other party involved in the transaction</v>
      </c>
      <c r="C4749" s="8" t="s">
        <v>13</v>
      </c>
      <c r="D4749" s="8" t="s">
        <v>14</v>
      </c>
      <c r="E4749" s="8">
        <v>1</v>
      </c>
    </row>
    <row r="4750" spans="1:5" ht="15.75" customHeight="1" x14ac:dyDescent="0.25">
      <c r="A4750" s="6" t="s">
        <v>4648</v>
      </c>
      <c r="B4750" s="6" t="str">
        <f ca="1">IFERROR(__xludf.DUMMYFUNCTION("GOOGLETRANSLATE(A4750,""bn"",""en"")"),"Investing in the stock market can provide higher returns than traditional savings accounts")</f>
        <v>Investing in the stock market can provide higher returns than traditional savings accounts</v>
      </c>
      <c r="C4750" s="8" t="s">
        <v>13</v>
      </c>
      <c r="D4750" s="8" t="s">
        <v>14</v>
      </c>
      <c r="E4750" s="8">
        <v>1</v>
      </c>
    </row>
    <row r="4751" spans="1:5" ht="15.75" customHeight="1" x14ac:dyDescent="0.25">
      <c r="A4751" s="6" t="s">
        <v>4649</v>
      </c>
      <c r="B4751" s="6" t="str">
        <f ca="1">IFERROR(__xludf.DUMMYFUNCTION("GOOGLETRANSLATE(A4751,""bn"",""en"")"),"The love story of my grandparents is inspiring")</f>
        <v>The love story of my grandparents is inspiring</v>
      </c>
      <c r="C4751" s="8" t="s">
        <v>13</v>
      </c>
      <c r="D4751" s="8" t="s">
        <v>14</v>
      </c>
      <c r="E4751" s="8">
        <v>1</v>
      </c>
    </row>
    <row r="4752" spans="1:5" ht="15.75" customHeight="1" x14ac:dyDescent="0.25">
      <c r="A4752" s="6" t="s">
        <v>4650</v>
      </c>
      <c r="B4752" s="6" t="str">
        <f ca="1">IFERROR(__xludf.DUMMYFUNCTION("GOOGLETRANSLATE(A4752,""bn"",""en"")"),"The stream of cars sped off towards Apis")</f>
        <v>The stream of cars sped off towards Apis</v>
      </c>
      <c r="C4752" s="7" t="s">
        <v>6</v>
      </c>
      <c r="D4752" s="7" t="s">
        <v>7</v>
      </c>
      <c r="E4752" s="7">
        <v>0</v>
      </c>
    </row>
    <row r="4753" spans="1:5" ht="15.75" customHeight="1" x14ac:dyDescent="0.25">
      <c r="A4753" s="6" t="s">
        <v>4651</v>
      </c>
      <c r="B4753" s="6" t="str">
        <f ca="1">IFERROR(__xludf.DUMMYFUNCTION("GOOGLETRANSLATE(A4753,""bn"",""en"")"),"Sujan saw this and sat down")</f>
        <v>Sujan saw this and sat down</v>
      </c>
      <c r="C4753" s="7" t="s">
        <v>6</v>
      </c>
      <c r="D4753" s="7" t="s">
        <v>7</v>
      </c>
      <c r="E4753" s="7">
        <v>0</v>
      </c>
    </row>
    <row r="4754" spans="1:5" ht="15.75" customHeight="1" x14ac:dyDescent="0.25">
      <c r="A4754" s="6" t="s">
        <v>4652</v>
      </c>
      <c r="B4754" s="6" t="str">
        <f ca="1">IFERROR(__xludf.DUMMYFUNCTION("GOOGLETRANSLATE(A4754,""bn"",""en"")"),"It became difficult to stand even after proposing to go")</f>
        <v>It became difficult to stand even after proposing to go</v>
      </c>
      <c r="C4754" s="7" t="s">
        <v>6</v>
      </c>
      <c r="D4754" s="7" t="s">
        <v>7</v>
      </c>
      <c r="E4754" s="7">
        <v>0</v>
      </c>
    </row>
    <row r="4755" spans="1:5" ht="15.75" customHeight="1" x14ac:dyDescent="0.25">
      <c r="A4755" s="6" t="s">
        <v>4653</v>
      </c>
      <c r="B4755" s="6" t="str">
        <f ca="1">IFERROR(__xludf.DUMMYFUNCTION("GOOGLETRANSLATE(A4755,""bn"",""en"")"),"Whose destiny is hard rock is his support")</f>
        <v>Whose destiny is hard rock is his support</v>
      </c>
      <c r="C4755" s="7" t="s">
        <v>6</v>
      </c>
      <c r="D4755" s="7" t="s">
        <v>7</v>
      </c>
      <c r="E4755" s="7">
        <v>0</v>
      </c>
    </row>
    <row r="4756" spans="1:5" ht="15.75" customHeight="1" x14ac:dyDescent="0.25">
      <c r="A4756" s="6" t="s">
        <v>4654</v>
      </c>
      <c r="B4756" s="6" t="str">
        <f ca="1">IFERROR(__xludf.DUMMYFUNCTION("GOOGLETRANSLATE(A4756,""bn"",""en"")"),"This loss of life is irreparable")</f>
        <v>This loss of life is irreparable</v>
      </c>
      <c r="C4756" s="7" t="s">
        <v>6</v>
      </c>
      <c r="D4756" s="7" t="s">
        <v>7</v>
      </c>
      <c r="E4756" s="7">
        <v>0</v>
      </c>
    </row>
    <row r="4757" spans="1:5" ht="15.75" customHeight="1" x14ac:dyDescent="0.25">
      <c r="A4757" s="6" t="s">
        <v>4655</v>
      </c>
      <c r="B4757" s="6" t="str">
        <f ca="1">IFERROR(__xludf.DUMMYFUNCTION("GOOGLETRANSLATE(A4757,""bn"",""en"")"),"Diverticulitis is an inflammation or infection of the small sacs that form in the digestive tract causing abdominal pain and fever")</f>
        <v>Diverticulitis is an inflammation or infection of the small sacs that form in the digestive tract causing abdominal pain and fever</v>
      </c>
      <c r="C4757" s="8" t="s">
        <v>13</v>
      </c>
      <c r="D4757" s="8" t="s">
        <v>14</v>
      </c>
      <c r="E4757" s="8">
        <v>1</v>
      </c>
    </row>
    <row r="4758" spans="1:5" ht="15.75" customHeight="1" x14ac:dyDescent="0.25">
      <c r="A4758" s="6" t="s">
        <v>4656</v>
      </c>
      <c r="B4758" s="6" t="str">
        <f ca="1">IFERROR(__xludf.DUMMYFUNCTION("GOOGLETRANSLATE(A4758,""bn"",""en"")"),"Loved it today")</f>
        <v>Loved it today</v>
      </c>
      <c r="C4758" s="8" t="s">
        <v>13</v>
      </c>
      <c r="D4758" s="8" t="s">
        <v>14</v>
      </c>
      <c r="E4758" s="8">
        <v>1</v>
      </c>
    </row>
    <row r="4759" spans="1:5" ht="15.75" customHeight="1" x14ac:dyDescent="0.25">
      <c r="A4759" s="6" t="s">
        <v>4657</v>
      </c>
      <c r="B4759" s="6" t="str">
        <f ca="1">IFERROR(__xludf.DUMMYFUNCTION("GOOGLETRANSLATE(A4759,""bn"",""en"")"),"Exploring the Forgotten Isles they stumble upon the ruins of a civilization lost to time.")</f>
        <v>Exploring the Forgotten Isles they stumble upon the ruins of a civilization lost to time.</v>
      </c>
      <c r="C4759" s="8" t="s">
        <v>13</v>
      </c>
      <c r="D4759" s="8" t="s">
        <v>14</v>
      </c>
      <c r="E4759" s="8">
        <v>1</v>
      </c>
    </row>
    <row r="4760" spans="1:5" ht="15.75" customHeight="1" x14ac:dyDescent="0.25">
      <c r="A4760" s="6" t="s">
        <v>4658</v>
      </c>
      <c r="B4760" s="6" t="str">
        <f ca="1">IFERROR(__xludf.DUMMYFUNCTION("GOOGLETRANSLATE(A4760,""bn"",""en"")"),"He heard a muffled cry inside, the baby's cry")</f>
        <v>He heard a muffled cry inside, the baby's cry</v>
      </c>
      <c r="C4760" s="8" t="s">
        <v>13</v>
      </c>
      <c r="D4760" s="8" t="s">
        <v>14</v>
      </c>
      <c r="E4760" s="8">
        <v>1</v>
      </c>
    </row>
    <row r="4761" spans="1:5" ht="15.75" customHeight="1" x14ac:dyDescent="0.25">
      <c r="A4761" s="6" t="s">
        <v>4659</v>
      </c>
      <c r="B4761" s="6" t="str">
        <f ca="1">IFERROR(__xludf.DUMMYFUNCTION("GOOGLETRANSLATE(A4761,""bn"",""en"")"),"The transaction amount exceeds my daily spending limit")</f>
        <v>The transaction amount exceeds my daily spending limit</v>
      </c>
      <c r="C4761" s="8" t="s">
        <v>13</v>
      </c>
      <c r="D4761" s="8" t="s">
        <v>14</v>
      </c>
      <c r="E4761" s="8">
        <v>1</v>
      </c>
    </row>
    <row r="4762" spans="1:5" ht="15.75" customHeight="1" x14ac:dyDescent="0.25">
      <c r="A4762" s="6" t="s">
        <v>4660</v>
      </c>
      <c r="B4762" s="6" t="str">
        <f ca="1">IFERROR(__xludf.DUMMYFUNCTION("GOOGLETRANSLATE(A4762,""bn"",""en"")"),"I proceeded as Rahim said")</f>
        <v>I proceeded as Rahim said</v>
      </c>
      <c r="C4762" s="7" t="s">
        <v>6</v>
      </c>
      <c r="D4762" s="7" t="s">
        <v>7</v>
      </c>
      <c r="E4762" s="7">
        <v>0</v>
      </c>
    </row>
    <row r="4763" spans="1:5" ht="15.75" customHeight="1" x14ac:dyDescent="0.25">
      <c r="A4763" s="6" t="s">
        <v>4661</v>
      </c>
      <c r="B4763" s="6" t="str">
        <f ca="1">IFERROR(__xludf.DUMMYFUNCTION("GOOGLETRANSLATE(A4763,""bn"",""en"")"),"Surprised people cannot yawn")</f>
        <v>Surprised people cannot yawn</v>
      </c>
      <c r="C4763" s="7" t="s">
        <v>6</v>
      </c>
      <c r="D4763" s="7" t="s">
        <v>7</v>
      </c>
      <c r="E4763" s="7">
        <v>0</v>
      </c>
    </row>
    <row r="4764" spans="1:5" ht="15.75" customHeight="1" x14ac:dyDescent="0.25">
      <c r="A4764" s="6" t="s">
        <v>4662</v>
      </c>
      <c r="B4764" s="6" t="str">
        <f ca="1">IFERROR(__xludf.DUMMYFUNCTION("GOOGLETRANSLATE(A4764,""bn"",""en"")"),"The sight of them playing is truly mesmerizing")</f>
        <v>The sight of them playing is truly mesmerizing</v>
      </c>
      <c r="C4764" s="7" t="s">
        <v>6</v>
      </c>
      <c r="D4764" s="7" t="s">
        <v>7</v>
      </c>
      <c r="E4764" s="7">
        <v>0</v>
      </c>
    </row>
    <row r="4765" spans="1:5" ht="15.75" customHeight="1" x14ac:dyDescent="0.25">
      <c r="A4765" s="6" t="s">
        <v>4663</v>
      </c>
      <c r="B4765" s="6" t="str">
        <f ca="1">IFERROR(__xludf.DUMMYFUNCTION("GOOGLETRANSLATE(A4765,""bn"",""en"")"),"Do you know them?")</f>
        <v>Do you know them?</v>
      </c>
      <c r="C4765" s="7" t="s">
        <v>6</v>
      </c>
      <c r="D4765" s="7" t="s">
        <v>7</v>
      </c>
      <c r="E4765" s="7">
        <v>0</v>
      </c>
    </row>
    <row r="4766" spans="1:5" ht="15.75" customHeight="1" x14ac:dyDescent="0.25">
      <c r="A4766" s="6" t="s">
        <v>3054</v>
      </c>
      <c r="B4766" s="6" t="str">
        <f ca="1">IFERROR(__xludf.DUMMYFUNCTION("GOOGLETRANSLATE(A4766,""bn"",""en"")"),"How does it feel inside the soul when you hear the sound of wooden bells?")</f>
        <v>How does it feel inside the soul when you hear the sound of wooden bells?</v>
      </c>
      <c r="C4766" s="7" t="s">
        <v>6</v>
      </c>
      <c r="D4766" s="7" t="s">
        <v>7</v>
      </c>
      <c r="E4766" s="7">
        <v>0</v>
      </c>
    </row>
    <row r="4767" spans="1:5" ht="15.75" customHeight="1" x14ac:dyDescent="0.25">
      <c r="A4767" s="6" t="s">
        <v>4664</v>
      </c>
      <c r="B4767" s="6" t="str">
        <f ca="1">IFERROR(__xludf.DUMMYFUNCTION("GOOGLETRANSLATE(A4767,""bn"",""en"")"),"Find joy in the journey, not just the destination")</f>
        <v>Find joy in the journey, not just the destination</v>
      </c>
      <c r="C4767" s="8" t="s">
        <v>13</v>
      </c>
      <c r="D4767" s="8" t="s">
        <v>14</v>
      </c>
      <c r="E4767" s="8">
        <v>1</v>
      </c>
    </row>
    <row r="4768" spans="1:5" ht="15.75" customHeight="1" x14ac:dyDescent="0.25">
      <c r="A4768" s="6" t="s">
        <v>4665</v>
      </c>
      <c r="B4768" s="6" t="str">
        <f ca="1">IFERROR(__xludf.DUMMYFUNCTION("GOOGLETRANSLATE(A4768,""bn"",""en"")"),"Almond granola elevates the breakfast bowl")</f>
        <v>Almond granola elevates the breakfast bowl</v>
      </c>
      <c r="C4768" s="8" t="s">
        <v>13</v>
      </c>
      <c r="D4768" s="8" t="s">
        <v>14</v>
      </c>
      <c r="E4768" s="8">
        <v>1</v>
      </c>
    </row>
    <row r="4769" spans="1:5" ht="15.75" customHeight="1" x14ac:dyDescent="0.25">
      <c r="A4769" s="6" t="s">
        <v>4666</v>
      </c>
      <c r="B4769" s="6" t="str">
        <f ca="1">IFERROR(__xludf.DUMMYFUNCTION("GOOGLETRANSLATE(A4769,""bn"",""en"")"),"Did you play with them?")</f>
        <v>Did you play with them?</v>
      </c>
      <c r="C4769" s="8" t="s">
        <v>13</v>
      </c>
      <c r="D4769" s="8" t="s">
        <v>14</v>
      </c>
      <c r="E4769" s="8">
        <v>1</v>
      </c>
    </row>
    <row r="4770" spans="1:5" ht="15.75" customHeight="1" x14ac:dyDescent="0.25">
      <c r="A4770" s="6" t="s">
        <v>4667</v>
      </c>
      <c r="B4770" s="6" t="str">
        <f ca="1">IFERROR(__xludf.DUMMYFUNCTION("GOOGLETRANSLATE(A4770,""bn"",""en"")"),"Nowadays Kabaddi is also played internationally")</f>
        <v>Nowadays Kabaddi is also played internationally</v>
      </c>
      <c r="C4770" s="8" t="s">
        <v>13</v>
      </c>
      <c r="D4770" s="8" t="s">
        <v>14</v>
      </c>
      <c r="E4770" s="8">
        <v>1</v>
      </c>
    </row>
    <row r="4771" spans="1:5" ht="15.75" customHeight="1" x14ac:dyDescent="0.25">
      <c r="A4771" s="6" t="s">
        <v>4668</v>
      </c>
      <c r="B4771" s="6" t="str">
        <f ca="1">IFERROR(__xludf.DUMMYFUNCTION("GOOGLETRANSLATE(A4771,""bn"",""en"")"),"Water scarcity is very severe during summer")</f>
        <v>Water scarcity is very severe during summer</v>
      </c>
      <c r="C4771" s="8" t="s">
        <v>13</v>
      </c>
      <c r="D4771" s="8" t="s">
        <v>14</v>
      </c>
      <c r="E4771" s="8">
        <v>1</v>
      </c>
    </row>
    <row r="4772" spans="1:5" ht="15.75" customHeight="1" x14ac:dyDescent="0.25">
      <c r="A4772" s="6" t="s">
        <v>4669</v>
      </c>
      <c r="B4772" s="6" t="str">
        <f ca="1">IFERROR(__xludf.DUMMYFUNCTION("GOOGLETRANSLATE(A4772,""bn"",""en"")"),"A girl dug her fingernails into her tiny nose ring and said yes, sir.")</f>
        <v>A girl dug her fingernails into her tiny nose ring and said yes, sir.</v>
      </c>
      <c r="C4772" s="7" t="s">
        <v>6</v>
      </c>
      <c r="D4772" s="7" t="s">
        <v>7</v>
      </c>
      <c r="E4772" s="7">
        <v>0</v>
      </c>
    </row>
    <row r="4773" spans="1:5" ht="15.75" customHeight="1" x14ac:dyDescent="0.25">
      <c r="A4773" s="6" t="s">
        <v>4670</v>
      </c>
      <c r="B4773" s="6" t="str">
        <f ca="1">IFERROR(__xludf.DUMMYFUNCTION("GOOGLETRANSLATE(A4773,""bn"",""en"")"),"They run away when they see aliens")</f>
        <v>They run away when they see aliens</v>
      </c>
      <c r="C4773" s="7" t="s">
        <v>6</v>
      </c>
      <c r="D4773" s="7" t="s">
        <v>7</v>
      </c>
      <c r="E4773" s="7">
        <v>0</v>
      </c>
    </row>
    <row r="4774" spans="1:5" ht="15.75" customHeight="1" x14ac:dyDescent="0.25">
      <c r="A4774" s="6" t="s">
        <v>4671</v>
      </c>
      <c r="B4774" s="6" t="str">
        <f ca="1">IFERROR(__xludf.DUMMYFUNCTION("GOOGLETRANSLATE(A4774,""bn"",""en"")"),"Such people are very few")</f>
        <v>Such people are very few</v>
      </c>
      <c r="C4774" s="7" t="s">
        <v>6</v>
      </c>
      <c r="D4774" s="7" t="s">
        <v>7</v>
      </c>
      <c r="E4774" s="7">
        <v>0</v>
      </c>
    </row>
    <row r="4775" spans="1:5" ht="15.75" customHeight="1" x14ac:dyDescent="0.25">
      <c r="A4775" s="6" t="s">
        <v>4672</v>
      </c>
      <c r="B4775" s="6" t="str">
        <f ca="1">IFERROR(__xludf.DUMMYFUNCTION("GOOGLETRANSLATE(A4775,""bn"",""en"")"),"Early in the morning, Ratan quickly caught the heat and baked some bread.")</f>
        <v>Early in the morning, Ratan quickly caught the heat and baked some bread.</v>
      </c>
      <c r="C4775" s="7" t="s">
        <v>6</v>
      </c>
      <c r="D4775" s="7" t="s">
        <v>7</v>
      </c>
      <c r="E4775" s="7">
        <v>0</v>
      </c>
    </row>
    <row r="4776" spans="1:5" ht="15.75" customHeight="1" x14ac:dyDescent="0.25">
      <c r="A4776" s="6" t="s">
        <v>3048</v>
      </c>
      <c r="B4776" s="6" t="str">
        <f ca="1">IFERROR(__xludf.DUMMYFUNCTION("GOOGLETRANSLATE(A4776,""bn"",""en"")"),"People don't think that they won't like it")</f>
        <v>People don't think that they won't like it</v>
      </c>
      <c r="C4776" s="7" t="s">
        <v>6</v>
      </c>
      <c r="D4776" s="7" t="s">
        <v>7</v>
      </c>
      <c r="E4776" s="7">
        <v>0</v>
      </c>
    </row>
    <row r="4777" spans="1:5" ht="15.75" customHeight="1" x14ac:dyDescent="0.25">
      <c r="A4777" s="6" t="s">
        <v>4673</v>
      </c>
      <c r="B4777" s="6" t="str">
        <f ca="1">IFERROR(__xludf.DUMMYFUNCTION("GOOGLETRANSLATE(A4777,""bn"",""en"")"),"Seeing compassion for animals warms my heart")</f>
        <v>Seeing compassion for animals warms my heart</v>
      </c>
      <c r="C4777" s="8" t="s">
        <v>13</v>
      </c>
      <c r="D4777" s="8" t="s">
        <v>14</v>
      </c>
      <c r="E4777" s="8">
        <v>1</v>
      </c>
    </row>
    <row r="4778" spans="1:5" ht="15.75" customHeight="1" x14ac:dyDescent="0.25">
      <c r="A4778" s="6" t="s">
        <v>4674</v>
      </c>
      <c r="B4778" s="6" t="str">
        <f ca="1">IFERROR(__xludf.DUMMYFUNCTION("GOOGLETRANSLATE(A4778,""bn"",""en"")"),"They warmly admired Rajgopal's talent")</f>
        <v>They warmly admired Rajgopal's talent</v>
      </c>
      <c r="C4778" s="8" t="s">
        <v>13</v>
      </c>
      <c r="D4778" s="8" t="s">
        <v>14</v>
      </c>
      <c r="E4778" s="8">
        <v>1</v>
      </c>
    </row>
    <row r="4779" spans="1:5" ht="15.75" customHeight="1" x14ac:dyDescent="0.25">
      <c r="A4779" s="6" t="s">
        <v>4675</v>
      </c>
      <c r="B4779" s="6" t="str">
        <f ca="1">IFERROR(__xludf.DUMMYFUNCTION("GOOGLETRANSLATE(A4779,""bn"",""en"")"),"Guanath's dream was to become immortal by discovering a new type of sweet")</f>
        <v>Guanath's dream was to become immortal by discovering a new type of sweet</v>
      </c>
      <c r="C4779" s="8" t="s">
        <v>13</v>
      </c>
      <c r="D4779" s="8" t="s">
        <v>14</v>
      </c>
      <c r="E4779" s="8">
        <v>1</v>
      </c>
    </row>
    <row r="4780" spans="1:5" ht="15.75" customHeight="1" x14ac:dyDescent="0.25">
      <c r="A4780" s="6" t="s">
        <v>4676</v>
      </c>
      <c r="B4780" s="6" t="str">
        <f ca="1">IFERROR(__xludf.DUMMYFUNCTION("GOOGLETRANSLATE(A4780,""bn"",""en"")"),"This city life regained its form with the arrival of pilgrim tourists")</f>
        <v>This city life regained its form with the arrival of pilgrim tourists</v>
      </c>
      <c r="C4780" s="8" t="s">
        <v>13</v>
      </c>
      <c r="D4780" s="8" t="s">
        <v>14</v>
      </c>
      <c r="E4780" s="8">
        <v>1</v>
      </c>
    </row>
    <row r="4781" spans="1:5" ht="15.75" customHeight="1" x14ac:dyDescent="0.25">
      <c r="A4781" s="6" t="s">
        <v>4677</v>
      </c>
      <c r="B4781" s="6" t="str">
        <f ca="1">IFERROR(__xludf.DUMMYFUNCTION("GOOGLETRANSLATE(A4781,""bn"",""en"")"),"When they were afraid to go to the unknown city, a loving voice said you have no fear here")</f>
        <v>When they were afraid to go to the unknown city, a loving voice said you have no fear here</v>
      </c>
      <c r="C4781" s="8" t="s">
        <v>13</v>
      </c>
      <c r="D4781" s="8" t="s">
        <v>14</v>
      </c>
      <c r="E4781" s="8">
        <v>1</v>
      </c>
    </row>
    <row r="4782" spans="1:5" ht="15.75" customHeight="1" x14ac:dyDescent="0.25">
      <c r="A4782" s="6" t="s">
        <v>4678</v>
      </c>
      <c r="B4782" s="6" t="str">
        <f ca="1">IFERROR(__xludf.DUMMYFUNCTION("GOOGLETRANSLATE(A4782,""bn"",""en"")"),"He appears as a monster in Mami's unloving eyes.")</f>
        <v>He appears as a monster in Mami's unloving eyes.</v>
      </c>
      <c r="C4782" s="7" t="s">
        <v>6</v>
      </c>
      <c r="D4782" s="7" t="s">
        <v>7</v>
      </c>
      <c r="E4782" s="7">
        <v>0</v>
      </c>
    </row>
    <row r="4783" spans="1:5" ht="15.75" customHeight="1" x14ac:dyDescent="0.25">
      <c r="A4783" s="6" t="s">
        <v>4679</v>
      </c>
      <c r="B4783" s="6" t="str">
        <f ca="1">IFERROR(__xludf.DUMMYFUNCTION("GOOGLETRANSLATE(A4783,""bn"",""en"")"),"I haven't heard joyous music in a long time, I haven't felt joy in a long time")</f>
        <v>I haven't heard joyous music in a long time, I haven't felt joy in a long time</v>
      </c>
      <c r="C4783" s="7" t="s">
        <v>6</v>
      </c>
      <c r="D4783" s="7" t="s">
        <v>7</v>
      </c>
      <c r="E4783" s="7">
        <v>0</v>
      </c>
    </row>
    <row r="4784" spans="1:5" ht="15.75" customHeight="1" x14ac:dyDescent="0.25">
      <c r="A4784" s="6" t="s">
        <v>4680</v>
      </c>
      <c r="B4784" s="6" t="str">
        <f ca="1">IFERROR(__xludf.DUMMYFUNCTION("GOOGLETRANSLATE(A4784,""bn"",""en"")"),"He has achieved success by overcoming adversity in life")</f>
        <v>He has achieved success by overcoming adversity in life</v>
      </c>
      <c r="C4784" s="7" t="s">
        <v>6</v>
      </c>
      <c r="D4784" s="7" t="s">
        <v>7</v>
      </c>
      <c r="E4784" s="7">
        <v>0</v>
      </c>
    </row>
    <row r="4785" spans="1:5" ht="15.75" customHeight="1" x14ac:dyDescent="0.25">
      <c r="A4785" s="6" t="s">
        <v>4681</v>
      </c>
      <c r="B4785" s="6" t="str">
        <f ca="1">IFERROR(__xludf.DUMMYFUNCTION("GOOGLETRANSLATE(A4785,""bn"",""en"")"),"After sitting in the rest room and chatting with the boys, I went up to see the boys' dormitories.")</f>
        <v>After sitting in the rest room and chatting with the boys, I went up to see the boys' dormitories.</v>
      </c>
      <c r="C4785" s="7" t="s">
        <v>6</v>
      </c>
      <c r="D4785" s="7" t="s">
        <v>7</v>
      </c>
      <c r="E4785" s="7">
        <v>0</v>
      </c>
    </row>
    <row r="4786" spans="1:5" ht="15.75" customHeight="1" x14ac:dyDescent="0.25">
      <c r="A4786" s="6" t="s">
        <v>4682</v>
      </c>
      <c r="B4786" s="6" t="str">
        <f ca="1">IFERROR(__xludf.DUMMYFUNCTION("GOOGLETRANSLATE(A4786,""bn"",""en"")"),"Lal Mia remained silent for a while and said")</f>
        <v>Lal Mia remained silent for a while and said</v>
      </c>
      <c r="C4786" s="7" t="s">
        <v>6</v>
      </c>
      <c r="D4786" s="7" t="s">
        <v>7</v>
      </c>
      <c r="E4786" s="7">
        <v>0</v>
      </c>
    </row>
    <row r="4787" spans="1:5" ht="15.75" customHeight="1" x14ac:dyDescent="0.25">
      <c r="A4787" s="6" t="s">
        <v>4683</v>
      </c>
      <c r="B4787" s="6" t="str">
        <f ca="1">IFERROR(__xludf.DUMMYFUNCTION("GOOGLETRANSLATE(A4787,""bn"",""en"")"),"Sushi rolls are made by the culinary industry")</f>
        <v>Sushi rolls are made by the culinary industry</v>
      </c>
      <c r="C4787" s="8" t="s">
        <v>13</v>
      </c>
      <c r="D4787" s="8" t="s">
        <v>14</v>
      </c>
      <c r="E4787" s="8">
        <v>1</v>
      </c>
    </row>
    <row r="4788" spans="1:5" ht="15.75" customHeight="1" x14ac:dyDescent="0.25">
      <c r="A4788" s="6" t="s">
        <v>4684</v>
      </c>
      <c r="B4788" s="6" t="str">
        <f ca="1">IFERROR(__xludf.DUMMYFUNCTION("GOOGLETRANSLATE(A4788,""bn"",""en"")"),"Sorry I don't have the certificate")</f>
        <v>Sorry I don't have the certificate</v>
      </c>
      <c r="C4788" s="8" t="s">
        <v>13</v>
      </c>
      <c r="D4788" s="8" t="s">
        <v>14</v>
      </c>
      <c r="E4788" s="8">
        <v>1</v>
      </c>
    </row>
    <row r="4789" spans="1:5" ht="15.75" customHeight="1" x14ac:dyDescent="0.25">
      <c r="A4789" s="6" t="s">
        <v>4685</v>
      </c>
      <c r="B4789" s="6" t="str">
        <f ca="1">IFERROR(__xludf.DUMMYFUNCTION("GOOGLETRANSLATE(A4789,""bn"",""en"")"),"The rate at which the prices of goods are constantly increasing, the common people are not able to manage their families properly")</f>
        <v>The rate at which the prices of goods are constantly increasing, the common people are not able to manage their families properly</v>
      </c>
      <c r="C4789" s="8" t="s">
        <v>13</v>
      </c>
      <c r="D4789" s="8" t="s">
        <v>14</v>
      </c>
      <c r="E4789" s="8">
        <v>1</v>
      </c>
    </row>
    <row r="4790" spans="1:5" ht="15.75" customHeight="1" x14ac:dyDescent="0.25">
      <c r="A4790" s="6" t="s">
        <v>4686</v>
      </c>
      <c r="B4790" s="6" t="str">
        <f ca="1">IFERROR(__xludf.DUMMYFUNCTION("GOOGLETRANSLATE(A4790,""bn"",""en"")"),"Practice Patience Persistence Good things take time to manifest so don't give up on your dreams")</f>
        <v>Practice Patience Persistence Good things take time to manifest so don't give up on your dreams</v>
      </c>
      <c r="C4790" s="8" t="s">
        <v>13</v>
      </c>
      <c r="D4790" s="8" t="s">
        <v>14</v>
      </c>
      <c r="E4790" s="8">
        <v>1</v>
      </c>
    </row>
    <row r="4791" spans="1:5" ht="15.75" customHeight="1" x14ac:dyDescent="0.25">
      <c r="A4791" s="6" t="s">
        <v>4687</v>
      </c>
      <c r="B4791" s="6" t="str">
        <f ca="1">IFERROR(__xludf.DUMMYFUNCTION("GOOGLETRANSLATE(A4791,""bn"",""en"")"),"In addition to increasing feelings of calmness, it awakens the heart")</f>
        <v>In addition to increasing feelings of calmness, it awakens the heart</v>
      </c>
      <c r="C4791" s="8" t="s">
        <v>13</v>
      </c>
      <c r="D4791" s="8" t="s">
        <v>14</v>
      </c>
      <c r="E4791" s="8">
        <v>1</v>
      </c>
    </row>
    <row r="4792" spans="1:5" ht="15.75" customHeight="1" x14ac:dyDescent="0.25">
      <c r="A4792" s="6" t="s">
        <v>4688</v>
      </c>
      <c r="B4792" s="6" t="str">
        <f ca="1">IFERROR(__xludf.DUMMYFUNCTION("GOOGLETRANSLATE(A4792,""bn"",""en"")"),"We entered there together")</f>
        <v>We entered there together</v>
      </c>
      <c r="C4792" s="7" t="s">
        <v>6</v>
      </c>
      <c r="D4792" s="7" t="s">
        <v>7</v>
      </c>
      <c r="E4792" s="7">
        <v>0</v>
      </c>
    </row>
    <row r="4793" spans="1:5" ht="15.75" customHeight="1" x14ac:dyDescent="0.25">
      <c r="A4793" s="6" t="s">
        <v>4689</v>
      </c>
      <c r="B4793" s="6" t="str">
        <f ca="1">IFERROR(__xludf.DUMMYFUNCTION("GOOGLETRANSLATE(A4793,""bn"",""en"")"),"Sumi I will go traveling")</f>
        <v>Sumi I will go traveling</v>
      </c>
      <c r="C4793" s="7" t="s">
        <v>6</v>
      </c>
      <c r="D4793" s="7" t="s">
        <v>7</v>
      </c>
      <c r="E4793" s="7">
        <v>0</v>
      </c>
    </row>
    <row r="4794" spans="1:5" ht="15.75" customHeight="1" x14ac:dyDescent="0.25">
      <c r="A4794" s="6" t="s">
        <v>4690</v>
      </c>
      <c r="B4794" s="6" t="str">
        <f ca="1">IFERROR(__xludf.DUMMYFUNCTION("GOOGLETRANSLATE(A4794,""bn"",""en"")"),"Sajib told Suman about me")</f>
        <v>Sajib told Suman about me</v>
      </c>
      <c r="C4794" s="7" t="s">
        <v>6</v>
      </c>
      <c r="D4794" s="7" t="s">
        <v>7</v>
      </c>
      <c r="E4794" s="7">
        <v>0</v>
      </c>
    </row>
    <row r="4795" spans="1:5" ht="15.75" customHeight="1" x14ac:dyDescent="0.25">
      <c r="A4795" s="6" t="s">
        <v>4691</v>
      </c>
      <c r="B4795" s="6" t="str">
        <f ca="1">IFERROR(__xludf.DUMMYFUNCTION("GOOGLETRANSLATE(A4795,""bn"",""en"")"),"This is the settlement of his birth")</f>
        <v>This is the settlement of his birth</v>
      </c>
      <c r="C4795" s="7" t="s">
        <v>6</v>
      </c>
      <c r="D4795" s="7" t="s">
        <v>7</v>
      </c>
      <c r="E4795" s="7">
        <v>0</v>
      </c>
    </row>
    <row r="4796" spans="1:5" ht="15.75" customHeight="1" x14ac:dyDescent="0.25">
      <c r="A4796" s="6" t="s">
        <v>4692</v>
      </c>
      <c r="B4796" s="6" t="str">
        <f ca="1">IFERROR(__xludf.DUMMYFUNCTION("GOOGLETRANSLATE(A4796,""bn"",""en"")"),"Ruma asked me to sit near her")</f>
        <v>Ruma asked me to sit near her</v>
      </c>
      <c r="C4796" s="7" t="s">
        <v>6</v>
      </c>
      <c r="D4796" s="7" t="s">
        <v>7</v>
      </c>
      <c r="E4796" s="7">
        <v>0</v>
      </c>
    </row>
    <row r="4797" spans="1:5" ht="15.75" customHeight="1" x14ac:dyDescent="0.25">
      <c r="A4797" s="6" t="s">
        <v>4693</v>
      </c>
      <c r="B4797" s="6" t="str">
        <f ca="1">IFERROR(__xludf.DUMMYFUNCTION("GOOGLETRANSLATE(A4797,""bn"",""en"")"),"Yar means friend in Bengali language")</f>
        <v>Yar means friend in Bengali language</v>
      </c>
      <c r="C4797" s="8" t="s">
        <v>13</v>
      </c>
      <c r="D4797" s="8" t="s">
        <v>14</v>
      </c>
      <c r="E4797" s="8">
        <v>1</v>
      </c>
    </row>
    <row r="4798" spans="1:5" ht="15.75" customHeight="1" x14ac:dyDescent="0.25">
      <c r="A4798" s="6" t="s">
        <v>4694</v>
      </c>
      <c r="B4798" s="6" t="str">
        <f ca="1">IFERROR(__xludf.DUMMYFUNCTION("GOOGLETRANSLATE(A4798,""bn"",""en"")"),"The birds sang beautifully in the morning")</f>
        <v>The birds sang beautifully in the morning</v>
      </c>
      <c r="C4798" s="8" t="s">
        <v>13</v>
      </c>
      <c r="D4798" s="8" t="s">
        <v>14</v>
      </c>
      <c r="E4798" s="8">
        <v>1</v>
      </c>
    </row>
    <row r="4799" spans="1:5" ht="15.75" customHeight="1" x14ac:dyDescent="0.25">
      <c r="A4799" s="6" t="s">
        <v>4695</v>
      </c>
      <c r="B4799" s="6" t="str">
        <f ca="1">IFERROR(__xludf.DUMMYFUNCTION("GOOGLETRANSLATE(A4799,""bn"",""en"")"),"Sujan gave us food")</f>
        <v>Sujan gave us food</v>
      </c>
      <c r="C4799" s="8" t="s">
        <v>13</v>
      </c>
      <c r="D4799" s="8" t="s">
        <v>14</v>
      </c>
      <c r="E4799" s="8">
        <v>1</v>
      </c>
    </row>
    <row r="4800" spans="1:5" ht="15.75" customHeight="1" x14ac:dyDescent="0.25">
      <c r="A4800" s="6" t="s">
        <v>4696</v>
      </c>
      <c r="B4800" s="6" t="str">
        <f ca="1">IFERROR(__xludf.DUMMYFUNCTION("GOOGLETRANSLATE(A4800,""bn"",""en"")"),"Atonement in one word")</f>
        <v>Atonement in one word</v>
      </c>
      <c r="C4800" s="8" t="s">
        <v>13</v>
      </c>
      <c r="D4800" s="8" t="s">
        <v>14</v>
      </c>
      <c r="E4800" s="8">
        <v>1</v>
      </c>
    </row>
    <row r="4801" spans="1:5" ht="15.75" customHeight="1" x14ac:dyDescent="0.25">
      <c r="A4801" s="6" t="s">
        <v>4697</v>
      </c>
      <c r="B4801" s="6" t="str">
        <f ca="1">IFERROR(__xludf.DUMMYFUNCTION("GOOGLETRANSLATE(A4801,""bn"",""en"")"),"He motivated me to get the job done")</f>
        <v>He motivated me to get the job done</v>
      </c>
      <c r="C4801" s="8" t="s">
        <v>13</v>
      </c>
      <c r="D4801" s="8" t="s">
        <v>14</v>
      </c>
      <c r="E4801" s="8">
        <v>1</v>
      </c>
    </row>
    <row r="4802" spans="1:5" ht="15.75" customHeight="1" x14ac:dyDescent="0.25">
      <c r="A4802" s="6" t="s">
        <v>4698</v>
      </c>
      <c r="B4802" s="6" t="str">
        <f ca="1">IFERROR(__xludf.DUMMYFUNCTION("GOOGLETRANSLATE(A4802,""bn"",""en"")"),"Surbala had by now climbed up with Behari Diwakar with the help of light")</f>
        <v>Surbala had by now climbed up with Behari Diwakar with the help of light</v>
      </c>
      <c r="C4802" s="7" t="s">
        <v>6</v>
      </c>
      <c r="D4802" s="7" t="s">
        <v>7</v>
      </c>
      <c r="E4802" s="7">
        <v>0</v>
      </c>
    </row>
    <row r="4803" spans="1:5" ht="15.75" customHeight="1" x14ac:dyDescent="0.25">
      <c r="A4803" s="6" t="s">
        <v>4699</v>
      </c>
      <c r="B4803" s="6" t="str">
        <f ca="1">IFERROR(__xludf.DUMMYFUNCTION("GOOGLETRANSLATE(A4803,""bn"",""en"")"),"My mother is my dearest person in this world")</f>
        <v>My mother is my dearest person in this world</v>
      </c>
      <c r="C4803" s="7" t="s">
        <v>6</v>
      </c>
      <c r="D4803" s="7" t="s">
        <v>7</v>
      </c>
      <c r="E4803" s="7">
        <v>0</v>
      </c>
    </row>
    <row r="4804" spans="1:5" ht="15.75" customHeight="1" x14ac:dyDescent="0.25">
      <c r="A4804" s="6" t="s">
        <v>4700</v>
      </c>
      <c r="B4804" s="6" t="str">
        <f ca="1">IFERROR(__xludf.DUMMYFUNCTION("GOOGLETRANSLATE(A4804,""bn"",""en"")"),"All are full of joy, giddy with joy, like radiant horses, all are restraining their body movements.")</f>
        <v>All are full of joy, giddy with joy, like radiant horses, all are restraining their body movements.</v>
      </c>
      <c r="C4804" s="7" t="s">
        <v>6</v>
      </c>
      <c r="D4804" s="7" t="s">
        <v>7</v>
      </c>
      <c r="E4804" s="7">
        <v>0</v>
      </c>
    </row>
    <row r="4805" spans="1:5" ht="15.75" customHeight="1" x14ac:dyDescent="0.25">
      <c r="A4805" s="6" t="s">
        <v>4701</v>
      </c>
      <c r="B4805" s="6" t="str">
        <f ca="1">IFERROR(__xludf.DUMMYFUNCTION("GOOGLETRANSLATE(A4805,""bn"",""en"")"),"The raw hair on Haru's head, the rough skin full of spring spots, burned and burned")</f>
        <v>The raw hair on Haru's head, the rough skin full of spring spots, burned and burned</v>
      </c>
      <c r="C4805" s="7" t="s">
        <v>6</v>
      </c>
      <c r="D4805" s="7" t="s">
        <v>7</v>
      </c>
      <c r="E4805" s="7">
        <v>0</v>
      </c>
    </row>
    <row r="4806" spans="1:5" ht="15.75" customHeight="1" x14ac:dyDescent="0.25">
      <c r="A4806" s="6" t="s">
        <v>4702</v>
      </c>
      <c r="B4806" s="6" t="str">
        <f ca="1">IFERROR(__xludf.DUMMYFUNCTION("GOOGLETRANSLATE(A4806,""bn"",""en"")"),"I asked him how his mother was")</f>
        <v>I asked him how his mother was</v>
      </c>
      <c r="C4806" s="7" t="s">
        <v>6</v>
      </c>
      <c r="D4806" s="7" t="s">
        <v>7</v>
      </c>
      <c r="E4806" s="7">
        <v>0</v>
      </c>
    </row>
    <row r="4807" spans="1:5" ht="15.75" customHeight="1" x14ac:dyDescent="0.25">
      <c r="A4807" s="6" t="s">
        <v>4703</v>
      </c>
      <c r="B4807" s="6" t="str">
        <f ca="1">IFERROR(__xludf.DUMMYFUNCTION("GOOGLETRANSLATE(A4807,""bn"",""en"")"),"Rumi was listening intently to Suma")</f>
        <v>Rumi was listening intently to Suma</v>
      </c>
      <c r="C4807" s="8" t="s">
        <v>13</v>
      </c>
      <c r="D4807" s="8" t="s">
        <v>14</v>
      </c>
      <c r="E4807" s="8">
        <v>1</v>
      </c>
    </row>
    <row r="4808" spans="1:5" ht="15.75" customHeight="1" x14ac:dyDescent="0.25">
      <c r="A4808" s="6" t="s">
        <v>4704</v>
      </c>
      <c r="B4808" s="6" t="str">
        <f ca="1">IFERROR(__xludf.DUMMYFUNCTION("GOOGLETRANSLATE(A4808,""bn"",""en"")"),"He continues to tempt mankind in the false path of sin")</f>
        <v>He continues to tempt mankind in the false path of sin</v>
      </c>
      <c r="C4808" s="8" t="s">
        <v>13</v>
      </c>
      <c r="D4808" s="8" t="s">
        <v>14</v>
      </c>
      <c r="E4808" s="8">
        <v>1</v>
      </c>
    </row>
    <row r="4809" spans="1:5" ht="15.75" customHeight="1" x14ac:dyDescent="0.25">
      <c r="A4809" s="6" t="s">
        <v>4705</v>
      </c>
      <c r="B4809" s="6" t="str">
        <f ca="1">IFERROR(__xludf.DUMMYFUNCTION("GOOGLETRANSLATE(A4809,""bn"",""en"")"),"This is basically an improved version of the outstanding Cyrus SR")</f>
        <v>This is basically an improved version of the outstanding Cyrus SR</v>
      </c>
      <c r="C4809" s="8" t="s">
        <v>13</v>
      </c>
      <c r="D4809" s="8" t="s">
        <v>14</v>
      </c>
      <c r="E4809" s="8">
        <v>1</v>
      </c>
    </row>
    <row r="4810" spans="1:5" ht="15.75" customHeight="1" x14ac:dyDescent="0.25">
      <c r="A4810" s="6" t="s">
        <v>4706</v>
      </c>
      <c r="B4810" s="6" t="str">
        <f ca="1">IFERROR(__xludf.DUMMYFUNCTION("GOOGLETRANSLATE(A4810,""bn"",""en"")"),"A sincere apology can heal old wounds")</f>
        <v>A sincere apology can heal old wounds</v>
      </c>
      <c r="C4810" s="8" t="s">
        <v>13</v>
      </c>
      <c r="D4810" s="8" t="s">
        <v>14</v>
      </c>
      <c r="E4810" s="8">
        <v>1</v>
      </c>
    </row>
    <row r="4811" spans="1:5" ht="15.75" customHeight="1" x14ac:dyDescent="0.25">
      <c r="A4811" s="6" t="s">
        <v>4707</v>
      </c>
      <c r="B4811" s="6" t="str">
        <f ca="1">IFERROR(__xludf.DUMMYFUNCTION("GOOGLETRANSLATE(A4811,""bn"",""en"")"),"Effective communication skills are important in educational settings")</f>
        <v>Effective communication skills are important in educational settings</v>
      </c>
      <c r="C4811" s="8" t="s">
        <v>13</v>
      </c>
      <c r="D4811" s="8" t="s">
        <v>14</v>
      </c>
      <c r="E4811" s="8">
        <v>1</v>
      </c>
    </row>
    <row r="4812" spans="1:5" ht="15.75" customHeight="1" x14ac:dyDescent="0.25">
      <c r="A4812" s="6" t="s">
        <v>4708</v>
      </c>
      <c r="B4812" s="6" t="str">
        <f ca="1">IFERROR(__xludf.DUMMYFUNCTION("GOOGLETRANSLATE(A4812,""bn"",""en"")"),"He came to my house and was present")</f>
        <v>He came to my house and was present</v>
      </c>
      <c r="C4812" s="7" t="s">
        <v>6</v>
      </c>
      <c r="D4812" s="7" t="s">
        <v>7</v>
      </c>
      <c r="E4812" s="7">
        <v>0</v>
      </c>
    </row>
    <row r="4813" spans="1:5" ht="15.75" customHeight="1" x14ac:dyDescent="0.25">
      <c r="A4813" s="6" t="s">
        <v>4709</v>
      </c>
      <c r="B4813" s="6" t="str">
        <f ca="1">IFERROR(__xludf.DUMMYFUNCTION("GOOGLETRANSLATE(A4813,""bn"",""en"")"),"I said that I thought Rambha does not grow in this region")</f>
        <v>I said that I thought Rambha does not grow in this region</v>
      </c>
      <c r="C4813" s="7" t="s">
        <v>6</v>
      </c>
      <c r="D4813" s="7" t="s">
        <v>7</v>
      </c>
      <c r="E4813" s="7">
        <v>0</v>
      </c>
    </row>
    <row r="4814" spans="1:5" ht="15.75" customHeight="1" x14ac:dyDescent="0.25">
      <c r="A4814" s="6" t="s">
        <v>4710</v>
      </c>
      <c r="B4814" s="6" t="str">
        <f ca="1">IFERROR(__xludf.DUMMYFUNCTION("GOOGLETRANSLATE(A4814,""bn"",""en"")"),"He replied that bananas are not available in the market here")</f>
        <v>He replied that bananas are not available in the market here</v>
      </c>
      <c r="C4814" s="7" t="s">
        <v>6</v>
      </c>
      <c r="D4814" s="7" t="s">
        <v>7</v>
      </c>
      <c r="E4814" s="7">
        <v>0</v>
      </c>
    </row>
    <row r="4815" spans="1:5" ht="15.75" customHeight="1" x14ac:dyDescent="0.25">
      <c r="A4815" s="6" t="s">
        <v>4711</v>
      </c>
      <c r="B4815" s="6" t="str">
        <f ca="1">IFERROR(__xludf.DUMMYFUNCTION("GOOGLETRANSLATE(A4815,""bn"",""en"")"),"Under Akbar and his son Jahangir, economic progress in India advanced greatly")</f>
        <v>Under Akbar and his son Jahangir, economic progress in India advanced greatly</v>
      </c>
      <c r="C4815" s="7" t="s">
        <v>6</v>
      </c>
      <c r="D4815" s="7" t="s">
        <v>7</v>
      </c>
      <c r="E4815" s="7">
        <v>0</v>
      </c>
    </row>
    <row r="4816" spans="1:5" ht="15.75" customHeight="1" x14ac:dyDescent="0.25">
      <c r="A4816" s="6" t="s">
        <v>4712</v>
      </c>
      <c r="B4816" s="6" t="str">
        <f ca="1">IFERROR(__xludf.DUMMYFUNCTION("GOOGLETRANSLATE(A4816,""bn"",""en"")"),"That song started playing in his mind with the tune of Baul")</f>
        <v>That song started playing in his mind with the tune of Baul</v>
      </c>
      <c r="C4816" s="7" t="s">
        <v>6</v>
      </c>
      <c r="D4816" s="7" t="s">
        <v>7</v>
      </c>
      <c r="E4816" s="7">
        <v>0</v>
      </c>
    </row>
    <row r="4817" spans="1:5" ht="15.75" customHeight="1" x14ac:dyDescent="0.25">
      <c r="A4817" s="6" t="s">
        <v>4713</v>
      </c>
      <c r="B4817" s="6" t="str">
        <f ca="1">IFERROR(__xludf.DUMMYFUNCTION("GOOGLETRANSLATE(A4817,""bn"",""en"")"),"Death He died in Dhaka in February")</f>
        <v>Death He died in Dhaka in February</v>
      </c>
      <c r="C4817" s="8" t="s">
        <v>13</v>
      </c>
      <c r="D4817" s="8" t="s">
        <v>14</v>
      </c>
      <c r="E4817" s="8">
        <v>1</v>
      </c>
    </row>
    <row r="4818" spans="1:5" ht="15.75" customHeight="1" x14ac:dyDescent="0.25">
      <c r="A4818" s="6" t="s">
        <v>4714</v>
      </c>
      <c r="B4818" s="6" t="str">
        <f ca="1">IFERROR(__xludf.DUMMYFUNCTION("GOOGLETRANSLATE(A4818,""bn"",""en"")"),"Armin gives him t sleeping tablets pain killers lots of alcohol")</f>
        <v>Armin gives him t sleeping tablets pain killers lots of alcohol</v>
      </c>
      <c r="C4818" s="8" t="s">
        <v>13</v>
      </c>
      <c r="D4818" s="8" t="s">
        <v>14</v>
      </c>
      <c r="E4818" s="8">
        <v>1</v>
      </c>
    </row>
    <row r="4819" spans="1:5" ht="15.75" customHeight="1" x14ac:dyDescent="0.25">
      <c r="A4819" s="6" t="s">
        <v>4715</v>
      </c>
      <c r="B4819" s="6" t="str">
        <f ca="1">IFERROR(__xludf.DUMMYFUNCTION("GOOGLETRANSLATE(A4819,""bn"",""en"")"),"He celebrated the goal with his trademark somersault dance")</f>
        <v>He celebrated the goal with his trademark somersault dance</v>
      </c>
      <c r="C4819" s="8" t="s">
        <v>13</v>
      </c>
      <c r="D4819" s="8" t="s">
        <v>14</v>
      </c>
      <c r="E4819" s="8">
        <v>1</v>
      </c>
    </row>
    <row r="4820" spans="1:5" ht="15.75" customHeight="1" x14ac:dyDescent="0.25">
      <c r="A4820" s="6" t="s">
        <v>4716</v>
      </c>
      <c r="B4820" s="6" t="str">
        <f ca="1">IFERROR(__xludf.DUMMYFUNCTION("GOOGLETRANSLATE(A4820,""bn"",""en"")"),"Moreover the yield is also good")</f>
        <v>Moreover the yield is also good</v>
      </c>
      <c r="C4820" s="8" t="s">
        <v>13</v>
      </c>
      <c r="D4820" s="8" t="s">
        <v>14</v>
      </c>
      <c r="E4820" s="8">
        <v>1</v>
      </c>
    </row>
    <row r="4821" spans="1:5" ht="15.75" customHeight="1" x14ac:dyDescent="0.25">
      <c r="A4821" s="6" t="s">
        <v>4717</v>
      </c>
      <c r="B4821" s="6" t="str">
        <f ca="1">IFERROR(__xludf.DUMMYFUNCTION("GOOGLETRANSLATE(A4821,""bn"",""en"")"),"Their amazement is the same as the height")</f>
        <v>Their amazement is the same as the height</v>
      </c>
      <c r="C4821" s="8" t="s">
        <v>13</v>
      </c>
      <c r="D4821" s="8" t="s">
        <v>14</v>
      </c>
      <c r="E4821" s="8">
        <v>1</v>
      </c>
    </row>
    <row r="4822" spans="1:5" ht="15.75" customHeight="1" x14ac:dyDescent="0.25">
      <c r="A4822" s="6" t="s">
        <v>4718</v>
      </c>
      <c r="B4822" s="6" t="str">
        <f ca="1">IFERROR(__xludf.DUMMYFUNCTION("GOOGLETRANSLATE(A4822,""bn"",""en"")"),"Now Rahim will go to sleep at home")</f>
        <v>Now Rahim will go to sleep at home</v>
      </c>
      <c r="C4822" s="7" t="s">
        <v>6</v>
      </c>
      <c r="D4822" s="7" t="s">
        <v>7</v>
      </c>
      <c r="E4822" s="7">
        <v>0</v>
      </c>
    </row>
    <row r="4823" spans="1:5" ht="15.75" customHeight="1" x14ac:dyDescent="0.25">
      <c r="A4823" s="6" t="s">
        <v>4719</v>
      </c>
      <c r="B4823" s="6" t="str">
        <f ca="1">IFERROR(__xludf.DUMMYFUNCTION("GOOGLETRANSLATE(A4823,""bn"",""en"")"),"Various strange sounds were coming from that deep forest")</f>
        <v>Various strange sounds were coming from that deep forest</v>
      </c>
      <c r="C4823" s="7" t="s">
        <v>6</v>
      </c>
      <c r="D4823" s="7" t="s">
        <v>7</v>
      </c>
      <c r="E4823" s="7">
        <v>0</v>
      </c>
    </row>
    <row r="4824" spans="1:5" ht="15.75" customHeight="1" x14ac:dyDescent="0.25">
      <c r="A4824" s="6" t="s">
        <v>4720</v>
      </c>
      <c r="B4824" s="6" t="str">
        <f ca="1">IFERROR(__xludf.DUMMYFUNCTION("GOOGLETRANSLATE(A4824,""bn"",""en"")"),"Shashi silently listened to their conversation for a long time")</f>
        <v>Shashi silently listened to their conversation for a long time</v>
      </c>
      <c r="C4824" s="7" t="s">
        <v>6</v>
      </c>
      <c r="D4824" s="7" t="s">
        <v>7</v>
      </c>
      <c r="E4824" s="7">
        <v>0</v>
      </c>
    </row>
    <row r="4825" spans="1:5" ht="15.75" customHeight="1" x14ac:dyDescent="0.25">
      <c r="A4825" s="6" t="s">
        <v>4721</v>
      </c>
      <c r="B4825" s="6" t="str">
        <f ca="1">IFERROR(__xludf.DUMMYFUNCTION("GOOGLETRANSLATE(A4825,""bn"",""en"")"),"Kiran was startled by the sudden opening of the door and looked up")</f>
        <v>Kiran was startled by the sudden opening of the door and looked up</v>
      </c>
      <c r="C4825" s="7" t="s">
        <v>6</v>
      </c>
      <c r="D4825" s="7" t="s">
        <v>7</v>
      </c>
      <c r="E4825" s="7">
        <v>0</v>
      </c>
    </row>
    <row r="4826" spans="1:5" ht="15.75" customHeight="1" x14ac:dyDescent="0.25">
      <c r="A4826" s="6" t="s">
        <v>4722</v>
      </c>
      <c r="B4826" s="6" t="str">
        <f ca="1">IFERROR(__xludf.DUMMYFUNCTION("GOOGLETRANSLATE(A4826,""bn"",""en"")"),"Read my Palamau tourism written in Bangdarshan")</f>
        <v>Read my Palamau tourism written in Bangdarshan</v>
      </c>
      <c r="C4826" s="7" t="s">
        <v>6</v>
      </c>
      <c r="D4826" s="7" t="s">
        <v>7</v>
      </c>
      <c r="E4826" s="7">
        <v>0</v>
      </c>
    </row>
    <row r="4827" spans="1:5" ht="15.75" customHeight="1" x14ac:dyDescent="0.25">
      <c r="A4827" s="6" t="s">
        <v>4723</v>
      </c>
      <c r="B4827" s="6" t="str">
        <f ca="1">IFERROR(__xludf.DUMMYFUNCTION("GOOGLETRANSLATE(A4827,""bn"",""en"")"),"Being appreciated for my talent makes me proud")</f>
        <v>Being appreciated for my talent makes me proud</v>
      </c>
      <c r="C4827" s="8" t="s">
        <v>13</v>
      </c>
      <c r="D4827" s="8" t="s">
        <v>14</v>
      </c>
      <c r="E4827" s="8">
        <v>1</v>
      </c>
    </row>
    <row r="4828" spans="1:5" ht="15.75" customHeight="1" x14ac:dyDescent="0.25">
      <c r="A4828" s="6" t="s">
        <v>4724</v>
      </c>
      <c r="B4828" s="6" t="str">
        <f ca="1">IFERROR(__xludf.DUMMYFUNCTION("GOOGLETRANSLATE(A4828,""bn"",""en"")"),"Pedestrian crosswalks are there for a reason. Always yield to pedestrians")</f>
        <v>Pedestrian crosswalks are there for a reason. Always yield to pedestrians</v>
      </c>
      <c r="C4828" s="8" t="s">
        <v>13</v>
      </c>
      <c r="D4828" s="8" t="s">
        <v>14</v>
      </c>
      <c r="E4828" s="8">
        <v>1</v>
      </c>
    </row>
    <row r="4829" spans="1:5" ht="15.75" customHeight="1" x14ac:dyDescent="0.25">
      <c r="A4829" s="6" t="s">
        <v>4725</v>
      </c>
      <c r="B4829" s="6" t="str">
        <f ca="1">IFERROR(__xludf.DUMMYFUNCTION("GOOGLETRANSLATE(A4829,""bn"",""en"")"),"The first team was led by the freedom fighter Geaske")</f>
        <v>The first team was led by the freedom fighter Geaske</v>
      </c>
      <c r="C4829" s="8" t="s">
        <v>13</v>
      </c>
      <c r="D4829" s="8" t="s">
        <v>14</v>
      </c>
      <c r="E4829" s="8">
        <v>1</v>
      </c>
    </row>
    <row r="4830" spans="1:5" ht="15.75" customHeight="1" x14ac:dyDescent="0.25">
      <c r="A4830" s="6" t="s">
        <v>4726</v>
      </c>
      <c r="B4830" s="6" t="str">
        <f ca="1">IFERROR(__xludf.DUMMYFUNCTION("GOOGLETRANSLATE(A4830,""bn"",""en"")"),"After that, we would discuss and analyze the news")</f>
        <v>After that, we would discuss and analyze the news</v>
      </c>
      <c r="C4830" s="8" t="s">
        <v>13</v>
      </c>
      <c r="D4830" s="8" t="s">
        <v>14</v>
      </c>
      <c r="E4830" s="8">
        <v>1</v>
      </c>
    </row>
    <row r="4831" spans="1:5" ht="15.75" customHeight="1" x14ac:dyDescent="0.25">
      <c r="A4831" s="6" t="s">
        <v>4727</v>
      </c>
      <c r="B4831" s="6" t="str">
        <f ca="1">IFERROR(__xludf.DUMMYFUNCTION("GOOGLETRANSLATE(A4831,""bn"",""en"")"),"Saheed came to see me")</f>
        <v>Saheed came to see me</v>
      </c>
      <c r="C4831" s="8" t="s">
        <v>13</v>
      </c>
      <c r="D4831" s="8" t="s">
        <v>14</v>
      </c>
      <c r="E4831" s="8">
        <v>1</v>
      </c>
    </row>
    <row r="4832" spans="1:5" ht="15.75" customHeight="1" x14ac:dyDescent="0.25">
      <c r="A4832" s="6" t="s">
        <v>4728</v>
      </c>
      <c r="B4832" s="6" t="str">
        <f ca="1">IFERROR(__xludf.DUMMYFUNCTION("GOOGLETRANSLATE(A4832,""bn"",""en"")"),"Being very hardworking, they do all the housework, agricultural work, men just sit like women, take care of the children and sometimes weave mats.")</f>
        <v>Being very hardworking, they do all the housework, agricultural work, men just sit like women, take care of the children and sometimes weave mats.</v>
      </c>
      <c r="C4832" s="7" t="s">
        <v>6</v>
      </c>
      <c r="D4832" s="7" t="s">
        <v>7</v>
      </c>
      <c r="E4832" s="7">
        <v>0</v>
      </c>
    </row>
    <row r="4833" spans="1:5" ht="15.75" customHeight="1" x14ac:dyDescent="0.25">
      <c r="A4833" s="6" t="s">
        <v>3397</v>
      </c>
      <c r="B4833" s="6" t="str">
        <f ca="1">IFERROR(__xludf.DUMMYFUNCTION("GOOGLETRANSLATE(A4833,""bn"",""en"")"),"Many of the soldier men are afraid of your shadow while going to the battlefield in the dark")</f>
        <v>Many of the soldier men are afraid of your shadow while going to the battlefield in the dark</v>
      </c>
      <c r="C4833" s="7" t="s">
        <v>6</v>
      </c>
      <c r="D4833" s="7" t="s">
        <v>7</v>
      </c>
      <c r="E4833" s="7">
        <v>0</v>
      </c>
    </row>
    <row r="4834" spans="1:5" ht="15.75" customHeight="1" x14ac:dyDescent="0.25">
      <c r="A4834" s="6" t="s">
        <v>4729</v>
      </c>
      <c r="B4834" s="6" t="str">
        <f ca="1">IFERROR(__xludf.DUMMYFUNCTION("GOOGLETRANSLATE(A4834,""bn"",""en"")"),"Some believe some don't")</f>
        <v>Some believe some don't</v>
      </c>
      <c r="C4834" s="7" t="s">
        <v>6</v>
      </c>
      <c r="D4834" s="7" t="s">
        <v>7</v>
      </c>
      <c r="E4834" s="7">
        <v>0</v>
      </c>
    </row>
    <row r="4835" spans="1:5" ht="15.75" customHeight="1" x14ac:dyDescent="0.25">
      <c r="A4835" s="6" t="s">
        <v>4730</v>
      </c>
      <c r="B4835" s="6" t="str">
        <f ca="1">IFERROR(__xludf.DUMMYFUNCTION("GOOGLETRANSLATE(A4835,""bn"",""en"")"),"The girl will not know who took the doll")</f>
        <v>The girl will not know who took the doll</v>
      </c>
      <c r="C4835" s="7" t="s">
        <v>6</v>
      </c>
      <c r="D4835" s="7" t="s">
        <v>7</v>
      </c>
      <c r="E4835" s="7">
        <v>0</v>
      </c>
    </row>
    <row r="4836" spans="1:5" ht="15.75" customHeight="1" x14ac:dyDescent="0.25">
      <c r="A4836" s="6" t="s">
        <v>4731</v>
      </c>
      <c r="B4836" s="6" t="str">
        <f ca="1">IFERROR(__xludf.DUMMYFUNCTION("GOOGLETRANSLATE(A4836,""bn"",""en"")"),"On the way, on the eve of the evening, at a corner of a street in Darjipara, he suddenly heard a familiar voice behind him.")</f>
        <v>On the way, on the eve of the evening, at a corner of a street in Darjipara, he suddenly heard a familiar voice behind him.</v>
      </c>
      <c r="C4836" s="7" t="s">
        <v>6</v>
      </c>
      <c r="D4836" s="7" t="s">
        <v>7</v>
      </c>
      <c r="E4836" s="7">
        <v>0</v>
      </c>
    </row>
    <row r="4837" spans="1:5" ht="15.75" customHeight="1" x14ac:dyDescent="0.25">
      <c r="A4837" s="6" t="s">
        <v>4732</v>
      </c>
      <c r="B4837" s="6" t="str">
        <f ca="1">IFERROR(__xludf.DUMMYFUNCTION("GOOGLETRANSLATE(A4837,""bn"",""en"")"),"I asked him to wait for me he didn't")</f>
        <v>I asked him to wait for me he didn't</v>
      </c>
      <c r="C4837" s="8" t="s">
        <v>13</v>
      </c>
      <c r="D4837" s="8" t="s">
        <v>14</v>
      </c>
      <c r="E4837" s="8">
        <v>1</v>
      </c>
    </row>
    <row r="4838" spans="1:5" ht="15.75" customHeight="1" x14ac:dyDescent="0.25">
      <c r="A4838" s="6" t="s">
        <v>4733</v>
      </c>
      <c r="B4838" s="6" t="str">
        <f ca="1">IFERROR(__xludf.DUMMYFUNCTION("GOOGLETRANSLATE(A4838,""bn"",""en"")"),"I wanted to do your job")</f>
        <v>I wanted to do your job</v>
      </c>
      <c r="C4838" s="8" t="s">
        <v>13</v>
      </c>
      <c r="D4838" s="8" t="s">
        <v>14</v>
      </c>
      <c r="E4838" s="8">
        <v>1</v>
      </c>
    </row>
    <row r="4839" spans="1:5" ht="15.75" customHeight="1" x14ac:dyDescent="0.25">
      <c r="A4839" s="6" t="s">
        <v>4734</v>
      </c>
      <c r="B4839" s="6" t="str">
        <f ca="1">IFERROR(__xludf.DUMMYFUNCTION("GOOGLETRANSLATE(A4839,""bn"",""en"")"),"It is his best literary work in English")</f>
        <v>It is his best literary work in English</v>
      </c>
      <c r="C4839" s="8" t="s">
        <v>13</v>
      </c>
      <c r="D4839" s="8" t="s">
        <v>14</v>
      </c>
      <c r="E4839" s="8">
        <v>1</v>
      </c>
    </row>
    <row r="4840" spans="1:5" ht="15.75" customHeight="1" x14ac:dyDescent="0.25">
      <c r="A4840" s="6" t="s">
        <v>4735</v>
      </c>
      <c r="B4840" s="6" t="str">
        <f ca="1">IFERROR(__xludf.DUMMYFUNCTION("GOOGLETRANSLATE(A4840,""bn"",""en"")"),"did you come to my house")</f>
        <v>did you come to my house</v>
      </c>
      <c r="C4840" s="8" t="s">
        <v>13</v>
      </c>
      <c r="D4840" s="8" t="s">
        <v>14</v>
      </c>
      <c r="E4840" s="8">
        <v>1</v>
      </c>
    </row>
    <row r="4841" spans="1:5" ht="15.75" customHeight="1" x14ac:dyDescent="0.25">
      <c r="A4841" s="6" t="s">
        <v>4736</v>
      </c>
      <c r="B4841" s="6" t="str">
        <f ca="1">IFERROR(__xludf.DUMMYFUNCTION("GOOGLETRANSLATE(A4841,""bn"",""en"")"),"Within a few years of their establishment, they achieved massive success")</f>
        <v>Within a few years of their establishment, they achieved massive success</v>
      </c>
      <c r="C4841" s="8" t="s">
        <v>13</v>
      </c>
      <c r="D4841" s="8" t="s">
        <v>14</v>
      </c>
      <c r="E4841" s="8">
        <v>1</v>
      </c>
    </row>
    <row r="4842" spans="1:5" ht="15.75" customHeight="1" x14ac:dyDescent="0.25">
      <c r="A4842" s="6" t="s">
        <v>4559</v>
      </c>
      <c r="B4842" s="6" t="str">
        <f ca="1">IFERROR(__xludf.DUMMYFUNCTION("GOOGLETRANSLATE(A4842,""bn"",""en"")"),"Fatima did well in the exam")</f>
        <v>Fatima did well in the exam</v>
      </c>
      <c r="C4842" s="7" t="s">
        <v>6</v>
      </c>
      <c r="D4842" s="7" t="s">
        <v>7</v>
      </c>
      <c r="E4842" s="7">
        <v>0</v>
      </c>
    </row>
    <row r="4843" spans="1:5" ht="15.75" customHeight="1" x14ac:dyDescent="0.25">
      <c r="A4843" s="6" t="s">
        <v>4737</v>
      </c>
      <c r="B4843" s="6" t="str">
        <f ca="1">IFERROR(__xludf.DUMMYFUNCTION("GOOGLETRANSLATE(A4843,""bn"",""en"")"),"The father divided his property among his sons")</f>
        <v>The father divided his property among his sons</v>
      </c>
      <c r="C4843" s="7" t="s">
        <v>6</v>
      </c>
      <c r="D4843" s="7" t="s">
        <v>7</v>
      </c>
      <c r="E4843" s="7">
        <v>0</v>
      </c>
    </row>
    <row r="4844" spans="1:5" ht="15.75" customHeight="1" x14ac:dyDescent="0.25">
      <c r="A4844" s="6" t="s">
        <v>4738</v>
      </c>
      <c r="B4844" s="6" t="str">
        <f ca="1">IFERROR(__xludf.DUMMYFUNCTION("GOOGLETRANSLATE(A4844,""bn"",""en"")"),"He said that he did not know, and the former was inclined to take sap from the root")</f>
        <v>He said that he did not know, and the former was inclined to take sap from the root</v>
      </c>
      <c r="C4844" s="7" t="s">
        <v>6</v>
      </c>
      <c r="D4844" s="7" t="s">
        <v>7</v>
      </c>
      <c r="E4844" s="7">
        <v>0</v>
      </c>
    </row>
    <row r="4845" spans="1:5" ht="15.75" customHeight="1" x14ac:dyDescent="0.25">
      <c r="A4845" s="6" t="s">
        <v>4739</v>
      </c>
      <c r="B4845" s="6" t="str">
        <f ca="1">IFERROR(__xludf.DUMMYFUNCTION("GOOGLETRANSLATE(A4845,""bn"",""en"")"),"I will go with you to the market")</f>
        <v>I will go with you to the market</v>
      </c>
      <c r="C4845" s="7" t="s">
        <v>6</v>
      </c>
      <c r="D4845" s="7" t="s">
        <v>7</v>
      </c>
      <c r="E4845" s="7">
        <v>0</v>
      </c>
    </row>
    <row r="4846" spans="1:5" ht="15.75" customHeight="1" x14ac:dyDescent="0.25">
      <c r="A4846" s="6" t="s">
        <v>4740</v>
      </c>
      <c r="B4846" s="6" t="str">
        <f ca="1">IFERROR(__xludf.DUMMYFUNCTION("GOOGLETRANSLATE(A4846,""bn"",""en"")"),"I shouted again, the sound echoed from above and below the mountain")</f>
        <v>I shouted again, the sound echoed from above and below the mountain</v>
      </c>
      <c r="C4846" s="7" t="s">
        <v>6</v>
      </c>
      <c r="D4846" s="7" t="s">
        <v>7</v>
      </c>
      <c r="E4846" s="7">
        <v>0</v>
      </c>
    </row>
    <row r="4847" spans="1:5" ht="15.75" customHeight="1" x14ac:dyDescent="0.25">
      <c r="A4847" s="6" t="s">
        <v>4741</v>
      </c>
      <c r="B4847" s="6" t="str">
        <f ca="1">IFERROR(__xludf.DUMMYFUNCTION("GOOGLETRANSLATE(A4847,""bn"",""en"")"),"The fairy-looking teenage girl will tell him to come in")</f>
        <v>The fairy-looking teenage girl will tell him to come in</v>
      </c>
      <c r="C4847" s="8" t="s">
        <v>13</v>
      </c>
      <c r="D4847" s="8" t="s">
        <v>14</v>
      </c>
      <c r="E4847" s="8">
        <v>1</v>
      </c>
    </row>
    <row r="4848" spans="1:5" ht="15.75" customHeight="1" x14ac:dyDescent="0.25">
      <c r="A4848" s="6" t="s">
        <v>4742</v>
      </c>
      <c r="B4848" s="6" t="str">
        <f ca="1">IFERROR(__xludf.DUMMYFUNCTION("GOOGLETRANSLATE(A4848,""bn"",""en"")"),"I cherish my memories with my siblings")</f>
        <v>I cherish my memories with my siblings</v>
      </c>
      <c r="C4848" s="8" t="s">
        <v>13</v>
      </c>
      <c r="D4848" s="8" t="s">
        <v>14</v>
      </c>
      <c r="E4848" s="8">
        <v>1</v>
      </c>
    </row>
    <row r="4849" spans="1:5" ht="15.75" customHeight="1" x14ac:dyDescent="0.25">
      <c r="A4849" s="6" t="s">
        <v>4743</v>
      </c>
      <c r="B4849" s="6" t="str">
        <f ca="1">IFERROR(__xludf.DUMMYFUNCTION("GOOGLETRANSLATE(A4849,""bn"",""en"")"),"Retirement planning requires careful consideration of factors such as inflation and longevity")</f>
        <v>Retirement planning requires careful consideration of factors such as inflation and longevity</v>
      </c>
      <c r="C4849" s="8" t="s">
        <v>13</v>
      </c>
      <c r="D4849" s="8" t="s">
        <v>14</v>
      </c>
      <c r="E4849" s="8">
        <v>1</v>
      </c>
    </row>
    <row r="4850" spans="1:5" ht="15.75" customHeight="1" x14ac:dyDescent="0.25">
      <c r="A4850" s="6" t="s">
        <v>4744</v>
      </c>
      <c r="B4850" s="6" t="str">
        <f ca="1">IFERROR(__xludf.DUMMYFUNCTION("GOOGLETRANSLATE(A4850,""bn"",""en"")"),"Somatic death is the death of an organism as a whole")</f>
        <v>Somatic death is the death of an organism as a whole</v>
      </c>
      <c r="C4850" s="8" t="s">
        <v>13</v>
      </c>
      <c r="D4850" s="8" t="s">
        <v>14</v>
      </c>
      <c r="E4850" s="8">
        <v>1</v>
      </c>
    </row>
    <row r="4851" spans="1:5" ht="15.75" customHeight="1" x14ac:dyDescent="0.25">
      <c r="A4851" s="6" t="s">
        <v>4745</v>
      </c>
      <c r="B4851" s="6" t="str">
        <f ca="1">IFERROR(__xludf.DUMMYFUNCTION("GOOGLETRANSLATE(A4851,""bn"",""en"")"),"The king went to see the queen")</f>
        <v>The king went to see the queen</v>
      </c>
      <c r="C4851" s="8" t="s">
        <v>13</v>
      </c>
      <c r="D4851" s="8" t="s">
        <v>14</v>
      </c>
      <c r="E4851" s="8">
        <v>1</v>
      </c>
    </row>
    <row r="4852" spans="1:5" ht="15.75" customHeight="1" x14ac:dyDescent="0.25">
      <c r="A4852" s="6" t="s">
        <v>2405</v>
      </c>
      <c r="B4852" s="6" t="str">
        <f ca="1">IFERROR(__xludf.DUMMYFUNCTION("GOOGLETRANSLATE(A4852,""bn"",""en"")"),"He asked me to solve a question")</f>
        <v>He asked me to solve a question</v>
      </c>
      <c r="C4852" s="7" t="s">
        <v>6</v>
      </c>
      <c r="D4852" s="7" t="s">
        <v>7</v>
      </c>
      <c r="E4852" s="7">
        <v>0</v>
      </c>
    </row>
    <row r="4853" spans="1:5" ht="15.75" customHeight="1" x14ac:dyDescent="0.25">
      <c r="A4853" s="6" t="s">
        <v>4746</v>
      </c>
      <c r="B4853" s="6" t="str">
        <f ca="1">IFERROR(__xludf.DUMMYFUNCTION("GOOGLETRANSLATE(A4853,""bn"",""en"")"),"Heavy traffic from morning")</f>
        <v>Heavy traffic from morning</v>
      </c>
      <c r="C4853" s="7" t="s">
        <v>6</v>
      </c>
      <c r="D4853" s="7" t="s">
        <v>7</v>
      </c>
      <c r="E4853" s="7">
        <v>0</v>
      </c>
    </row>
    <row r="4854" spans="1:5" ht="15.75" customHeight="1" x14ac:dyDescent="0.25">
      <c r="A4854" s="6" t="s">
        <v>4747</v>
      </c>
      <c r="B4854" s="6" t="str">
        <f ca="1">IFERROR(__xludf.DUMMYFUNCTION("GOOGLETRANSLATE(A4854,""bn"",""en"")"),"No theory can be found")</f>
        <v>No theory can be found</v>
      </c>
      <c r="C4854" s="7" t="s">
        <v>6</v>
      </c>
      <c r="D4854" s="7" t="s">
        <v>7</v>
      </c>
      <c r="E4854" s="7">
        <v>0</v>
      </c>
    </row>
    <row r="4855" spans="1:5" ht="15.75" customHeight="1" x14ac:dyDescent="0.25">
      <c r="A4855" s="6" t="s">
        <v>4748</v>
      </c>
      <c r="B4855" s="6" t="str">
        <f ca="1">IFERROR(__xludf.DUMMYFUNCTION("GOOGLETRANSLATE(A4855,""bn"",""en"")"),"Many people suffer from this type of memory loss")</f>
        <v>Many people suffer from this type of memory loss</v>
      </c>
      <c r="C4855" s="7" t="s">
        <v>6</v>
      </c>
      <c r="D4855" s="7" t="s">
        <v>7</v>
      </c>
      <c r="E4855" s="7">
        <v>0</v>
      </c>
    </row>
    <row r="4856" spans="1:5" ht="15.75" customHeight="1" x14ac:dyDescent="0.25">
      <c r="A4856" s="6" t="s">
        <v>4749</v>
      </c>
      <c r="B4856" s="6" t="str">
        <f ca="1">IFERROR(__xludf.DUMMYFUNCTION("GOOGLETRANSLATE(A4856,""bn"",""en"")"),"Along with civilization comes the share of courage")</f>
        <v>Along with civilization comes the share of courage</v>
      </c>
      <c r="C4856" s="7" t="s">
        <v>6</v>
      </c>
      <c r="D4856" s="7" t="s">
        <v>7</v>
      </c>
      <c r="E4856" s="7">
        <v>0</v>
      </c>
    </row>
    <row r="4857" spans="1:5" ht="15.75" customHeight="1" x14ac:dyDescent="0.25">
      <c r="A4857" s="6" t="s">
        <v>4750</v>
      </c>
      <c r="B4857" s="6" t="str">
        <f ca="1">IFERROR(__xludf.DUMMYFUNCTION("GOOGLETRANSLATE(A4857,""bn"",""en"")"),"is this your mother")</f>
        <v>is this your mother</v>
      </c>
      <c r="C4857" s="8" t="s">
        <v>13</v>
      </c>
      <c r="D4857" s="8" t="s">
        <v>14</v>
      </c>
      <c r="E4857" s="8">
        <v>1</v>
      </c>
    </row>
    <row r="4858" spans="1:5" ht="15.75" customHeight="1" x14ac:dyDescent="0.25">
      <c r="A4858" s="6" t="s">
        <v>4751</v>
      </c>
      <c r="B4858" s="6" t="str">
        <f ca="1">IFERROR(__xludf.DUMMYFUNCTION("GOOGLETRANSLATE(A4858,""bn"",""en"")"),"Barwari Barwari refers to the public puja or festival of Bengali Hindus")</f>
        <v>Barwari Barwari refers to the public puja or festival of Bengali Hindus</v>
      </c>
      <c r="C4858" s="8" t="s">
        <v>13</v>
      </c>
      <c r="D4858" s="8" t="s">
        <v>14</v>
      </c>
      <c r="E4858" s="8">
        <v>1</v>
      </c>
    </row>
    <row r="4859" spans="1:5" ht="15.75" customHeight="1" x14ac:dyDescent="0.25">
      <c r="A4859" s="6" t="s">
        <v>4752</v>
      </c>
      <c r="B4859" s="6" t="str">
        <f ca="1">IFERROR(__xludf.DUMMYFUNCTION("GOOGLETRANSLATE(A4859,""bn"",""en"")"),"DEATH Professor Neelima Ibrahim passed away in June")</f>
        <v>DEATH Professor Neelima Ibrahim passed away in June</v>
      </c>
      <c r="C4859" s="8" t="s">
        <v>13</v>
      </c>
      <c r="D4859" s="8" t="s">
        <v>14</v>
      </c>
      <c r="E4859" s="8">
        <v>1</v>
      </c>
    </row>
    <row r="4860" spans="1:5" ht="15.75" customHeight="1" x14ac:dyDescent="0.25">
      <c r="A4860" s="6" t="s">
        <v>4753</v>
      </c>
      <c r="B4860" s="6" t="str">
        <f ca="1">IFERROR(__xludf.DUMMYFUNCTION("GOOGLETRANSLATE(A4860,""bn"",""en"")"),"The problem is that he is too shy to use the method")</f>
        <v>The problem is that he is too shy to use the method</v>
      </c>
      <c r="C4860" s="8" t="s">
        <v>13</v>
      </c>
      <c r="D4860" s="8" t="s">
        <v>14</v>
      </c>
      <c r="E4860" s="8">
        <v>1</v>
      </c>
    </row>
    <row r="4861" spans="1:5" ht="15.75" customHeight="1" x14ac:dyDescent="0.25">
      <c r="A4861" s="6" t="s">
        <v>4754</v>
      </c>
      <c r="B4861" s="6" t="str">
        <f ca="1">IFERROR(__xludf.DUMMYFUNCTION("GOOGLETRANSLATE(A4861,""bn"",""en"")"),"The transaction completed successfully after multiple attempts")</f>
        <v>The transaction completed successfully after multiple attempts</v>
      </c>
      <c r="C4861" s="8" t="s">
        <v>13</v>
      </c>
      <c r="D4861" s="8" t="s">
        <v>14</v>
      </c>
      <c r="E4861" s="8">
        <v>1</v>
      </c>
    </row>
    <row r="4862" spans="1:5" ht="15.75" customHeight="1" x14ac:dyDescent="0.25">
      <c r="A4862" s="6" t="s">
        <v>4755</v>
      </c>
      <c r="B4862" s="6" t="str">
        <f ca="1">IFERROR(__xludf.DUMMYFUNCTION("GOOGLETRANSLATE(A4862,""bn"",""en"")"),"Russell's mother works at home")</f>
        <v>Russell's mother works at home</v>
      </c>
      <c r="C4862" s="7" t="s">
        <v>6</v>
      </c>
      <c r="D4862" s="7" t="s">
        <v>7</v>
      </c>
      <c r="E4862" s="7">
        <v>0</v>
      </c>
    </row>
    <row r="4863" spans="1:5" ht="15.75" customHeight="1" x14ac:dyDescent="0.25">
      <c r="A4863" s="6" t="s">
        <v>4756</v>
      </c>
      <c r="B4863" s="6" t="str">
        <f ca="1">IFERROR(__xludf.DUMMYFUNCTION("GOOGLETRANSLATE(A4863,""bn"",""en"")"),"He told me he was very happy to receive my letter")</f>
        <v>He told me he was very happy to receive my letter</v>
      </c>
      <c r="C4863" s="7" t="s">
        <v>6</v>
      </c>
      <c r="D4863" s="7" t="s">
        <v>7</v>
      </c>
      <c r="E4863" s="7">
        <v>0</v>
      </c>
    </row>
    <row r="4864" spans="1:5" ht="15.75" customHeight="1" x14ac:dyDescent="0.25">
      <c r="A4864" s="6" t="s">
        <v>4757</v>
      </c>
      <c r="B4864" s="6" t="str">
        <f ca="1">IFERROR(__xludf.DUMMYFUNCTION("GOOGLETRANSLATE(A4864,""bn"",""en"")"),"Meena Rana is reading a book together")</f>
        <v>Meena Rana is reading a book together</v>
      </c>
      <c r="C4864" s="7" t="s">
        <v>6</v>
      </c>
      <c r="D4864" s="7" t="s">
        <v>7</v>
      </c>
      <c r="E4864" s="7">
        <v>0</v>
      </c>
    </row>
    <row r="4865" spans="1:5" ht="15.75" customHeight="1" x14ac:dyDescent="0.25">
      <c r="A4865" s="6" t="s">
        <v>579</v>
      </c>
      <c r="B4865" s="6" t="str">
        <f ca="1">IFERROR(__xludf.DUMMYFUNCTION("GOOGLETRANSLATE(A4865,""bn"",""en"")"),"I used to get restless when the chari played")</f>
        <v>I used to get restless when the chari played</v>
      </c>
      <c r="C4865" s="7" t="s">
        <v>6</v>
      </c>
      <c r="D4865" s="7" t="s">
        <v>7</v>
      </c>
      <c r="E4865" s="7">
        <v>0</v>
      </c>
    </row>
    <row r="4866" spans="1:5" ht="15.75" customHeight="1" x14ac:dyDescent="0.25">
      <c r="A4866" s="6" t="s">
        <v>4758</v>
      </c>
      <c r="B4866" s="6" t="str">
        <f ca="1">IFERROR(__xludf.DUMMYFUNCTION("GOOGLETRANSLATE(A4866,""bn"",""en"")"),"He did not have the courage to magnify any injustice towards the treatment of the stillborn child")</f>
        <v>He did not have the courage to magnify any injustice towards the treatment of the stillborn child</v>
      </c>
      <c r="C4866" s="7" t="s">
        <v>6</v>
      </c>
      <c r="D4866" s="7" t="s">
        <v>7</v>
      </c>
      <c r="E4866" s="7">
        <v>0</v>
      </c>
    </row>
    <row r="4867" spans="1:5" ht="15.75" customHeight="1" x14ac:dyDescent="0.25">
      <c r="A4867" s="6" t="s">
        <v>4759</v>
      </c>
      <c r="B4867" s="6" t="str">
        <f ca="1">IFERROR(__xludf.DUMMYFUNCTION("GOOGLETRANSLATE(A4867,""bn"",""en"")"),"Join a fitness class for variety")</f>
        <v>Join a fitness class for variety</v>
      </c>
      <c r="C4867" s="8" t="s">
        <v>13</v>
      </c>
      <c r="D4867" s="8" t="s">
        <v>14</v>
      </c>
      <c r="E4867" s="8">
        <v>1</v>
      </c>
    </row>
    <row r="4868" spans="1:5" ht="15.75" customHeight="1" x14ac:dyDescent="0.25">
      <c r="A4868" s="6" t="s">
        <v>4760</v>
      </c>
      <c r="B4868" s="6" t="str">
        <f ca="1">IFERROR(__xludf.DUMMYFUNCTION("GOOGLETRANSLATE(A4868,""bn"",""en"")"),"Rahim asked me about it")</f>
        <v>Rahim asked me about it</v>
      </c>
      <c r="C4868" s="8" t="s">
        <v>13</v>
      </c>
      <c r="D4868" s="8" t="s">
        <v>14</v>
      </c>
      <c r="E4868" s="8">
        <v>1</v>
      </c>
    </row>
    <row r="4869" spans="1:5" ht="15.75" customHeight="1" x14ac:dyDescent="0.25">
      <c r="A4869" s="6" t="s">
        <v>4761</v>
      </c>
      <c r="B4869" s="6" t="str">
        <f ca="1">IFERROR(__xludf.DUMMYFUNCTION("GOOGLETRANSLATE(A4869,""bn"",""en"")"),"I will go to the field and play cricket")</f>
        <v>I will go to the field and play cricket</v>
      </c>
      <c r="C4869" s="8" t="s">
        <v>13</v>
      </c>
      <c r="D4869" s="8" t="s">
        <v>14</v>
      </c>
      <c r="E4869" s="8">
        <v>1</v>
      </c>
    </row>
    <row r="4870" spans="1:5" ht="15.75" customHeight="1" x14ac:dyDescent="0.25">
      <c r="A4870" s="6" t="s">
        <v>4762</v>
      </c>
      <c r="B4870" s="6" t="str">
        <f ca="1">IFERROR(__xludf.DUMMYFUNCTION("GOOGLETRANSLATE(A4870,""bn"",""en"")"),"I accidentally duplicated the transaction by double clicking")</f>
        <v>I accidentally duplicated the transaction by double clicking</v>
      </c>
      <c r="C4870" s="8" t="s">
        <v>13</v>
      </c>
      <c r="D4870" s="8" t="s">
        <v>14</v>
      </c>
      <c r="E4870" s="8">
        <v>1</v>
      </c>
    </row>
    <row r="4871" spans="1:5" ht="15.75" customHeight="1" x14ac:dyDescent="0.25">
      <c r="A4871" s="6" t="s">
        <v>4763</v>
      </c>
      <c r="B4871" s="6" t="str">
        <f ca="1">IFERROR(__xludf.DUMMYFUNCTION("GOOGLETRANSLATE(A4871,""bn"",""en"")"),"The pharaohs believed that there was life after death")</f>
        <v>The pharaohs believed that there was life after death</v>
      </c>
      <c r="C4871" s="8" t="s">
        <v>13</v>
      </c>
      <c r="D4871" s="8" t="s">
        <v>14</v>
      </c>
      <c r="E4871" s="8">
        <v>1</v>
      </c>
    </row>
    <row r="4872" spans="1:5" ht="15.75" customHeight="1" x14ac:dyDescent="0.25">
      <c r="A4872" s="6" t="s">
        <v>4764</v>
      </c>
      <c r="B4872" s="6" t="str">
        <f ca="1">IFERROR(__xludf.DUMMYFUNCTION("GOOGLETRANSLATE(A4872,""bn"",""en"")"),"Now my mistake is cleared")</f>
        <v>Now my mistake is cleared</v>
      </c>
      <c r="C4872" s="7" t="s">
        <v>6</v>
      </c>
      <c r="D4872" s="7" t="s">
        <v>7</v>
      </c>
      <c r="E4872" s="7">
        <v>0</v>
      </c>
    </row>
    <row r="4873" spans="1:5" ht="15.75" customHeight="1" x14ac:dyDescent="0.25">
      <c r="A4873" s="6" t="s">
        <v>4765</v>
      </c>
      <c r="B4873" s="6" t="str">
        <f ca="1">IFERROR(__xludf.DUMMYFUNCTION("GOOGLETRANSLATE(A4873,""bn"",""en"")"),"For physical reasons, the familiar verses of the ancestors have come to her voice")</f>
        <v>For physical reasons, the familiar verses of the ancestors have come to her voice</v>
      </c>
      <c r="C4873" s="7" t="s">
        <v>6</v>
      </c>
      <c r="D4873" s="7" t="s">
        <v>7</v>
      </c>
      <c r="E4873" s="7">
        <v>0</v>
      </c>
    </row>
    <row r="4874" spans="1:5" ht="15.75" customHeight="1" x14ac:dyDescent="0.25">
      <c r="A4874" s="6" t="s">
        <v>4766</v>
      </c>
      <c r="B4874" s="6" t="str">
        <f ca="1">IFERROR(__xludf.DUMMYFUNCTION("GOOGLETRANSLATE(A4874,""bn"",""en"")"),"I went along and saw that there is a hole or cave in one place of the mountain like a great length")</f>
        <v>I went along and saw that there is a hole or cave in one place of the mountain like a great length</v>
      </c>
      <c r="C4874" s="7" t="s">
        <v>6</v>
      </c>
      <c r="D4874" s="7" t="s">
        <v>7</v>
      </c>
      <c r="E4874" s="7">
        <v>0</v>
      </c>
    </row>
    <row r="4875" spans="1:5" ht="15.75" customHeight="1" x14ac:dyDescent="0.25">
      <c r="A4875" s="6" t="s">
        <v>4767</v>
      </c>
      <c r="B4875" s="6" t="str">
        <f ca="1">IFERROR(__xludf.DUMMYFUNCTION("GOOGLETRANSLATE(A4875,""bn"",""en"")"),"I was ashamed and sat on a nearby banyan tree and began to say many things in anger at the beauties")</f>
        <v>I was ashamed and sat on a nearby banyan tree and began to say many things in anger at the beauties</v>
      </c>
      <c r="C4875" s="7" t="s">
        <v>6</v>
      </c>
      <c r="D4875" s="7" t="s">
        <v>7</v>
      </c>
      <c r="E4875" s="7">
        <v>0</v>
      </c>
    </row>
    <row r="4876" spans="1:5" ht="15.75" customHeight="1" x14ac:dyDescent="0.25">
      <c r="A4876" s="6" t="s">
        <v>4768</v>
      </c>
      <c r="B4876" s="6" t="str">
        <f ca="1">IFERROR(__xludf.DUMMYFUNCTION("GOOGLETRANSLATE(A4876,""bn"",""en"")"),"His eyes were not experienced enough to distinguish every line of the face")</f>
        <v>His eyes were not experienced enough to distinguish every line of the face</v>
      </c>
      <c r="C4876" s="7" t="s">
        <v>6</v>
      </c>
      <c r="D4876" s="7" t="s">
        <v>7</v>
      </c>
      <c r="E4876" s="7">
        <v>0</v>
      </c>
    </row>
    <row r="4877" spans="1:5" ht="15.75" customHeight="1" x14ac:dyDescent="0.25">
      <c r="A4877" s="6" t="s">
        <v>4769</v>
      </c>
      <c r="B4877" s="6" t="str">
        <f ca="1">IFERROR(__xludf.DUMMYFUNCTION("GOOGLETRANSLATE(A4877,""bn"",""en"")"),"Instead, he killed Atahualpa without expecting a ransom")</f>
        <v>Instead, he killed Atahualpa without expecting a ransom</v>
      </c>
      <c r="C4877" s="8" t="s">
        <v>13</v>
      </c>
      <c r="D4877" s="8" t="s">
        <v>14</v>
      </c>
      <c r="E4877" s="8">
        <v>1</v>
      </c>
    </row>
    <row r="4878" spans="1:5" ht="15.75" customHeight="1" x14ac:dyDescent="0.25">
      <c r="A4878" s="6" t="s">
        <v>4770</v>
      </c>
      <c r="B4878" s="6" t="str">
        <f ca="1">IFERROR(__xludf.DUMMYFUNCTION("GOOGLETRANSLATE(A4878,""bn"",""en"")"),"Adventure allows people to test their limits and discover their true abilities")</f>
        <v>Adventure allows people to test their limits and discover their true abilities</v>
      </c>
      <c r="C4878" s="8" t="s">
        <v>13</v>
      </c>
      <c r="D4878" s="8" t="s">
        <v>14</v>
      </c>
      <c r="E4878" s="8">
        <v>1</v>
      </c>
    </row>
    <row r="4879" spans="1:5" ht="15.75" customHeight="1" x14ac:dyDescent="0.25">
      <c r="A4879" s="6" t="s">
        <v>4771</v>
      </c>
      <c r="B4879" s="6" t="str">
        <f ca="1">IFERROR(__xludf.DUMMYFUNCTION("GOOGLETRANSLATE(A4879,""bn"",""en"")"),"He was brave and intelligent and had no inclination towards learning")</f>
        <v>He was brave and intelligent and had no inclination towards learning</v>
      </c>
      <c r="C4879" s="8" t="s">
        <v>13</v>
      </c>
      <c r="D4879" s="8" t="s">
        <v>14</v>
      </c>
      <c r="E4879" s="8">
        <v>1</v>
      </c>
    </row>
    <row r="4880" spans="1:5" ht="15.75" customHeight="1" x14ac:dyDescent="0.25">
      <c r="A4880" s="6" t="s">
        <v>4772</v>
      </c>
      <c r="B4880" s="6" t="str">
        <f ca="1">IFERROR(__xludf.DUMMYFUNCTION("GOOGLETRANSLATE(A4880,""bn"",""en"")"),"It took a long time to go to the market to buy water.")</f>
        <v>It took a long time to go to the market to buy water.</v>
      </c>
      <c r="C4880" s="8" t="s">
        <v>13</v>
      </c>
      <c r="D4880" s="8" t="s">
        <v>14</v>
      </c>
      <c r="E4880" s="8">
        <v>1</v>
      </c>
    </row>
    <row r="4881" spans="1:5" ht="15.75" customHeight="1" x14ac:dyDescent="0.25">
      <c r="A4881" s="6" t="s">
        <v>4773</v>
      </c>
      <c r="B4881" s="6" t="str">
        <f ca="1">IFERROR(__xludf.DUMMYFUNCTION("GOOGLETRANSLATE(A4881,""bn"",""en"")"),"This long journey of mine consists of numerous experiences from my childhood till now")</f>
        <v>This long journey of mine consists of numerous experiences from my childhood till now</v>
      </c>
      <c r="C4881" s="8" t="s">
        <v>13</v>
      </c>
      <c r="D4881" s="8" t="s">
        <v>14</v>
      </c>
      <c r="E4881" s="8">
        <v>1</v>
      </c>
    </row>
    <row r="4882" spans="1:5" ht="15.75" customHeight="1" x14ac:dyDescent="0.25">
      <c r="A4882" s="6" t="s">
        <v>4774</v>
      </c>
      <c r="B4882" s="6" t="str">
        <f ca="1">IFERROR(__xludf.DUMMYFUNCTION("GOOGLETRANSLATE(A4882,""bn"",""en"")"),"Resumed hair cutting")</f>
        <v>Resumed hair cutting</v>
      </c>
      <c r="C4882" s="7" t="s">
        <v>6</v>
      </c>
      <c r="D4882" s="7" t="s">
        <v>7</v>
      </c>
      <c r="E4882" s="7">
        <v>0</v>
      </c>
    </row>
    <row r="4883" spans="1:5" ht="15.75" customHeight="1" x14ac:dyDescent="0.25">
      <c r="A4883" s="6" t="s">
        <v>4775</v>
      </c>
      <c r="B4883" s="6" t="str">
        <f ca="1">IFERROR(__xludf.DUMMYFUNCTION("GOOGLETRANSLATE(A4883,""bn"",""en"")"),"They only focus on small things and do not see other things")</f>
        <v>They only focus on small things and do not see other things</v>
      </c>
      <c r="C4883" s="7" t="s">
        <v>6</v>
      </c>
      <c r="D4883" s="7" t="s">
        <v>7</v>
      </c>
      <c r="E4883" s="7">
        <v>0</v>
      </c>
    </row>
    <row r="4884" spans="1:5" ht="15.75" customHeight="1" x14ac:dyDescent="0.25">
      <c r="A4884" s="6" t="s">
        <v>4051</v>
      </c>
      <c r="B4884" s="6" t="str">
        <f ca="1">IFERROR(__xludf.DUMMYFUNCTION("GOOGLETRANSLATE(A4884,""bn"",""en"")"),"The difference between a failed fighter and a successful fighter is hard work")</f>
        <v>The difference between a failed fighter and a successful fighter is hard work</v>
      </c>
      <c r="C4884" s="7" t="s">
        <v>6</v>
      </c>
      <c r="D4884" s="7" t="s">
        <v>7</v>
      </c>
      <c r="E4884" s="7">
        <v>0</v>
      </c>
    </row>
    <row r="4885" spans="1:5" ht="15.75" customHeight="1" x14ac:dyDescent="0.25">
      <c r="A4885" s="6" t="s">
        <v>4776</v>
      </c>
      <c r="B4885" s="6" t="str">
        <f ca="1">IFERROR(__xludf.DUMMYFUNCTION("GOOGLETRANSLATE(A4885,""bn"",""en"")"),"I don't expect Roni to come to my house")</f>
        <v>I don't expect Roni to come to my house</v>
      </c>
      <c r="C4885" s="7" t="s">
        <v>6</v>
      </c>
      <c r="D4885" s="7" t="s">
        <v>7</v>
      </c>
      <c r="E4885" s="7">
        <v>0</v>
      </c>
    </row>
    <row r="4886" spans="1:5" ht="15.75" customHeight="1" x14ac:dyDescent="0.25">
      <c r="A4886" s="6" t="s">
        <v>4777</v>
      </c>
      <c r="B4886" s="6" t="str">
        <f ca="1">IFERROR(__xludf.DUMMYFUNCTION("GOOGLETRANSLATE(A4886,""bn"",""en"")"),"Cholera is a wild species, black in color with a rounded shape")</f>
        <v>Cholera is a wild species, black in color with a rounded shape</v>
      </c>
      <c r="C4886" s="7" t="s">
        <v>6</v>
      </c>
      <c r="D4886" s="7" t="s">
        <v>7</v>
      </c>
      <c r="E4886" s="7">
        <v>0</v>
      </c>
    </row>
    <row r="4887" spans="1:5" ht="15.75" customHeight="1" x14ac:dyDescent="0.25">
      <c r="A4887" s="6" t="s">
        <v>4778</v>
      </c>
      <c r="B4887" s="6" t="str">
        <f ca="1">IFERROR(__xludf.DUMMYFUNCTION("GOOGLETRANSLATE(A4887,""bn"",""en"")"),"Educational innovation drives progressive adaptation in teaching methods")</f>
        <v>Educational innovation drives progressive adaptation in teaching methods</v>
      </c>
      <c r="C4887" s="8" t="s">
        <v>13</v>
      </c>
      <c r="D4887" s="8" t="s">
        <v>14</v>
      </c>
      <c r="E4887" s="8">
        <v>1</v>
      </c>
    </row>
    <row r="4888" spans="1:5" ht="15.75" customHeight="1" x14ac:dyDescent="0.25">
      <c r="A4888" s="6" t="s">
        <v>1768</v>
      </c>
      <c r="B4888" s="6" t="str">
        <f ca="1">IFERROR(__xludf.DUMMYFUNCTION("GOOGLETRANSLATE(A4888,""bn"",""en"")"),"This is why he speaks the truth")</f>
        <v>This is why he speaks the truth</v>
      </c>
      <c r="C4888" s="8" t="s">
        <v>13</v>
      </c>
      <c r="D4888" s="8" t="s">
        <v>14</v>
      </c>
      <c r="E4888" s="8">
        <v>1</v>
      </c>
    </row>
    <row r="4889" spans="1:5" ht="15.75" customHeight="1" x14ac:dyDescent="0.25">
      <c r="A4889" s="6" t="s">
        <v>4779</v>
      </c>
      <c r="B4889" s="6" t="str">
        <f ca="1">IFERROR(__xludf.DUMMYFUNCTION("GOOGLETRANSLATE(A4889,""bn"",""en"")"),"Shubo saw me and came to me")</f>
        <v>Shubo saw me and came to me</v>
      </c>
      <c r="C4889" s="8" t="s">
        <v>13</v>
      </c>
      <c r="D4889" s="8" t="s">
        <v>14</v>
      </c>
      <c r="E4889" s="8">
        <v>1</v>
      </c>
    </row>
    <row r="4890" spans="1:5" ht="15.75" customHeight="1" x14ac:dyDescent="0.25">
      <c r="A4890" s="6" t="s">
        <v>4780</v>
      </c>
      <c r="B4890" s="6" t="str">
        <f ca="1">IFERROR(__xludf.DUMMYFUNCTION("GOOGLETRANSLATE(A4890,""bn"",""en"")"),"Creamy risotto requires culinary finesse")</f>
        <v>Creamy risotto requires culinary finesse</v>
      </c>
      <c r="C4890" s="8" t="s">
        <v>13</v>
      </c>
      <c r="D4890" s="8" t="s">
        <v>14</v>
      </c>
      <c r="E4890" s="8">
        <v>1</v>
      </c>
    </row>
    <row r="4891" spans="1:5" ht="15.75" customHeight="1" x14ac:dyDescent="0.25">
      <c r="A4891" s="6" t="s">
        <v>4781</v>
      </c>
      <c r="B4891" s="6" t="str">
        <f ca="1">IFERROR(__xludf.DUMMYFUNCTION("GOOGLETRANSLATE(A4891,""bn"",""en"")"),"His grandfather was an independent intellectual novelist and publisher")</f>
        <v>His grandfather was an independent intellectual novelist and publisher</v>
      </c>
      <c r="C4891" s="8" t="s">
        <v>13</v>
      </c>
      <c r="D4891" s="8" t="s">
        <v>14</v>
      </c>
      <c r="E4891" s="8">
        <v>1</v>
      </c>
    </row>
    <row r="4892" spans="1:5" ht="15.75" customHeight="1" x14ac:dyDescent="0.25">
      <c r="A4892" s="6" t="s">
        <v>4782</v>
      </c>
      <c r="B4892" s="6" t="str">
        <f ca="1">IFERROR(__xludf.DUMMYFUNCTION("GOOGLETRANSLATE(A4892,""bn"",""en"")"),"On the other hand, I am such a vegetable that once I leave my corner, I get a thunderclap on the head.")</f>
        <v>On the other hand, I am such a vegetable that once I leave my corner, I get a thunderclap on the head.</v>
      </c>
      <c r="C4892" s="7" t="s">
        <v>6</v>
      </c>
      <c r="D4892" s="7" t="s">
        <v>7</v>
      </c>
      <c r="E4892" s="7">
        <v>0</v>
      </c>
    </row>
    <row r="4893" spans="1:5" ht="15.75" customHeight="1" x14ac:dyDescent="0.25">
      <c r="A4893" s="6" t="s">
        <v>4783</v>
      </c>
      <c r="B4893" s="6" t="str">
        <f ca="1">IFERROR(__xludf.DUMMYFUNCTION("GOOGLETRANSLATE(A4893,""bn"",""en"")"),"With rain water on his body, he slowly opened his mouth and came out of the bush")</f>
        <v>With rain water on his body, he slowly opened his mouth and came out of the bush</v>
      </c>
      <c r="C4893" s="7" t="s">
        <v>6</v>
      </c>
      <c r="D4893" s="7" t="s">
        <v>7</v>
      </c>
      <c r="E4893" s="7">
        <v>0</v>
      </c>
    </row>
    <row r="4894" spans="1:5" ht="15.75" customHeight="1" x14ac:dyDescent="0.25">
      <c r="A4894" s="6" t="s">
        <v>1865</v>
      </c>
      <c r="B4894" s="6" t="str">
        <f ca="1">IFERROR(__xludf.DUMMYFUNCTION("GOOGLETRANSLATE(A4894,""bn"",""en"")"),"They do not think that the bullet will enter his body")</f>
        <v>They do not think that the bullet will enter his body</v>
      </c>
      <c r="C4894" s="7" t="s">
        <v>6</v>
      </c>
      <c r="D4894" s="7" t="s">
        <v>7</v>
      </c>
      <c r="E4894" s="7">
        <v>0</v>
      </c>
    </row>
    <row r="4895" spans="1:5" ht="15.75" customHeight="1" x14ac:dyDescent="0.25">
      <c r="A4895" s="6" t="s">
        <v>4784</v>
      </c>
      <c r="B4895" s="6" t="str">
        <f ca="1">IFERROR(__xludf.DUMMYFUNCTION("GOOGLETRANSLATE(A4895,""bn"",""en"")"),"Even so, the forest is very remote because it has no intersection")</f>
        <v>Even so, the forest is very remote because it has no intersection</v>
      </c>
      <c r="C4895" s="7" t="s">
        <v>6</v>
      </c>
      <c r="D4895" s="7" t="s">
        <v>7</v>
      </c>
      <c r="E4895" s="7">
        <v>0</v>
      </c>
    </row>
    <row r="4896" spans="1:5" ht="15.75" customHeight="1" x14ac:dyDescent="0.25">
      <c r="A4896" s="6" t="s">
        <v>4785</v>
      </c>
      <c r="B4896" s="6" t="str">
        <f ca="1">IFERROR(__xludf.DUMMYFUNCTION("GOOGLETRANSLATE(A4896,""bn"",""en"")"),"He told me a lie")</f>
        <v>He told me a lie</v>
      </c>
      <c r="C4896" s="7" t="s">
        <v>6</v>
      </c>
      <c r="D4896" s="7" t="s">
        <v>7</v>
      </c>
      <c r="E4896" s="7">
        <v>0</v>
      </c>
    </row>
    <row r="4897" spans="1:5" ht="15.75" customHeight="1" x14ac:dyDescent="0.25">
      <c r="A4897" s="6" t="s">
        <v>4786</v>
      </c>
      <c r="B4897" s="6" t="str">
        <f ca="1">IFERROR(__xludf.DUMMYFUNCTION("GOOGLETRANSLATE(A4897,""bn"",""en"")"),"Focus on the solution rather than the problem")</f>
        <v>Focus on the solution rather than the problem</v>
      </c>
      <c r="C4897" s="8" t="s">
        <v>13</v>
      </c>
      <c r="D4897" s="8" t="s">
        <v>14</v>
      </c>
      <c r="E4897" s="8">
        <v>1</v>
      </c>
    </row>
    <row r="4898" spans="1:5" ht="15.75" customHeight="1" x14ac:dyDescent="0.25">
      <c r="A4898" s="6" t="s">
        <v>4787</v>
      </c>
      <c r="B4898" s="6" t="str">
        <f ca="1">IFERROR(__xludf.DUMMYFUNCTION("GOOGLETRANSLATE(A4898,""bn"",""en"")"),"He was quietly sitting under a tree by the side of the road")</f>
        <v>He was quietly sitting under a tree by the side of the road</v>
      </c>
      <c r="C4898" s="8" t="s">
        <v>13</v>
      </c>
      <c r="D4898" s="8" t="s">
        <v>14</v>
      </c>
      <c r="E4898" s="8">
        <v>1</v>
      </c>
    </row>
    <row r="4899" spans="1:5" ht="15.75" customHeight="1" x14ac:dyDescent="0.25">
      <c r="A4899" s="6" t="s">
        <v>4788</v>
      </c>
      <c r="B4899" s="6" t="str">
        <f ca="1">IFERROR(__xludf.DUMMYFUNCTION("GOOGLETRANSLATE(A4899,""bn"",""en"")"),"In the heart of a raging storm they struggled to keep their ship afloat amid the crashing waves")</f>
        <v>In the heart of a raging storm they struggled to keep their ship afloat amid the crashing waves</v>
      </c>
      <c r="C4899" s="8" t="s">
        <v>13</v>
      </c>
      <c r="D4899" s="8" t="s">
        <v>14</v>
      </c>
      <c r="E4899" s="8">
        <v>1</v>
      </c>
    </row>
    <row r="4900" spans="1:5" ht="15.75" customHeight="1" x14ac:dyDescent="0.25">
      <c r="A4900" s="6" t="s">
        <v>4789</v>
      </c>
      <c r="B4900" s="6" t="str">
        <f ca="1">IFERROR(__xludf.DUMMYFUNCTION("GOOGLETRANSLATE(A4900,""bn"",""en"")"),"In Britain, the black cat is a symbol of good luck")</f>
        <v>In Britain, the black cat is a symbol of good luck</v>
      </c>
      <c r="C4900" s="8" t="s">
        <v>13</v>
      </c>
      <c r="D4900" s="8" t="s">
        <v>14</v>
      </c>
      <c r="E4900" s="8">
        <v>1</v>
      </c>
    </row>
    <row r="4901" spans="1:5" ht="15.75" customHeight="1" x14ac:dyDescent="0.25">
      <c r="A4901" s="6" t="s">
        <v>4790</v>
      </c>
      <c r="B4901" s="6" t="str">
        <f ca="1">IFERROR(__xludf.DUMMYFUNCTION("GOOGLETRANSLATE(A4901,""bn"",""en"")"),"Rohit has done more than Rita")</f>
        <v>Rohit has done more than Rita</v>
      </c>
      <c r="C4901" s="8" t="s">
        <v>13</v>
      </c>
      <c r="D4901" s="8" t="s">
        <v>14</v>
      </c>
      <c r="E4901" s="8">
        <v>1</v>
      </c>
    </row>
    <row r="4902" spans="1:5" ht="15.75" customHeight="1" x14ac:dyDescent="0.25">
      <c r="A4902" s="6" t="s">
        <v>4791</v>
      </c>
      <c r="B4902" s="6" t="str">
        <f ca="1">IFERROR(__xludf.DUMMYFUNCTION("GOOGLETRANSLATE(A4902,""bn"",""en"")"),"There is not a single large tree in the shal, but all are like our native kadamba trees, but some large ones.")</f>
        <v>There is not a single large tree in the shal, but all are like our native kadamba trees, but some large ones.</v>
      </c>
      <c r="C4902" s="7" t="s">
        <v>6</v>
      </c>
      <c r="D4902" s="7" t="s">
        <v>7</v>
      </c>
      <c r="E4902" s="7">
        <v>0</v>
      </c>
    </row>
    <row r="4903" spans="1:5" ht="15.75" customHeight="1" x14ac:dyDescent="0.25">
      <c r="A4903" s="6" t="s">
        <v>4792</v>
      </c>
      <c r="B4903" s="6" t="str">
        <f ca="1">IFERROR(__xludf.DUMMYFUNCTION("GOOGLETRANSLATE(A4903,""bn"",""en"")"),"Two days ago, he would have run away")</f>
        <v>Two days ago, he would have run away</v>
      </c>
      <c r="C4903" s="7" t="s">
        <v>6</v>
      </c>
      <c r="D4903" s="7" t="s">
        <v>7</v>
      </c>
      <c r="E4903" s="7">
        <v>0</v>
      </c>
    </row>
    <row r="4904" spans="1:5" ht="15.75" customHeight="1" x14ac:dyDescent="0.25">
      <c r="A4904" s="6" t="s">
        <v>4793</v>
      </c>
      <c r="B4904" s="6" t="str">
        <f ca="1">IFERROR(__xludf.DUMMYFUNCTION("GOOGLETRANSLATE(A4904,""bn"",""en"")"),"I saw three people moving like shadows in the darkness")</f>
        <v>I saw three people moving like shadows in the darkness</v>
      </c>
      <c r="C4904" s="7" t="s">
        <v>6</v>
      </c>
      <c r="D4904" s="7" t="s">
        <v>7</v>
      </c>
      <c r="E4904" s="7">
        <v>0</v>
      </c>
    </row>
    <row r="4905" spans="1:5" ht="15.75" customHeight="1" x14ac:dyDescent="0.25">
      <c r="A4905" s="6" t="s">
        <v>4794</v>
      </c>
      <c r="B4905" s="6" t="str">
        <f ca="1">IFERROR(__xludf.DUMMYFUNCTION("GOOGLETRANSLATE(A4905,""bn"",""en"")"),"Disregarding Garwan's prohibition, I went towards the mountain")</f>
        <v>Disregarding Garwan's prohibition, I went towards the mountain</v>
      </c>
      <c r="C4905" s="7" t="s">
        <v>6</v>
      </c>
      <c r="D4905" s="7" t="s">
        <v>7</v>
      </c>
      <c r="E4905" s="7">
        <v>0</v>
      </c>
    </row>
    <row r="4906" spans="1:5" ht="15.75" customHeight="1" x14ac:dyDescent="0.25">
      <c r="A4906" s="6" t="s">
        <v>4795</v>
      </c>
      <c r="B4906" s="6" t="str">
        <f ca="1">IFERROR(__xludf.DUMMYFUNCTION("GOOGLETRANSLATE(A4906,""bn"",""en"")"),"Sujan could not do it")</f>
        <v>Sujan could not do it</v>
      </c>
      <c r="C4906" s="7" t="s">
        <v>6</v>
      </c>
      <c r="D4906" s="7" t="s">
        <v>7</v>
      </c>
      <c r="E4906" s="7">
        <v>0</v>
      </c>
    </row>
    <row r="4907" spans="1:5" ht="15.75" customHeight="1" x14ac:dyDescent="0.25">
      <c r="A4907" s="6" t="s">
        <v>4796</v>
      </c>
      <c r="B4907" s="6" t="str">
        <f ca="1">IFERROR(__xludf.DUMMYFUNCTION("GOOGLETRANSLATE(A4907,""bn"",""en"")"),"Is it convenient to wear a turban on a shaved head?")</f>
        <v>Is it convenient to wear a turban on a shaved head?</v>
      </c>
      <c r="C4907" s="8" t="s">
        <v>13</v>
      </c>
      <c r="D4907" s="8" t="s">
        <v>14</v>
      </c>
      <c r="E4907" s="8">
        <v>1</v>
      </c>
    </row>
    <row r="4908" spans="1:5" ht="15.75" customHeight="1" x14ac:dyDescent="0.25">
      <c r="A4908" s="6" t="s">
        <v>4797</v>
      </c>
      <c r="B4908" s="6" t="str">
        <f ca="1">IFERROR(__xludf.DUMMYFUNCTION("GOOGLETRANSLATE(A4908,""bn"",""en"")"),"Consistency is the key to progress")</f>
        <v>Consistency is the key to progress</v>
      </c>
      <c r="C4908" s="8" t="s">
        <v>13</v>
      </c>
      <c r="D4908" s="8" t="s">
        <v>14</v>
      </c>
      <c r="E4908" s="8">
        <v>1</v>
      </c>
    </row>
    <row r="4909" spans="1:5" ht="15.75" customHeight="1" x14ac:dyDescent="0.25">
      <c r="A4909" s="6" t="s">
        <v>4798</v>
      </c>
      <c r="B4909" s="6" t="str">
        <f ca="1">IFERROR(__xludf.DUMMYFUNCTION("GOOGLETRANSLATE(A4909,""bn"",""en"")"),"Before the night was over, he went out in search of work")</f>
        <v>Before the night was over, he went out in search of work</v>
      </c>
      <c r="C4909" s="8" t="s">
        <v>13</v>
      </c>
      <c r="D4909" s="8" t="s">
        <v>14</v>
      </c>
      <c r="E4909" s="8">
        <v>1</v>
      </c>
    </row>
    <row r="4910" spans="1:5" ht="15.75" customHeight="1" x14ac:dyDescent="0.25">
      <c r="A4910" s="6" t="s">
        <v>4799</v>
      </c>
      <c r="B4910" s="6" t="str">
        <f ca="1">IFERROR(__xludf.DUMMYFUNCTION("GOOGLETRANSLATE(A4910,""bn"",""en"")"),"Gagan Harkara was a prominent Baul lyricist")</f>
        <v>Gagan Harkara was a prominent Baul lyricist</v>
      </c>
      <c r="C4910" s="8" t="s">
        <v>13</v>
      </c>
      <c r="D4910" s="8" t="s">
        <v>14</v>
      </c>
      <c r="E4910" s="8">
        <v>1</v>
      </c>
    </row>
    <row r="4911" spans="1:5" ht="15.75" customHeight="1" x14ac:dyDescent="0.25">
      <c r="A4911" s="6" t="s">
        <v>4800</v>
      </c>
      <c r="B4911" s="6" t="str">
        <f ca="1">IFERROR(__xludf.DUMMYFUNCTION("GOOGLETRANSLATE(A4911,""bn"",""en"")"),"I need to dispute a fraudulent transaction on my account")</f>
        <v>I need to dispute a fraudulent transaction on my account</v>
      </c>
      <c r="C4911" s="8" t="s">
        <v>13</v>
      </c>
      <c r="D4911" s="8" t="s">
        <v>14</v>
      </c>
      <c r="E4911" s="8">
        <v>1</v>
      </c>
    </row>
    <row r="4912" spans="1:5" ht="15.75" customHeight="1" x14ac:dyDescent="0.25">
      <c r="A4912" s="6" t="s">
        <v>4801</v>
      </c>
      <c r="B4912" s="6" t="str">
        <f ca="1">IFERROR(__xludf.DUMMYFUNCTION("GOOGLETRANSLATE(A4912,""bn"",""en"")"),"Once an old king of Punjab region stayed at Medinipur for two days while visiting Jagannath.")</f>
        <v>Once an old king of Punjab region stayed at Medinipur for two days while visiting Jagannath.</v>
      </c>
      <c r="C4912" s="7" t="s">
        <v>6</v>
      </c>
      <c r="D4912" s="7" t="s">
        <v>7</v>
      </c>
      <c r="E4912" s="7">
        <v>0</v>
      </c>
    </row>
    <row r="4913" spans="1:5" ht="15.75" customHeight="1" x14ac:dyDescent="0.25">
      <c r="A4913" s="6" t="s">
        <v>4802</v>
      </c>
      <c r="B4913" s="6" t="str">
        <f ca="1">IFERROR(__xludf.DUMMYFUNCTION("GOOGLETRANSLATE(A4913,""bn"",""en"")"),"Shashi's depression is unmistakable")</f>
        <v>Shashi's depression is unmistakable</v>
      </c>
      <c r="C4913" s="7" t="s">
        <v>6</v>
      </c>
      <c r="D4913" s="7" t="s">
        <v>7</v>
      </c>
      <c r="E4913" s="7">
        <v>0</v>
      </c>
    </row>
    <row r="4914" spans="1:5" ht="15.75" customHeight="1" x14ac:dyDescent="0.25">
      <c r="A4914" s="6" t="s">
        <v>4803</v>
      </c>
      <c r="B4914" s="6" t="str">
        <f ca="1">IFERROR(__xludf.DUMMYFUNCTION("GOOGLETRANSLATE(A4914,""bn"",""en"")"),"He reads newspaper every morning")</f>
        <v>He reads newspaper every morning</v>
      </c>
      <c r="C4914" s="7" t="s">
        <v>6</v>
      </c>
      <c r="D4914" s="7" t="s">
        <v>7</v>
      </c>
      <c r="E4914" s="7">
        <v>0</v>
      </c>
    </row>
    <row r="4915" spans="1:5" ht="15.75" customHeight="1" x14ac:dyDescent="0.25">
      <c r="A4915" s="6" t="s">
        <v>4804</v>
      </c>
      <c r="B4915" s="6" t="str">
        <f ca="1">IFERROR(__xludf.DUMMYFUNCTION("GOOGLETRANSLATE(A4915,""bn"",""en"")"),"I stood on the road in the afternoon with that intention")</f>
        <v>I stood on the road in the afternoon with that intention</v>
      </c>
      <c r="C4915" s="7" t="s">
        <v>6</v>
      </c>
      <c r="D4915" s="7" t="s">
        <v>7</v>
      </c>
      <c r="E4915" s="7">
        <v>0</v>
      </c>
    </row>
    <row r="4916" spans="1:5" ht="15.75" customHeight="1" x14ac:dyDescent="0.25">
      <c r="A4916" s="6" t="s">
        <v>4805</v>
      </c>
      <c r="B4916" s="6" t="str">
        <f ca="1">IFERROR(__xludf.DUMMYFUNCTION("GOOGLETRANSLATE(A4916,""bn"",""en"")"),"That day it was said by all")</f>
        <v>That day it was said by all</v>
      </c>
      <c r="C4916" s="7" t="s">
        <v>6</v>
      </c>
      <c r="D4916" s="7" t="s">
        <v>7</v>
      </c>
      <c r="E4916" s="7">
        <v>0</v>
      </c>
    </row>
    <row r="4917" spans="1:5" ht="15.75" customHeight="1" x14ac:dyDescent="0.25">
      <c r="A4917" s="6" t="s">
        <v>4806</v>
      </c>
      <c r="B4917" s="6" t="str">
        <f ca="1">IFERROR(__xludf.DUMMYFUNCTION("GOOGLETRANSLATE(A4917,""bn"",""en"")"),"He attended Hope High School")</f>
        <v>He attended Hope High School</v>
      </c>
      <c r="C4917" s="8" t="s">
        <v>13</v>
      </c>
      <c r="D4917" s="8" t="s">
        <v>14</v>
      </c>
      <c r="E4917" s="8">
        <v>1</v>
      </c>
    </row>
    <row r="4918" spans="1:5" ht="15.75" customHeight="1" x14ac:dyDescent="0.25">
      <c r="A4918" s="6" t="s">
        <v>4807</v>
      </c>
      <c r="B4918" s="6" t="str">
        <f ca="1">IFERROR(__xludf.DUMMYFUNCTION("GOOGLETRANSLATE(A4918,""bn"",""en"")"),"News anchors deliver the latest headlines with authoritative professionalism")</f>
        <v>News anchors deliver the latest headlines with authoritative professionalism</v>
      </c>
      <c r="C4918" s="8" t="s">
        <v>13</v>
      </c>
      <c r="D4918" s="8" t="s">
        <v>14</v>
      </c>
      <c r="E4918" s="8">
        <v>1</v>
      </c>
    </row>
    <row r="4919" spans="1:5" ht="15.75" customHeight="1" x14ac:dyDescent="0.25">
      <c r="A4919" s="6" t="s">
        <v>4808</v>
      </c>
      <c r="B4919" s="6" t="str">
        <f ca="1">IFERROR(__xludf.DUMMYFUNCTION("GOOGLETRANSLATE(A4919,""bn"",""en"")"),"I asked Soma to meet me")</f>
        <v>I asked Soma to meet me</v>
      </c>
      <c r="C4919" s="8" t="s">
        <v>13</v>
      </c>
      <c r="D4919" s="8" t="s">
        <v>14</v>
      </c>
      <c r="E4919" s="8">
        <v>1</v>
      </c>
    </row>
    <row r="4920" spans="1:5" ht="15.75" customHeight="1" x14ac:dyDescent="0.25">
      <c r="A4920" s="6" t="s">
        <v>4809</v>
      </c>
      <c r="B4920" s="6" t="str">
        <f ca="1">IFERROR(__xludf.DUMMYFUNCTION("GOOGLETRANSLATE(A4920,""bn"",""en"")"),"Receiving unexpected compliments makes me happy")</f>
        <v>Receiving unexpected compliments makes me happy</v>
      </c>
      <c r="C4920" s="8" t="s">
        <v>13</v>
      </c>
      <c r="D4920" s="8" t="s">
        <v>14</v>
      </c>
      <c r="E4920" s="8">
        <v>1</v>
      </c>
    </row>
    <row r="4921" spans="1:5" ht="15.75" customHeight="1" x14ac:dyDescent="0.25">
      <c r="A4921" s="6" t="s">
        <v>4810</v>
      </c>
      <c r="B4921" s="6" t="str">
        <f ca="1">IFERROR(__xludf.DUMMYFUNCTION("GOOGLETRANSLATE(A4921,""bn"",""en"")"),"He won the Nobel Prize in Literature")</f>
        <v>He won the Nobel Prize in Literature</v>
      </c>
      <c r="C4921" s="8" t="s">
        <v>13</v>
      </c>
      <c r="D4921" s="8" t="s">
        <v>14</v>
      </c>
      <c r="E4921" s="8">
        <v>1</v>
      </c>
    </row>
    <row r="4922" spans="1:5" ht="15.75" customHeight="1" x14ac:dyDescent="0.25">
      <c r="A4922" s="6" t="s">
        <v>4811</v>
      </c>
      <c r="B4922" s="6" t="str">
        <f ca="1">IFERROR(__xludf.DUMMYFUNCTION("GOOGLETRANSLATE(A4922,""bn"",""en"")"),"He came home and saw that there was a bit of a commotion there")</f>
        <v>He came home and saw that there was a bit of a commotion there</v>
      </c>
      <c r="C4922" s="7" t="s">
        <v>6</v>
      </c>
      <c r="D4922" s="7" t="s">
        <v>7</v>
      </c>
      <c r="E4922" s="7">
        <v>0</v>
      </c>
    </row>
    <row r="4923" spans="1:5" ht="15.75" customHeight="1" x14ac:dyDescent="0.25">
      <c r="A4923" s="6" t="s">
        <v>4812</v>
      </c>
      <c r="B4923" s="6" t="str">
        <f ca="1">IFERROR(__xludf.DUMMYFUNCTION("GOOGLETRANSLATE(A4923,""bn"",""en"")"),"Rana will leave for Bogra tomorrow")</f>
        <v>Rana will leave for Bogra tomorrow</v>
      </c>
      <c r="C4923" s="7" t="s">
        <v>6</v>
      </c>
      <c r="D4923" s="7" t="s">
        <v>7</v>
      </c>
      <c r="E4923" s="7">
        <v>0</v>
      </c>
    </row>
    <row r="4924" spans="1:5" ht="15.75" customHeight="1" x14ac:dyDescent="0.25">
      <c r="A4924" s="6" t="s">
        <v>4813</v>
      </c>
      <c r="B4924" s="6" t="str">
        <f ca="1">IFERROR(__xludf.DUMMYFUNCTION("GOOGLETRANSLATE(A4924,""bn"",""en"")"),"I told him the correct answer")</f>
        <v>I told him the correct answer</v>
      </c>
      <c r="C4924" s="7" t="s">
        <v>6</v>
      </c>
      <c r="D4924" s="7" t="s">
        <v>7</v>
      </c>
      <c r="E4924" s="7">
        <v>0</v>
      </c>
    </row>
    <row r="4925" spans="1:5" ht="15.75" customHeight="1" x14ac:dyDescent="0.25">
      <c r="A4925" s="6" t="s">
        <v>4814</v>
      </c>
      <c r="B4925" s="6" t="str">
        <f ca="1">IFERROR(__xludf.DUMMYFUNCTION("GOOGLETRANSLATE(A4925,""bn"",""en"")"),"Roni had caught Rafi and tied him up")</f>
        <v>Roni had caught Rafi and tied him up</v>
      </c>
      <c r="C4925" s="7" t="s">
        <v>6</v>
      </c>
      <c r="D4925" s="7" t="s">
        <v>7</v>
      </c>
      <c r="E4925" s="7">
        <v>0</v>
      </c>
    </row>
    <row r="4926" spans="1:5" ht="15.75" customHeight="1" x14ac:dyDescent="0.25">
      <c r="A4926" s="6" t="s">
        <v>4815</v>
      </c>
      <c r="B4926" s="6" t="str">
        <f ca="1">IFERROR(__xludf.DUMMYFUNCTION("GOOGLETRANSLATE(A4926,""bn"",""en"")"),"I also wrote about my parents")</f>
        <v>I also wrote about my parents</v>
      </c>
      <c r="C4926" s="7" t="s">
        <v>6</v>
      </c>
      <c r="D4926" s="7" t="s">
        <v>7</v>
      </c>
      <c r="E4926" s="7">
        <v>0</v>
      </c>
    </row>
    <row r="4927" spans="1:5" ht="15.75" customHeight="1" x14ac:dyDescent="0.25">
      <c r="A4927" s="6" t="s">
        <v>4816</v>
      </c>
      <c r="B4927" s="6" t="str">
        <f ca="1">IFERROR(__xludf.DUMMYFUNCTION("GOOGLETRANSLATE(A4927,""bn"",""en"")"),"Develop empathy for others")</f>
        <v>Develop empathy for others</v>
      </c>
      <c r="C4927" s="8" t="s">
        <v>13</v>
      </c>
      <c r="D4927" s="8" t="s">
        <v>14</v>
      </c>
      <c r="E4927" s="8">
        <v>1</v>
      </c>
    </row>
    <row r="4928" spans="1:5" ht="15.75" customHeight="1" x14ac:dyDescent="0.25">
      <c r="A4928" s="6" t="s">
        <v>545</v>
      </c>
      <c r="B4928" s="6" t="str">
        <f ca="1">IFERROR(__xludf.DUMMYFUNCTION("GOOGLETRANSLATE(A4928,""bn"",""en"")"),"I asked him his name")</f>
        <v>I asked him his name</v>
      </c>
      <c r="C4928" s="8" t="s">
        <v>13</v>
      </c>
      <c r="D4928" s="8" t="s">
        <v>14</v>
      </c>
      <c r="E4928" s="8">
        <v>1</v>
      </c>
    </row>
    <row r="4929" spans="1:5" ht="15.75" customHeight="1" x14ac:dyDescent="0.25">
      <c r="A4929" s="6" t="s">
        <v>4817</v>
      </c>
      <c r="B4929" s="6" t="str">
        <f ca="1">IFERROR(__xludf.DUMMYFUNCTION("GOOGLETRANSLATE(A4929,""bn"",""en"")"),"Retweet for self improvement tips")</f>
        <v>Retweet for self improvement tips</v>
      </c>
      <c r="C4929" s="8" t="s">
        <v>13</v>
      </c>
      <c r="D4929" s="8" t="s">
        <v>14</v>
      </c>
      <c r="E4929" s="8">
        <v>1</v>
      </c>
    </row>
    <row r="4930" spans="1:5" ht="15.75" customHeight="1" x14ac:dyDescent="0.25">
      <c r="A4930" s="6" t="s">
        <v>4818</v>
      </c>
      <c r="B4930" s="6" t="str">
        <f ca="1">IFERROR(__xludf.DUMMYFUNCTION("GOOGLETRANSLATE(A4930,""bn"",""en"")"),"Education policy makers set the direction for the education system")</f>
        <v>Education policy makers set the direction for the education system</v>
      </c>
      <c r="C4930" s="8" t="s">
        <v>13</v>
      </c>
      <c r="D4930" s="8" t="s">
        <v>14</v>
      </c>
      <c r="E4930" s="8">
        <v>1</v>
      </c>
    </row>
    <row r="4931" spans="1:5" ht="15.75" customHeight="1" x14ac:dyDescent="0.25">
      <c r="A4931" s="6" t="s">
        <v>4819</v>
      </c>
      <c r="B4931" s="6" t="str">
        <f ca="1">IFERROR(__xludf.DUMMYFUNCTION("GOOGLETRANSLATE(A4931,""bn"",""en"")"),"Exotic fruits bring tropical vibes")</f>
        <v>Exotic fruits bring tropical vibes</v>
      </c>
      <c r="C4931" s="8" t="s">
        <v>13</v>
      </c>
      <c r="D4931" s="8" t="s">
        <v>14</v>
      </c>
      <c r="E4931" s="8">
        <v>1</v>
      </c>
    </row>
    <row r="4932" spans="1:5" ht="15.75" customHeight="1" x14ac:dyDescent="0.25">
      <c r="A4932" s="6" t="s">
        <v>4820</v>
      </c>
      <c r="B4932" s="6" t="str">
        <f ca="1">IFERROR(__xludf.DUMMYFUNCTION("GOOGLETRANSLATE(A4932,""bn"",""en"")"),"I did not know that rhythm is natural to any bird's voice")</f>
        <v>I did not know that rhythm is natural to any bird's voice</v>
      </c>
      <c r="C4932" s="7" t="s">
        <v>6</v>
      </c>
      <c r="D4932" s="7" t="s">
        <v>7</v>
      </c>
      <c r="E4932" s="7">
        <v>0</v>
      </c>
    </row>
    <row r="4933" spans="1:5" ht="15.75" customHeight="1" x14ac:dyDescent="0.25">
      <c r="A4933" s="6" t="s">
        <v>4821</v>
      </c>
      <c r="B4933" s="6" t="str">
        <f ca="1">IFERROR(__xludf.DUMMYFUNCTION("GOOGLETRANSLATE(A4933,""bn"",""en"")"),"I asked Suman to come home")</f>
        <v>I asked Suman to come home</v>
      </c>
      <c r="C4933" s="7" t="s">
        <v>6</v>
      </c>
      <c r="D4933" s="7" t="s">
        <v>7</v>
      </c>
      <c r="E4933" s="7">
        <v>0</v>
      </c>
    </row>
    <row r="4934" spans="1:5" ht="15.75" customHeight="1" x14ac:dyDescent="0.25">
      <c r="A4934" s="6" t="s">
        <v>4822</v>
      </c>
      <c r="B4934" s="6" t="str">
        <f ca="1">IFERROR(__xludf.DUMMYFUNCTION("GOOGLETRANSLATE(A4934,""bn"",""en"")"),"I asked Garwan to stop the car and got down")</f>
        <v>I asked Garwan to stop the car and got down</v>
      </c>
      <c r="C4934" s="7" t="s">
        <v>6</v>
      </c>
      <c r="D4934" s="7" t="s">
        <v>7</v>
      </c>
      <c r="E4934" s="7">
        <v>0</v>
      </c>
    </row>
    <row r="4935" spans="1:5" ht="15.75" customHeight="1" x14ac:dyDescent="0.25">
      <c r="A4935" s="6" t="s">
        <v>4823</v>
      </c>
      <c r="B4935" s="6" t="str">
        <f ca="1">IFERROR(__xludf.DUMMYFUNCTION("GOOGLETRANSLATE(A4935,""bn"",""en"")"),"It is not possible to tell how long one has to fast")</f>
        <v>It is not possible to tell how long one has to fast</v>
      </c>
      <c r="C4935" s="7" t="s">
        <v>6</v>
      </c>
      <c r="D4935" s="7" t="s">
        <v>7</v>
      </c>
      <c r="E4935" s="7">
        <v>0</v>
      </c>
    </row>
    <row r="4936" spans="1:5" ht="15.75" customHeight="1" x14ac:dyDescent="0.25">
      <c r="A4936" s="6" t="s">
        <v>4824</v>
      </c>
      <c r="B4936" s="6" t="str">
        <f ca="1">IFERROR(__xludf.DUMMYFUNCTION("GOOGLETRANSLATE(A4936,""bn"",""en"")"),"He undressed")</f>
        <v>He undressed</v>
      </c>
      <c r="C4936" s="7" t="s">
        <v>6</v>
      </c>
      <c r="D4936" s="7" t="s">
        <v>7</v>
      </c>
      <c r="E4936" s="7">
        <v>0</v>
      </c>
    </row>
    <row r="4937" spans="1:5" ht="15.75" customHeight="1" x14ac:dyDescent="0.25">
      <c r="A4937" s="6" t="s">
        <v>4825</v>
      </c>
      <c r="B4937" s="6" t="str">
        <f ca="1">IFERROR(__xludf.DUMMYFUNCTION("GOOGLETRANSLATE(A4937,""bn"",""en"")"),"Regularly monitoring your credit score can help you maintain healthy financial habits")</f>
        <v>Regularly monitoring your credit score can help you maintain healthy financial habits</v>
      </c>
      <c r="C4937" s="8" t="s">
        <v>13</v>
      </c>
      <c r="D4937" s="8" t="s">
        <v>14</v>
      </c>
      <c r="E4937" s="8">
        <v>1</v>
      </c>
    </row>
    <row r="4938" spans="1:5" ht="15.75" customHeight="1" x14ac:dyDescent="0.25">
      <c r="A4938" s="6" t="s">
        <v>4826</v>
      </c>
      <c r="B4938" s="6" t="str">
        <f ca="1">IFERROR(__xludf.DUMMYFUNCTION("GOOGLETRANSLATE(A4938,""bn"",""en"")"),"Be curious Don't stop exploring the world around you")</f>
        <v>Be curious Don't stop exploring the world around you</v>
      </c>
      <c r="C4938" s="8" t="s">
        <v>13</v>
      </c>
      <c r="D4938" s="8" t="s">
        <v>14</v>
      </c>
      <c r="E4938" s="8">
        <v>1</v>
      </c>
    </row>
    <row r="4939" spans="1:5" ht="15.75" customHeight="1" x14ac:dyDescent="0.25">
      <c r="A4939" s="6" t="s">
        <v>4827</v>
      </c>
      <c r="B4939" s="6" t="str">
        <f ca="1">IFERROR(__xludf.DUMMYFUNCTION("GOOGLETRANSLATE(A4939,""bn"",""en"")"),"He is so hot that he is afraid to go out")</f>
        <v>He is so hot that he is afraid to go out</v>
      </c>
      <c r="C4939" s="8" t="s">
        <v>13</v>
      </c>
      <c r="D4939" s="8" t="s">
        <v>14</v>
      </c>
      <c r="E4939" s="8">
        <v>1</v>
      </c>
    </row>
    <row r="4940" spans="1:5" ht="15.75" customHeight="1" x14ac:dyDescent="0.25">
      <c r="A4940" s="6" t="s">
        <v>4828</v>
      </c>
      <c r="B4940" s="6" t="str">
        <f ca="1">IFERROR(__xludf.DUMMYFUNCTION("GOOGLETRANSLATE(A4940,""bn"",""en"")"),"I listened to his words carefully.")</f>
        <v>I listened to his words carefully.</v>
      </c>
      <c r="C4940" s="8" t="s">
        <v>13</v>
      </c>
      <c r="D4940" s="8" t="s">
        <v>14</v>
      </c>
      <c r="E4940" s="8">
        <v>1</v>
      </c>
    </row>
    <row r="4941" spans="1:5" ht="15.75" customHeight="1" x14ac:dyDescent="0.25">
      <c r="A4941" s="6" t="s">
        <v>4829</v>
      </c>
      <c r="B4941" s="6" t="str">
        <f ca="1">IFERROR(__xludf.DUMMYFUNCTION("GOOGLETRANSLATE(A4941,""bn"",""en"")"),"Sajeev did not return from school")</f>
        <v>Sajeev did not return from school</v>
      </c>
      <c r="C4941" s="8" t="s">
        <v>13</v>
      </c>
      <c r="D4941" s="8" t="s">
        <v>14</v>
      </c>
      <c r="E4941" s="8">
        <v>1</v>
      </c>
    </row>
    <row r="4942" spans="1:5" ht="15.75" customHeight="1" x14ac:dyDescent="0.25">
      <c r="A4942" s="6" t="s">
        <v>4830</v>
      </c>
      <c r="B4942" s="6" t="str">
        <f ca="1">IFERROR(__xludf.DUMMYFUNCTION("GOOGLETRANSLATE(A4942,""bn"",""en"")"),"We are a civilized nation that realizes its faults and makes no effort to correct them")</f>
        <v>We are a civilized nation that realizes its faults and makes no effort to correct them</v>
      </c>
      <c r="C4942" s="7" t="s">
        <v>6</v>
      </c>
      <c r="D4942" s="7" t="s">
        <v>7</v>
      </c>
      <c r="E4942" s="7">
        <v>0</v>
      </c>
    </row>
    <row r="4943" spans="1:5" ht="15.75" customHeight="1" x14ac:dyDescent="0.25">
      <c r="A4943" s="6" t="s">
        <v>4831</v>
      </c>
      <c r="B4943" s="6" t="str">
        <f ca="1">IFERROR(__xludf.DUMMYFUNCTION("GOOGLETRANSLATE(A4943,""bn"",""en"")"),"The young women all held hands and stood in a crescent-shaped line")</f>
        <v>The young women all held hands and stood in a crescent-shaped line</v>
      </c>
      <c r="C4943" s="7" t="s">
        <v>6</v>
      </c>
      <c r="D4943" s="7" t="s">
        <v>7</v>
      </c>
      <c r="E4943" s="7">
        <v>0</v>
      </c>
    </row>
    <row r="4944" spans="1:5" ht="15.75" customHeight="1" x14ac:dyDescent="0.25">
      <c r="A4944" s="6" t="s">
        <v>4832</v>
      </c>
      <c r="B4944" s="6" t="str">
        <f ca="1">IFERROR(__xludf.DUMMYFUNCTION("GOOGLETRANSLATE(A4944,""bn"",""en"")"),"Ramsundar wrapped the note in a handkerchief and sat near Behai.")</f>
        <v>Ramsundar wrapped the note in a handkerchief and sat near Behai.</v>
      </c>
      <c r="C4944" s="7" t="s">
        <v>6</v>
      </c>
      <c r="D4944" s="7" t="s">
        <v>7</v>
      </c>
      <c r="E4944" s="7">
        <v>0</v>
      </c>
    </row>
    <row r="4945" spans="1:5" ht="15.75" customHeight="1" x14ac:dyDescent="0.25">
      <c r="A4945" s="6" t="s">
        <v>4833</v>
      </c>
      <c r="B4945" s="6" t="str">
        <f ca="1">IFERROR(__xludf.DUMMYFUNCTION("GOOGLETRANSLATE(A4945,""bn"",""en"")"),"I can do it well")</f>
        <v>I can do it well</v>
      </c>
      <c r="C4945" s="7" t="s">
        <v>6</v>
      </c>
      <c r="D4945" s="7" t="s">
        <v>7</v>
      </c>
      <c r="E4945" s="7">
        <v>0</v>
      </c>
    </row>
    <row r="4946" spans="1:5" ht="15.75" customHeight="1" x14ac:dyDescent="0.25">
      <c r="A4946" s="6" t="s">
        <v>4834</v>
      </c>
      <c r="B4946" s="6" t="str">
        <f ca="1">IFERROR(__xludf.DUMMYFUNCTION("GOOGLETRANSLATE(A4946,""bn"",""en"")"),"Then the village started")</f>
        <v>Then the village started</v>
      </c>
      <c r="C4946" s="7" t="s">
        <v>6</v>
      </c>
      <c r="D4946" s="7" t="s">
        <v>7</v>
      </c>
      <c r="E4946" s="7">
        <v>0</v>
      </c>
    </row>
    <row r="4947" spans="1:5" ht="15.75" customHeight="1" x14ac:dyDescent="0.25">
      <c r="A4947" s="6" t="s">
        <v>4835</v>
      </c>
      <c r="B4947" s="6" t="str">
        <f ca="1">IFERROR(__xludf.DUMMYFUNCTION("GOOGLETRANSLATE(A4947,""bn"",""en"")"),"The award is dedicated to independent films")</f>
        <v>The award is dedicated to independent films</v>
      </c>
      <c r="C4947" s="8" t="s">
        <v>13</v>
      </c>
      <c r="D4947" s="8" t="s">
        <v>14</v>
      </c>
      <c r="E4947" s="8">
        <v>1</v>
      </c>
    </row>
    <row r="4948" spans="1:5" ht="15.75" customHeight="1" x14ac:dyDescent="0.25">
      <c r="A4948" s="6" t="s">
        <v>4836</v>
      </c>
      <c r="B4948" s="6" t="str">
        <f ca="1">IFERROR(__xludf.DUMMYFUNCTION("GOOGLETRANSLATE(A4948,""bn"",""en"")"),"Soon he left Kaler's party")</f>
        <v>Soon he left Kaler's party</v>
      </c>
      <c r="C4948" s="8" t="s">
        <v>13</v>
      </c>
      <c r="D4948" s="8" t="s">
        <v>14</v>
      </c>
      <c r="E4948" s="8">
        <v>1</v>
      </c>
    </row>
    <row r="4949" spans="1:5" ht="15.75" customHeight="1" x14ac:dyDescent="0.25">
      <c r="A4949" s="6" t="s">
        <v>4837</v>
      </c>
      <c r="B4949" s="6" t="str">
        <f ca="1">IFERROR(__xludf.DUMMYFUNCTION("GOOGLETRANSLATE(A4949,""bn"",""en"")"),"My aunt's cooking is incomparable")</f>
        <v>My aunt's cooking is incomparable</v>
      </c>
      <c r="C4949" s="8" t="s">
        <v>13</v>
      </c>
      <c r="D4949" s="8" t="s">
        <v>14</v>
      </c>
      <c r="E4949" s="8">
        <v>1</v>
      </c>
    </row>
    <row r="4950" spans="1:5" ht="15.75" customHeight="1" x14ac:dyDescent="0.25">
      <c r="A4950" s="6" t="s">
        <v>303</v>
      </c>
      <c r="B4950" s="6" t="str">
        <f ca="1">IFERROR(__xludf.DUMMYFUNCTION("GOOGLETRANSLATE(A4950,""bn"",""en"")"),"His mother's last words made him think sharply")</f>
        <v>His mother's last words made him think sharply</v>
      </c>
      <c r="C4950" s="8" t="s">
        <v>13</v>
      </c>
      <c r="D4950" s="8" t="s">
        <v>14</v>
      </c>
      <c r="E4950" s="8">
        <v>1</v>
      </c>
    </row>
    <row r="4951" spans="1:5" ht="15.75" customHeight="1" x14ac:dyDescent="0.25">
      <c r="A4951" s="6" t="s">
        <v>4838</v>
      </c>
      <c r="B4951" s="6" t="str">
        <f ca="1">IFERROR(__xludf.DUMMYFUNCTION("GOOGLETRANSLATE(A4951,""bn"",""en"")"),"Financial literacy is essential for making informed decisions about money")</f>
        <v>Financial literacy is essential for making informed decisions about money</v>
      </c>
      <c r="C4951" s="8" t="s">
        <v>13</v>
      </c>
      <c r="D4951" s="8" t="s">
        <v>14</v>
      </c>
      <c r="E4951" s="8">
        <v>1</v>
      </c>
    </row>
    <row r="4952" spans="1:5" ht="15.75" customHeight="1" x14ac:dyDescent="0.25">
      <c r="A4952" s="6" t="s">
        <v>4839</v>
      </c>
      <c r="B4952" s="6" t="str">
        <f ca="1">IFERROR(__xludf.DUMMYFUNCTION("GOOGLETRANSLATE(A4952,""bn"",""en"")"),"He entered the room with Sir's permission")</f>
        <v>He entered the room with Sir's permission</v>
      </c>
      <c r="C4952" s="7" t="s">
        <v>6</v>
      </c>
      <c r="D4952" s="7" t="s">
        <v>7</v>
      </c>
      <c r="E4952" s="7">
        <v>0</v>
      </c>
    </row>
    <row r="4953" spans="1:5" ht="15.75" customHeight="1" x14ac:dyDescent="0.25">
      <c r="A4953" s="6" t="s">
        <v>4840</v>
      </c>
      <c r="B4953" s="6" t="str">
        <f ca="1">IFERROR(__xludf.DUMMYFUNCTION("GOOGLETRANSLATE(A4953,""bn"",""en"")"),"After some time one day I remembered this ashwaththa tree then I thought that the tree is a big sucker and even the dull stone has no escape from it.")</f>
        <v>After some time one day I remembered this ashwaththa tree then I thought that the tree is a big sucker and even the dull stone has no escape from it.</v>
      </c>
      <c r="C4953" s="7" t="s">
        <v>6</v>
      </c>
      <c r="D4953" s="7" t="s">
        <v>7</v>
      </c>
      <c r="E4953" s="7">
        <v>0</v>
      </c>
    </row>
    <row r="4954" spans="1:5" ht="15.75" customHeight="1" x14ac:dyDescent="0.25">
      <c r="A4954" s="6" t="s">
        <v>4841</v>
      </c>
      <c r="B4954" s="6" t="str">
        <f ca="1">IFERROR(__xludf.DUMMYFUNCTION("GOOGLETRANSLATE(A4954,""bn"",""en"")"),"I can say it shamelessly the way I see it")</f>
        <v>I can say it shamelessly the way I see it</v>
      </c>
      <c r="C4954" s="7" t="s">
        <v>6</v>
      </c>
      <c r="D4954" s="7" t="s">
        <v>7</v>
      </c>
      <c r="E4954" s="7">
        <v>0</v>
      </c>
    </row>
    <row r="4955" spans="1:5" ht="15.75" customHeight="1" x14ac:dyDescent="0.25">
      <c r="A4955" s="6" t="s">
        <v>4842</v>
      </c>
      <c r="B4955" s="6" t="str">
        <f ca="1">IFERROR(__xludf.DUMMYFUNCTION("GOOGLETRANSLATE(A4955,""bn"",""en"")"),"I will go to Khedi after school")</f>
        <v>I will go to Khedi after school</v>
      </c>
      <c r="C4955" s="7" t="s">
        <v>6</v>
      </c>
      <c r="D4955" s="7" t="s">
        <v>7</v>
      </c>
      <c r="E4955" s="7">
        <v>0</v>
      </c>
    </row>
    <row r="4956" spans="1:5" ht="15.75" customHeight="1" x14ac:dyDescent="0.25">
      <c r="A4956" s="6" t="s">
        <v>4843</v>
      </c>
      <c r="B4956" s="6" t="str">
        <f ca="1">IFERROR(__xludf.DUMMYFUNCTION("GOOGLETRANSLATE(A4956,""bn"",""en"")"),"Don't let the hair get into my eyes")</f>
        <v>Don't let the hair get into my eyes</v>
      </c>
      <c r="C4956" s="7" t="s">
        <v>6</v>
      </c>
      <c r="D4956" s="7" t="s">
        <v>7</v>
      </c>
      <c r="E4956" s="7">
        <v>0</v>
      </c>
    </row>
    <row r="4957" spans="1:5" ht="15.75" customHeight="1" x14ac:dyDescent="0.25">
      <c r="A4957" s="6" t="s">
        <v>4844</v>
      </c>
      <c r="B4957" s="6" t="str">
        <f ca="1">IFERROR(__xludf.DUMMYFUNCTION("GOOGLETRANSLATE(A4957,""bn"",""en"")"),"Emphysema is a form of COPD characterized by damage to the air sacs in the lungs, causing difficulty breathing.")</f>
        <v>Emphysema is a form of COPD characterized by damage to the air sacs in the lungs, causing difficulty breathing.</v>
      </c>
      <c r="C4957" s="8" t="s">
        <v>13</v>
      </c>
      <c r="D4957" s="8" t="s">
        <v>14</v>
      </c>
      <c r="E4957" s="8">
        <v>1</v>
      </c>
    </row>
    <row r="4958" spans="1:5" ht="15.75" customHeight="1" x14ac:dyDescent="0.25">
      <c r="A4958" s="6" t="s">
        <v>4845</v>
      </c>
      <c r="B4958" s="6" t="str">
        <f ca="1">IFERROR(__xludf.DUMMYFUNCTION("GOOGLETRANSLATE(A4958,""bn"",""en"")"),"will you play cricket with me")</f>
        <v>will you play cricket with me</v>
      </c>
      <c r="C4958" s="8" t="s">
        <v>13</v>
      </c>
      <c r="D4958" s="8" t="s">
        <v>14</v>
      </c>
      <c r="E4958" s="8">
        <v>1</v>
      </c>
    </row>
    <row r="4959" spans="1:5" ht="15.75" customHeight="1" x14ac:dyDescent="0.25">
      <c r="A4959" s="6" t="s">
        <v>4846</v>
      </c>
      <c r="B4959" s="6" t="str">
        <f ca="1">IFERROR(__xludf.DUMMYFUNCTION("GOOGLETRANSLATE(A4959,""bn"",""en"")"),"Transaction details are shared with appropriate parties")</f>
        <v>Transaction details are shared with appropriate parties</v>
      </c>
      <c r="C4959" s="8" t="s">
        <v>13</v>
      </c>
      <c r="D4959" s="8" t="s">
        <v>14</v>
      </c>
      <c r="E4959" s="8">
        <v>1</v>
      </c>
    </row>
    <row r="4960" spans="1:5" ht="15.75" customHeight="1" x14ac:dyDescent="0.25">
      <c r="A4960" s="6" t="s">
        <v>4847</v>
      </c>
      <c r="B4960" s="6" t="str">
        <f ca="1">IFERROR(__xludf.DUMMYFUNCTION("GOOGLETRANSLATE(A4960,""bn"",""en"")"),"Now Rahim will go to sleep at home")</f>
        <v>Now Rahim will go to sleep at home</v>
      </c>
      <c r="C4960" s="8" t="s">
        <v>13</v>
      </c>
      <c r="D4960" s="8" t="s">
        <v>14</v>
      </c>
      <c r="E4960" s="8">
        <v>1</v>
      </c>
    </row>
    <row r="4961" spans="1:5" ht="15.75" customHeight="1" x14ac:dyDescent="0.25">
      <c r="A4961" s="6" t="s">
        <v>4848</v>
      </c>
      <c r="B4961" s="6" t="str">
        <f ca="1">IFERROR(__xludf.DUMMYFUNCTION("GOOGLETRANSLATE(A4961,""bn"",""en"")"),"It is very difficult to be honest in life and career")</f>
        <v>It is very difficult to be honest in life and career</v>
      </c>
      <c r="C4961" s="8" t="s">
        <v>13</v>
      </c>
      <c r="D4961" s="8" t="s">
        <v>14</v>
      </c>
      <c r="E4961" s="8">
        <v>1</v>
      </c>
    </row>
    <row r="4962" spans="1:5" ht="15.75" customHeight="1" x14ac:dyDescent="0.25">
      <c r="A4962" s="6" t="s">
        <v>4849</v>
      </c>
      <c r="B4962" s="6" t="str">
        <f ca="1">IFERROR(__xludf.DUMMYFUNCTION("GOOGLETRANSLATE(A4962,""bn"",""en"")"),"I could not see anyone like him")</f>
        <v>I could not see anyone like him</v>
      </c>
      <c r="C4962" s="7" t="s">
        <v>6</v>
      </c>
      <c r="D4962" s="7" t="s">
        <v>7</v>
      </c>
      <c r="E4962" s="7">
        <v>0</v>
      </c>
    </row>
    <row r="4963" spans="1:5" ht="15.75" customHeight="1" x14ac:dyDescent="0.25">
      <c r="A4963" s="6" t="s">
        <v>4850</v>
      </c>
      <c r="B4963" s="6" t="str">
        <f ca="1">IFERROR(__xludf.DUMMYFUNCTION("GOOGLETRANSLATE(A4963,""bn"",""en"")"),"Terrible because it doesn't intersect anywhere")</f>
        <v>Terrible because it doesn't intersect anywhere</v>
      </c>
      <c r="C4963" s="7" t="s">
        <v>6</v>
      </c>
      <c r="D4963" s="7" t="s">
        <v>7</v>
      </c>
      <c r="E4963" s="7">
        <v>0</v>
      </c>
    </row>
    <row r="4964" spans="1:5" ht="15.75" customHeight="1" x14ac:dyDescent="0.25">
      <c r="A4964" s="6" t="s">
        <v>4851</v>
      </c>
      <c r="B4964" s="6" t="str">
        <f ca="1">IFERROR(__xludf.DUMMYFUNCTION("GOOGLETRANSLATE(A4964,""bn"",""en"")"),"Even if tears are found in the world, will father's loving arms ever be found in the head of the elder brother?")</f>
        <v>Even if tears are found in the world, will father's loving arms ever be found in the head of the elder brother?</v>
      </c>
      <c r="C4964" s="7" t="s">
        <v>6</v>
      </c>
      <c r="D4964" s="7" t="s">
        <v>7</v>
      </c>
      <c r="E4964" s="7">
        <v>0</v>
      </c>
    </row>
    <row r="4965" spans="1:5" ht="15.75" customHeight="1" x14ac:dyDescent="0.25">
      <c r="A4965" s="6" t="s">
        <v>4852</v>
      </c>
      <c r="B4965" s="6" t="str">
        <f ca="1">IFERROR(__xludf.DUMMYFUNCTION("GOOGLETRANSLATE(A4965,""bn"",""en"")"),"The car stopped on the east side of Barakar river")</f>
        <v>The car stopped on the east side of Barakar river</v>
      </c>
      <c r="C4965" s="7" t="s">
        <v>6</v>
      </c>
      <c r="D4965" s="7" t="s">
        <v>7</v>
      </c>
      <c r="E4965" s="7">
        <v>0</v>
      </c>
    </row>
    <row r="4966" spans="1:5" ht="15.75" customHeight="1" x14ac:dyDescent="0.25">
      <c r="A4966" s="6" t="s">
        <v>4853</v>
      </c>
      <c r="B4966" s="6" t="str">
        <f ca="1">IFERROR(__xludf.DUMMYFUNCTION("GOOGLETRANSLATE(A4966,""bn"",""en"")"),"The king did not listen to the queen")</f>
        <v>The king did not listen to the queen</v>
      </c>
      <c r="C4966" s="7" t="s">
        <v>6</v>
      </c>
      <c r="D4966" s="7" t="s">
        <v>7</v>
      </c>
      <c r="E4966" s="7">
        <v>0</v>
      </c>
    </row>
    <row r="4967" spans="1:5" ht="15.75" customHeight="1" x14ac:dyDescent="0.25">
      <c r="A4967" s="6" t="s">
        <v>4854</v>
      </c>
      <c r="B4967" s="6" t="str">
        <f ca="1">IFERROR(__xludf.DUMMYFUNCTION("GOOGLETRANSLATE(A4967,""bn"",""en"")"),"She gave me a flower")</f>
        <v>She gave me a flower</v>
      </c>
      <c r="C4967" s="8" t="s">
        <v>13</v>
      </c>
      <c r="D4967" s="8" t="s">
        <v>14</v>
      </c>
      <c r="E4967" s="8">
        <v>1</v>
      </c>
    </row>
    <row r="4968" spans="1:5" ht="15.75" customHeight="1" x14ac:dyDescent="0.25">
      <c r="A4968" s="6" t="s">
        <v>4855</v>
      </c>
      <c r="B4968" s="6" t="str">
        <f ca="1">IFERROR(__xludf.DUMMYFUNCTION("GOOGLETRANSLATE(A4968,""bn"",""en"")"),"He was also a successful translator")</f>
        <v>He was also a successful translator</v>
      </c>
      <c r="C4968" s="8" t="s">
        <v>13</v>
      </c>
      <c r="D4968" s="8" t="s">
        <v>14</v>
      </c>
      <c r="E4968" s="8">
        <v>1</v>
      </c>
    </row>
    <row r="4969" spans="1:5" ht="15.75" customHeight="1" x14ac:dyDescent="0.25">
      <c r="A4969" s="6" t="s">
        <v>4856</v>
      </c>
      <c r="B4969" s="6" t="str">
        <f ca="1">IFERROR(__xludf.DUMMYFUNCTION("GOOGLETRANSLATE(A4969,""bn"",""en"")"),"Criminal penalties can range from fines to probation to imprisonment or even death")</f>
        <v>Criminal penalties can range from fines to probation to imprisonment or even death</v>
      </c>
      <c r="C4969" s="8" t="s">
        <v>13</v>
      </c>
      <c r="D4969" s="8" t="s">
        <v>14</v>
      </c>
      <c r="E4969" s="8">
        <v>1</v>
      </c>
    </row>
    <row r="4970" spans="1:5" ht="15.75" customHeight="1" x14ac:dyDescent="0.25">
      <c r="A4970" s="6" t="s">
        <v>4857</v>
      </c>
      <c r="B4970" s="6" t="str">
        <f ca="1">IFERROR(__xludf.DUMMYFUNCTION("GOOGLETRANSLATE(A4970,""bn"",""en"")"),"I have to change it")</f>
        <v>I have to change it</v>
      </c>
      <c r="C4970" s="8" t="s">
        <v>13</v>
      </c>
      <c r="D4970" s="8" t="s">
        <v>14</v>
      </c>
      <c r="E4970" s="8">
        <v>1</v>
      </c>
    </row>
    <row r="4971" spans="1:5" ht="15.75" customHeight="1" x14ac:dyDescent="0.25">
      <c r="A4971" s="6" t="s">
        <v>4858</v>
      </c>
      <c r="B4971" s="6" t="str">
        <f ca="1">IFERROR(__xludf.DUMMYFUNCTION("GOOGLETRANSLATE(A4971,""bn"",""en"")"),"He spent most of his life blind")</f>
        <v>He spent most of his life blind</v>
      </c>
      <c r="C4971" s="8" t="s">
        <v>13</v>
      </c>
      <c r="D4971" s="8" t="s">
        <v>14</v>
      </c>
      <c r="E4971" s="8">
        <v>1</v>
      </c>
    </row>
    <row r="4972" spans="1:5" ht="15.75" customHeight="1" x14ac:dyDescent="0.25">
      <c r="A4972" s="6" t="s">
        <v>4859</v>
      </c>
      <c r="B4972" s="6" t="str">
        <f ca="1">IFERROR(__xludf.DUMMYFUNCTION("GOOGLETRANSLATE(A4972,""bn"",""en"")"),"Rana will stay with Rahim")</f>
        <v>Rana will stay with Rahim</v>
      </c>
      <c r="C4972" s="7" t="s">
        <v>6</v>
      </c>
      <c r="D4972" s="7" t="s">
        <v>7</v>
      </c>
      <c r="E4972" s="7">
        <v>0</v>
      </c>
    </row>
    <row r="4973" spans="1:5" ht="15.75" customHeight="1" x14ac:dyDescent="0.25">
      <c r="A4973" s="6" t="s">
        <v>4860</v>
      </c>
      <c r="B4973" s="6" t="str">
        <f ca="1">IFERROR(__xludf.DUMMYFUNCTION("GOOGLETRANSLATE(A4973,""bn"",""en"")"),"There is no such thing in the world as a boy of thirteen or fourteen years")</f>
        <v>There is no such thing in the world as a boy of thirteen or fourteen years</v>
      </c>
      <c r="C4973" s="7" t="s">
        <v>6</v>
      </c>
      <c r="D4973" s="7" t="s">
        <v>7</v>
      </c>
      <c r="E4973" s="7">
        <v>0</v>
      </c>
    </row>
    <row r="4974" spans="1:5" ht="15.75" customHeight="1" x14ac:dyDescent="0.25">
      <c r="A4974" s="6" t="s">
        <v>4861</v>
      </c>
      <c r="B4974" s="6" t="str">
        <f ca="1">IFERROR(__xludf.DUMMYFUNCTION("GOOGLETRANSLATE(A4974,""bn"",""en"")"),"Along with ten times men, five or six young women are also bridegrooms")</f>
        <v>Along with ten times men, five or six young women are also bridegrooms</v>
      </c>
      <c r="C4974" s="7" t="s">
        <v>6</v>
      </c>
      <c r="D4974" s="7" t="s">
        <v>7</v>
      </c>
      <c r="E4974" s="7">
        <v>0</v>
      </c>
    </row>
    <row r="4975" spans="1:5" ht="15.75" customHeight="1" x14ac:dyDescent="0.25">
      <c r="A4975" s="6" t="s">
        <v>4862</v>
      </c>
      <c r="B4975" s="6" t="str">
        <f ca="1">IFERROR(__xludf.DUMMYFUNCTION("GOOGLETRANSLATE(A4975,""bn"",""en"")"),"In its place, four or five bricks have been built, one by one")</f>
        <v>In its place, four or five bricks have been built, one by one</v>
      </c>
      <c r="C4975" s="7" t="s">
        <v>6</v>
      </c>
      <c r="D4975" s="7" t="s">
        <v>7</v>
      </c>
      <c r="E4975" s="7">
        <v>0</v>
      </c>
    </row>
    <row r="4976" spans="1:5" ht="15.75" customHeight="1" x14ac:dyDescent="0.25">
      <c r="A4976" s="6" t="s">
        <v>4863</v>
      </c>
      <c r="B4976" s="6" t="str">
        <f ca="1">IFERROR(__xludf.DUMMYFUNCTION("GOOGLETRANSLATE(A4976,""bn"",""en"")"),"Waited and no one came back")</f>
        <v>Waited and no one came back</v>
      </c>
      <c r="C4976" s="7" t="s">
        <v>6</v>
      </c>
      <c r="D4976" s="7" t="s">
        <v>7</v>
      </c>
      <c r="E4976" s="7">
        <v>0</v>
      </c>
    </row>
    <row r="4977" spans="1:5" ht="15.75" customHeight="1" x14ac:dyDescent="0.25">
      <c r="A4977" s="6" t="s">
        <v>4864</v>
      </c>
      <c r="B4977" s="6" t="str">
        <f ca="1">IFERROR(__xludf.DUMMYFUNCTION("GOOGLETRANSLATE(A4977,""bn"",""en"")"),"Engineers developed a new technology to improve efficiency")</f>
        <v>Engineers developed a new technology to improve efficiency</v>
      </c>
      <c r="C4977" s="8" t="s">
        <v>13</v>
      </c>
      <c r="D4977" s="8" t="s">
        <v>14</v>
      </c>
      <c r="E4977" s="8">
        <v>1</v>
      </c>
    </row>
    <row r="4978" spans="1:5" ht="15.75" customHeight="1" x14ac:dyDescent="0.25">
      <c r="A4978" s="6" t="s">
        <v>4865</v>
      </c>
      <c r="B4978" s="6" t="str">
        <f ca="1">IFERROR(__xludf.DUMMYFUNCTION("GOOGLETRANSLATE(A4978,""bn"",""en"")"),"Al dente pasta showcases culinary skills")</f>
        <v>Al dente pasta showcases culinary skills</v>
      </c>
      <c r="C4978" s="8" t="s">
        <v>13</v>
      </c>
      <c r="D4978" s="8" t="s">
        <v>14</v>
      </c>
      <c r="E4978" s="8">
        <v>1</v>
      </c>
    </row>
    <row r="4979" spans="1:5" ht="15.75" customHeight="1" x14ac:dyDescent="0.25">
      <c r="A4979" s="6" t="s">
        <v>4866</v>
      </c>
      <c r="B4979" s="6" t="str">
        <f ca="1">IFERROR(__xludf.DUMMYFUNCTION("GOOGLETRANSLATE(A4979,""bn"",""en"")"),"Germany secured the third position by defeating Portugal")</f>
        <v>Germany secured the third position by defeating Portugal</v>
      </c>
      <c r="C4979" s="8" t="s">
        <v>13</v>
      </c>
      <c r="D4979" s="8" t="s">
        <v>14</v>
      </c>
      <c r="E4979" s="8">
        <v>1</v>
      </c>
    </row>
    <row r="4980" spans="1:5" ht="15.75" customHeight="1" x14ac:dyDescent="0.25">
      <c r="A4980" s="6" t="s">
        <v>4867</v>
      </c>
      <c r="B4980" s="6" t="str">
        <f ca="1">IFERROR(__xludf.DUMMYFUNCTION("GOOGLETRANSLATE(A4980,""bn"",""en"")"),"Precision farming technologies like GPS guided tractors optimize the efficiency of input use in farming")</f>
        <v>Precision farming technologies like GPS guided tractors optimize the efficiency of input use in farming</v>
      </c>
      <c r="C4980" s="8" t="s">
        <v>13</v>
      </c>
      <c r="D4980" s="8" t="s">
        <v>14</v>
      </c>
      <c r="E4980" s="8">
        <v>1</v>
      </c>
    </row>
    <row r="4981" spans="1:5" ht="15.75" customHeight="1" x14ac:dyDescent="0.25">
      <c r="A4981" s="6" t="s">
        <v>4868</v>
      </c>
      <c r="B4981" s="6" t="str">
        <f ca="1">IFERROR(__xludf.DUMMYFUNCTION("GOOGLETRANSLATE(A4981,""bn"",""en"")"),"Remember to be present in the moment to breathe deeply")</f>
        <v>Remember to be present in the moment to breathe deeply</v>
      </c>
      <c r="C4981" s="8" t="s">
        <v>13</v>
      </c>
      <c r="D4981" s="8" t="s">
        <v>14</v>
      </c>
      <c r="E4981" s="8">
        <v>1</v>
      </c>
    </row>
    <row r="4982" spans="1:5" ht="15.75" customHeight="1" x14ac:dyDescent="0.25">
      <c r="A4982" s="6" t="s">
        <v>4869</v>
      </c>
      <c r="B4982" s="6" t="str">
        <f ca="1">IFERROR(__xludf.DUMMYFUNCTION("GOOGLETRANSLATE(A4982,""bn"",""en"")"),"They danced, danced, danced, danced, danced, danced, danced, danced like petals of a flower, all falling once.")</f>
        <v>They danced, danced, danced, danced, danced, danced, danced, danced like petals of a flower, all falling once.</v>
      </c>
      <c r="C4982" s="7" t="s">
        <v>6</v>
      </c>
      <c r="D4982" s="7" t="s">
        <v>7</v>
      </c>
      <c r="E4982" s="7">
        <v>0</v>
      </c>
    </row>
    <row r="4983" spans="1:5" ht="15.75" customHeight="1" x14ac:dyDescent="0.25">
      <c r="A4983" s="6" t="s">
        <v>4870</v>
      </c>
      <c r="B4983" s="6" t="str">
        <f ca="1">IFERROR(__xludf.DUMMYFUNCTION("GOOGLETRANSLATE(A4983,""bn"",""en"")"),"Madrasa cannot run away and become an Azhari")</f>
        <v>Madrasa cannot run away and become an Azhari</v>
      </c>
      <c r="C4983" s="7" t="s">
        <v>6</v>
      </c>
      <c r="D4983" s="7" t="s">
        <v>7</v>
      </c>
      <c r="E4983" s="7">
        <v>0</v>
      </c>
    </row>
    <row r="4984" spans="1:5" ht="15.75" customHeight="1" x14ac:dyDescent="0.25">
      <c r="A4984" s="6" t="s">
        <v>4871</v>
      </c>
      <c r="B4984" s="6" t="str">
        <f ca="1">IFERROR(__xludf.DUMMYFUNCTION("GOOGLETRANSLATE(A4984,""bn"",""en"")"),"The daughters of any nation in the world cannot dance as much as the young women of the lap laugh and dance")</f>
        <v>The daughters of any nation in the world cannot dance as much as the young women of the lap laugh and dance</v>
      </c>
      <c r="C4984" s="7" t="s">
        <v>6</v>
      </c>
      <c r="D4984" s="7" t="s">
        <v>7</v>
      </c>
      <c r="E4984" s="7">
        <v>0</v>
      </c>
    </row>
    <row r="4985" spans="1:5" ht="15.75" customHeight="1" x14ac:dyDescent="0.25">
      <c r="A4985" s="6" t="s">
        <v>4872</v>
      </c>
      <c r="B4985" s="6" t="str">
        <f ca="1">IFERROR(__xludf.DUMMYFUNCTION("GOOGLETRANSLATE(A4985,""bn"",""en"")"),"The ten or five people who live here and there will not be there after a few days")</f>
        <v>The ten or five people who live here and there will not be there after a few days</v>
      </c>
      <c r="C4985" s="7" t="s">
        <v>6</v>
      </c>
      <c r="D4985" s="7" t="s">
        <v>7</v>
      </c>
      <c r="E4985" s="7">
        <v>0</v>
      </c>
    </row>
    <row r="4986" spans="1:5" ht="15.75" customHeight="1" x14ac:dyDescent="0.25">
      <c r="A4986" s="6" t="s">
        <v>4873</v>
      </c>
      <c r="B4986" s="6" t="str">
        <f ca="1">IFERROR(__xludf.DUMMYFUNCTION("GOOGLETRANSLATE(A4986,""bn"",""en"")"),"A book friend brings Marjana into her emotional world while staying in Calcutta")</f>
        <v>A book friend brings Marjana into her emotional world while staying in Calcutta</v>
      </c>
      <c r="C4986" s="7" t="s">
        <v>6</v>
      </c>
      <c r="D4986" s="7" t="s">
        <v>7</v>
      </c>
      <c r="E4986" s="7">
        <v>0</v>
      </c>
    </row>
    <row r="4987" spans="1:5" ht="15.75" customHeight="1" x14ac:dyDescent="0.25">
      <c r="A4987" s="6" t="s">
        <v>4874</v>
      </c>
      <c r="B4987" s="6" t="str">
        <f ca="1">IFERROR(__xludf.DUMMYFUNCTION("GOOGLETRANSLATE(A4987,""bn"",""en"")"),"Be active during daily activities")</f>
        <v>Be active during daily activities</v>
      </c>
      <c r="C4987" s="8" t="s">
        <v>13</v>
      </c>
      <c r="D4987" s="8" t="s">
        <v>14</v>
      </c>
      <c r="E4987" s="8">
        <v>1</v>
      </c>
    </row>
    <row r="4988" spans="1:5" ht="15.75" customHeight="1" x14ac:dyDescent="0.25">
      <c r="A4988" s="6" t="s">
        <v>4875</v>
      </c>
      <c r="B4988" s="6" t="str">
        <f ca="1">IFERROR(__xludf.DUMMYFUNCTION("GOOGLETRANSLATE(A4988,""bn"",""en"")"),"Journalistic integrity is paramount in maintaining the credibility of news organizations")</f>
        <v>Journalistic integrity is paramount in maintaining the credibility of news organizations</v>
      </c>
      <c r="C4988" s="8" t="s">
        <v>13</v>
      </c>
      <c r="D4988" s="8" t="s">
        <v>14</v>
      </c>
      <c r="E4988" s="8">
        <v>1</v>
      </c>
    </row>
    <row r="4989" spans="1:5" ht="15.75" customHeight="1" x14ac:dyDescent="0.25">
      <c r="A4989" s="6" t="s">
        <v>4876</v>
      </c>
      <c r="B4989" s="6" t="str">
        <f ca="1">IFERROR(__xludf.DUMMYFUNCTION("GOOGLETRANSLATE(A4989,""bn"",""en"")"),"The relevant verses are Ham Meem")</f>
        <v>The relevant verses are Ham Meem</v>
      </c>
      <c r="C4989" s="8" t="s">
        <v>13</v>
      </c>
      <c r="D4989" s="8" t="s">
        <v>14</v>
      </c>
      <c r="E4989" s="8">
        <v>1</v>
      </c>
    </row>
    <row r="4990" spans="1:5" ht="15.75" customHeight="1" x14ac:dyDescent="0.25">
      <c r="A4990" s="6" t="s">
        <v>4877</v>
      </c>
      <c r="B4990" s="6" t="str">
        <f ca="1">IFERROR(__xludf.DUMMYFUNCTION("GOOGLETRANSLATE(A4990,""bn"",""en"")"),"Rana came after hearing me")</f>
        <v>Rana came after hearing me</v>
      </c>
      <c r="C4990" s="8" t="s">
        <v>13</v>
      </c>
      <c r="D4990" s="8" t="s">
        <v>14</v>
      </c>
      <c r="E4990" s="8">
        <v>1</v>
      </c>
    </row>
    <row r="4991" spans="1:5" ht="15.75" customHeight="1" x14ac:dyDescent="0.25">
      <c r="A4991" s="6" t="s">
        <v>4878</v>
      </c>
      <c r="B4991" s="6" t="str">
        <f ca="1">IFERROR(__xludf.DUMMYFUNCTION("GOOGLETRANSLATE(A4991,""bn"",""en"")"),"The business section of the newspaper provides insights into the economy and financial markets")</f>
        <v>The business section of the newspaper provides insights into the economy and financial markets</v>
      </c>
      <c r="C4991" s="8" t="s">
        <v>13</v>
      </c>
      <c r="D4991" s="8" t="s">
        <v>14</v>
      </c>
      <c r="E4991" s="8">
        <v>1</v>
      </c>
    </row>
    <row r="4992" spans="1:5" ht="15.75" customHeight="1" x14ac:dyDescent="0.25">
      <c r="A4992" s="6" t="s">
        <v>4879</v>
      </c>
      <c r="B4992" s="6" t="str">
        <f ca="1">IFERROR(__xludf.DUMMYFUNCTION("GOOGLETRANSLATE(A4992,""bn"",""en"")"),"Just to load our daughter-in-law's face")</f>
        <v>Just to load our daughter-in-law's face</v>
      </c>
      <c r="C4992" s="7" t="s">
        <v>6</v>
      </c>
      <c r="D4992" s="7" t="s">
        <v>7</v>
      </c>
      <c r="E4992" s="7">
        <v>0</v>
      </c>
    </row>
    <row r="4993" spans="1:5" ht="15.75" customHeight="1" x14ac:dyDescent="0.25">
      <c r="A4993" s="6" t="s">
        <v>4880</v>
      </c>
      <c r="B4993" s="6" t="str">
        <f ca="1">IFERROR(__xludf.DUMMYFUNCTION("GOOGLETRANSLATE(A4993,""bn"",""en"")"),"I did not believe it and brought it from the country and tested it")</f>
        <v>I did not believe it and brought it from the country and tested it</v>
      </c>
      <c r="C4993" s="7" t="s">
        <v>6</v>
      </c>
      <c r="D4993" s="7" t="s">
        <v>7</v>
      </c>
      <c r="E4993" s="7">
        <v>0</v>
      </c>
    </row>
    <row r="4994" spans="1:5" ht="15.75" customHeight="1" x14ac:dyDescent="0.25">
      <c r="A4994" s="6" t="s">
        <v>4881</v>
      </c>
      <c r="B4994" s="6" t="str">
        <f ca="1">IFERROR(__xludf.DUMMYFUNCTION("GOOGLETRANSLATE(A4994,""bn"",""en"")"),"He smiled and said that he can understand when he sees you—S")</f>
        <v>He smiled and said that he can understand when he sees you—S</v>
      </c>
      <c r="C4994" s="7" t="s">
        <v>6</v>
      </c>
      <c r="D4994" s="7" t="s">
        <v>7</v>
      </c>
      <c r="E4994" s="7">
        <v>0</v>
      </c>
    </row>
    <row r="4995" spans="1:5" ht="15.75" customHeight="1" x14ac:dyDescent="0.25">
      <c r="A4995" s="6" t="s">
        <v>3755</v>
      </c>
      <c r="B4995" s="6" t="str">
        <f ca="1">IFERROR(__xludf.DUMMYFUNCTION("GOOGLETRANSLATE(A4995,""bn"",""en"")"),"He who does not understand the danger is brave")</f>
        <v>He who does not understand the danger is brave</v>
      </c>
      <c r="C4995" s="7" t="s">
        <v>6</v>
      </c>
      <c r="D4995" s="7" t="s">
        <v>7</v>
      </c>
      <c r="E4995" s="7">
        <v>0</v>
      </c>
    </row>
    <row r="4996" spans="1:5" ht="15.75" customHeight="1" x14ac:dyDescent="0.25">
      <c r="A4996" s="6" t="s">
        <v>4861</v>
      </c>
      <c r="B4996" s="6" t="str">
        <f ca="1">IFERROR(__xludf.DUMMYFUNCTION("GOOGLETRANSLATE(A4996,""bn"",""en"")"),"Along with ten times men, five or six young women are also bridegrooms")</f>
        <v>Along with ten times men, five or six young women are also bridegrooms</v>
      </c>
      <c r="C4996" s="7" t="s">
        <v>6</v>
      </c>
      <c r="D4996" s="7" t="s">
        <v>7</v>
      </c>
      <c r="E4996" s="7">
        <v>0</v>
      </c>
    </row>
    <row r="4997" spans="1:5" ht="15.75" customHeight="1" x14ac:dyDescent="0.25">
      <c r="A4997" s="6" t="s">
        <v>4882</v>
      </c>
      <c r="B4997" s="6" t="str">
        <f ca="1">IFERROR(__xludf.DUMMYFUNCTION("GOOGLETRANSLATE(A4997,""bn"",""en"")"),"He won the Senate election")</f>
        <v>He won the Senate election</v>
      </c>
      <c r="C4997" s="8" t="s">
        <v>13</v>
      </c>
      <c r="D4997" s="8" t="s">
        <v>14</v>
      </c>
      <c r="E4997" s="8">
        <v>1</v>
      </c>
    </row>
    <row r="4998" spans="1:5" ht="15.75" customHeight="1" x14ac:dyDescent="0.25">
      <c r="A4998" s="6" t="s">
        <v>4883</v>
      </c>
      <c r="B4998" s="6" t="str">
        <f ca="1">IFERROR(__xludf.DUMMYFUNCTION("GOOGLETRANSLATE(A4998,""bn"",""en"")"),"The decade after World War I was synonymous with the Kallor era")</f>
        <v>The decade after World War I was synonymous with the Kallor era</v>
      </c>
      <c r="C4998" s="8" t="s">
        <v>13</v>
      </c>
      <c r="D4998" s="8" t="s">
        <v>14</v>
      </c>
      <c r="E4998" s="8">
        <v>1</v>
      </c>
    </row>
    <row r="4999" spans="1:5" ht="15.75" customHeight="1" x14ac:dyDescent="0.25">
      <c r="A4999" s="6" t="s">
        <v>4884</v>
      </c>
      <c r="B4999" s="6" t="str">
        <f ca="1">IFERROR(__xludf.DUMMYFUNCTION("GOOGLETRANSLATE(A4999,""bn"",""en"")"),"My siblings are my best friends")</f>
        <v>My siblings are my best friends</v>
      </c>
      <c r="C4999" s="8" t="s">
        <v>13</v>
      </c>
      <c r="D4999" s="8" t="s">
        <v>14</v>
      </c>
      <c r="E4999" s="8">
        <v>1</v>
      </c>
    </row>
    <row r="5000" spans="1:5" ht="15.75" customHeight="1" x14ac:dyDescent="0.25">
      <c r="A5000" s="6" t="s">
        <v>4885</v>
      </c>
      <c r="B5000" s="6" t="str">
        <f ca="1">IFERROR(__xludf.DUMMYFUNCTION("GOOGLETRANSLATE(A5000,""bn"",""en"")"),"He is holding the swan's throat with his right hand")</f>
        <v>He is holding the swan's throat with his right hand</v>
      </c>
      <c r="C5000" s="8" t="s">
        <v>13</v>
      </c>
      <c r="D5000" s="8" t="s">
        <v>14</v>
      </c>
      <c r="E5000" s="8">
        <v>1</v>
      </c>
    </row>
    <row r="5001" spans="1:5" ht="15.75" customHeight="1" x14ac:dyDescent="0.25">
      <c r="A5001" s="6" t="s">
        <v>4886</v>
      </c>
      <c r="B5001" s="6" t="str">
        <f ca="1">IFERROR(__xludf.DUMMYFUNCTION("GOOGLETRANSLATE(A5001,""bn"",""en"")"),"Dada Abdur Rahim Hawladar was a majestic man")</f>
        <v>Dada Abdur Rahim Hawladar was a majestic man</v>
      </c>
      <c r="C5001" s="8" t="s">
        <v>13</v>
      </c>
      <c r="D5001" s="8" t="s">
        <v>14</v>
      </c>
      <c r="E5001" s="8">
        <v>1</v>
      </c>
    </row>
    <row r="5002" spans="1:5" ht="15.75" customHeight="1" x14ac:dyDescent="0.25">
      <c r="A5002" s="6" t="s">
        <v>4887</v>
      </c>
      <c r="B5002" s="6" t="str">
        <f ca="1">IFERROR(__xludf.DUMMYFUNCTION("GOOGLETRANSLATE(A5002,""bn"",""en"")"),"Above the head, a part of the well-made grave can be seen with a small gap of anchal")</f>
        <v>Above the head, a part of the well-made grave can be seen with a small gap of anchal</v>
      </c>
      <c r="C5002" s="7" t="s">
        <v>6</v>
      </c>
      <c r="D5002" s="7" t="s">
        <v>7</v>
      </c>
      <c r="E5002" s="7">
        <v>0</v>
      </c>
    </row>
    <row r="5003" spans="1:5" ht="15.75" customHeight="1" x14ac:dyDescent="0.25">
      <c r="A5003" s="6" t="s">
        <v>4888</v>
      </c>
      <c r="B5003" s="6" t="str">
        <f ca="1">IFERROR(__xludf.DUMMYFUNCTION("GOOGLETRANSLATE(A5003,""bn"",""en"")"),"The mango garden looks like a forest in the dark")</f>
        <v>The mango garden looks like a forest in the dark</v>
      </c>
      <c r="C5003" s="7" t="s">
        <v>6</v>
      </c>
      <c r="D5003" s="7" t="s">
        <v>7</v>
      </c>
      <c r="E5003" s="7">
        <v>0</v>
      </c>
    </row>
    <row r="5004" spans="1:5" ht="15.75" customHeight="1" x14ac:dyDescent="0.25">
      <c r="A5004" s="6" t="s">
        <v>4889</v>
      </c>
      <c r="B5004" s="6" t="str">
        <f ca="1">IFERROR(__xludf.DUMMYFUNCTION("GOOGLETRANSLATE(A5004,""bn"",""en"")"),"I used to say that the song that came to my memory must be the song of the bee.")</f>
        <v>I used to say that the song that came to my memory must be the song of the bee.</v>
      </c>
      <c r="C5004" s="7" t="s">
        <v>6</v>
      </c>
      <c r="D5004" s="7" t="s">
        <v>7</v>
      </c>
      <c r="E5004" s="7">
        <v>0</v>
      </c>
    </row>
    <row r="5005" spans="1:5" ht="15.75" customHeight="1" x14ac:dyDescent="0.25">
      <c r="A5005" s="6" t="s">
        <v>4890</v>
      </c>
      <c r="B5005" s="6" t="str">
        <f ca="1">IFERROR(__xludf.DUMMYFUNCTION("GOOGLETRANSLATE(A5005,""bn"",""en"")"),"In response to this, a gentleman wrote that how few castes live in India")</f>
        <v>In response to this, a gentleman wrote that how few castes live in India</v>
      </c>
      <c r="C5005" s="7" t="s">
        <v>6</v>
      </c>
      <c r="D5005" s="7" t="s">
        <v>7</v>
      </c>
      <c r="E5005" s="7">
        <v>0</v>
      </c>
    </row>
    <row r="5006" spans="1:5" ht="15.75" customHeight="1" x14ac:dyDescent="0.25">
      <c r="A5006" s="6" t="s">
        <v>4891</v>
      </c>
      <c r="B5006" s="6" t="str">
        <f ca="1">IFERROR(__xludf.DUMMYFUNCTION("GOOGLETRANSLATE(A5006,""bn"",""en"")"),"I was only fooled by the trick of pride and fell in love with Khan Saheb's words")</f>
        <v>I was only fooled by the trick of pride and fell in love with Khan Saheb's words</v>
      </c>
      <c r="C5006" s="7" t="s">
        <v>6</v>
      </c>
      <c r="D5006" s="7" t="s">
        <v>7</v>
      </c>
      <c r="E5006" s="7">
        <v>0</v>
      </c>
    </row>
    <row r="5007" spans="1:5" ht="15.75" customHeight="1" x14ac:dyDescent="0.25">
      <c r="A5007" s="6" t="s">
        <v>4892</v>
      </c>
      <c r="B5007" s="6" t="str">
        <f ca="1">IFERROR(__xludf.DUMMYFUNCTION("GOOGLETRANSLATE(A5007,""bn"",""en"")"),"He then concentrated on literature and wrote several original plays in translation")</f>
        <v>He then concentrated on literature and wrote several original plays in translation</v>
      </c>
      <c r="C5007" s="8" t="s">
        <v>13</v>
      </c>
      <c r="D5007" s="8" t="s">
        <v>14</v>
      </c>
      <c r="E5007" s="8">
        <v>1</v>
      </c>
    </row>
    <row r="5008" spans="1:5" ht="15.75" customHeight="1" x14ac:dyDescent="0.25">
      <c r="A5008" s="6" t="s">
        <v>4893</v>
      </c>
      <c r="B5008" s="6" t="str">
        <f ca="1">IFERROR(__xludf.DUMMYFUNCTION("GOOGLETRANSLATE(A5008,""bn"",""en"")"),"Share your favorite quotes")</f>
        <v>Share your favorite quotes</v>
      </c>
      <c r="C5008" s="8" t="s">
        <v>13</v>
      </c>
      <c r="D5008" s="8" t="s">
        <v>14</v>
      </c>
      <c r="E5008" s="8">
        <v>1</v>
      </c>
    </row>
    <row r="5009" spans="1:5" ht="15.75" customHeight="1" x14ac:dyDescent="0.25">
      <c r="A5009" s="6" t="s">
        <v>4894</v>
      </c>
      <c r="B5009" s="6" t="str">
        <f ca="1">IFERROR(__xludf.DUMMYFUNCTION("GOOGLETRANSLATE(A5009,""bn"",""en"")"),"The teacher said that time should be used properly")</f>
        <v>The teacher said that time should be used properly</v>
      </c>
      <c r="C5009" s="8" t="s">
        <v>13</v>
      </c>
      <c r="D5009" s="8" t="s">
        <v>14</v>
      </c>
      <c r="E5009" s="8">
        <v>1</v>
      </c>
    </row>
    <row r="5010" spans="1:5" ht="15.75" customHeight="1" x14ac:dyDescent="0.25">
      <c r="A5010" s="6" t="s">
        <v>4895</v>
      </c>
      <c r="B5010" s="6" t="str">
        <f ca="1">IFERROR(__xludf.DUMMYFUNCTION("GOOGLETRANSLATE(A5010,""bn"",""en"")"),"Supply chain optimization reduces costs and increases efficiency")</f>
        <v>Supply chain optimization reduces costs and increases efficiency</v>
      </c>
      <c r="C5010" s="8" t="s">
        <v>13</v>
      </c>
      <c r="D5010" s="8" t="s">
        <v>14</v>
      </c>
      <c r="E5010" s="8">
        <v>1</v>
      </c>
    </row>
    <row r="5011" spans="1:5" ht="15.75" customHeight="1" x14ac:dyDescent="0.25">
      <c r="A5011" s="6" t="s">
        <v>4896</v>
      </c>
      <c r="B5011" s="6" t="str">
        <f ca="1">IFERROR(__xludf.DUMMYFUNCTION("GOOGLETRANSLATE(A5011,""bn"",""en"")"),"Azan is to go to prayer")</f>
        <v>Azan is to go to prayer</v>
      </c>
      <c r="C5011" s="8" t="s">
        <v>13</v>
      </c>
      <c r="D5011" s="8" t="s">
        <v>14</v>
      </c>
      <c r="E5011" s="8">
        <v>1</v>
      </c>
    </row>
    <row r="5012" spans="1:5" ht="15.75" customHeight="1" x14ac:dyDescent="0.25">
      <c r="A5012" s="6" t="s">
        <v>4897</v>
      </c>
      <c r="B5012" s="6" t="str">
        <f ca="1">IFERROR(__xludf.DUMMYFUNCTION("GOOGLETRANSLATE(A5012,""bn"",""en"")"),"Sachish opened the book and looked at my face for a while")</f>
        <v>Sachish opened the book and looked at my face for a while</v>
      </c>
      <c r="C5012" s="7" t="s">
        <v>6</v>
      </c>
      <c r="D5012" s="7" t="s">
        <v>7</v>
      </c>
      <c r="E5012" s="7">
        <v>0</v>
      </c>
    </row>
    <row r="5013" spans="1:5" ht="15.75" customHeight="1" x14ac:dyDescent="0.25">
      <c r="A5013" s="6" t="s">
        <v>4898</v>
      </c>
      <c r="B5013" s="6" t="str">
        <f ca="1">IFERROR(__xludf.DUMMYFUNCTION("GOOGLETRANSLATE(A5013,""bn"",""en"")"),"I felt a little pain in my heart")</f>
        <v>I felt a little pain in my heart</v>
      </c>
      <c r="C5013" s="7" t="s">
        <v>6</v>
      </c>
      <c r="D5013" s="7" t="s">
        <v>7</v>
      </c>
      <c r="E5013" s="7">
        <v>0</v>
      </c>
    </row>
    <row r="5014" spans="1:5" ht="15.75" customHeight="1" x14ac:dyDescent="0.25">
      <c r="A5014" s="6" t="s">
        <v>4899</v>
      </c>
      <c r="B5014" s="6" t="str">
        <f ca="1">IFERROR(__xludf.DUMMYFUNCTION("GOOGLETRANSLATE(A5014,""bn"",""en"")"),"He could hear a muffled cry of a baby inside")</f>
        <v>He could hear a muffled cry of a baby inside</v>
      </c>
      <c r="C5014" s="7" t="s">
        <v>6</v>
      </c>
      <c r="D5014" s="7" t="s">
        <v>7</v>
      </c>
      <c r="E5014" s="7">
        <v>0</v>
      </c>
    </row>
    <row r="5015" spans="1:5" ht="15.75" customHeight="1" x14ac:dyDescent="0.25">
      <c r="A5015" s="6" t="s">
        <v>4900</v>
      </c>
      <c r="B5015" s="6" t="str">
        <f ca="1">IFERROR(__xludf.DUMMYFUNCTION("GOOGLETRANSLATE(A5015,""bn"",""en"")"),"Somehow, no one demanded anything more from him than that he should stay alive")</f>
        <v>Somehow, no one demanded anything more from him than that he should stay alive</v>
      </c>
      <c r="C5015" s="7" t="s">
        <v>6</v>
      </c>
      <c r="D5015" s="7" t="s">
        <v>7</v>
      </c>
      <c r="E5015" s="7">
        <v>0</v>
      </c>
    </row>
    <row r="5016" spans="1:5" ht="15.75" customHeight="1" x14ac:dyDescent="0.25">
      <c r="A5016" s="6" t="s">
        <v>4901</v>
      </c>
      <c r="B5016" s="6" t="str">
        <f ca="1">IFERROR(__xludf.DUMMYFUNCTION("GOOGLETRANSLATE(A5016,""bn"",""en"")"),"I went and sat beside them")</f>
        <v>I went and sat beside them</v>
      </c>
      <c r="C5016" s="7" t="s">
        <v>6</v>
      </c>
      <c r="D5016" s="7" t="s">
        <v>7</v>
      </c>
      <c r="E5016" s="7">
        <v>0</v>
      </c>
    </row>
    <row r="5017" spans="1:5" ht="15.75" customHeight="1" x14ac:dyDescent="0.25">
      <c r="A5017" s="6" t="s">
        <v>4902</v>
      </c>
      <c r="B5017" s="6" t="str">
        <f ca="1">IFERROR(__xludf.DUMMYFUNCTION("GOOGLETRANSLATE(A5017,""bn"",""en"")"),"Among them, the Stadium of Domitian in Rome was very popular")</f>
        <v>Among them, the Stadium of Domitian in Rome was very popular</v>
      </c>
      <c r="C5017" s="8" t="s">
        <v>13</v>
      </c>
      <c r="D5017" s="8" t="s">
        <v>14</v>
      </c>
      <c r="E5017" s="8">
        <v>1</v>
      </c>
    </row>
    <row r="5018" spans="1:5" ht="15.75" customHeight="1" x14ac:dyDescent="0.25">
      <c r="A5018" s="6" t="s">
        <v>4903</v>
      </c>
      <c r="B5018" s="6" t="str">
        <f ca="1">IFERROR(__xludf.DUMMYFUNCTION("GOOGLETRANSLATE(A5018,""bn"",""en"")"),"He helped me in my work")</f>
        <v>He helped me in my work</v>
      </c>
      <c r="C5018" s="8" t="s">
        <v>13</v>
      </c>
      <c r="D5018" s="8" t="s">
        <v>14</v>
      </c>
      <c r="E5018" s="8">
        <v>1</v>
      </c>
    </row>
    <row r="5019" spans="1:5" ht="15.75" customHeight="1" x14ac:dyDescent="0.25">
      <c r="A5019" s="6" t="s">
        <v>4904</v>
      </c>
      <c r="B5019" s="6" t="str">
        <f ca="1">IFERROR(__xludf.DUMMYFUNCTION("GOOGLETRANSLATE(A5019,""bn"",""en"")"),"Dad used to wake up and take me to the reading room")</f>
        <v>Dad used to wake up and take me to the reading room</v>
      </c>
      <c r="C5019" s="8" t="s">
        <v>13</v>
      </c>
      <c r="D5019" s="8" t="s">
        <v>14</v>
      </c>
      <c r="E5019" s="8">
        <v>1</v>
      </c>
    </row>
    <row r="5020" spans="1:5" ht="15.75" customHeight="1" x14ac:dyDescent="0.25">
      <c r="A5020" s="6" t="s">
        <v>4905</v>
      </c>
      <c r="B5020" s="6" t="str">
        <f ca="1">IFERROR(__xludf.DUMMYFUNCTION("GOOGLETRANSLATE(A5020,""bn"",""en"")"),"Soon their wait was over")</f>
        <v>Soon their wait was over</v>
      </c>
      <c r="C5020" s="8" t="s">
        <v>13</v>
      </c>
      <c r="D5020" s="8" t="s">
        <v>14</v>
      </c>
      <c r="E5020" s="8">
        <v>1</v>
      </c>
    </row>
    <row r="5021" spans="1:5" ht="15.75" customHeight="1" x14ac:dyDescent="0.25">
      <c r="A5021" s="6" t="s">
        <v>4906</v>
      </c>
      <c r="B5021" s="6" t="str">
        <f ca="1">IFERROR(__xludf.DUMMYFUNCTION("GOOGLETRANSLATE(A5021,""bn"",""en"")"),"I don't want to go to school on a rainy day")</f>
        <v>I don't want to go to school on a rainy day</v>
      </c>
      <c r="C5021" s="8" t="s">
        <v>13</v>
      </c>
      <c r="D5021" s="8" t="s">
        <v>14</v>
      </c>
      <c r="E5021" s="8">
        <v>1</v>
      </c>
    </row>
    <row r="5022" spans="1:5" ht="15.75" customHeight="1" x14ac:dyDescent="0.25">
      <c r="A5022" s="6" t="s">
        <v>4266</v>
      </c>
      <c r="B5022" s="6" t="str">
        <f ca="1">IFERROR(__xludf.DUMMYFUNCTION("GOOGLETRANSLATE(A5022,""bn"",""en"")"),"It seems that the paw was licked once before sleep")</f>
        <v>It seems that the paw was licked once before sleep</v>
      </c>
      <c r="C5022" s="7" t="s">
        <v>6</v>
      </c>
      <c r="D5022" s="7" t="s">
        <v>7</v>
      </c>
      <c r="E5022" s="7">
        <v>0</v>
      </c>
    </row>
    <row r="5023" spans="1:5" ht="15.75" customHeight="1" x14ac:dyDescent="0.25">
      <c r="A5023" s="6" t="s">
        <v>4907</v>
      </c>
      <c r="B5023" s="6" t="str">
        <f ca="1">IFERROR(__xludf.DUMMYFUNCTION("GOOGLETRANSLATE(A5023,""bn"",""en"")"),"I liked school very much")</f>
        <v>I liked school very much</v>
      </c>
      <c r="C5023" s="7" t="s">
        <v>6</v>
      </c>
      <c r="D5023" s="7" t="s">
        <v>7</v>
      </c>
      <c r="E5023" s="7">
        <v>0</v>
      </c>
    </row>
    <row r="5024" spans="1:5" ht="15.75" customHeight="1" x14ac:dyDescent="0.25">
      <c r="A5024" s="6" t="s">
        <v>4908</v>
      </c>
      <c r="B5024" s="6" t="str">
        <f ca="1">IFERROR(__xludf.DUMMYFUNCTION("GOOGLETRANSLATE(A5024,""bn"",""en"")"),"Mother asked me to eat")</f>
        <v>Mother asked me to eat</v>
      </c>
      <c r="C5024" s="7" t="s">
        <v>6</v>
      </c>
      <c r="D5024" s="7" t="s">
        <v>7</v>
      </c>
      <c r="E5024" s="7">
        <v>0</v>
      </c>
    </row>
    <row r="5025" spans="1:5" ht="15.75" customHeight="1" x14ac:dyDescent="0.25">
      <c r="A5025" s="6" t="s">
        <v>4909</v>
      </c>
      <c r="B5025" s="6" t="str">
        <f ca="1">IFERROR(__xludf.DUMMYFUNCTION("GOOGLETRANSLATE(A5025,""bn"",""en"")"),"Both displaced the stone quarry")</f>
        <v>Both displaced the stone quarry</v>
      </c>
      <c r="C5025" s="7" t="s">
        <v>6</v>
      </c>
      <c r="D5025" s="7" t="s">
        <v>7</v>
      </c>
      <c r="E5025" s="7">
        <v>0</v>
      </c>
    </row>
    <row r="5026" spans="1:5" ht="15.75" customHeight="1" x14ac:dyDescent="0.25">
      <c r="A5026" s="6" t="s">
        <v>4910</v>
      </c>
      <c r="B5026" s="6" t="str">
        <f ca="1">IFERROR(__xludf.DUMMYFUNCTION("GOOGLETRANSLATE(A5026,""bn"",""en"")"),"She could clearly see how Mami would see this as a needless tease.")</f>
        <v>She could clearly see how Mami would see this as a needless tease.</v>
      </c>
      <c r="C5026" s="7" t="s">
        <v>6</v>
      </c>
      <c r="D5026" s="7" t="s">
        <v>7</v>
      </c>
      <c r="E5026" s="7">
        <v>0</v>
      </c>
    </row>
    <row r="5027" spans="1:5" ht="15.75" customHeight="1" x14ac:dyDescent="0.25">
      <c r="A5027" s="6" t="s">
        <v>1064</v>
      </c>
      <c r="B5027" s="6" t="str">
        <f ca="1">IFERROR(__xludf.DUMMYFUNCTION("GOOGLETRANSLATE(A5027,""bn"",""en"")"),"They were awakened by the relentless roar of the wind outside")</f>
        <v>They were awakened by the relentless roar of the wind outside</v>
      </c>
      <c r="C5027" s="8" t="s">
        <v>13</v>
      </c>
      <c r="D5027" s="8" t="s">
        <v>14</v>
      </c>
      <c r="E5027" s="8">
        <v>1</v>
      </c>
    </row>
    <row r="5028" spans="1:5" ht="15.75" customHeight="1" x14ac:dyDescent="0.25">
      <c r="A5028" s="6" t="s">
        <v>4911</v>
      </c>
      <c r="B5028" s="6" t="str">
        <f ca="1">IFERROR(__xludf.DUMMYFUNCTION("GOOGLETRANSLATE(A5028,""bn"",""en"")"),"A few people joined them")</f>
        <v>A few people joined them</v>
      </c>
      <c r="C5028" s="8" t="s">
        <v>13</v>
      </c>
      <c r="D5028" s="8" t="s">
        <v>14</v>
      </c>
      <c r="E5028" s="8">
        <v>1</v>
      </c>
    </row>
    <row r="5029" spans="1:5" ht="15.75" customHeight="1" x14ac:dyDescent="0.25">
      <c r="A5029" s="6" t="s">
        <v>4912</v>
      </c>
      <c r="B5029" s="6" t="str">
        <f ca="1">IFERROR(__xludf.DUMMYFUNCTION("GOOGLETRANSLATE(A5029,""bn"",""en"")"),"Don't let fear stop you from following your dreams")</f>
        <v>Don't let fear stop you from following your dreams</v>
      </c>
      <c r="C5029" s="8" t="s">
        <v>13</v>
      </c>
      <c r="D5029" s="8" t="s">
        <v>14</v>
      </c>
      <c r="E5029" s="8">
        <v>1</v>
      </c>
    </row>
    <row r="5030" spans="1:5" ht="15.75" customHeight="1" x14ac:dyDescent="0.25">
      <c r="A5030" s="6" t="s">
        <v>4913</v>
      </c>
      <c r="B5030" s="6" t="str">
        <f ca="1">IFERROR(__xludf.DUMMYFUNCTION("GOOGLETRANSLATE(A5030,""bn"",""en"")"),"Joining a book club meant reading books")</f>
        <v>Joining a book club meant reading books</v>
      </c>
      <c r="C5030" s="8" t="s">
        <v>13</v>
      </c>
      <c r="D5030" s="8" t="s">
        <v>14</v>
      </c>
      <c r="E5030" s="8">
        <v>1</v>
      </c>
    </row>
    <row r="5031" spans="1:5" ht="15.75" customHeight="1" x14ac:dyDescent="0.25">
      <c r="A5031" s="6" t="s">
        <v>4914</v>
      </c>
      <c r="B5031" s="6" t="str">
        <f ca="1">IFERROR(__xludf.DUMMYFUNCTION("GOOGLETRANSLATE(A5031,""bn"",""en"")"),"Integrated pest management combines biocultural chemical methods for pest control")</f>
        <v>Integrated pest management combines biocultural chemical methods for pest control</v>
      </c>
      <c r="C5031" s="8" t="s">
        <v>13</v>
      </c>
      <c r="D5031" s="8" t="s">
        <v>14</v>
      </c>
      <c r="E5031" s="8">
        <v>1</v>
      </c>
    </row>
    <row r="5032" spans="1:5" ht="15.75" customHeight="1" x14ac:dyDescent="0.25">
      <c r="A5032" s="6" t="s">
        <v>4915</v>
      </c>
      <c r="B5032" s="6" t="str">
        <f ca="1">IFERROR(__xludf.DUMMYFUNCTION("GOOGLETRANSLATE(A5032,""bn"",""en"")"),"The morning is very beautiful")</f>
        <v>The morning is very beautiful</v>
      </c>
      <c r="C5032" s="7" t="s">
        <v>6</v>
      </c>
      <c r="D5032" s="7" t="s">
        <v>7</v>
      </c>
      <c r="E5032" s="7">
        <v>0</v>
      </c>
    </row>
    <row r="5033" spans="1:5" ht="15.75" customHeight="1" x14ac:dyDescent="0.25">
      <c r="A5033" s="6" t="s">
        <v>1764</v>
      </c>
      <c r="B5033" s="6" t="str">
        <f ca="1">IFERROR(__xludf.DUMMYFUNCTION("GOOGLETRANSLATE(A5033,""bn"",""en"")"),"In my blind spot, gun under arm, boots on, coat, pantaloon, bus tent")</f>
        <v>In my blind spot, gun under arm, boots on, coat, pantaloon, bus tent</v>
      </c>
      <c r="C5033" s="7" t="s">
        <v>6</v>
      </c>
      <c r="D5033" s="7" t="s">
        <v>7</v>
      </c>
      <c r="E5033" s="7">
        <v>0</v>
      </c>
    </row>
    <row r="5034" spans="1:5" ht="15.75" customHeight="1" x14ac:dyDescent="0.25">
      <c r="A5034" s="6" t="s">
        <v>4916</v>
      </c>
      <c r="B5034" s="6" t="str">
        <f ca="1">IFERROR(__xludf.DUMMYFUNCTION("GOOGLETRANSLATE(A5034,""bn"",""en"")"),"After him, I saw two vague human figures standing")</f>
        <v>After him, I saw two vague human figures standing</v>
      </c>
      <c r="C5034" s="7" t="s">
        <v>6</v>
      </c>
      <c r="D5034" s="7" t="s">
        <v>7</v>
      </c>
      <c r="E5034" s="7">
        <v>0</v>
      </c>
    </row>
    <row r="5035" spans="1:5" ht="15.75" customHeight="1" x14ac:dyDescent="0.25">
      <c r="A5035" s="6" t="s">
        <v>4917</v>
      </c>
      <c r="B5035" s="6" t="str">
        <f ca="1">IFERROR(__xludf.DUMMYFUNCTION("GOOGLETRANSLATE(A5035,""bn"",""en"")"),"In front of his eyes, the surroundings gradually covered in darkness")</f>
        <v>In front of his eyes, the surroundings gradually covered in darkness</v>
      </c>
      <c r="C5035" s="7" t="s">
        <v>6</v>
      </c>
      <c r="D5035" s="7" t="s">
        <v>7</v>
      </c>
      <c r="E5035" s="7">
        <v>0</v>
      </c>
    </row>
    <row r="5036" spans="1:5" ht="15.75" customHeight="1" x14ac:dyDescent="0.25">
      <c r="A5036" s="6" t="s">
        <v>4918</v>
      </c>
      <c r="B5036" s="6" t="str">
        <f ca="1">IFERROR(__xludf.DUMMYFUNCTION("GOOGLETRANSLATE(A5036,""bn"",""en"")"),"Harimohan's daughter-in-law vehemently objected to this")</f>
        <v>Harimohan's daughter-in-law vehemently objected to this</v>
      </c>
      <c r="C5036" s="7" t="s">
        <v>6</v>
      </c>
      <c r="D5036" s="7" t="s">
        <v>7</v>
      </c>
      <c r="E5036" s="7">
        <v>0</v>
      </c>
    </row>
    <row r="5037" spans="1:5" ht="15.75" customHeight="1" x14ac:dyDescent="0.25">
      <c r="A5037" s="6" t="s">
        <v>4919</v>
      </c>
      <c r="B5037" s="6" t="str">
        <f ca="1">IFERROR(__xludf.DUMMYFUNCTION("GOOGLETRANSLATE(A5037,""bn"",""en"")"),"Carpal tunnel syndrome is a condition that causes numbness, tingling, and weakness in the hand due to compression of the median nerve in the wrist.")</f>
        <v>Carpal tunnel syndrome is a condition that causes numbness, tingling, and weakness in the hand due to compression of the median nerve in the wrist.</v>
      </c>
      <c r="C5037" s="8" t="s">
        <v>13</v>
      </c>
      <c r="D5037" s="8" t="s">
        <v>14</v>
      </c>
      <c r="E5037" s="8">
        <v>1</v>
      </c>
    </row>
    <row r="5038" spans="1:5" ht="15.75" customHeight="1" x14ac:dyDescent="0.25">
      <c r="A5038" s="6" t="s">
        <v>4920</v>
      </c>
      <c r="B5038" s="6" t="str">
        <f ca="1">IFERROR(__xludf.DUMMYFUNCTION("GOOGLETRANSLATE(A5038,""bn"",""en"")"),"Newspapers play an important role in keeping the public informed about current events")</f>
        <v>Newspapers play an important role in keeping the public informed about current events</v>
      </c>
      <c r="C5038" s="8" t="s">
        <v>13</v>
      </c>
      <c r="D5038" s="8" t="s">
        <v>14</v>
      </c>
      <c r="E5038" s="8">
        <v>1</v>
      </c>
    </row>
    <row r="5039" spans="1:5" ht="15.75" customHeight="1" x14ac:dyDescent="0.25">
      <c r="A5039" s="6" t="s">
        <v>4921</v>
      </c>
      <c r="B5039" s="6" t="str">
        <f ca="1">IFERROR(__xludf.DUMMYFUNCTION("GOOGLETRANSLATE(A5039,""bn"",""en"")"),"The students were making noise in the classroom for a long time")</f>
        <v>The students were making noise in the classroom for a long time</v>
      </c>
      <c r="C5039" s="8" t="s">
        <v>13</v>
      </c>
      <c r="D5039" s="8" t="s">
        <v>14</v>
      </c>
      <c r="E5039" s="8">
        <v>1</v>
      </c>
    </row>
    <row r="5040" spans="1:5" ht="15.75" customHeight="1" x14ac:dyDescent="0.25">
      <c r="A5040" s="6" t="s">
        <v>4922</v>
      </c>
      <c r="B5040" s="6" t="str">
        <f ca="1">IFERROR(__xludf.DUMMYFUNCTION("GOOGLETRANSLATE(A5040,""bn"",""en"")"),"This is how Zeus used to punish him")</f>
        <v>This is how Zeus used to punish him</v>
      </c>
      <c r="C5040" s="8" t="s">
        <v>13</v>
      </c>
      <c r="D5040" s="8" t="s">
        <v>14</v>
      </c>
      <c r="E5040" s="8">
        <v>1</v>
      </c>
    </row>
    <row r="5041" spans="1:5" ht="15.75" customHeight="1" x14ac:dyDescent="0.25">
      <c r="A5041" s="6" t="s">
        <v>4923</v>
      </c>
      <c r="B5041" s="6" t="str">
        <f ca="1">IFERROR(__xludf.DUMMYFUNCTION("GOOGLETRANSLATE(A5041,""bn"",""en"")"),"Rana woke up early today")</f>
        <v>Rana woke up early today</v>
      </c>
      <c r="C5041" s="8" t="s">
        <v>13</v>
      </c>
      <c r="D5041" s="8" t="s">
        <v>14</v>
      </c>
      <c r="E5041" s="8">
        <v>1</v>
      </c>
    </row>
    <row r="5042" spans="1:5" ht="15.75" customHeight="1" x14ac:dyDescent="0.25">
      <c r="A5042" s="6" t="s">
        <v>4924</v>
      </c>
      <c r="B5042" s="6" t="str">
        <f ca="1">IFERROR(__xludf.DUMMYFUNCTION("GOOGLETRANSLATE(A5042,""bn"",""en"")"),"I will go to the field and play cricket")</f>
        <v>I will go to the field and play cricket</v>
      </c>
      <c r="C5042" s="7" t="s">
        <v>6</v>
      </c>
      <c r="D5042" s="7" t="s">
        <v>7</v>
      </c>
      <c r="E5042" s="7">
        <v>0</v>
      </c>
    </row>
    <row r="5043" spans="1:5" ht="15.75" customHeight="1" x14ac:dyDescent="0.25">
      <c r="A5043" s="6" t="s">
        <v>4925</v>
      </c>
      <c r="B5043" s="6" t="str">
        <f ca="1">IFERROR(__xludf.DUMMYFUNCTION("GOOGLETRANSLATE(A5043,""bn"",""en"")"),"Saju wanted to go to the market now")</f>
        <v>Saju wanted to go to the market now</v>
      </c>
      <c r="C5043" s="7" t="s">
        <v>6</v>
      </c>
      <c r="D5043" s="7" t="s">
        <v>7</v>
      </c>
      <c r="E5043" s="7">
        <v>0</v>
      </c>
    </row>
    <row r="5044" spans="1:5" ht="15.75" customHeight="1" x14ac:dyDescent="0.25">
      <c r="A5044" s="6" t="s">
        <v>4926</v>
      </c>
      <c r="B5044" s="6" t="str">
        <f ca="1">IFERROR(__xludf.DUMMYFUNCTION("GOOGLETRANSLATE(A5044,""bn"",""en"")"),"The marriage was solemnized in a sort of melancholy manner")</f>
        <v>The marriage was solemnized in a sort of melancholy manner</v>
      </c>
      <c r="C5044" s="7" t="s">
        <v>6</v>
      </c>
      <c r="D5044" s="7" t="s">
        <v>7</v>
      </c>
      <c r="E5044" s="7">
        <v>0</v>
      </c>
    </row>
    <row r="5045" spans="1:5" ht="15.75" customHeight="1" x14ac:dyDescent="0.25">
      <c r="A5045" s="6" t="s">
        <v>4927</v>
      </c>
      <c r="B5045" s="6" t="str">
        <f ca="1">IFERROR(__xludf.DUMMYFUNCTION("GOOGLETRANSLATE(A5045,""bn"",""en"")"),"Rumi made me read")</f>
        <v>Rumi made me read</v>
      </c>
      <c r="C5045" s="7" t="s">
        <v>6</v>
      </c>
      <c r="D5045" s="7" t="s">
        <v>7</v>
      </c>
      <c r="E5045" s="7">
        <v>0</v>
      </c>
    </row>
    <row r="5046" spans="1:5" ht="15.75" customHeight="1" x14ac:dyDescent="0.25">
      <c r="A5046" s="6" t="s">
        <v>4928</v>
      </c>
      <c r="B5046" s="6" t="str">
        <f ca="1">IFERROR(__xludf.DUMMYFUNCTION("GOOGLETRANSLATE(A5046,""bn"",""en"")"),"Their number has become very few")</f>
        <v>Their number has become very few</v>
      </c>
      <c r="C5046" s="7" t="s">
        <v>6</v>
      </c>
      <c r="D5046" s="7" t="s">
        <v>7</v>
      </c>
      <c r="E5046" s="7">
        <v>0</v>
      </c>
    </row>
    <row r="5047" spans="1:5" ht="15.75" customHeight="1" x14ac:dyDescent="0.25">
      <c r="A5047" s="6" t="s">
        <v>4929</v>
      </c>
      <c r="B5047" s="6" t="str">
        <f ca="1">IFERROR(__xludf.DUMMYFUNCTION("GOOGLETRANSLATE(A5047,""bn"",""en"")"),"Friendship is maintained among all")</f>
        <v>Friendship is maintained among all</v>
      </c>
      <c r="C5047" s="8" t="s">
        <v>13</v>
      </c>
      <c r="D5047" s="8" t="s">
        <v>14</v>
      </c>
      <c r="E5047" s="8">
        <v>1</v>
      </c>
    </row>
    <row r="5048" spans="1:5" ht="15.75" customHeight="1" x14ac:dyDescent="0.25">
      <c r="A5048" s="6" t="s">
        <v>4930</v>
      </c>
      <c r="B5048" s="6" t="str">
        <f ca="1">IFERROR(__xludf.DUMMYFUNCTION("GOOGLETRANSLATE(A5048,""bn"",""en"")"),"Entering forbidden territory they risked everything for the promise of glory, the thrill of discovery")</f>
        <v>Entering forbidden territory they risked everything for the promise of glory, the thrill of discovery</v>
      </c>
      <c r="C5048" s="8" t="s">
        <v>13</v>
      </c>
      <c r="D5048" s="8" t="s">
        <v>14</v>
      </c>
      <c r="E5048" s="8">
        <v>1</v>
      </c>
    </row>
    <row r="5049" spans="1:5" ht="15.75" customHeight="1" x14ac:dyDescent="0.25">
      <c r="A5049" s="6" t="s">
        <v>4931</v>
      </c>
      <c r="B5049" s="6" t="str">
        <f ca="1">IFERROR(__xludf.DUMMYFUNCTION("GOOGLETRANSLATE(A5049,""bn"",""en"")"),"Sufal called me and told me everything")</f>
        <v>Sufal called me and told me everything</v>
      </c>
      <c r="C5049" s="8" t="s">
        <v>13</v>
      </c>
      <c r="D5049" s="8" t="s">
        <v>14</v>
      </c>
      <c r="E5049" s="8">
        <v>1</v>
      </c>
    </row>
    <row r="5050" spans="1:5" ht="15.75" customHeight="1" x14ac:dyDescent="0.25">
      <c r="A5050" s="6" t="s">
        <v>4932</v>
      </c>
      <c r="B5050" s="6" t="str">
        <f ca="1">IFERROR(__xludf.DUMMYFUNCTION("GOOGLETRANSLATE(A5050,""bn"",""en"")"),"Who knows how many millions of people are now living in this city, the number needs to be known")</f>
        <v>Who knows how many millions of people are now living in this city, the number needs to be known</v>
      </c>
      <c r="C5050" s="8" t="s">
        <v>13</v>
      </c>
      <c r="D5050" s="8" t="s">
        <v>14</v>
      </c>
      <c r="E5050" s="8">
        <v>1</v>
      </c>
    </row>
    <row r="5051" spans="1:5" ht="15.75" customHeight="1" x14ac:dyDescent="0.25">
      <c r="A5051" s="6" t="s">
        <v>1997</v>
      </c>
      <c r="B5051" s="6" t="str">
        <f ca="1">IFERROR(__xludf.DUMMYFUNCTION("GOOGLETRANSLATE(A5051,""bn"",""en"")"),"He was absent-mindedly walking down the street")</f>
        <v>He was absent-mindedly walking down the street</v>
      </c>
      <c r="C5051" s="8" t="s">
        <v>13</v>
      </c>
      <c r="D5051" s="8" t="s">
        <v>14</v>
      </c>
      <c r="E5051" s="8">
        <v>1</v>
      </c>
    </row>
    <row r="5052" spans="1:5" ht="15.75" customHeight="1" x14ac:dyDescent="0.25">
      <c r="A5052" s="6" t="s">
        <v>4933</v>
      </c>
      <c r="B5052" s="6" t="str">
        <f ca="1">IFERROR(__xludf.DUMMYFUNCTION("GOOGLETRANSLATE(A5052,""bn"",""en"")"),"After that, he slowly went to a secluded place, put his head in the door and stood absent-mindedly looking at the dewy cloak.")</f>
        <v>After that, he slowly went to a secluded place, put his head in the door and stood absent-mindedly looking at the dewy cloak.</v>
      </c>
      <c r="C5052" s="7" t="s">
        <v>6</v>
      </c>
      <c r="D5052" s="7" t="s">
        <v>7</v>
      </c>
      <c r="E5052" s="7">
        <v>0</v>
      </c>
    </row>
    <row r="5053" spans="1:5" ht="15.75" customHeight="1" x14ac:dyDescent="0.25">
      <c r="A5053" s="6" t="s">
        <v>4934</v>
      </c>
      <c r="B5053" s="6" t="str">
        <f ca="1">IFERROR(__xludf.DUMMYFUNCTION("GOOGLETRANSLATE(A5053,""bn"",""en"")"),"I admire those who work together with great subtlety")</f>
        <v>I admire those who work together with great subtlety</v>
      </c>
      <c r="C5053" s="7" t="s">
        <v>6</v>
      </c>
      <c r="D5053" s="7" t="s">
        <v>7</v>
      </c>
      <c r="E5053" s="7">
        <v>0</v>
      </c>
    </row>
    <row r="5054" spans="1:5" ht="15.75" customHeight="1" x14ac:dyDescent="0.25">
      <c r="A5054" s="6" t="s">
        <v>4935</v>
      </c>
      <c r="B5054" s="6" t="str">
        <f ca="1">IFERROR(__xludf.DUMMYFUNCTION("GOOGLETRANSLATE(A5054,""bn"",""en"")"),"It was so cold that night that I did not dare to go outside the tent")</f>
        <v>It was so cold that night that I did not dare to go outside the tent</v>
      </c>
      <c r="C5054" s="7" t="s">
        <v>6</v>
      </c>
      <c r="D5054" s="7" t="s">
        <v>7</v>
      </c>
      <c r="E5054" s="7">
        <v>0</v>
      </c>
    </row>
    <row r="5055" spans="1:5" ht="15.75" customHeight="1" x14ac:dyDescent="0.25">
      <c r="A5055" s="6" t="s">
        <v>4936</v>
      </c>
      <c r="B5055" s="6" t="str">
        <f ca="1">IFERROR(__xludf.DUMMYFUNCTION("GOOGLETRANSLATE(A5055,""bn"",""en"")"),"Sujan fainted while working hard")</f>
        <v>Sujan fainted while working hard</v>
      </c>
      <c r="C5055" s="7" t="s">
        <v>6</v>
      </c>
      <c r="D5055" s="7" t="s">
        <v>7</v>
      </c>
      <c r="E5055" s="7">
        <v>0</v>
      </c>
    </row>
    <row r="5056" spans="1:5" ht="15.75" customHeight="1" x14ac:dyDescent="0.25">
      <c r="A5056" s="6" t="s">
        <v>4937</v>
      </c>
      <c r="B5056" s="6" t="str">
        <f ca="1">IFERROR(__xludf.DUMMYFUNCTION("GOOGLETRANSLATE(A5056,""bn"",""en"")"),"He himself had just taken a bath")</f>
        <v>He himself had just taken a bath</v>
      </c>
      <c r="C5056" s="7" t="s">
        <v>6</v>
      </c>
      <c r="D5056" s="7" t="s">
        <v>7</v>
      </c>
      <c r="E5056" s="7">
        <v>0</v>
      </c>
    </row>
    <row r="5057" spans="1:5" ht="15.75" customHeight="1" x14ac:dyDescent="0.25">
      <c r="A5057" s="6" t="s">
        <v>4938</v>
      </c>
      <c r="B5057" s="6" t="str">
        <f ca="1">IFERROR(__xludf.DUMMYFUNCTION("GOOGLETRANSLATE(A5057,""bn"",""en"")"),"Ronnie wasn't listening to me")</f>
        <v>Ronnie wasn't listening to me</v>
      </c>
      <c r="C5057" s="8" t="s">
        <v>13</v>
      </c>
      <c r="D5057" s="8" t="s">
        <v>14</v>
      </c>
      <c r="E5057" s="8">
        <v>1</v>
      </c>
    </row>
    <row r="5058" spans="1:5" ht="15.75" customHeight="1" x14ac:dyDescent="0.25">
      <c r="A5058" s="6" t="s">
        <v>4939</v>
      </c>
      <c r="B5058" s="6" t="str">
        <f ca="1">IFERROR(__xludf.DUMMYFUNCTION("GOOGLETRANSLATE(A5058,""bn"",""en"")"),"Newspapers will be pre-packaged in large bundles")</f>
        <v>Newspapers will be pre-packaged in large bundles</v>
      </c>
      <c r="C5058" s="8" t="s">
        <v>13</v>
      </c>
      <c r="D5058" s="8" t="s">
        <v>14</v>
      </c>
      <c r="E5058" s="8">
        <v>1</v>
      </c>
    </row>
    <row r="5059" spans="1:5" ht="15.75" customHeight="1" x14ac:dyDescent="0.25">
      <c r="A5059" s="6" t="s">
        <v>4940</v>
      </c>
      <c r="B5059" s="6" t="str">
        <f ca="1">IFERROR(__xludf.DUMMYFUNCTION("GOOGLETRANSLATE(A5059,""bn"",""en"")"),"Like if you agree")</f>
        <v>Like if you agree</v>
      </c>
      <c r="C5059" s="8" t="s">
        <v>13</v>
      </c>
      <c r="D5059" s="8" t="s">
        <v>14</v>
      </c>
      <c r="E5059" s="8">
        <v>1</v>
      </c>
    </row>
    <row r="5060" spans="1:5" ht="15.75" customHeight="1" x14ac:dyDescent="0.25">
      <c r="A5060" s="6" t="s">
        <v>4941</v>
      </c>
      <c r="B5060" s="6" t="str">
        <f ca="1">IFERROR(__xludf.DUMMYFUNCTION("GOOGLETRANSLATE(A5060,""bn"",""en"")"),"We like it")</f>
        <v>We like it</v>
      </c>
      <c r="C5060" s="8" t="s">
        <v>13</v>
      </c>
      <c r="D5060" s="8" t="s">
        <v>14</v>
      </c>
      <c r="E5060" s="8">
        <v>1</v>
      </c>
    </row>
    <row r="5061" spans="1:5" ht="15.75" customHeight="1" x14ac:dyDescent="0.25">
      <c r="A5061" s="6" t="s">
        <v>4942</v>
      </c>
      <c r="B5061" s="6" t="str">
        <f ca="1">IFERROR(__xludf.DUMMYFUNCTION("GOOGLETRANSLATE(A5061,""bn"",""en"")"),"Aromatic spices enhance the culinary experience")</f>
        <v>Aromatic spices enhance the culinary experience</v>
      </c>
      <c r="C5061" s="8" t="s">
        <v>13</v>
      </c>
      <c r="D5061" s="8" t="s">
        <v>14</v>
      </c>
      <c r="E5061" s="8">
        <v>1</v>
      </c>
    </row>
    <row r="5062" spans="1:5" ht="15.75" customHeight="1" x14ac:dyDescent="0.25">
      <c r="A5062" s="6" t="s">
        <v>4943</v>
      </c>
      <c r="B5062" s="6" t="str">
        <f ca="1">IFERROR(__xludf.DUMMYFUNCTION("GOOGLETRANSLATE(A5062,""bn"",""en"")"),"Neem asked him to come")</f>
        <v>Neem asked him to come</v>
      </c>
      <c r="C5062" s="7" t="s">
        <v>6</v>
      </c>
      <c r="D5062" s="7" t="s">
        <v>7</v>
      </c>
      <c r="E5062" s="7">
        <v>0</v>
      </c>
    </row>
    <row r="5063" spans="1:5" ht="15.75" customHeight="1" x14ac:dyDescent="0.25">
      <c r="A5063" s="6" t="s">
        <v>4944</v>
      </c>
      <c r="B5063" s="6" t="str">
        <f ca="1">IFERROR(__xludf.DUMMYFUNCTION("GOOGLETRANSLATE(A5063,""bn"",""en"")"),"Because they were his money")</f>
        <v>Because they were his money</v>
      </c>
      <c r="C5063" s="7" t="s">
        <v>6</v>
      </c>
      <c r="D5063" s="7" t="s">
        <v>7</v>
      </c>
      <c r="E5063" s="7">
        <v>0</v>
      </c>
    </row>
    <row r="5064" spans="1:5" ht="15.75" customHeight="1" x14ac:dyDescent="0.25">
      <c r="A5064" s="6" t="s">
        <v>4945</v>
      </c>
      <c r="B5064" s="6" t="str">
        <f ca="1">IFERROR(__xludf.DUMMYFUNCTION("GOOGLETRANSLATE(A5064,""bn"",""en"")"),"The trees on the banks turn into frozen darkness; the uninhabited boats on the water float like light shadows.")</f>
        <v>The trees on the banks turn into frozen darkness; the uninhabited boats on the water float like light shadows.</v>
      </c>
      <c r="C5064" s="7" t="s">
        <v>6</v>
      </c>
      <c r="D5064" s="7" t="s">
        <v>7</v>
      </c>
      <c r="E5064" s="7">
        <v>0</v>
      </c>
    </row>
    <row r="5065" spans="1:5" ht="15.75" customHeight="1" x14ac:dyDescent="0.25">
      <c r="A5065" s="6" t="s">
        <v>4946</v>
      </c>
      <c r="B5065" s="6" t="str">
        <f ca="1">IFERROR(__xludf.DUMMYFUNCTION("GOOGLETRANSLATE(A5065,""bn"",""en"")"),"It cannot be expressed as perfect")</f>
        <v>It cannot be expressed as perfect</v>
      </c>
      <c r="C5065" s="7" t="s">
        <v>6</v>
      </c>
      <c r="D5065" s="7" t="s">
        <v>7</v>
      </c>
      <c r="E5065" s="7">
        <v>0</v>
      </c>
    </row>
    <row r="5066" spans="1:5" ht="15.75" customHeight="1" x14ac:dyDescent="0.25">
      <c r="A5066" s="6" t="s">
        <v>4947</v>
      </c>
      <c r="B5066" s="6" t="str">
        <f ca="1">IFERROR(__xludf.DUMMYFUNCTION("GOOGLETRANSLATE(A5066,""bn"",""en"")"),"Two small hills can be seen from Barakar")</f>
        <v>Two small hills can be seen from Barakar</v>
      </c>
      <c r="C5066" s="7" t="s">
        <v>6</v>
      </c>
      <c r="D5066" s="7" t="s">
        <v>7</v>
      </c>
      <c r="E5066" s="7">
        <v>0</v>
      </c>
    </row>
    <row r="5067" spans="1:5" ht="15.75" customHeight="1" x14ac:dyDescent="0.25">
      <c r="A5067" s="6" t="s">
        <v>4948</v>
      </c>
      <c r="B5067" s="6" t="str">
        <f ca="1">IFERROR(__xludf.DUMMYFUNCTION("GOOGLETRANSLATE(A5067,""bn"",""en"")"),"Rumi will go to school with her mother")</f>
        <v>Rumi will go to school with her mother</v>
      </c>
      <c r="C5067" s="8" t="s">
        <v>13</v>
      </c>
      <c r="D5067" s="8" t="s">
        <v>14</v>
      </c>
      <c r="E5067" s="8">
        <v>1</v>
      </c>
    </row>
    <row r="5068" spans="1:5" ht="15.75" customHeight="1" x14ac:dyDescent="0.25">
      <c r="A5068" s="6" t="s">
        <v>4949</v>
      </c>
      <c r="B5068" s="6" t="str">
        <f ca="1">IFERROR(__xludf.DUMMYFUNCTION("GOOGLETRANSLATE(A5068,""bn"",""en"")"),"In the West, the term Mughal was used to refer to an empire in a broad sense")</f>
        <v>In the West, the term Mughal was used to refer to an empire in a broad sense</v>
      </c>
      <c r="C5068" s="8" t="s">
        <v>13</v>
      </c>
      <c r="D5068" s="8" t="s">
        <v>14</v>
      </c>
      <c r="E5068" s="8">
        <v>1</v>
      </c>
    </row>
    <row r="5069" spans="1:5" ht="15.75" customHeight="1" x14ac:dyDescent="0.25">
      <c r="A5069" s="6" t="s">
        <v>4950</v>
      </c>
      <c r="B5069" s="6" t="str">
        <f ca="1">IFERROR(__xludf.DUMMYFUNCTION("GOOGLETRANSLATE(A5069,""bn"",""en"")"),"Hike trails for fresh air")</f>
        <v>Hike trails for fresh air</v>
      </c>
      <c r="C5069" s="8" t="s">
        <v>13</v>
      </c>
      <c r="D5069" s="8" t="s">
        <v>14</v>
      </c>
      <c r="E5069" s="8">
        <v>1</v>
      </c>
    </row>
    <row r="5070" spans="1:5" ht="15.75" customHeight="1" x14ac:dyDescent="0.25">
      <c r="A5070" s="6" t="s">
        <v>4951</v>
      </c>
      <c r="B5070" s="6" t="str">
        <f ca="1">IFERROR(__xludf.DUMMYFUNCTION("GOOGLETRANSLATE(A5070,""bn"",""en"")"),"Take responsibility for your happiness. It is within your control")</f>
        <v>Take responsibility for your happiness. It is within your control</v>
      </c>
      <c r="C5070" s="8" t="s">
        <v>13</v>
      </c>
      <c r="D5070" s="8" t="s">
        <v>14</v>
      </c>
      <c r="E5070" s="8">
        <v>1</v>
      </c>
    </row>
    <row r="5071" spans="1:5" ht="15.75" customHeight="1" x14ac:dyDescent="0.25">
      <c r="A5071" s="6" t="s">
        <v>4952</v>
      </c>
      <c r="B5071" s="6" t="str">
        <f ca="1">IFERROR(__xludf.DUMMYFUNCTION("GOOGLETRANSLATE(A5071,""bn"",""en"")"),"The killing was not staged")</f>
        <v>The killing was not staged</v>
      </c>
      <c r="C5071" s="8" t="s">
        <v>13</v>
      </c>
      <c r="D5071" s="8" t="s">
        <v>14</v>
      </c>
      <c r="E5071" s="8">
        <v>1</v>
      </c>
    </row>
    <row r="5072" spans="1:5" ht="15.75" customHeight="1" x14ac:dyDescent="0.25">
      <c r="A5072" s="6" t="s">
        <v>289</v>
      </c>
      <c r="B5072" s="6" t="str">
        <f ca="1">IFERROR(__xludf.DUMMYFUNCTION("GOOGLETRANSLATE(A5072,""bn"",""en"")"),"After that, I went further and saw the young women sitting on the wine rack drinking wine.")</f>
        <v>After that, I went further and saw the young women sitting on the wine rack drinking wine.</v>
      </c>
      <c r="C5072" s="7" t="s">
        <v>6</v>
      </c>
      <c r="D5072" s="7" t="s">
        <v>7</v>
      </c>
      <c r="E5072" s="7">
        <v>0</v>
      </c>
    </row>
    <row r="5073" spans="1:5" ht="15.75" customHeight="1" x14ac:dyDescent="0.25">
      <c r="A5073" s="6" t="s">
        <v>4953</v>
      </c>
      <c r="B5073" s="6" t="str">
        <f ca="1">IFERROR(__xludf.DUMMYFUNCTION("GOOGLETRANSLATE(A5073,""bn"",""en"")"),"He started to introduce the tree from which he had brought it")</f>
        <v>He started to introduce the tree from which he had brought it</v>
      </c>
      <c r="C5073" s="7" t="s">
        <v>6</v>
      </c>
      <c r="D5073" s="7" t="s">
        <v>7</v>
      </c>
      <c r="E5073" s="7">
        <v>0</v>
      </c>
    </row>
    <row r="5074" spans="1:5" ht="15.75" customHeight="1" x14ac:dyDescent="0.25">
      <c r="A5074" s="6" t="s">
        <v>4954</v>
      </c>
      <c r="B5074" s="6" t="str">
        <f ca="1">IFERROR(__xludf.DUMMYFUNCTION("GOOGLETRANSLATE(A5074,""bn"",""en"")"),"When it did not bear fruit or flower, its shade was very cold")</f>
        <v>When it did not bear fruit or flower, its shade was very cold</v>
      </c>
      <c r="C5074" s="7" t="s">
        <v>6</v>
      </c>
      <c r="D5074" s="7" t="s">
        <v>7</v>
      </c>
      <c r="E5074" s="7">
        <v>0</v>
      </c>
    </row>
    <row r="5075" spans="1:5" ht="15.75" customHeight="1" x14ac:dyDescent="0.25">
      <c r="A5075" s="6" t="s">
        <v>4955</v>
      </c>
      <c r="B5075" s="6" t="str">
        <f ca="1">IFERROR(__xludf.DUMMYFUNCTION("GOOGLETRANSLATE(A5075,""bn"",""en"")"),"The gentlemen of the city begged to meet him")</f>
        <v>The gentlemen of the city begged to meet him</v>
      </c>
      <c r="C5075" s="7" t="s">
        <v>6</v>
      </c>
      <c r="D5075" s="7" t="s">
        <v>7</v>
      </c>
      <c r="E5075" s="7">
        <v>0</v>
      </c>
    </row>
    <row r="5076" spans="1:5" ht="15.75" customHeight="1" x14ac:dyDescent="0.25">
      <c r="A5076" s="6" t="s">
        <v>4956</v>
      </c>
      <c r="B5076" s="6" t="str">
        <f ca="1">IFERROR(__xludf.DUMMYFUNCTION("GOOGLETRANSLATE(A5076,""bn"",""en"")"),"Even today, as usual, he woke up early in the morning")</f>
        <v>Even today, as usual, he woke up early in the morning</v>
      </c>
      <c r="C5076" s="7" t="s">
        <v>6</v>
      </c>
      <c r="D5076" s="7" t="s">
        <v>7</v>
      </c>
      <c r="E5076" s="7">
        <v>0</v>
      </c>
    </row>
    <row r="5077" spans="1:5" ht="15.75" customHeight="1" x14ac:dyDescent="0.25">
      <c r="A5077" s="6" t="s">
        <v>4957</v>
      </c>
      <c r="B5077" s="6" t="str">
        <f ca="1">IFERROR(__xludf.DUMMYFUNCTION("GOOGLETRANSLATE(A5077,""bn"",""en"")"),"Rafiq will eat rice and go to school")</f>
        <v>Rafiq will eat rice and go to school</v>
      </c>
      <c r="C5077" s="8" t="s">
        <v>13</v>
      </c>
      <c r="D5077" s="8" t="s">
        <v>14</v>
      </c>
      <c r="E5077" s="8">
        <v>1</v>
      </c>
    </row>
    <row r="5078" spans="1:5" ht="15.75" customHeight="1" x14ac:dyDescent="0.25">
      <c r="A5078" s="6" t="s">
        <v>1622</v>
      </c>
      <c r="B5078" s="6" t="str">
        <f ca="1">IFERROR(__xludf.DUMMYFUNCTION("GOOGLETRANSLATE(A5078,""bn"",""en"")"),"First of all I have to mention Arif Bhai's name")</f>
        <v>First of all I have to mention Arif Bhai's name</v>
      </c>
      <c r="C5078" s="8" t="s">
        <v>13</v>
      </c>
      <c r="D5078" s="8" t="s">
        <v>14</v>
      </c>
      <c r="E5078" s="8">
        <v>1</v>
      </c>
    </row>
    <row r="5079" spans="1:5" ht="15.75" customHeight="1" x14ac:dyDescent="0.25">
      <c r="A5079" s="6" t="s">
        <v>4958</v>
      </c>
      <c r="B5079" s="6" t="str">
        <f ca="1">IFERROR(__xludf.DUMMYFUNCTION("GOOGLETRANSLATE(A5079,""bn"",""en"")"),"Don't want to be cheated by anyone")</f>
        <v>Don't want to be cheated by anyone</v>
      </c>
      <c r="C5079" s="8" t="s">
        <v>13</v>
      </c>
      <c r="D5079" s="8" t="s">
        <v>14</v>
      </c>
      <c r="E5079" s="8">
        <v>1</v>
      </c>
    </row>
    <row r="5080" spans="1:5" ht="15.75" customHeight="1" x14ac:dyDescent="0.25">
      <c r="A5080" s="6" t="s">
        <v>4959</v>
      </c>
      <c r="B5080" s="6" t="str">
        <f ca="1">IFERROR(__xludf.DUMMYFUNCTION("GOOGLETRANSLATE(A5080,""bn"",""en"")"),"So never give up")</f>
        <v>So never give up</v>
      </c>
      <c r="C5080" s="8" t="s">
        <v>13</v>
      </c>
      <c r="D5080" s="8" t="s">
        <v>14</v>
      </c>
      <c r="E5080" s="8">
        <v>1</v>
      </c>
    </row>
    <row r="5081" spans="1:5" ht="15.75" customHeight="1" x14ac:dyDescent="0.25">
      <c r="A5081" s="6" t="s">
        <v>4960</v>
      </c>
      <c r="B5081" s="6" t="str">
        <f ca="1">IFERROR(__xludf.DUMMYFUNCTION("GOOGLETRANSLATE(A5081,""bn"",""en"")"),"At the end of the war, the Greek army burned the fortified city of Troy")</f>
        <v>At the end of the war, the Greek army burned the fortified city of Troy</v>
      </c>
      <c r="C5081" s="8" t="s">
        <v>13</v>
      </c>
      <c r="D5081" s="8" t="s">
        <v>14</v>
      </c>
      <c r="E5081" s="8">
        <v>1</v>
      </c>
    </row>
    <row r="5082" spans="1:5" ht="15.75" customHeight="1" x14ac:dyDescent="0.25">
      <c r="A5082" s="6" t="s">
        <v>4961</v>
      </c>
      <c r="B5082" s="6" t="str">
        <f ca="1">IFERROR(__xludf.DUMMYFUNCTION("GOOGLETRANSLATE(A5082,""bn"",""en"")"),"Not finding any signs of anxiety in his behavior, he felt certain")</f>
        <v>Not finding any signs of anxiety in his behavior, he felt certain</v>
      </c>
      <c r="C5082" s="7" t="s">
        <v>6</v>
      </c>
      <c r="D5082" s="7" t="s">
        <v>7</v>
      </c>
      <c r="E5082" s="7">
        <v>0</v>
      </c>
    </row>
    <row r="5083" spans="1:5" ht="15.75" customHeight="1" x14ac:dyDescent="0.25">
      <c r="A5083" s="6" t="s">
        <v>4962</v>
      </c>
      <c r="B5083" s="6" t="str">
        <f ca="1">IFERROR(__xludf.DUMMYFUNCTION("GOOGLETRANSLATE(A5083,""bn"",""en"")"),"Then I forgot that he was a Kabuli Mewawala and I was a Bengali aristocrat.")</f>
        <v>Then I forgot that he was a Kabuli Mewawala and I was a Bengali aristocrat.</v>
      </c>
      <c r="C5083" s="7" t="s">
        <v>6</v>
      </c>
      <c r="D5083" s="7" t="s">
        <v>7</v>
      </c>
      <c r="E5083" s="7">
        <v>0</v>
      </c>
    </row>
    <row r="5084" spans="1:5" ht="15.75" customHeight="1" x14ac:dyDescent="0.25">
      <c r="A5084" s="6" t="s">
        <v>4963</v>
      </c>
      <c r="B5084" s="6" t="str">
        <f ca="1">IFERROR(__xludf.DUMMYFUNCTION("GOOGLETRANSLATE(A5084,""bn"",""en"")"),"The king then laughed and said that it is not palandu")</f>
        <v>The king then laughed and said that it is not palandu</v>
      </c>
      <c r="C5084" s="7" t="s">
        <v>6</v>
      </c>
      <c r="D5084" s="7" t="s">
        <v>7</v>
      </c>
      <c r="E5084" s="7">
        <v>0</v>
      </c>
    </row>
    <row r="5085" spans="1:5" ht="15.75" customHeight="1" x14ac:dyDescent="0.25">
      <c r="A5085" s="6" t="s">
        <v>4964</v>
      </c>
      <c r="B5085" s="6" t="str">
        <f ca="1">IFERROR(__xludf.DUMMYFUNCTION("GOOGLETRANSLATE(A5085,""bn"",""en"")"),"One fault of desi liquor is that neither hand nor foot works well due to its intoxication")</f>
        <v>One fault of desi liquor is that neither hand nor foot works well due to its intoxication</v>
      </c>
      <c r="C5085" s="7" t="s">
        <v>6</v>
      </c>
      <c r="D5085" s="7" t="s">
        <v>7</v>
      </c>
      <c r="E5085" s="7">
        <v>0</v>
      </c>
    </row>
    <row r="5086" spans="1:5" ht="15.75" customHeight="1" x14ac:dyDescent="0.25">
      <c r="A5086" s="6" t="s">
        <v>4965</v>
      </c>
      <c r="B5086" s="6" t="str">
        <f ca="1">IFERROR(__xludf.DUMMYFUNCTION("GOOGLETRANSLATE(A5086,""bn"",""en"")"),"After a while there was a call in the cabin again")</f>
        <v>After a while there was a call in the cabin again</v>
      </c>
      <c r="C5086" s="7" t="s">
        <v>6</v>
      </c>
      <c r="D5086" s="7" t="s">
        <v>7</v>
      </c>
      <c r="E5086" s="7">
        <v>0</v>
      </c>
    </row>
    <row r="5087" spans="1:5" ht="15.75" customHeight="1" x14ac:dyDescent="0.25">
      <c r="A5087" s="6" t="s">
        <v>4966</v>
      </c>
      <c r="B5087" s="6" t="str">
        <f ca="1">IFERROR(__xludf.DUMMYFUNCTION("GOOGLETRANSLATE(A5087,""bn"",""en"")"),"Christianity is one of the largest religions in the world with billions of followers")</f>
        <v>Christianity is one of the largest religions in the world with billions of followers</v>
      </c>
      <c r="C5087" s="8" t="s">
        <v>13</v>
      </c>
      <c r="D5087" s="8" t="s">
        <v>14</v>
      </c>
      <c r="E5087" s="8">
        <v>1</v>
      </c>
    </row>
    <row r="5088" spans="1:5" ht="15.75" customHeight="1" x14ac:dyDescent="0.25">
      <c r="A5088" s="6" t="s">
        <v>4967</v>
      </c>
      <c r="B5088" s="6" t="str">
        <f ca="1">IFERROR(__xludf.DUMMYFUNCTION("GOOGLETRANSLATE(A5088,""bn"",""en"")"),"We went to visit Rajshahi")</f>
        <v>We went to visit Rajshahi</v>
      </c>
      <c r="C5088" s="8" t="s">
        <v>13</v>
      </c>
      <c r="D5088" s="8" t="s">
        <v>14</v>
      </c>
      <c r="E5088" s="8">
        <v>1</v>
      </c>
    </row>
    <row r="5089" spans="1:5" ht="15.75" customHeight="1" x14ac:dyDescent="0.25">
      <c r="A5089" s="6" t="s">
        <v>4968</v>
      </c>
      <c r="B5089" s="6" t="str">
        <f ca="1">IFERROR(__xludf.DUMMYFUNCTION("GOOGLETRANSLATE(A5089,""bn"",""en"")"),"Exercise self-discipline to overcome obstacles")</f>
        <v>Exercise self-discipline to overcome obstacles</v>
      </c>
      <c r="C5089" s="8" t="s">
        <v>13</v>
      </c>
      <c r="D5089" s="8" t="s">
        <v>14</v>
      </c>
      <c r="E5089" s="8">
        <v>1</v>
      </c>
    </row>
    <row r="5090" spans="1:5" ht="15.75" customHeight="1" x14ac:dyDescent="0.25">
      <c r="A5090" s="6" t="s">
        <v>4969</v>
      </c>
      <c r="B5090" s="6" t="str">
        <f ca="1">IFERROR(__xludf.DUMMYFUNCTION("GOOGLETRANSLATE(A5090,""bn"",""en"")"),"I don't expect you to come")</f>
        <v>I don't expect you to come</v>
      </c>
      <c r="C5090" s="8" t="s">
        <v>13</v>
      </c>
      <c r="D5090" s="8" t="s">
        <v>14</v>
      </c>
      <c r="E5090" s="8">
        <v>1</v>
      </c>
    </row>
    <row r="5091" spans="1:5" ht="15.75" customHeight="1" x14ac:dyDescent="0.25">
      <c r="A5091" s="6" t="s">
        <v>4970</v>
      </c>
      <c r="B5091" s="6" t="str">
        <f ca="1">IFERROR(__xludf.DUMMYFUNCTION("GOOGLETRANSLATE(A5091,""bn"",""en"")"),"Practice Self Love Embrace your flaws and imperfections because they make you beautifully unique")</f>
        <v>Practice Self Love Embrace your flaws and imperfections because they make you beautifully unique</v>
      </c>
      <c r="C5091" s="8" t="s">
        <v>13</v>
      </c>
      <c r="D5091" s="8" t="s">
        <v>14</v>
      </c>
      <c r="E5091" s="8">
        <v>1</v>
      </c>
    </row>
    <row r="5092" spans="1:5" ht="15.75" customHeight="1" x14ac:dyDescent="0.25">
      <c r="A5092" s="6" t="s">
        <v>4971</v>
      </c>
      <c r="B5092" s="6" t="str">
        <f ca="1">IFERROR(__xludf.DUMMYFUNCTION("GOOGLETRANSLATE(A5092,""bn"",""en"")"),"Emboldened by Haru's constant silence, the tree squirrel came down at once")</f>
        <v>Emboldened by Haru's constant silence, the tree squirrel came down at once</v>
      </c>
      <c r="C5092" s="7" t="s">
        <v>6</v>
      </c>
      <c r="D5092" s="7" t="s">
        <v>7</v>
      </c>
      <c r="E5092" s="7">
        <v>0</v>
      </c>
    </row>
    <row r="5093" spans="1:5" ht="15.75" customHeight="1" x14ac:dyDescent="0.25">
      <c r="A5093" s="6" t="s">
        <v>4972</v>
      </c>
      <c r="B5093" s="6" t="str">
        <f ca="1">IFERROR(__xludf.DUMMYFUNCTION("GOOGLETRANSLATE(A5093,""bn"",""en"")"),"That slow transmission of it all came together")</f>
        <v>That slow transmission of it all came together</v>
      </c>
      <c r="C5093" s="7" t="s">
        <v>6</v>
      </c>
      <c r="D5093" s="7" t="s">
        <v>7</v>
      </c>
      <c r="E5093" s="7">
        <v>0</v>
      </c>
    </row>
    <row r="5094" spans="1:5" ht="15.75" customHeight="1" x14ac:dyDescent="0.25">
      <c r="A5094" s="6" t="s">
        <v>4973</v>
      </c>
      <c r="B5094" s="6" t="str">
        <f ca="1">IFERROR(__xludf.DUMMYFUNCTION("GOOGLETRANSLATE(A5094,""bn"",""en"")"),"After some time of unbearable heat, soft gray clouds covered the burning sky")</f>
        <v>After some time of unbearable heat, soft gray clouds covered the burning sky</v>
      </c>
      <c r="C5094" s="7" t="s">
        <v>6</v>
      </c>
      <c r="D5094" s="7" t="s">
        <v>7</v>
      </c>
      <c r="E5094" s="7">
        <v>0</v>
      </c>
    </row>
    <row r="5095" spans="1:5" ht="15.75" customHeight="1" x14ac:dyDescent="0.25">
      <c r="A5095" s="6" t="s">
        <v>4974</v>
      </c>
      <c r="B5095" s="6" t="str">
        <f ca="1">IFERROR(__xludf.DUMMYFUNCTION("GOOGLETRANSLATE(A5095,""bn"",""en"")"),"Rahim had advanced after listening to Karim")</f>
        <v>Rahim had advanced after listening to Karim</v>
      </c>
      <c r="C5095" s="7" t="s">
        <v>6</v>
      </c>
      <c r="D5095" s="7" t="s">
        <v>7</v>
      </c>
      <c r="E5095" s="7">
        <v>0</v>
      </c>
    </row>
    <row r="5096" spans="1:5" ht="15.75" customHeight="1" x14ac:dyDescent="0.25">
      <c r="A5096" s="6" t="s">
        <v>4975</v>
      </c>
      <c r="B5096" s="6" t="str">
        <f ca="1">IFERROR(__xludf.DUMMYFUNCTION("GOOGLETRANSLATE(A5096,""bn"",""en"")"),"There was no limit to the joy of the crowd")</f>
        <v>There was no limit to the joy of the crowd</v>
      </c>
      <c r="C5096" s="7" t="s">
        <v>6</v>
      </c>
      <c r="D5096" s="7" t="s">
        <v>7</v>
      </c>
      <c r="E5096" s="7">
        <v>0</v>
      </c>
    </row>
    <row r="5097" spans="1:5" ht="15.75" customHeight="1" x14ac:dyDescent="0.25">
      <c r="A5097" s="6" t="s">
        <v>4976</v>
      </c>
      <c r="B5097" s="6" t="str">
        <f ca="1">IFERROR(__xludf.DUMMYFUNCTION("GOOGLETRANSLATE(A5097,""bn"",""en"")"),"Adye Adam is bright in that flower heart")</f>
        <v>Adye Adam is bright in that flower heart</v>
      </c>
      <c r="C5097" s="8" t="s">
        <v>13</v>
      </c>
      <c r="D5097" s="8" t="s">
        <v>14</v>
      </c>
      <c r="E5097" s="8">
        <v>1</v>
      </c>
    </row>
    <row r="5098" spans="1:5" ht="15.75" customHeight="1" x14ac:dyDescent="0.25">
      <c r="A5098" s="6" t="s">
        <v>4977</v>
      </c>
      <c r="B5098" s="6" t="str">
        <f ca="1">IFERROR(__xludf.DUMMYFUNCTION("GOOGLETRANSLATE(A5098,""bn"",""en"")"),"Be open to feedback Be willing to learn from others")</f>
        <v>Be open to feedback Be willing to learn from others</v>
      </c>
      <c r="C5098" s="8" t="s">
        <v>13</v>
      </c>
      <c r="D5098" s="8" t="s">
        <v>14</v>
      </c>
      <c r="E5098" s="8">
        <v>1</v>
      </c>
    </row>
    <row r="5099" spans="1:5" ht="15.75" customHeight="1" x14ac:dyDescent="0.25">
      <c r="A5099" s="6" t="s">
        <v>4978</v>
      </c>
      <c r="B5099" s="6" t="str">
        <f ca="1">IFERROR(__xludf.DUMMYFUNCTION("GOOGLETRANSLATE(A5099,""bn"",""en"")"),"Sumon's school began to collapse")</f>
        <v>Sumon's school began to collapse</v>
      </c>
      <c r="C5099" s="8" t="s">
        <v>13</v>
      </c>
      <c r="D5099" s="8" t="s">
        <v>14</v>
      </c>
      <c r="E5099" s="8">
        <v>1</v>
      </c>
    </row>
    <row r="5100" spans="1:5" ht="15.75" customHeight="1" x14ac:dyDescent="0.25">
      <c r="A5100" s="6" t="s">
        <v>4979</v>
      </c>
      <c r="B5100" s="6" t="str">
        <f ca="1">IFERROR(__xludf.DUMMYFUNCTION("GOOGLETRANSLATE(A5100,""bn"",""en"")"),"The librarian arranged the books on the shelves alphabetically")</f>
        <v>The librarian arranged the books on the shelves alphabetically</v>
      </c>
      <c r="C5100" s="8" t="s">
        <v>13</v>
      </c>
      <c r="D5100" s="8" t="s">
        <v>14</v>
      </c>
      <c r="E5100" s="8">
        <v>1</v>
      </c>
    </row>
    <row r="5101" spans="1:5" ht="15.75" customHeight="1" x14ac:dyDescent="0.25">
      <c r="A5101" s="6" t="s">
        <v>4980</v>
      </c>
      <c r="B5101" s="6" t="str">
        <f ca="1">IFERROR(__xludf.DUMMYFUNCTION("GOOGLETRANSLATE(A5101,""bn"",""en"")"),"Sujan will eat rice and come to play")</f>
        <v>Sujan will eat rice and come to play</v>
      </c>
      <c r="C5101" s="8" t="s">
        <v>13</v>
      </c>
      <c r="D5101" s="8" t="s">
        <v>14</v>
      </c>
      <c r="E5101" s="8">
        <v>1</v>
      </c>
    </row>
    <row r="5102" spans="1:5" ht="15.75" customHeight="1" x14ac:dyDescent="0.25">
      <c r="A5102" s="6" t="s">
        <v>4981</v>
      </c>
      <c r="B5102" s="6" t="str">
        <f ca="1">IFERROR(__xludf.DUMMYFUNCTION("GOOGLETRANSLATE(A5102,""bn"",""en"")"),"Radhakunja has all gone and all is gone only this lineage remains")</f>
        <v>Radhakunja has all gone and all is gone only this lineage remains</v>
      </c>
      <c r="C5102" s="7" t="s">
        <v>6</v>
      </c>
      <c r="D5102" s="7" t="s">
        <v>7</v>
      </c>
      <c r="E5102" s="7">
        <v>0</v>
      </c>
    </row>
    <row r="5103" spans="1:5" ht="15.75" customHeight="1" x14ac:dyDescent="0.25">
      <c r="A5103" s="6" t="s">
        <v>4982</v>
      </c>
      <c r="B5103" s="6" t="str">
        <f ca="1">IFERROR(__xludf.DUMMYFUNCTION("GOOGLETRANSLATE(A5103,""bn"",""en"")"),"Saying this, Harimohan filed a complaint in the district court")</f>
        <v>Saying this, Harimohan filed a complaint in the district court</v>
      </c>
      <c r="C5103" s="7" t="s">
        <v>6</v>
      </c>
      <c r="D5103" s="7" t="s">
        <v>7</v>
      </c>
      <c r="E5103" s="7">
        <v>0</v>
      </c>
    </row>
    <row r="5104" spans="1:5" ht="15.75" customHeight="1" x14ac:dyDescent="0.25">
      <c r="A5104" s="6" t="s">
        <v>4983</v>
      </c>
      <c r="B5104" s="6" t="str">
        <f ca="1">IFERROR(__xludf.DUMMYFUNCTION("GOOGLETRANSLATE(A5104,""bn"",""en"")"),"I went with him to the market to buy his favorite book")</f>
        <v>I went with him to the market to buy his favorite book</v>
      </c>
      <c r="C5104" s="7" t="s">
        <v>6</v>
      </c>
      <c r="D5104" s="7" t="s">
        <v>7</v>
      </c>
      <c r="E5104" s="7">
        <v>0</v>
      </c>
    </row>
    <row r="5105" spans="1:5" ht="15.75" customHeight="1" x14ac:dyDescent="0.25">
      <c r="A5105" s="6" t="s">
        <v>4984</v>
      </c>
      <c r="B5105" s="6" t="str">
        <f ca="1">IFERROR(__xludf.DUMMYFUNCTION("GOOGLETRANSLATE(A5105,""bn"",""en"")"),"However, the forest is very inaccessible")</f>
        <v>However, the forest is very inaccessible</v>
      </c>
      <c r="C5105" s="7" t="s">
        <v>6</v>
      </c>
      <c r="D5105" s="7" t="s">
        <v>7</v>
      </c>
      <c r="E5105" s="7">
        <v>0</v>
      </c>
    </row>
    <row r="5106" spans="1:5" ht="15.75" customHeight="1" x14ac:dyDescent="0.25">
      <c r="A5106" s="6" t="s">
        <v>4985</v>
      </c>
      <c r="B5106" s="6" t="str">
        <f ca="1">IFERROR(__xludf.DUMMYFUNCTION("GOOGLETRANSLATE(A5106,""bn"",""en"")"),"He thought that Haru was a part of the tree")</f>
        <v>He thought that Haru was a part of the tree</v>
      </c>
      <c r="C5106" s="7" t="s">
        <v>6</v>
      </c>
      <c r="D5106" s="7" t="s">
        <v>7</v>
      </c>
      <c r="E5106" s="7">
        <v>0</v>
      </c>
    </row>
    <row r="5107" spans="1:5" ht="15.75" customHeight="1" x14ac:dyDescent="0.25">
      <c r="A5107" s="6" t="s">
        <v>4986</v>
      </c>
      <c r="B5107" s="6" t="str">
        <f ca="1">IFERROR(__xludf.DUMMYFUNCTION("GOOGLETRANSLATE(A5107,""bn"",""en"")"),"Budgeting is essential to managing your finances effectively")</f>
        <v>Budgeting is essential to managing your finances effectively</v>
      </c>
      <c r="C5107" s="8" t="s">
        <v>13</v>
      </c>
      <c r="D5107" s="8" t="s">
        <v>14</v>
      </c>
      <c r="E5107" s="8">
        <v>1</v>
      </c>
    </row>
    <row r="5108" spans="1:5" ht="15.75" customHeight="1" x14ac:dyDescent="0.25">
      <c r="A5108" s="6" t="s">
        <v>4987</v>
      </c>
      <c r="B5108" s="6" t="str">
        <f ca="1">IFERROR(__xludf.DUMMYFUNCTION("GOOGLETRANSLATE(A5108,""bn"",""en"")"),"Shawn's mother came to me")</f>
        <v>Shawn's mother came to me</v>
      </c>
      <c r="C5108" s="8" t="s">
        <v>13</v>
      </c>
      <c r="D5108" s="8" t="s">
        <v>14</v>
      </c>
      <c r="E5108" s="8">
        <v>1</v>
      </c>
    </row>
    <row r="5109" spans="1:5" ht="15.75" customHeight="1" x14ac:dyDescent="0.25">
      <c r="A5109" s="6" t="s">
        <v>4988</v>
      </c>
      <c r="B5109" s="6" t="str">
        <f ca="1">IFERROR(__xludf.DUMMYFUNCTION("GOOGLETRANSLATE(A5109,""bn"",""en"")"),"Tears rolled down his eyes.")</f>
        <v>Tears rolled down his eyes.</v>
      </c>
      <c r="C5109" s="8" t="s">
        <v>13</v>
      </c>
      <c r="D5109" s="8" t="s">
        <v>14</v>
      </c>
      <c r="E5109" s="8">
        <v>1</v>
      </c>
    </row>
    <row r="5110" spans="1:5" ht="15.75" customHeight="1" x14ac:dyDescent="0.25">
      <c r="A5110" s="6" t="s">
        <v>4989</v>
      </c>
      <c r="B5110" s="6" t="str">
        <f ca="1">IFERROR(__xludf.DUMMYFUNCTION("GOOGLETRANSLATE(A5110,""bn"",""en"")"),"Rita Rina entered the room together")</f>
        <v>Rita Rina entered the room together</v>
      </c>
      <c r="C5110" s="8" t="s">
        <v>13</v>
      </c>
      <c r="D5110" s="8" t="s">
        <v>14</v>
      </c>
      <c r="E5110" s="8">
        <v>1</v>
      </c>
    </row>
    <row r="5111" spans="1:5" ht="15.75" customHeight="1" x14ac:dyDescent="0.25">
      <c r="A5111" s="6" t="s">
        <v>4990</v>
      </c>
      <c r="B5111" s="6" t="str">
        <f ca="1">IFERROR(__xludf.DUMMYFUNCTION("GOOGLETRANSLATE(A5111,""bn"",""en"")"),"While trekking through dense forests they encounter tribes with customs shrouded in mystery")</f>
        <v>While trekking through dense forests they encounter tribes with customs shrouded in mystery</v>
      </c>
      <c r="C5111" s="8" t="s">
        <v>13</v>
      </c>
      <c r="D5111" s="8" t="s">
        <v>14</v>
      </c>
      <c r="E5111" s="8">
        <v>1</v>
      </c>
    </row>
    <row r="5112" spans="1:5" ht="15.75" customHeight="1" x14ac:dyDescent="0.25">
      <c r="A5112" s="6" t="s">
        <v>3191</v>
      </c>
      <c r="B5112" s="6" t="str">
        <f ca="1">IFERROR(__xludf.DUMMYFUNCTION("GOOGLETRANSLATE(A5112,""bn"",""en"")"),"I can't even say that their alcohol is not addictive")</f>
        <v>I can't even say that their alcohol is not addictive</v>
      </c>
      <c r="C5112" s="7" t="s">
        <v>6</v>
      </c>
      <c r="D5112" s="7" t="s">
        <v>7</v>
      </c>
      <c r="E5112" s="7">
        <v>0</v>
      </c>
    </row>
    <row r="5113" spans="1:5" ht="15.75" customHeight="1" x14ac:dyDescent="0.25">
      <c r="A5113" s="6" t="s">
        <v>4991</v>
      </c>
      <c r="B5113" s="6" t="str">
        <f ca="1">IFERROR(__xludf.DUMMYFUNCTION("GOOGLETRANSLATE(A5113,""bn"",""en"")"),"Sujan wanted to give me her book")</f>
        <v>Sujan wanted to give me her book</v>
      </c>
      <c r="C5113" s="7" t="s">
        <v>6</v>
      </c>
      <c r="D5113" s="7" t="s">
        <v>7</v>
      </c>
      <c r="E5113" s="7">
        <v>0</v>
      </c>
    </row>
    <row r="5114" spans="1:5" ht="15.75" customHeight="1" x14ac:dyDescent="0.25">
      <c r="A5114" s="6" t="s">
        <v>4992</v>
      </c>
      <c r="B5114" s="6" t="str">
        <f ca="1">IFERROR(__xludf.DUMMYFUNCTION("GOOGLETRANSLATE(A5114,""bn"",""en"")"),"I stood aside and saw everything")</f>
        <v>I stood aside and saw everything</v>
      </c>
      <c r="C5114" s="7" t="s">
        <v>6</v>
      </c>
      <c r="D5114" s="7" t="s">
        <v>7</v>
      </c>
      <c r="E5114" s="7">
        <v>0</v>
      </c>
    </row>
    <row r="5115" spans="1:5" ht="15.75" customHeight="1" x14ac:dyDescent="0.25">
      <c r="A5115" s="6" t="s">
        <v>4993</v>
      </c>
      <c r="B5115" s="6" t="str">
        <f ca="1">IFERROR(__xludf.DUMMYFUNCTION("GOOGLETRANSLATE(A5115,""bn"",""en"")"),"will you play cricket with me")</f>
        <v>will you play cricket with me</v>
      </c>
      <c r="C5115" s="7" t="s">
        <v>6</v>
      </c>
      <c r="D5115" s="7" t="s">
        <v>7</v>
      </c>
      <c r="E5115" s="7">
        <v>0</v>
      </c>
    </row>
    <row r="5116" spans="1:5" ht="15.75" customHeight="1" x14ac:dyDescent="0.25">
      <c r="A5116" s="6" t="s">
        <v>4994</v>
      </c>
      <c r="B5116" s="6" t="str">
        <f ca="1">IFERROR(__xludf.DUMMYFUNCTION("GOOGLETRANSLATE(A5116,""bn"",""en"")"),"Rumi was sitting in Pratyushepadi today")</f>
        <v>Rumi was sitting in Pratyushepadi today</v>
      </c>
      <c r="C5116" s="7" t="s">
        <v>6</v>
      </c>
      <c r="D5116" s="7" t="s">
        <v>7</v>
      </c>
      <c r="E5116" s="7">
        <v>0</v>
      </c>
    </row>
    <row r="5117" spans="1:5" ht="15.75" customHeight="1" x14ac:dyDescent="0.25">
      <c r="A5117" s="6" t="s">
        <v>4995</v>
      </c>
      <c r="B5117" s="6" t="str">
        <f ca="1">IFERROR(__xludf.DUMMYFUNCTION("GOOGLETRANSLATE(A5117,""bn"",""en"")"),"My sister I share the secret language inside jokes")</f>
        <v>My sister I share the secret language inside jokes</v>
      </c>
      <c r="C5117" s="8" t="s">
        <v>13</v>
      </c>
      <c r="D5117" s="8" t="s">
        <v>14</v>
      </c>
      <c r="E5117" s="8">
        <v>1</v>
      </c>
    </row>
    <row r="5118" spans="1:5" ht="15.75" customHeight="1" x14ac:dyDescent="0.25">
      <c r="A5118" s="6" t="s">
        <v>4996</v>
      </c>
      <c r="B5118" s="6" t="str">
        <f ca="1">IFERROR(__xludf.DUMMYFUNCTION("GOOGLETRANSLATE(A5118,""bn"",""en"")"),"He came to my house")</f>
        <v>He came to my house</v>
      </c>
      <c r="C5118" s="8" t="s">
        <v>13</v>
      </c>
      <c r="D5118" s="8" t="s">
        <v>14</v>
      </c>
      <c r="E5118" s="8">
        <v>1</v>
      </c>
    </row>
    <row r="5119" spans="1:5" ht="15.75" customHeight="1" x14ac:dyDescent="0.25">
      <c r="A5119" s="6" t="s">
        <v>4997</v>
      </c>
      <c r="B5119" s="6" t="str">
        <f ca="1">IFERROR(__xludf.DUMMYFUNCTION("GOOGLETRANSLATE(A5119,""bn"",""en"")"),"The stories of my grandparents are like a treasure of the past")</f>
        <v>The stories of my grandparents are like a treasure of the past</v>
      </c>
      <c r="C5119" s="8" t="s">
        <v>13</v>
      </c>
      <c r="D5119" s="8" t="s">
        <v>14</v>
      </c>
      <c r="E5119" s="8">
        <v>1</v>
      </c>
    </row>
    <row r="5120" spans="1:5" ht="15.75" customHeight="1" x14ac:dyDescent="0.25">
      <c r="A5120" s="6" t="s">
        <v>4998</v>
      </c>
      <c r="B5120" s="6" t="str">
        <f ca="1">IFERROR(__xludf.DUMMYFUNCTION("GOOGLETRANSLATE(A5120,""bn"",""en"")"),"Rana will leave for Rajshahi early today")</f>
        <v>Rana will leave for Rajshahi early today</v>
      </c>
      <c r="C5120" s="8" t="s">
        <v>13</v>
      </c>
      <c r="D5120" s="8" t="s">
        <v>14</v>
      </c>
      <c r="E5120" s="8">
        <v>1</v>
      </c>
    </row>
    <row r="5121" spans="1:5" ht="15.75" customHeight="1" x14ac:dyDescent="0.25">
      <c r="A5121" s="6" t="s">
        <v>4999</v>
      </c>
      <c r="B5121" s="6" t="str">
        <f ca="1">IFERROR(__xludf.DUMMYFUNCTION("GOOGLETRANSLATE(A5121,""bn"",""en"")"),"A gentle mist hangs in the air, softening the edges of the landscape and lending it an ethereal quality.")</f>
        <v>A gentle mist hangs in the air, softening the edges of the landscape and lending it an ethereal quality.</v>
      </c>
      <c r="C5121" s="8" t="s">
        <v>13</v>
      </c>
      <c r="D5121" s="8" t="s">
        <v>14</v>
      </c>
      <c r="E5121" s="8">
        <v>1</v>
      </c>
    </row>
    <row r="5122" spans="1:5" ht="15.75" customHeight="1" x14ac:dyDescent="0.25">
      <c r="A5122" s="6" t="s">
        <v>5000</v>
      </c>
      <c r="B5122" s="6" t="str">
        <f ca="1">IFERROR(__xludf.DUMMYFUNCTION("GOOGLETRANSLATE(A5122,""bn"",""en"")"),"Thinking that I will reach then, I got busy again")</f>
        <v>Thinking that I will reach then, I got busy again</v>
      </c>
      <c r="C5122" s="7" t="s">
        <v>6</v>
      </c>
      <c r="D5122" s="7" t="s">
        <v>7</v>
      </c>
      <c r="E5122" s="7">
        <v>0</v>
      </c>
    </row>
    <row r="5123" spans="1:5" ht="15.75" customHeight="1" x14ac:dyDescent="0.25">
      <c r="A5123" s="6" t="s">
        <v>1627</v>
      </c>
      <c r="B5123" s="6" t="str">
        <f ca="1">IFERROR(__xludf.DUMMYFUNCTION("GOOGLETRANSLATE(A5123,""bn"",""en"")"),"He stood aimlessly for a while and suddenly went to his room")</f>
        <v>He stood aimlessly for a while and suddenly went to his room</v>
      </c>
      <c r="C5123" s="7" t="s">
        <v>6</v>
      </c>
      <c r="D5123" s="7" t="s">
        <v>7</v>
      </c>
      <c r="E5123" s="7">
        <v>0</v>
      </c>
    </row>
    <row r="5124" spans="1:5" ht="15.75" customHeight="1" x14ac:dyDescent="0.25">
      <c r="A5124" s="6" t="s">
        <v>5001</v>
      </c>
      <c r="B5124" s="6" t="str">
        <f ca="1">IFERROR(__xludf.DUMMYFUNCTION("GOOGLETRANSLATE(A5124,""bn"",""en"")"),"I am Bengali so what will I feel differently")</f>
        <v>I am Bengali so what will I feel differently</v>
      </c>
      <c r="C5124" s="7" t="s">
        <v>6</v>
      </c>
      <c r="D5124" s="7" t="s">
        <v>7</v>
      </c>
      <c r="E5124" s="7">
        <v>0</v>
      </c>
    </row>
    <row r="5125" spans="1:5" ht="15.75" customHeight="1" x14ac:dyDescent="0.25">
      <c r="A5125" s="6" t="s">
        <v>5002</v>
      </c>
      <c r="B5125" s="6" t="str">
        <f ca="1">IFERROR(__xludf.DUMMYFUNCTION("GOOGLETRANSLATE(A5125,""bn"",""en"")"),"Rafi saw me and went that way")</f>
        <v>Rafi saw me and went that way</v>
      </c>
      <c r="C5125" s="7" t="s">
        <v>6</v>
      </c>
      <c r="D5125" s="7" t="s">
        <v>7</v>
      </c>
      <c r="E5125" s="7">
        <v>0</v>
      </c>
    </row>
    <row r="5126" spans="1:5" ht="15.75" customHeight="1" x14ac:dyDescent="0.25">
      <c r="A5126" s="6" t="s">
        <v>5003</v>
      </c>
      <c r="B5126" s="6" t="str">
        <f ca="1">IFERROR(__xludf.DUMMYFUNCTION("GOOGLETRANSLATE(A5126,""bn"",""en"")"),"I couldn't figure out why the sound lasted as long as it went as far as that layer.")</f>
        <v>I couldn't figure out why the sound lasted as long as it went as far as that layer.</v>
      </c>
      <c r="C5126" s="7" t="s">
        <v>6</v>
      </c>
      <c r="D5126" s="7" t="s">
        <v>7</v>
      </c>
      <c r="E5126" s="7">
        <v>0</v>
      </c>
    </row>
    <row r="5127" spans="1:5" ht="15.75" customHeight="1" x14ac:dyDescent="0.25">
      <c r="A5127" s="6" t="s">
        <v>5004</v>
      </c>
      <c r="B5127" s="6" t="str">
        <f ca="1">IFERROR(__xludf.DUMMYFUNCTION("GOOGLETRANSLATE(A5127,""bn"",""en"")"),"He explained it to me")</f>
        <v>He explained it to me</v>
      </c>
      <c r="C5127" s="8" t="s">
        <v>13</v>
      </c>
      <c r="D5127" s="8" t="s">
        <v>14</v>
      </c>
      <c r="E5127" s="8">
        <v>1</v>
      </c>
    </row>
    <row r="5128" spans="1:5" ht="15.75" customHeight="1" x14ac:dyDescent="0.25">
      <c r="A5128" s="6" t="s">
        <v>5005</v>
      </c>
      <c r="B5128" s="6" t="str">
        <f ca="1">IFERROR(__xludf.DUMMYFUNCTION("GOOGLETRANSLATE(A5128,""bn"",""en"")"),"Gastroenteritis, commonly known as the stomach flu, is an inflammation of the stomach lining that causes diarrhea and vomiting")</f>
        <v>Gastroenteritis, commonly known as the stomach flu, is an inflammation of the stomach lining that causes diarrhea and vomiting</v>
      </c>
      <c r="C5128" s="8" t="s">
        <v>13</v>
      </c>
      <c r="D5128" s="8" t="s">
        <v>14</v>
      </c>
      <c r="E5128" s="8">
        <v>1</v>
      </c>
    </row>
    <row r="5129" spans="1:5" ht="15.75" customHeight="1" x14ac:dyDescent="0.25">
      <c r="A5129" s="6" t="s">
        <v>5006</v>
      </c>
      <c r="B5129" s="6" t="str">
        <f ca="1">IFERROR(__xludf.DUMMYFUNCTION("GOOGLETRANSLATE(A5129,""bn"",""en"")"),"Embracing change brings growth transformation")</f>
        <v>Embracing change brings growth transformation</v>
      </c>
      <c r="C5129" s="8" t="s">
        <v>13</v>
      </c>
      <c r="D5129" s="8" t="s">
        <v>14</v>
      </c>
      <c r="E5129" s="8">
        <v>1</v>
      </c>
    </row>
    <row r="5130" spans="1:5" ht="15.75" customHeight="1" x14ac:dyDescent="0.25">
      <c r="A5130" s="6" t="s">
        <v>5007</v>
      </c>
      <c r="B5130" s="6" t="str">
        <f ca="1">IFERROR(__xludf.DUMMYFUNCTION("GOOGLETRANSLATE(A5130,""bn"",""en"")"),"I am grateful for the education my parents gave me")</f>
        <v>I am grateful for the education my parents gave me</v>
      </c>
      <c r="C5130" s="8" t="s">
        <v>13</v>
      </c>
      <c r="D5130" s="8" t="s">
        <v>14</v>
      </c>
      <c r="E5130" s="8">
        <v>1</v>
      </c>
    </row>
    <row r="5131" spans="1:5" ht="15.75" customHeight="1" x14ac:dyDescent="0.25">
      <c r="A5131" s="6" t="s">
        <v>5008</v>
      </c>
      <c r="B5131" s="6" t="str">
        <f ca="1">IFERROR(__xludf.DUMMYFUNCTION("GOOGLETRANSLATE(A5131,""bn"",""en"")"),"Fresh herbs enrich culinary creations")</f>
        <v>Fresh herbs enrich culinary creations</v>
      </c>
      <c r="C5131" s="8" t="s">
        <v>13</v>
      </c>
      <c r="D5131" s="8" t="s">
        <v>14</v>
      </c>
      <c r="E5131" s="8">
        <v>1</v>
      </c>
    </row>
    <row r="5132" spans="1:5" ht="15.75" customHeight="1" x14ac:dyDescent="0.25">
      <c r="A5132" s="6" t="s">
        <v>5009</v>
      </c>
      <c r="B5132" s="6" t="str">
        <f ca="1">IFERROR(__xludf.DUMMYFUNCTION("GOOGLETRANSLATE(A5132,""bn"",""en"")"),"They will think that the person riding the car is indeed a gentleman")</f>
        <v>They will think that the person riding the car is indeed a gentleman</v>
      </c>
      <c r="C5132" s="7" t="s">
        <v>6</v>
      </c>
      <c r="D5132" s="7" t="s">
        <v>7</v>
      </c>
      <c r="E5132" s="7">
        <v>0</v>
      </c>
    </row>
    <row r="5133" spans="1:5" ht="15.75" customHeight="1" x14ac:dyDescent="0.25">
      <c r="A5133" s="6" t="s">
        <v>5010</v>
      </c>
      <c r="B5133" s="6" t="str">
        <f ca="1">IFERROR(__xludf.DUMMYFUNCTION("GOOGLETRANSLATE(A5133,""bn"",""en"")"),"My palanquin started to move through no paved road but a narrow cow path")</f>
        <v>My palanquin started to move through no paved road but a narrow cow path</v>
      </c>
      <c r="C5133" s="7" t="s">
        <v>6</v>
      </c>
      <c r="D5133" s="7" t="s">
        <v>7</v>
      </c>
      <c r="E5133" s="7">
        <v>0</v>
      </c>
    </row>
    <row r="5134" spans="1:5" ht="15.75" customHeight="1" x14ac:dyDescent="0.25">
      <c r="A5134" s="6" t="s">
        <v>5011</v>
      </c>
      <c r="B5134" s="6" t="str">
        <f ca="1">IFERROR(__xludf.DUMMYFUNCTION("GOOGLETRANSLATE(A5134,""bn"",""en"")"),"You should have been born in a Rajput house")</f>
        <v>You should have been born in a Rajput house</v>
      </c>
      <c r="C5134" s="7" t="s">
        <v>6</v>
      </c>
      <c r="D5134" s="7" t="s">
        <v>7</v>
      </c>
      <c r="E5134" s="7">
        <v>0</v>
      </c>
    </row>
    <row r="5135" spans="1:5" ht="15.75" customHeight="1" x14ac:dyDescent="0.25">
      <c r="A5135" s="6" t="s">
        <v>5012</v>
      </c>
      <c r="B5135" s="6" t="str">
        <f ca="1">IFERROR(__xludf.DUMMYFUNCTION("GOOGLETRANSLATE(A5135,""bn"",""en"")"),"That would be totally unfair on my part")</f>
        <v>That would be totally unfair on my part</v>
      </c>
      <c r="C5135" s="7" t="s">
        <v>6</v>
      </c>
      <c r="D5135" s="7" t="s">
        <v>7</v>
      </c>
      <c r="E5135" s="7">
        <v>0</v>
      </c>
    </row>
    <row r="5136" spans="1:5" ht="15.75" customHeight="1" x14ac:dyDescent="0.25">
      <c r="A5136" s="6" t="s">
        <v>5013</v>
      </c>
      <c r="B5136" s="6" t="str">
        <f ca="1">IFERROR(__xludf.DUMMYFUNCTION("GOOGLETRANSLATE(A5136,""bn"",""en"")"),"Satish left without saying a word to anyone")</f>
        <v>Satish left without saying a word to anyone</v>
      </c>
      <c r="C5136" s="7" t="s">
        <v>6</v>
      </c>
      <c r="D5136" s="7" t="s">
        <v>7</v>
      </c>
      <c r="E5136" s="7">
        <v>0</v>
      </c>
    </row>
    <row r="5137" spans="1:5" ht="15.75" customHeight="1" x14ac:dyDescent="0.25">
      <c r="A5137" s="6" t="s">
        <v>5014</v>
      </c>
      <c r="B5137" s="6" t="str">
        <f ca="1">IFERROR(__xludf.DUMMYFUNCTION("GOOGLETRANSLATE(A5137,""bn"",""en"")"),"The beauty of nature fascinates me")</f>
        <v>The beauty of nature fascinates me</v>
      </c>
      <c r="C5137" s="8" t="s">
        <v>13</v>
      </c>
      <c r="D5137" s="8" t="s">
        <v>14</v>
      </c>
      <c r="E5137" s="8">
        <v>1</v>
      </c>
    </row>
    <row r="5138" spans="1:5" ht="15.75" customHeight="1" x14ac:dyDescent="0.25">
      <c r="A5138" s="6" t="s">
        <v>5015</v>
      </c>
      <c r="B5138" s="6" t="str">
        <f ca="1">IFERROR(__xludf.DUMMYFUNCTION("GOOGLETRANSLATE(A5138,""bn"",""en"")"),"Around 4 or 4:30 in the afternoon they used to meet together and discuss")</f>
        <v>Around 4 or 4:30 in the afternoon they used to meet together and discuss</v>
      </c>
      <c r="C5138" s="8" t="s">
        <v>13</v>
      </c>
      <c r="D5138" s="8" t="s">
        <v>14</v>
      </c>
      <c r="E5138" s="8">
        <v>1</v>
      </c>
    </row>
    <row r="5139" spans="1:5" ht="15.75" customHeight="1" x14ac:dyDescent="0.25">
      <c r="A5139" s="6" t="s">
        <v>5016</v>
      </c>
      <c r="B5139" s="6" t="str">
        <f ca="1">IFERROR(__xludf.DUMMYFUNCTION("GOOGLETRANSLATE(A5139,""bn"",""en"")"),"Investing in stocks requires careful research analysis")</f>
        <v>Investing in stocks requires careful research analysis</v>
      </c>
      <c r="C5139" s="8" t="s">
        <v>13</v>
      </c>
      <c r="D5139" s="8" t="s">
        <v>14</v>
      </c>
      <c r="E5139" s="8">
        <v>1</v>
      </c>
    </row>
    <row r="5140" spans="1:5" ht="15.75" customHeight="1" x14ac:dyDescent="0.25">
      <c r="A5140" s="6" t="s">
        <v>5017</v>
      </c>
      <c r="B5140" s="6" t="str">
        <f ca="1">IFERROR(__xludf.DUMMYFUNCTION("GOOGLETRANSLATE(A5140,""bn"",""en"")"),"Stay active for improved focus")</f>
        <v>Stay active for improved focus</v>
      </c>
      <c r="C5140" s="8" t="s">
        <v>13</v>
      </c>
      <c r="D5140" s="8" t="s">
        <v>14</v>
      </c>
      <c r="E5140" s="8">
        <v>1</v>
      </c>
    </row>
    <row r="5141" spans="1:5" ht="15.75" customHeight="1" x14ac:dyDescent="0.25">
      <c r="A5141" s="6" t="s">
        <v>5018</v>
      </c>
      <c r="B5141" s="6" t="str">
        <f ca="1">IFERROR(__xludf.DUMMYFUNCTION("GOOGLETRANSLATE(A5141,""bn"",""en"")"),"The scent of earth freshens the air after the summer rains")</f>
        <v>The scent of earth freshens the air after the summer rains</v>
      </c>
      <c r="C5141" s="8" t="s">
        <v>13</v>
      </c>
      <c r="D5141" s="8" t="s">
        <v>14</v>
      </c>
      <c r="E5141" s="8">
        <v>1</v>
      </c>
    </row>
    <row r="5142" spans="1:5" ht="15.75" customHeight="1" x14ac:dyDescent="0.25">
      <c r="A5142" s="6" t="s">
        <v>5019</v>
      </c>
      <c r="B5142" s="6" t="str">
        <f ca="1">IFERROR(__xludf.DUMMYFUNCTION("GOOGLETRANSLATE(A5142,""bn"",""en"")"),"I thought I was going to get my hair cut in the afternoon when I got up I saw my hair cutting partner my brother-in-law lying on the bed.")</f>
        <v>I thought I was going to get my hair cut in the afternoon when I got up I saw my hair cutting partner my brother-in-law lying on the bed.</v>
      </c>
      <c r="C5142" s="7" t="s">
        <v>6</v>
      </c>
      <c r="D5142" s="7" t="s">
        <v>7</v>
      </c>
      <c r="E5142" s="7">
        <v>0</v>
      </c>
    </row>
    <row r="5143" spans="1:5" ht="15.75" customHeight="1" x14ac:dyDescent="0.25">
      <c r="A5143" s="6" t="s">
        <v>5020</v>
      </c>
      <c r="B5143" s="6" t="str">
        <f ca="1">IFERROR(__xludf.DUMMYFUNCTION("GOOGLETRANSLATE(A5143,""bn"",""en"")"),"You will also be able to take care of your elderly parents")</f>
        <v>You will also be able to take care of your elderly parents</v>
      </c>
      <c r="C5143" s="7" t="s">
        <v>6</v>
      </c>
      <c r="D5143" s="7" t="s">
        <v>7</v>
      </c>
      <c r="E5143" s="7">
        <v>0</v>
      </c>
    </row>
    <row r="5144" spans="1:5" ht="15.75" customHeight="1" x14ac:dyDescent="0.25">
      <c r="A5144" s="6" t="s">
        <v>5021</v>
      </c>
      <c r="B5144" s="6" t="str">
        <f ca="1">IFERROR(__xludf.DUMMYFUNCTION("GOOGLETRANSLATE(A5144,""bn"",""en"")"),"I listened to his words carefully")</f>
        <v>I listened to his words carefully</v>
      </c>
      <c r="C5144" s="7" t="s">
        <v>6</v>
      </c>
      <c r="D5144" s="7" t="s">
        <v>7</v>
      </c>
      <c r="E5144" s="7">
        <v>0</v>
      </c>
    </row>
    <row r="5145" spans="1:5" ht="15.75" customHeight="1" x14ac:dyDescent="0.25">
      <c r="A5145" s="6" t="s">
        <v>5022</v>
      </c>
      <c r="B5145" s="6" t="str">
        <f ca="1">IFERROR(__xludf.DUMMYFUNCTION("GOOGLETRANSLATE(A5145,""bn"",""en"")"),"One day, sitting happily in this place and looking around, I suddenly saw a vine")</f>
        <v>One day, sitting happily in this place and looking around, I suddenly saw a vine</v>
      </c>
      <c r="C5145" s="7" t="s">
        <v>6</v>
      </c>
      <c r="D5145" s="7" t="s">
        <v>7</v>
      </c>
      <c r="E5145" s="7">
        <v>0</v>
      </c>
    </row>
    <row r="5146" spans="1:5" ht="15.75" customHeight="1" x14ac:dyDescent="0.25">
      <c r="A5146" s="6" t="s">
        <v>5023</v>
      </c>
      <c r="B5146" s="6" t="str">
        <f ca="1">IFERROR(__xludf.DUMMYFUNCTION("GOOGLETRANSLATE(A5146,""bn"",""en"")"),"I asked Ronnie to sing")</f>
        <v>I asked Ronnie to sing</v>
      </c>
      <c r="C5146" s="7" t="s">
        <v>6</v>
      </c>
      <c r="D5146" s="7" t="s">
        <v>7</v>
      </c>
      <c r="E5146" s="7">
        <v>0</v>
      </c>
    </row>
    <row r="5147" spans="1:5" ht="15.75" customHeight="1" x14ac:dyDescent="0.25">
      <c r="A5147" s="6" t="s">
        <v>5024</v>
      </c>
      <c r="B5147" s="6" t="str">
        <f ca="1">IFERROR(__xludf.DUMMYFUNCTION("GOOGLETRANSLATE(A5147,""bn"",""en"")"),"It provides an opportunity to reconnect with nature after disconnecting from technology")</f>
        <v>It provides an opportunity to reconnect with nature after disconnecting from technology</v>
      </c>
      <c r="C5147" s="8" t="s">
        <v>13</v>
      </c>
      <c r="D5147" s="8" t="s">
        <v>14</v>
      </c>
      <c r="E5147" s="8">
        <v>1</v>
      </c>
    </row>
    <row r="5148" spans="1:5" ht="15.75" customHeight="1" x14ac:dyDescent="0.25">
      <c r="A5148" s="6" t="s">
        <v>5025</v>
      </c>
      <c r="B5148" s="6" t="str">
        <f ca="1">IFERROR(__xludf.DUMMYFUNCTION("GOOGLETRANSLATE(A5148,""bn"",""en"")"),"Shaista Khan built this impressive shrine in memory of his daughter")</f>
        <v>Shaista Khan built this impressive shrine in memory of his daughter</v>
      </c>
      <c r="C5148" s="8" t="s">
        <v>13</v>
      </c>
      <c r="D5148" s="8" t="s">
        <v>14</v>
      </c>
      <c r="E5148" s="8">
        <v>1</v>
      </c>
    </row>
    <row r="5149" spans="1:5" ht="15.75" customHeight="1" x14ac:dyDescent="0.25">
      <c r="A5149" s="6" t="s">
        <v>5026</v>
      </c>
      <c r="B5149" s="6" t="str">
        <f ca="1">IFERROR(__xludf.DUMMYFUNCTION("GOOGLETRANSLATE(A5149,""bn"",""en"")"),"The British Indian Army also took part in the war")</f>
        <v>The British Indian Army also took part in the war</v>
      </c>
      <c r="C5149" s="8" t="s">
        <v>13</v>
      </c>
      <c r="D5149" s="8" t="s">
        <v>14</v>
      </c>
      <c r="E5149" s="8">
        <v>1</v>
      </c>
    </row>
    <row r="5150" spans="1:5" ht="15.75" customHeight="1" x14ac:dyDescent="0.25">
      <c r="A5150" s="6" t="s">
        <v>5027</v>
      </c>
      <c r="B5150" s="6" t="str">
        <f ca="1">IFERROR(__xludf.DUMMYFUNCTION("GOOGLETRANSLATE(A5150,""bn"",""en"")"),"Sufal is going to the mosque to pray")</f>
        <v>Sufal is going to the mosque to pray</v>
      </c>
      <c r="C5150" s="8" t="s">
        <v>13</v>
      </c>
      <c r="D5150" s="8" t="s">
        <v>14</v>
      </c>
      <c r="E5150" s="8">
        <v>1</v>
      </c>
    </row>
    <row r="5151" spans="1:5" ht="15.75" customHeight="1" x14ac:dyDescent="0.25">
      <c r="A5151" s="6" t="s">
        <v>5028</v>
      </c>
      <c r="B5151" s="6" t="str">
        <f ca="1">IFERROR(__xludf.DUMMYFUNCTION("GOOGLETRANSLATE(A5151,""bn"",""en"")"),"Sujan saw me and called")</f>
        <v>Sujan saw me and called</v>
      </c>
      <c r="C5151" s="8" t="s">
        <v>13</v>
      </c>
      <c r="D5151" s="8" t="s">
        <v>14</v>
      </c>
      <c r="E5151" s="8">
        <v>1</v>
      </c>
    </row>
    <row r="5152" spans="1:5" ht="15.75" customHeight="1" x14ac:dyDescent="0.25">
      <c r="A5152" s="6" t="s">
        <v>3695</v>
      </c>
      <c r="B5152" s="6" t="str">
        <f ca="1">IFERROR(__xludf.DUMMYFUNCTION("GOOGLETRANSLATE(A5152,""bn"",""en"")"),"It is a stone in a rock formation")</f>
        <v>It is a stone in a rock formation</v>
      </c>
      <c r="C5152" s="7" t="s">
        <v>6</v>
      </c>
      <c r="D5152" s="7" t="s">
        <v>7</v>
      </c>
      <c r="E5152" s="7">
        <v>0</v>
      </c>
    </row>
    <row r="5153" spans="1:5" ht="15.75" customHeight="1" x14ac:dyDescent="0.25">
      <c r="A5153" s="6" t="s">
        <v>5029</v>
      </c>
      <c r="B5153" s="6" t="str">
        <f ca="1">IFERROR(__xludf.DUMMYFUNCTION("GOOGLETRANSLATE(A5153,""bn"",""en"")"),"My father went to Sunny's house")</f>
        <v>My father went to Sunny's house</v>
      </c>
      <c r="C5153" s="7" t="s">
        <v>6</v>
      </c>
      <c r="D5153" s="7" t="s">
        <v>7</v>
      </c>
      <c r="E5153" s="7">
        <v>0</v>
      </c>
    </row>
    <row r="5154" spans="1:5" ht="15.75" customHeight="1" x14ac:dyDescent="0.25">
      <c r="A5154" s="6" t="s">
        <v>5030</v>
      </c>
      <c r="B5154" s="6" t="str">
        <f ca="1">IFERROR(__xludf.DUMMYFUNCTION("GOOGLETRANSLATE(A5154,""bn"",""en"")"),"I comforted the girl in distress")</f>
        <v>I comforted the girl in distress</v>
      </c>
      <c r="C5154" s="7" t="s">
        <v>6</v>
      </c>
      <c r="D5154" s="7" t="s">
        <v>7</v>
      </c>
      <c r="E5154" s="7">
        <v>0</v>
      </c>
    </row>
    <row r="5155" spans="1:5" ht="15.75" customHeight="1" x14ac:dyDescent="0.25">
      <c r="A5155" s="6" t="s">
        <v>5031</v>
      </c>
      <c r="B5155" s="6" t="str">
        <f ca="1">IFERROR(__xludf.DUMMYFUNCTION("GOOGLETRANSLATE(A5155,""bn"",""en"")"),"The girl was reading the story book very attentively")</f>
        <v>The girl was reading the story book very attentively</v>
      </c>
      <c r="C5155" s="7" t="s">
        <v>6</v>
      </c>
      <c r="D5155" s="7" t="s">
        <v>7</v>
      </c>
      <c r="E5155" s="7">
        <v>0</v>
      </c>
    </row>
    <row r="5156" spans="1:5" ht="15.75" customHeight="1" x14ac:dyDescent="0.25">
      <c r="A5156" s="6" t="s">
        <v>5032</v>
      </c>
      <c r="B5156" s="6" t="str">
        <f ca="1">IFERROR(__xludf.DUMMYFUNCTION("GOOGLETRANSLATE(A5156,""bn"",""en"")"),"He found the paper and drowned in despair and drank copious amounts of red water")</f>
        <v>He found the paper and drowned in despair and drank copious amounts of red water</v>
      </c>
      <c r="C5156" s="7" t="s">
        <v>6</v>
      </c>
      <c r="D5156" s="7" t="s">
        <v>7</v>
      </c>
      <c r="E5156" s="7">
        <v>0</v>
      </c>
    </row>
    <row r="5157" spans="1:5" ht="15.75" customHeight="1" x14ac:dyDescent="0.25">
      <c r="A5157" s="6" t="s">
        <v>185</v>
      </c>
      <c r="B5157" s="6" t="str">
        <f ca="1">IFERROR(__xludf.DUMMYFUNCTION("GOOGLETRANSLATE(A5157,""bn"",""en"")"),"He did his job very responsibly")</f>
        <v>He did his job very responsibly</v>
      </c>
      <c r="C5157" s="8" t="s">
        <v>13</v>
      </c>
      <c r="D5157" s="8" t="s">
        <v>14</v>
      </c>
      <c r="E5157" s="8">
        <v>1</v>
      </c>
    </row>
    <row r="5158" spans="1:5" ht="15.75" customHeight="1" x14ac:dyDescent="0.25">
      <c r="A5158" s="6" t="s">
        <v>5033</v>
      </c>
      <c r="B5158" s="6" t="str">
        <f ca="1">IFERROR(__xludf.DUMMYFUNCTION("GOOGLETRANSLATE(A5158,""bn"",""en"")"),"Will be saddened by human cruelty")</f>
        <v>Will be saddened by human cruelty</v>
      </c>
      <c r="C5158" s="8" t="s">
        <v>13</v>
      </c>
      <c r="D5158" s="8" t="s">
        <v>14</v>
      </c>
      <c r="E5158" s="8">
        <v>1</v>
      </c>
    </row>
    <row r="5159" spans="1:5" ht="15.75" customHeight="1" x14ac:dyDescent="0.25">
      <c r="A5159" s="6" t="s">
        <v>5034</v>
      </c>
      <c r="B5159" s="6" t="str">
        <f ca="1">IFERROR(__xludf.DUMMYFUNCTION("GOOGLETRANSLATE(A5159,""bn"",""en"")"),"My uncles also have five children")</f>
        <v>My uncles also have five children</v>
      </c>
      <c r="C5159" s="8" t="s">
        <v>13</v>
      </c>
      <c r="D5159" s="8" t="s">
        <v>14</v>
      </c>
      <c r="E5159" s="8">
        <v>1</v>
      </c>
    </row>
    <row r="5160" spans="1:5" ht="15.75" customHeight="1" x14ac:dyDescent="0.25">
      <c r="A5160" s="6" t="s">
        <v>5035</v>
      </c>
      <c r="B5160" s="6" t="str">
        <f ca="1">IFERROR(__xludf.DUMMYFUNCTION("GOOGLETRANSLATE(A5160,""bn"",""en"")"),"I have carefully considered the solution to this problem")</f>
        <v>I have carefully considered the solution to this problem</v>
      </c>
      <c r="C5160" s="8" t="s">
        <v>13</v>
      </c>
      <c r="D5160" s="8" t="s">
        <v>14</v>
      </c>
      <c r="E5160" s="8">
        <v>1</v>
      </c>
    </row>
    <row r="5161" spans="1:5" ht="15.75" customHeight="1" x14ac:dyDescent="0.25">
      <c r="A5161" s="6" t="s">
        <v>5036</v>
      </c>
      <c r="B5161" s="6" t="str">
        <f ca="1">IFERROR(__xludf.DUMMYFUNCTION("GOOGLETRANSLATE(A5161,""bn"",""en"")"),"That day we visited the city of Sylhet")</f>
        <v>That day we visited the city of Sylhet</v>
      </c>
      <c r="C5161" s="8" t="s">
        <v>13</v>
      </c>
      <c r="D5161" s="8" t="s">
        <v>14</v>
      </c>
      <c r="E5161" s="8">
        <v>1</v>
      </c>
    </row>
    <row r="5162" spans="1:5" ht="15.75" customHeight="1" x14ac:dyDescent="0.25">
      <c r="A5162" s="6" t="s">
        <v>5037</v>
      </c>
      <c r="B5162" s="6" t="str">
        <f ca="1">IFERROR(__xludf.DUMMYFUNCTION("GOOGLETRANSLATE(A5162,""bn"",""en"")"),"There is a sweet rhythm to his use of these loose words")</f>
        <v>There is a sweet rhythm to his use of these loose words</v>
      </c>
      <c r="C5162" s="7" t="s">
        <v>6</v>
      </c>
      <c r="D5162" s="7" t="s">
        <v>7</v>
      </c>
      <c r="E5162" s="7">
        <v>0</v>
      </c>
    </row>
    <row r="5163" spans="1:5" ht="15.75" customHeight="1" x14ac:dyDescent="0.25">
      <c r="A5163" s="6" t="s">
        <v>5038</v>
      </c>
      <c r="B5163" s="6" t="str">
        <f ca="1">IFERROR(__xludf.DUMMYFUNCTION("GOOGLETRANSLATE(A5163,""bn"",""en"")"),"He was quietly sitting under a tree by the side of the road")</f>
        <v>He was quietly sitting under a tree by the side of the road</v>
      </c>
      <c r="C5163" s="7" t="s">
        <v>6</v>
      </c>
      <c r="D5163" s="7" t="s">
        <v>7</v>
      </c>
      <c r="E5163" s="7">
        <v>0</v>
      </c>
    </row>
    <row r="5164" spans="1:5" ht="15.75" customHeight="1" x14ac:dyDescent="0.25">
      <c r="A5164" s="6" t="s">
        <v>5039</v>
      </c>
      <c r="B5164" s="6" t="str">
        <f ca="1">IFERROR(__xludf.DUMMYFUNCTION("GOOGLETRANSLATE(A5164,""bn"",""en"")"),"One day, after making a lot of promises, I asked my uncle when I would go to my mother")</f>
        <v>One day, after making a lot of promises, I asked my uncle when I would go to my mother</v>
      </c>
      <c r="C5164" s="7" t="s">
        <v>6</v>
      </c>
      <c r="D5164" s="7" t="s">
        <v>7</v>
      </c>
      <c r="E5164" s="7">
        <v>0</v>
      </c>
    </row>
    <row r="5165" spans="1:5" ht="15.75" customHeight="1" x14ac:dyDescent="0.25">
      <c r="A5165" s="6" t="s">
        <v>5040</v>
      </c>
      <c r="B5165" s="6" t="str">
        <f ca="1">IFERROR(__xludf.DUMMYFUNCTION("GOOGLETRANSLATE(A5165,""bn"",""en"")"),"My eyes lit up when I saw it")</f>
        <v>My eyes lit up when I saw it</v>
      </c>
      <c r="C5165" s="7" t="s">
        <v>6</v>
      </c>
      <c r="D5165" s="7" t="s">
        <v>7</v>
      </c>
      <c r="E5165" s="7">
        <v>0</v>
      </c>
    </row>
    <row r="5166" spans="1:5" ht="15.75" customHeight="1" x14ac:dyDescent="0.25">
      <c r="A5166" s="6" t="s">
        <v>5041</v>
      </c>
      <c r="B5166" s="6" t="str">
        <f ca="1">IFERROR(__xludf.DUMMYFUNCTION("GOOGLETRANSLATE(A5166,""bn"",""en"")"),"One layer of gravel and one layer of black stone etc")</f>
        <v>One layer of gravel and one layer of black stone etc</v>
      </c>
      <c r="C5166" s="7" t="s">
        <v>6</v>
      </c>
      <c r="D5166" s="7" t="s">
        <v>7</v>
      </c>
      <c r="E5166" s="7">
        <v>0</v>
      </c>
    </row>
    <row r="5167" spans="1:5" ht="15.75" customHeight="1" x14ac:dyDescent="0.25">
      <c r="A5167" s="6" t="s">
        <v>5042</v>
      </c>
      <c r="B5167" s="6" t="str">
        <f ca="1">IFERROR(__xludf.DUMMYFUNCTION("GOOGLETRANSLATE(A5167,""bn"",""en"")"),"The poor man returned with the market")</f>
        <v>The poor man returned with the market</v>
      </c>
      <c r="C5167" s="8" t="s">
        <v>13</v>
      </c>
      <c r="D5167" s="8" t="s">
        <v>14</v>
      </c>
      <c r="E5167" s="8">
        <v>1</v>
      </c>
    </row>
    <row r="5168" spans="1:5" ht="15.75" customHeight="1" x14ac:dyDescent="0.25">
      <c r="A5168" s="6" t="s">
        <v>5043</v>
      </c>
      <c r="B5168" s="6" t="str">
        <f ca="1">IFERROR(__xludf.DUMMYFUNCTION("GOOGLETRANSLATE(A5168,""bn"",""en"")"),"The morbid sound that haunts their minds carries a mark of its own")</f>
        <v>The morbid sound that haunts their minds carries a mark of its own</v>
      </c>
      <c r="C5168" s="8" t="s">
        <v>13</v>
      </c>
      <c r="D5168" s="8" t="s">
        <v>14</v>
      </c>
      <c r="E5168" s="8">
        <v>1</v>
      </c>
    </row>
    <row r="5169" spans="1:5" ht="15.75" customHeight="1" x14ac:dyDescent="0.25">
      <c r="A5169" s="6" t="s">
        <v>3408</v>
      </c>
      <c r="B5169" s="6" t="str">
        <f ca="1">IFERROR(__xludf.DUMMYFUNCTION("GOOGLETRANSLATE(A5169,""bn"",""en"")"),"Only truthfulness prevents error from entering the world")</f>
        <v>Only truthfulness prevents error from entering the world</v>
      </c>
      <c r="C5169" s="8" t="s">
        <v>13</v>
      </c>
      <c r="D5169" s="8" t="s">
        <v>14</v>
      </c>
      <c r="E5169" s="8">
        <v>1</v>
      </c>
    </row>
    <row r="5170" spans="1:5" ht="15.75" customHeight="1" x14ac:dyDescent="0.25">
      <c r="A5170" s="6" t="s">
        <v>5044</v>
      </c>
      <c r="B5170" s="6" t="str">
        <f ca="1">IFERROR(__xludf.DUMMYFUNCTION("GOOGLETRANSLATE(A5170,""bn"",""en"")"),"Deepan was killed by miscreants in October")</f>
        <v>Deepan was killed by miscreants in October</v>
      </c>
      <c r="C5170" s="8" t="s">
        <v>13</v>
      </c>
      <c r="D5170" s="8" t="s">
        <v>14</v>
      </c>
      <c r="E5170" s="8">
        <v>1</v>
      </c>
    </row>
    <row r="5171" spans="1:5" ht="15.75" customHeight="1" x14ac:dyDescent="0.25">
      <c r="A5171" s="6" t="s">
        <v>5045</v>
      </c>
      <c r="B5171" s="6" t="str">
        <f ca="1">IFERROR(__xludf.DUMMYFUNCTION("GOOGLETRANSLATE(A5171,""bn"",""en"")"),"Be adaptable in the face of adversity")</f>
        <v>Be adaptable in the face of adversity</v>
      </c>
      <c r="C5171" s="8" t="s">
        <v>13</v>
      </c>
      <c r="D5171" s="8" t="s">
        <v>14</v>
      </c>
      <c r="E5171" s="8">
        <v>1</v>
      </c>
    </row>
    <row r="5172" spans="1:5" ht="15.75" customHeight="1" x14ac:dyDescent="0.25">
      <c r="A5172" s="6" t="s">
        <v>5046</v>
      </c>
      <c r="B5172" s="6" t="str">
        <f ca="1">IFERROR(__xludf.DUMMYFUNCTION("GOOGLETRANSLATE(A5172,""bn"",""en"")"),"If there is music with it")</f>
        <v>If there is music with it</v>
      </c>
      <c r="C5172" s="7" t="s">
        <v>6</v>
      </c>
      <c r="D5172" s="7" t="s">
        <v>7</v>
      </c>
      <c r="E5172" s="7">
        <v>0</v>
      </c>
    </row>
    <row r="5173" spans="1:5" ht="15.75" customHeight="1" x14ac:dyDescent="0.25">
      <c r="A5173" s="6" t="s">
        <v>5047</v>
      </c>
      <c r="B5173" s="6" t="str">
        <f ca="1">IFERROR(__xludf.DUMMYFUNCTION("GOOGLETRANSLATE(A5173,""bn"",""en"")"),"Constant talking was his disease")</f>
        <v>Constant talking was his disease</v>
      </c>
      <c r="C5173" s="7" t="s">
        <v>6</v>
      </c>
      <c r="D5173" s="7" t="s">
        <v>7</v>
      </c>
      <c r="E5173" s="7">
        <v>0</v>
      </c>
    </row>
    <row r="5174" spans="1:5" ht="15.75" customHeight="1" x14ac:dyDescent="0.25">
      <c r="A5174" s="6" t="s">
        <v>5048</v>
      </c>
      <c r="B5174" s="6" t="str">
        <f ca="1">IFERROR(__xludf.DUMMYFUNCTION("GOOGLETRANSLATE(A5174,""bn"",""en"")"),"The doctor said it is difficult to say this for money")</f>
        <v>The doctor said it is difficult to say this for money</v>
      </c>
      <c r="C5174" s="7" t="s">
        <v>6</v>
      </c>
      <c r="D5174" s="7" t="s">
        <v>7</v>
      </c>
      <c r="E5174" s="7">
        <v>0</v>
      </c>
    </row>
    <row r="5175" spans="1:5" ht="15.75" customHeight="1" x14ac:dyDescent="0.25">
      <c r="A5175" s="6" t="s">
        <v>5049</v>
      </c>
      <c r="B5175" s="6" t="str">
        <f ca="1">IFERROR(__xludf.DUMMYFUNCTION("GOOGLETRANSLATE(A5175,""bn"",""en"")"),"So the next day in the evening, without telling anyone, Behari came to his former house")</f>
        <v>So the next day in the evening, without telling anyone, Behari came to his former house</v>
      </c>
      <c r="C5175" s="7" t="s">
        <v>6</v>
      </c>
      <c r="D5175" s="7" t="s">
        <v>7</v>
      </c>
      <c r="E5175" s="7">
        <v>0</v>
      </c>
    </row>
    <row r="5176" spans="1:5" ht="15.75" customHeight="1" x14ac:dyDescent="0.25">
      <c r="A5176" s="6" t="s">
        <v>5050</v>
      </c>
      <c r="B5176" s="6" t="str">
        <f ca="1">IFERROR(__xludf.DUMMYFUNCTION("GOOGLETRANSLATE(A5176,""bn"",""en"")"),"what did you do")</f>
        <v>what did you do</v>
      </c>
      <c r="C5176" s="7" t="s">
        <v>6</v>
      </c>
      <c r="D5176" s="7" t="s">
        <v>7</v>
      </c>
      <c r="E5176" s="7">
        <v>0</v>
      </c>
    </row>
    <row r="5177" spans="1:5" ht="15.75" customHeight="1" x14ac:dyDescent="0.25">
      <c r="A5177" s="6" t="s">
        <v>5051</v>
      </c>
      <c r="B5177" s="6" t="str">
        <f ca="1">IFERROR(__xludf.DUMMYFUNCTION("GOOGLETRANSLATE(A5177,""bn"",""en"")"),"The club was then saddled with debt")</f>
        <v>The club was then saddled with debt</v>
      </c>
      <c r="C5177" s="8" t="s">
        <v>13</v>
      </c>
      <c r="D5177" s="8" t="s">
        <v>14</v>
      </c>
      <c r="E5177" s="8">
        <v>1</v>
      </c>
    </row>
    <row r="5178" spans="1:5" ht="15.75" customHeight="1" x14ac:dyDescent="0.25">
      <c r="A5178" s="6" t="s">
        <v>5052</v>
      </c>
      <c r="B5178" s="6" t="str">
        <f ca="1">IFERROR(__xludf.DUMMYFUNCTION("GOOGLETRANSLATE(A5178,""bn"",""en"")"),"Cherenkov died in January in Moscow, Russia")</f>
        <v>Cherenkov died in January in Moscow, Russia</v>
      </c>
      <c r="C5178" s="8" t="s">
        <v>13</v>
      </c>
      <c r="D5178" s="8" t="s">
        <v>14</v>
      </c>
      <c r="E5178" s="8">
        <v>1</v>
      </c>
    </row>
    <row r="5179" spans="1:5" ht="15.75" customHeight="1" x14ac:dyDescent="0.25">
      <c r="A5179" s="6" t="s">
        <v>5053</v>
      </c>
      <c r="B5179" s="6" t="str">
        <f ca="1">IFERROR(__xludf.DUMMYFUNCTION("GOOGLETRANSLATE(A5179,""bn"",""en"")"),"After confessing the crime, he was caught by the police")</f>
        <v>After confessing the crime, he was caught by the police</v>
      </c>
      <c r="C5179" s="8" t="s">
        <v>13</v>
      </c>
      <c r="D5179" s="8" t="s">
        <v>14</v>
      </c>
      <c r="E5179" s="8">
        <v>1</v>
      </c>
    </row>
    <row r="5180" spans="1:5" ht="15.75" customHeight="1" x14ac:dyDescent="0.25">
      <c r="A5180" s="6" t="s">
        <v>5054</v>
      </c>
      <c r="B5180" s="6" t="str">
        <f ca="1">IFERROR(__xludf.DUMMYFUNCTION("GOOGLETRANSLATE(A5180,""bn"",""en"")"),"This day is not a day, there are more days, I will take this day to that day")</f>
        <v>This day is not a day, there are more days, I will take this day to that day</v>
      </c>
      <c r="C5180" s="8" t="s">
        <v>13</v>
      </c>
      <c r="D5180" s="8" t="s">
        <v>14</v>
      </c>
      <c r="E5180" s="8">
        <v>1</v>
      </c>
    </row>
    <row r="5181" spans="1:5" ht="15.75" customHeight="1" x14ac:dyDescent="0.25">
      <c r="A5181" s="6" t="s">
        <v>5055</v>
      </c>
      <c r="B5181" s="6" t="str">
        <f ca="1">IFERROR(__xludf.DUMMYFUNCTION("GOOGLETRANSLATE(A5181,""bn"",""en"")"),"The concept of intent plays a key role in determining criminal liability")</f>
        <v>The concept of intent plays a key role in determining criminal liability</v>
      </c>
      <c r="C5181" s="8" t="s">
        <v>13</v>
      </c>
      <c r="D5181" s="8" t="s">
        <v>14</v>
      </c>
      <c r="E5181" s="8">
        <v>1</v>
      </c>
    </row>
    <row r="5182" spans="1:5" ht="15.75" customHeight="1" x14ac:dyDescent="0.25">
      <c r="A5182" s="6" t="s">
        <v>5056</v>
      </c>
      <c r="B5182" s="6" t="str">
        <f ca="1">IFERROR(__xludf.DUMMYFUNCTION("GOOGLETRANSLATE(A5182,""bn"",""en"")"),"I saw a lot of pain in my heart")</f>
        <v>I saw a lot of pain in my heart</v>
      </c>
      <c r="C5182" s="7" t="s">
        <v>6</v>
      </c>
      <c r="D5182" s="7" t="s">
        <v>7</v>
      </c>
      <c r="E5182" s="7">
        <v>0</v>
      </c>
    </row>
    <row r="5183" spans="1:5" ht="15.75" customHeight="1" x14ac:dyDescent="0.25">
      <c r="A5183" s="6" t="s">
        <v>5057</v>
      </c>
      <c r="B5183" s="6" t="str">
        <f ca="1">IFERROR(__xludf.DUMMYFUNCTION("GOOGLETRANSLATE(A5183,""bn"",""en"")"),"In Bengal, only the immigrants are evil, and only the immigrants are condemned")</f>
        <v>In Bengal, only the immigrants are evil, and only the immigrants are condemned</v>
      </c>
      <c r="C5183" s="7" t="s">
        <v>6</v>
      </c>
      <c r="D5183" s="7" t="s">
        <v>7</v>
      </c>
      <c r="E5183" s="7">
        <v>0</v>
      </c>
    </row>
    <row r="5184" spans="1:5" ht="15.75" customHeight="1" x14ac:dyDescent="0.25">
      <c r="A5184" s="6" t="s">
        <v>5058</v>
      </c>
      <c r="B5184" s="6" t="str">
        <f ca="1">IFERROR(__xludf.DUMMYFUNCTION("GOOGLETRANSLATE(A5184,""bn"",""en"")"),"Sitting up wiping his eyes, Bhagavan said to himself")</f>
        <v>Sitting up wiping his eyes, Bhagavan said to himself</v>
      </c>
      <c r="C5184" s="7" t="s">
        <v>6</v>
      </c>
      <c r="D5184" s="7" t="s">
        <v>7</v>
      </c>
      <c r="E5184" s="7">
        <v>0</v>
      </c>
    </row>
    <row r="5185" spans="1:5" ht="15.75" customHeight="1" x14ac:dyDescent="0.25">
      <c r="A5185" s="6" t="s">
        <v>5059</v>
      </c>
      <c r="B5185" s="6" t="str">
        <f ca="1">IFERROR(__xludf.DUMMYFUNCTION("GOOGLETRANSLATE(A5185,""bn"",""en"")"),"Molly will eat rice and go to school")</f>
        <v>Molly will eat rice and go to school</v>
      </c>
      <c r="C5185" s="7" t="s">
        <v>6</v>
      </c>
      <c r="D5185" s="7" t="s">
        <v>7</v>
      </c>
      <c r="E5185" s="7">
        <v>0</v>
      </c>
    </row>
    <row r="5186" spans="1:5" ht="15.75" customHeight="1" x14ac:dyDescent="0.25">
      <c r="A5186" s="6" t="s">
        <v>5060</v>
      </c>
      <c r="B5186" s="6" t="str">
        <f ca="1">IFERROR(__xludf.DUMMYFUNCTION("GOOGLETRANSLATE(A5186,""bn"",""en"")"),"A Baul in a robe stood in front of a nearby shop and started singing")</f>
        <v>A Baul in a robe stood in front of a nearby shop and started singing</v>
      </c>
      <c r="C5186" s="7" t="s">
        <v>6</v>
      </c>
      <c r="D5186" s="7" t="s">
        <v>7</v>
      </c>
      <c r="E5186" s="7">
        <v>0</v>
      </c>
    </row>
    <row r="5187" spans="1:5" ht="15.75" customHeight="1" x14ac:dyDescent="0.25">
      <c r="A5187" s="6" t="s">
        <v>5061</v>
      </c>
      <c r="B5187" s="6" t="str">
        <f ca="1">IFERROR(__xludf.DUMMYFUNCTION("GOOGLETRANSLATE(A5187,""bn"",""en"")"),"On the contrary, they gave deep respect to my great-grandfather")</f>
        <v>On the contrary, they gave deep respect to my great-grandfather</v>
      </c>
      <c r="C5187" s="8" t="s">
        <v>13</v>
      </c>
      <c r="D5187" s="8" t="s">
        <v>14</v>
      </c>
      <c r="E5187" s="8">
        <v>1</v>
      </c>
    </row>
    <row r="5188" spans="1:5" ht="15.75" customHeight="1" x14ac:dyDescent="0.25">
      <c r="A5188" s="6" t="s">
        <v>5062</v>
      </c>
      <c r="B5188" s="6" t="str">
        <f ca="1">IFERROR(__xludf.DUMMYFUNCTION("GOOGLETRANSLATE(A5188,""bn"",""en"")"),"Public places are also ideal places for picnics")</f>
        <v>Public places are also ideal places for picnics</v>
      </c>
      <c r="C5188" s="8" t="s">
        <v>13</v>
      </c>
      <c r="D5188" s="8" t="s">
        <v>14</v>
      </c>
      <c r="E5188" s="8">
        <v>1</v>
      </c>
    </row>
    <row r="5189" spans="1:5" ht="15.75" customHeight="1" x14ac:dyDescent="0.25">
      <c r="A5189" s="6" t="s">
        <v>5063</v>
      </c>
      <c r="B5189" s="6" t="str">
        <f ca="1">IFERROR(__xludf.DUMMYFUNCTION("GOOGLETRANSLATE(A5189,""bn"",""en"")"),"Be true to yourself and don't compromise your values ​​for others")</f>
        <v>Be true to yourself and don't compromise your values ​​for others</v>
      </c>
      <c r="C5189" s="8" t="s">
        <v>13</v>
      </c>
      <c r="D5189" s="8" t="s">
        <v>14</v>
      </c>
      <c r="E5189" s="8">
        <v>1</v>
      </c>
    </row>
    <row r="5190" spans="1:5" ht="15.75" customHeight="1" x14ac:dyDescent="0.25">
      <c r="A5190" s="6" t="s">
        <v>5064</v>
      </c>
      <c r="B5190" s="6" t="str">
        <f ca="1">IFERROR(__xludf.DUMMYFUNCTION("GOOGLETRANSLATE(A5190,""bn"",""en"")"),"Asmani was upset")</f>
        <v>Asmani was upset</v>
      </c>
      <c r="C5190" s="8" t="s">
        <v>13</v>
      </c>
      <c r="D5190" s="8" t="s">
        <v>14</v>
      </c>
      <c r="E5190" s="8">
        <v>1</v>
      </c>
    </row>
    <row r="5191" spans="1:5" ht="15.75" customHeight="1" x14ac:dyDescent="0.25">
      <c r="A5191" s="6" t="s">
        <v>5065</v>
      </c>
      <c r="B5191" s="6" t="str">
        <f ca="1">IFERROR(__xludf.DUMMYFUNCTION("GOOGLETRANSLATE(A5191,""bn"",""en"")"),"Played with me")</f>
        <v>Played with me</v>
      </c>
      <c r="C5191" s="8" t="s">
        <v>13</v>
      </c>
      <c r="D5191" s="8" t="s">
        <v>14</v>
      </c>
      <c r="E5191" s="8">
        <v>1</v>
      </c>
    </row>
    <row r="5192" spans="1:5" ht="15.75" customHeight="1" x14ac:dyDescent="0.25">
      <c r="A5192" s="6" t="s">
        <v>5066</v>
      </c>
      <c r="B5192" s="6" t="str">
        <f ca="1">IFERROR(__xludf.DUMMYFUNCTION("GOOGLETRANSLATE(A5192,""bn"",""en"")"),"Seeing the nightmare, Rubel woke up")</f>
        <v>Seeing the nightmare, Rubel woke up</v>
      </c>
      <c r="C5192" s="7" t="s">
        <v>6</v>
      </c>
      <c r="D5192" s="7" t="s">
        <v>7</v>
      </c>
      <c r="E5192" s="7">
        <v>0</v>
      </c>
    </row>
    <row r="5193" spans="1:5" ht="15.75" customHeight="1" x14ac:dyDescent="0.25">
      <c r="A5193" s="6" t="s">
        <v>5067</v>
      </c>
      <c r="B5193" s="6" t="str">
        <f ca="1">IFERROR(__xludf.DUMMYFUNCTION("GOOGLETRANSLATE(A5193,""bn"",""en"")"),"I nodded and agreed")</f>
        <v>I nodded and agreed</v>
      </c>
      <c r="C5193" s="7" t="s">
        <v>6</v>
      </c>
      <c r="D5193" s="7" t="s">
        <v>7</v>
      </c>
      <c r="E5193" s="7">
        <v>0</v>
      </c>
    </row>
    <row r="5194" spans="1:5" ht="15.75" customHeight="1" x14ac:dyDescent="0.25">
      <c r="A5194" s="6" t="s">
        <v>5068</v>
      </c>
      <c r="B5194" s="6" t="str">
        <f ca="1">IFERROR(__xludf.DUMMYFUNCTION("GOOGLETRANSLATE(A5194,""bn"",""en"")"),"The garden is full of beautiful flowers")</f>
        <v>The garden is full of beautiful flowers</v>
      </c>
      <c r="C5194" s="7" t="s">
        <v>6</v>
      </c>
      <c r="D5194" s="7" t="s">
        <v>7</v>
      </c>
      <c r="E5194" s="7">
        <v>0</v>
      </c>
    </row>
    <row r="5195" spans="1:5" ht="15.75" customHeight="1" x14ac:dyDescent="0.25">
      <c r="A5195" s="6" t="s">
        <v>5069</v>
      </c>
      <c r="B5195" s="6" t="str">
        <f ca="1">IFERROR(__xludf.DUMMYFUNCTION("GOOGLETRANSLATE(A5195,""bn"",""en"")"),"That day Mezobou suddenly went to see his sister")</f>
        <v>That day Mezobou suddenly went to see his sister</v>
      </c>
      <c r="C5195" s="7" t="s">
        <v>6</v>
      </c>
      <c r="D5195" s="7" t="s">
        <v>7</v>
      </c>
      <c r="E5195" s="7">
        <v>0</v>
      </c>
    </row>
    <row r="5196" spans="1:5" ht="15.75" customHeight="1" x14ac:dyDescent="0.25">
      <c r="A5196" s="6" t="s">
        <v>5070</v>
      </c>
      <c r="B5196" s="6" t="str">
        <f ca="1">IFERROR(__xludf.DUMMYFUNCTION("GOOGLETRANSLATE(A5196,""bn"",""en"")"),"He became alert when he saw me")</f>
        <v>He became alert when he saw me</v>
      </c>
      <c r="C5196" s="7" t="s">
        <v>6</v>
      </c>
      <c r="D5196" s="7" t="s">
        <v>7</v>
      </c>
      <c r="E5196" s="7">
        <v>0</v>
      </c>
    </row>
    <row r="5197" spans="1:5" ht="15.75" customHeight="1" x14ac:dyDescent="0.25">
      <c r="A5197" s="6" t="s">
        <v>5071</v>
      </c>
      <c r="B5197" s="6" t="str">
        <f ca="1">IFERROR(__xludf.DUMMYFUNCTION("GOOGLETRANSLATE(A5197,""bn"",""en"")"),"He died when he was only six years old")</f>
        <v>He died when he was only six years old</v>
      </c>
      <c r="C5197" s="8" t="s">
        <v>13</v>
      </c>
      <c r="D5197" s="8" t="s">
        <v>14</v>
      </c>
      <c r="E5197" s="8">
        <v>1</v>
      </c>
    </row>
    <row r="5198" spans="1:5" ht="15.75" customHeight="1" x14ac:dyDescent="0.25">
      <c r="A5198" s="6" t="s">
        <v>5072</v>
      </c>
      <c r="B5198" s="6" t="str">
        <f ca="1">IFERROR(__xludf.DUMMYFUNCTION("GOOGLETRANSLATE(A5198,""bn"",""en"")"),"Ruma shows it to Suma and it crumbles")</f>
        <v>Ruma shows it to Suma and it crumbles</v>
      </c>
      <c r="C5198" s="8" t="s">
        <v>13</v>
      </c>
      <c r="D5198" s="8" t="s">
        <v>14</v>
      </c>
      <c r="E5198" s="8">
        <v>1</v>
      </c>
    </row>
    <row r="5199" spans="1:5" ht="15.75" customHeight="1" x14ac:dyDescent="0.25">
      <c r="A5199" s="6" t="s">
        <v>5073</v>
      </c>
      <c r="B5199" s="6" t="str">
        <f ca="1">IFERROR(__xludf.DUMMYFUNCTION("GOOGLETRANSLATE(A5199,""bn"",""en"")"),"Bagha continued to work in hiding even after Jatin's death")</f>
        <v>Bagha continued to work in hiding even after Jatin's death</v>
      </c>
      <c r="C5199" s="8" t="s">
        <v>13</v>
      </c>
      <c r="D5199" s="8" t="s">
        <v>14</v>
      </c>
      <c r="E5199" s="8">
        <v>1</v>
      </c>
    </row>
    <row r="5200" spans="1:5" ht="15.75" customHeight="1" x14ac:dyDescent="0.25">
      <c r="A5200" s="6" t="s">
        <v>5074</v>
      </c>
      <c r="B5200" s="6" t="str">
        <f ca="1">IFERROR(__xludf.DUMMYFUNCTION("GOOGLETRANSLATE(A5200,""bn"",""en"")"),"Mughal architecture entered its golden age during the reign of Shah Jahan")</f>
        <v>Mughal architecture entered its golden age during the reign of Shah Jahan</v>
      </c>
      <c r="C5200" s="8" t="s">
        <v>13</v>
      </c>
      <c r="D5200" s="8" t="s">
        <v>14</v>
      </c>
      <c r="E5200" s="8">
        <v>1</v>
      </c>
    </row>
    <row r="5201" spans="1:5" ht="15.75" customHeight="1" x14ac:dyDescent="0.25">
      <c r="A5201" s="6" t="s">
        <v>5075</v>
      </c>
      <c r="B5201" s="6" t="str">
        <f ca="1">IFERROR(__xludf.DUMMYFUNCTION("GOOGLETRANSLATE(A5201,""bn"",""en"")"),"I happily agreed to Shamsuddin's proposal")</f>
        <v>I happily agreed to Shamsuddin's proposal</v>
      </c>
      <c r="C5201" s="8" t="s">
        <v>13</v>
      </c>
      <c r="D5201" s="8" t="s">
        <v>14</v>
      </c>
      <c r="E5201" s="8">
        <v>1</v>
      </c>
    </row>
    <row r="5202" spans="1:5" ht="15.75" customHeight="1" x14ac:dyDescent="0.25">
      <c r="A5202" s="6" t="s">
        <v>5076</v>
      </c>
      <c r="B5202" s="6" t="str">
        <f ca="1">IFERROR(__xludf.DUMMYFUNCTION("GOOGLETRANSLATE(A5202,""bn"",""en"")"),"Especially the boy from Calcutta does not know how to mix well")</f>
        <v>Especially the boy from Calcutta does not know how to mix well</v>
      </c>
      <c r="C5202" s="7" t="s">
        <v>6</v>
      </c>
      <c r="D5202" s="7" t="s">
        <v>7</v>
      </c>
      <c r="E5202" s="7">
        <v>0</v>
      </c>
    </row>
    <row r="5203" spans="1:5" ht="15.75" customHeight="1" x14ac:dyDescent="0.25">
      <c r="A5203" s="6" t="s">
        <v>5077</v>
      </c>
      <c r="B5203" s="6" t="str">
        <f ca="1">IFERROR(__xludf.DUMMYFUNCTION("GOOGLETRANSLATE(A5203,""bn"",""en"")"),"Mim had advanced as Jahad had said")</f>
        <v>Mim had advanced as Jahad had said</v>
      </c>
      <c r="C5203" s="7" t="s">
        <v>6</v>
      </c>
      <c r="D5203" s="7" t="s">
        <v>7</v>
      </c>
      <c r="E5203" s="7">
        <v>0</v>
      </c>
    </row>
    <row r="5204" spans="1:5" ht="15.75" customHeight="1" x14ac:dyDescent="0.25">
      <c r="A5204" s="6" t="s">
        <v>5078</v>
      </c>
      <c r="B5204" s="6" t="str">
        <f ca="1">IFERROR(__xludf.DUMMYFUNCTION("GOOGLETRANSLATE(A5204,""bn"",""en"")"),"People perceive it as an ugly competition of his")</f>
        <v>People perceive it as an ugly competition of his</v>
      </c>
      <c r="C5204" s="7" t="s">
        <v>6</v>
      </c>
      <c r="D5204" s="7" t="s">
        <v>7</v>
      </c>
      <c r="E5204" s="7">
        <v>0</v>
      </c>
    </row>
    <row r="5205" spans="1:5" ht="15.75" customHeight="1" x14ac:dyDescent="0.25">
      <c r="A5205" s="6" t="s">
        <v>5079</v>
      </c>
      <c r="B5205" s="6" t="str">
        <f ca="1">IFERROR(__xludf.DUMMYFUNCTION("GOOGLETRANSLATE(A5205,""bn"",""en"")"),"The young women touch the ground with both hands and hold the shalpatra pot in both hands and drink liquor and look at their companions with a smile.")</f>
        <v>The young women touch the ground with both hands and hold the shalpatra pot in both hands and drink liquor and look at their companions with a smile.</v>
      </c>
      <c r="C5205" s="7" t="s">
        <v>6</v>
      </c>
      <c r="D5205" s="7" t="s">
        <v>7</v>
      </c>
      <c r="E5205" s="7">
        <v>0</v>
      </c>
    </row>
    <row r="5206" spans="1:5" ht="15.75" customHeight="1" x14ac:dyDescent="0.25">
      <c r="A5206" s="6" t="s">
        <v>5080</v>
      </c>
      <c r="B5206" s="6" t="str">
        <f ca="1">IFERROR(__xludf.DUMMYFUNCTION("GOOGLETRANSLATE(A5206,""bn"",""en"")"),"I will go to school")</f>
        <v>I will go to school</v>
      </c>
      <c r="C5206" s="7" t="s">
        <v>6</v>
      </c>
      <c r="D5206" s="7" t="s">
        <v>7</v>
      </c>
      <c r="E5206" s="7">
        <v>0</v>
      </c>
    </row>
    <row r="5207" spans="1:5" ht="15.75" customHeight="1" x14ac:dyDescent="0.25">
      <c r="A5207" s="6" t="s">
        <v>5081</v>
      </c>
      <c r="B5207" s="6" t="str">
        <f ca="1">IFERROR(__xludf.DUMMYFUNCTION("GOOGLETRANSLATE(A5207,""bn"",""en"")"),"The man appreciated my work.")</f>
        <v>The man appreciated my work.</v>
      </c>
      <c r="C5207" s="8" t="s">
        <v>13</v>
      </c>
      <c r="D5207" s="8" t="s">
        <v>14</v>
      </c>
      <c r="E5207" s="8">
        <v>1</v>
      </c>
    </row>
    <row r="5208" spans="1:5" ht="15.75" customHeight="1" x14ac:dyDescent="0.25">
      <c r="A5208" s="6" t="s">
        <v>5082</v>
      </c>
      <c r="B5208" s="6" t="str">
        <f ca="1">IFERROR(__xludf.DUMMYFUNCTION("GOOGLETRANSLATE(A5208,""bn"",""en"")"),"Here, almost all Muslims pray together in a row")</f>
        <v>Here, almost all Muslims pray together in a row</v>
      </c>
      <c r="C5208" s="8" t="s">
        <v>13</v>
      </c>
      <c r="D5208" s="8" t="s">
        <v>14</v>
      </c>
      <c r="E5208" s="8">
        <v>1</v>
      </c>
    </row>
    <row r="5209" spans="1:5" ht="15.75" customHeight="1" x14ac:dyDescent="0.25">
      <c r="A5209" s="6" t="s">
        <v>5083</v>
      </c>
      <c r="B5209" s="6" t="str">
        <f ca="1">IFERROR(__xludf.DUMMYFUNCTION("GOOGLETRANSLATE(A5209,""bn"",""en"")"),"Looks like hilsa fish")</f>
        <v>Looks like hilsa fish</v>
      </c>
      <c r="C5209" s="8" t="s">
        <v>13</v>
      </c>
      <c r="D5209" s="8" t="s">
        <v>14</v>
      </c>
      <c r="E5209" s="8">
        <v>1</v>
      </c>
    </row>
    <row r="5210" spans="1:5" ht="15.75" customHeight="1" x14ac:dyDescent="0.25">
      <c r="A5210" s="6" t="s">
        <v>5084</v>
      </c>
      <c r="B5210" s="6" t="str">
        <f ca="1">IFERROR(__xludf.DUMMYFUNCTION("GOOGLETRANSLATE(A5210,""bn"",""en"")"),"I want to talk to my dear friend")</f>
        <v>I want to talk to my dear friend</v>
      </c>
      <c r="C5210" s="8" t="s">
        <v>13</v>
      </c>
      <c r="D5210" s="8" t="s">
        <v>14</v>
      </c>
      <c r="E5210" s="8">
        <v>1</v>
      </c>
    </row>
    <row r="5211" spans="1:5" ht="15.75" customHeight="1" x14ac:dyDescent="0.25">
      <c r="A5211" s="6" t="s">
        <v>5085</v>
      </c>
      <c r="B5211" s="6" t="str">
        <f ca="1">IFERROR(__xludf.DUMMYFUNCTION("GOOGLETRANSLATE(A5211,""bn"",""en"")"),"He worked there till his death")</f>
        <v>He worked there till his death</v>
      </c>
      <c r="C5211" s="8" t="s">
        <v>13</v>
      </c>
      <c r="D5211" s="8" t="s">
        <v>14</v>
      </c>
      <c r="E5211" s="8">
        <v>1</v>
      </c>
    </row>
    <row r="5212" spans="1:5" ht="15.75" customHeight="1" x14ac:dyDescent="0.25">
      <c r="A5212" s="6" t="s">
        <v>5086</v>
      </c>
      <c r="B5212" s="6" t="str">
        <f ca="1">IFERROR(__xludf.DUMMYFUNCTION("GOOGLETRANSLATE(A5212,""bn"",""en"")"),"Shashi's character has two distinct parts")</f>
        <v>Shashi's character has two distinct parts</v>
      </c>
      <c r="C5212" s="7" t="s">
        <v>6</v>
      </c>
      <c r="D5212" s="7" t="s">
        <v>7</v>
      </c>
      <c r="E5212" s="7">
        <v>0</v>
      </c>
    </row>
    <row r="5213" spans="1:5" ht="15.75" customHeight="1" x14ac:dyDescent="0.25">
      <c r="A5213" s="6" t="s">
        <v>5087</v>
      </c>
      <c r="B5213" s="6" t="str">
        <f ca="1">IFERROR(__xludf.DUMMYFUNCTION("GOOGLETRANSLATE(A5213,""bn"",""en"")"),"Nothing is felt because of it")</f>
        <v>Nothing is felt because of it</v>
      </c>
      <c r="C5213" s="7" t="s">
        <v>6</v>
      </c>
      <c r="D5213" s="7" t="s">
        <v>7</v>
      </c>
      <c r="E5213" s="7">
        <v>0</v>
      </c>
    </row>
    <row r="5214" spans="1:5" ht="15.75" customHeight="1" x14ac:dyDescent="0.25">
      <c r="A5214" s="6" t="s">
        <v>2618</v>
      </c>
      <c r="B5214" s="6" t="str">
        <f ca="1">IFERROR(__xludf.DUMMYFUNCTION("GOOGLETRANSLATE(A5214,""bn"",""en"")"),"Then the clouds disappeared and the mountains became clearly visible")</f>
        <v>Then the clouds disappeared and the mountains became clearly visible</v>
      </c>
      <c r="C5214" s="7" t="s">
        <v>6</v>
      </c>
      <c r="D5214" s="7" t="s">
        <v>7</v>
      </c>
      <c r="E5214" s="7">
        <v>0</v>
      </c>
    </row>
    <row r="5215" spans="1:5" ht="15.75" customHeight="1" x14ac:dyDescent="0.25">
      <c r="A5215" s="6" t="s">
        <v>4473</v>
      </c>
      <c r="B5215" s="6" t="str">
        <f ca="1">IFERROR(__xludf.DUMMYFUNCTION("GOOGLETRANSLATE(A5215,""bn"",""en"")"),"When I went out and caught my table brother, I learned about his great happiness")</f>
        <v>When I went out and caught my table brother, I learned about his great happiness</v>
      </c>
      <c r="C5215" s="7" t="s">
        <v>6</v>
      </c>
      <c r="D5215" s="7" t="s">
        <v>7</v>
      </c>
      <c r="E5215" s="7">
        <v>0</v>
      </c>
    </row>
    <row r="5216" spans="1:5" ht="15.75" customHeight="1" x14ac:dyDescent="0.25">
      <c r="A5216" s="6" t="s">
        <v>949</v>
      </c>
      <c r="B5216" s="6" t="str">
        <f ca="1">IFERROR(__xludf.DUMMYFUNCTION("GOOGLETRANSLATE(A5216,""bn"",""en"")"),"God has deprived us of this, and look how much the burnt bird is burning")</f>
        <v>God has deprived us of this, and look how much the burnt bird is burning</v>
      </c>
      <c r="C5216" s="7" t="s">
        <v>6</v>
      </c>
      <c r="D5216" s="7" t="s">
        <v>7</v>
      </c>
      <c r="E5216" s="7">
        <v>0</v>
      </c>
    </row>
    <row r="5217" spans="1:5" ht="15.75" customHeight="1" x14ac:dyDescent="0.25">
      <c r="A5217" s="6" t="s">
        <v>5088</v>
      </c>
      <c r="B5217" s="6" t="str">
        <f ca="1">IFERROR(__xludf.DUMMYFUNCTION("GOOGLETRANSLATE(A5217,""bn"",""en"")"),"His former team Leeds United Manchester United")</f>
        <v>His former team Leeds United Manchester United</v>
      </c>
      <c r="C5217" s="8" t="s">
        <v>13</v>
      </c>
      <c r="D5217" s="8" t="s">
        <v>14</v>
      </c>
      <c r="E5217" s="8">
        <v>1</v>
      </c>
    </row>
    <row r="5218" spans="1:5" ht="15.75" customHeight="1" x14ac:dyDescent="0.25">
      <c r="A5218" s="6" t="s">
        <v>5089</v>
      </c>
      <c r="B5218" s="6" t="str">
        <f ca="1">IFERROR(__xludf.DUMMYFUNCTION("GOOGLETRANSLATE(A5218,""bn"",""en"")"),"Yet he spared Cupid")</f>
        <v>Yet he spared Cupid</v>
      </c>
      <c r="C5218" s="8" t="s">
        <v>13</v>
      </c>
      <c r="D5218" s="8" t="s">
        <v>14</v>
      </c>
      <c r="E5218" s="8">
        <v>1</v>
      </c>
    </row>
    <row r="5219" spans="1:5" ht="15.75" customHeight="1" x14ac:dyDescent="0.25">
      <c r="A5219" s="6" t="s">
        <v>5090</v>
      </c>
      <c r="B5219" s="6" t="str">
        <f ca="1">IFERROR(__xludf.DUMMYFUNCTION("GOOGLETRANSLATE(A5219,""bn"",""en"")"),"He told me the story of his past")</f>
        <v>He told me the story of his past</v>
      </c>
      <c r="C5219" s="8" t="s">
        <v>13</v>
      </c>
      <c r="D5219" s="8" t="s">
        <v>14</v>
      </c>
      <c r="E5219" s="8">
        <v>1</v>
      </c>
    </row>
    <row r="5220" spans="1:5" ht="15.75" customHeight="1" x14ac:dyDescent="0.25">
      <c r="A5220" s="6" t="s">
        <v>5091</v>
      </c>
      <c r="B5220" s="6" t="str">
        <f ca="1">IFERROR(__xludf.DUMMYFUNCTION("GOOGLETRANSLATE(A5220,""bn"",""en"")"),"The swan is flapping its wings")</f>
        <v>The swan is flapping its wings</v>
      </c>
      <c r="C5220" s="8" t="s">
        <v>13</v>
      </c>
      <c r="D5220" s="8" t="s">
        <v>14</v>
      </c>
      <c r="E5220" s="8">
        <v>1</v>
      </c>
    </row>
    <row r="5221" spans="1:5" ht="15.75" customHeight="1" x14ac:dyDescent="0.25">
      <c r="A5221" s="6" t="s">
        <v>5092</v>
      </c>
      <c r="B5221" s="6" t="str">
        <f ca="1">IFERROR(__xludf.DUMMYFUNCTION("GOOGLETRANSLATE(A5221,""bn"",""en"")"),"Brother asked me to do it")</f>
        <v>Brother asked me to do it</v>
      </c>
      <c r="C5221" s="8" t="s">
        <v>13</v>
      </c>
      <c r="D5221" s="8" t="s">
        <v>14</v>
      </c>
      <c r="E5221" s="8">
        <v>1</v>
      </c>
    </row>
    <row r="5222" spans="1:5" ht="15.75" customHeight="1" x14ac:dyDescent="0.25">
      <c r="A5222" s="6" t="s">
        <v>838</v>
      </c>
      <c r="B5222" s="6" t="str">
        <f ca="1">IFERROR(__xludf.DUMMYFUNCTION("GOOGLETRANSLATE(A5222,""bn"",""en"")"),"It must be said at this point that there are no cows other than buffalo in this region")</f>
        <v>It must be said at this point that there are no cows other than buffalo in this region</v>
      </c>
      <c r="C5222" s="7" t="s">
        <v>6</v>
      </c>
      <c r="D5222" s="7" t="s">
        <v>7</v>
      </c>
      <c r="E5222" s="7">
        <v>0</v>
      </c>
    </row>
    <row r="5223" spans="1:5" ht="15.75" customHeight="1" x14ac:dyDescent="0.25">
      <c r="A5223" s="6" t="s">
        <v>5093</v>
      </c>
      <c r="B5223" s="6" t="str">
        <f ca="1">IFERROR(__xludf.DUMMYFUNCTION("GOOGLETRANSLATE(A5223,""bn"",""en"")"),"Jamini Kavirag's chela gathers a bush in the week")</f>
        <v>Jamini Kavirag's chela gathers a bush in the week</v>
      </c>
      <c r="C5223" s="7" t="s">
        <v>6</v>
      </c>
      <c r="D5223" s="7" t="s">
        <v>7</v>
      </c>
      <c r="E5223" s="7">
        <v>0</v>
      </c>
    </row>
    <row r="5224" spans="1:5" ht="15.75" customHeight="1" x14ac:dyDescent="0.25">
      <c r="A5224" s="6" t="s">
        <v>5094</v>
      </c>
      <c r="B5224" s="6" t="str">
        <f ca="1">IFERROR(__xludf.DUMMYFUNCTION("GOOGLETRANSLATE(A5224,""bn"",""en"")"),"After explaining all the charges to him, the old postmaster was ready to go")</f>
        <v>After explaining all the charges to him, the old postmaster was ready to go</v>
      </c>
      <c r="C5224" s="7" t="s">
        <v>6</v>
      </c>
      <c r="D5224" s="7" t="s">
        <v>7</v>
      </c>
      <c r="E5224" s="7">
        <v>0</v>
      </c>
    </row>
    <row r="5225" spans="1:5" ht="15.75" customHeight="1" x14ac:dyDescent="0.25">
      <c r="A5225" s="6" t="s">
        <v>5095</v>
      </c>
      <c r="B5225" s="6" t="str">
        <f ca="1">IFERROR(__xludf.DUMMYFUNCTION("GOOGLETRANSLATE(A5225,""bn"",""en"")"),"When I went there, I heard that my meal was being prepared in the house of a noble person")</f>
        <v>When I went there, I heard that my meal was being prepared in the house of a noble person</v>
      </c>
      <c r="C5225" s="7" t="s">
        <v>6</v>
      </c>
      <c r="D5225" s="7" t="s">
        <v>7</v>
      </c>
      <c r="E5225" s="7">
        <v>0</v>
      </c>
    </row>
    <row r="5226" spans="1:5" ht="15.75" customHeight="1" x14ac:dyDescent="0.25">
      <c r="A5226" s="6" t="s">
        <v>5096</v>
      </c>
      <c r="B5226" s="6" t="str">
        <f ca="1">IFERROR(__xludf.DUMMYFUNCTION("GOOGLETRANSLATE(A5226,""bn"",""en"")"),"A few days ago he left the village with his daughter")</f>
        <v>A few days ago he left the village with his daughter</v>
      </c>
      <c r="C5226" s="7" t="s">
        <v>6</v>
      </c>
      <c r="D5226" s="7" t="s">
        <v>7</v>
      </c>
      <c r="E5226" s="7">
        <v>0</v>
      </c>
    </row>
    <row r="5227" spans="1:5" ht="15.75" customHeight="1" x14ac:dyDescent="0.25">
      <c r="A5227" s="6" t="s">
        <v>5097</v>
      </c>
      <c r="B5227" s="6" t="str">
        <f ca="1">IFERROR(__xludf.DUMMYFUNCTION("GOOGLETRANSLATE(A5227,""bn"",""en"")"),"Its lowest unit was the group")</f>
        <v>Its lowest unit was the group</v>
      </c>
      <c r="C5227" s="8" t="s">
        <v>13</v>
      </c>
      <c r="D5227" s="8" t="s">
        <v>14</v>
      </c>
      <c r="E5227" s="8">
        <v>1</v>
      </c>
    </row>
    <row r="5228" spans="1:5" ht="15.75" customHeight="1" x14ac:dyDescent="0.25">
      <c r="A5228" s="6" t="s">
        <v>5098</v>
      </c>
      <c r="B5228" s="6" t="str">
        <f ca="1">IFERROR(__xludf.DUMMYFUNCTION("GOOGLETRANSLATE(A5228,""bn"",""en"")"),"Firefighters rushed into the burning building to rescue trapped residents")</f>
        <v>Firefighters rushed into the burning building to rescue trapped residents</v>
      </c>
      <c r="C5228" s="8" t="s">
        <v>13</v>
      </c>
      <c r="D5228" s="8" t="s">
        <v>14</v>
      </c>
      <c r="E5228" s="8">
        <v>1</v>
      </c>
    </row>
    <row r="5229" spans="1:5" ht="15.75" customHeight="1" x14ac:dyDescent="0.25">
      <c r="A5229" s="6" t="s">
        <v>5099</v>
      </c>
      <c r="B5229" s="6" t="str">
        <f ca="1">IFERROR(__xludf.DUMMYFUNCTION("GOOGLETRANSLATE(A5229,""bn"",""en"")"),"Comfort food eases stressful days")</f>
        <v>Comfort food eases stressful days</v>
      </c>
      <c r="C5229" s="8" t="s">
        <v>13</v>
      </c>
      <c r="D5229" s="8" t="s">
        <v>14</v>
      </c>
      <c r="E5229" s="8">
        <v>1</v>
      </c>
    </row>
    <row r="5230" spans="1:5" ht="15.75" customHeight="1" x14ac:dyDescent="0.25">
      <c r="A5230" s="6" t="s">
        <v>5100</v>
      </c>
      <c r="B5230" s="6" t="str">
        <f ca="1">IFERROR(__xludf.DUMMYFUNCTION("GOOGLETRANSLATE(A5230,""bn"",""en"")"),"During this time he conducted successful studies on two fighter planes at the FAA")</f>
        <v>During this time he conducted successful studies on two fighter planes at the FAA</v>
      </c>
      <c r="C5230" s="8" t="s">
        <v>13</v>
      </c>
      <c r="D5230" s="8" t="s">
        <v>14</v>
      </c>
      <c r="E5230" s="8">
        <v>1</v>
      </c>
    </row>
    <row r="5231" spans="1:5" ht="15.75" customHeight="1" x14ac:dyDescent="0.25">
      <c r="A5231" s="6" t="s">
        <v>5101</v>
      </c>
      <c r="B5231" s="6" t="str">
        <f ca="1">IFERROR(__xludf.DUMMYFUNCTION("GOOGLETRANSLATE(A5231,""bn"",""en"")"),"He helped the blind man to cross the road")</f>
        <v>He helped the blind man to cross the road</v>
      </c>
      <c r="C5231" s="8" t="s">
        <v>13</v>
      </c>
      <c r="D5231" s="8" t="s">
        <v>14</v>
      </c>
      <c r="E5231" s="8">
        <v>1</v>
      </c>
    </row>
    <row r="5232" spans="1:5" ht="15.75" customHeight="1" x14ac:dyDescent="0.25">
      <c r="A5232" s="6" t="s">
        <v>5102</v>
      </c>
      <c r="B5232" s="6" t="str">
        <f ca="1">IFERROR(__xludf.DUMMYFUNCTION("GOOGLETRANSLATE(A5232,""bn"",""en"")"),"The room is spacious with four beds in the four corners and a single bed in the middle.")</f>
        <v>The room is spacious with four beds in the four corners and a single bed in the middle.</v>
      </c>
      <c r="C5232" s="7" t="s">
        <v>6</v>
      </c>
      <c r="D5232" s="7" t="s">
        <v>7</v>
      </c>
      <c r="E5232" s="7">
        <v>0</v>
      </c>
    </row>
    <row r="5233" spans="1:5" ht="15.75" customHeight="1" x14ac:dyDescent="0.25">
      <c r="A5233" s="6" t="s">
        <v>5103</v>
      </c>
      <c r="B5233" s="6" t="str">
        <f ca="1">IFERROR(__xludf.DUMMYFUNCTION("GOOGLETRANSLATE(A5233,""bn"",""en"")"),"There live seven houses of Bagdi among the children of the village, they are the poorest, the smallest, the most thieves")</f>
        <v>There live seven houses of Bagdi among the children of the village, they are the poorest, the smallest, the most thieves</v>
      </c>
      <c r="C5233" s="7" t="s">
        <v>6</v>
      </c>
      <c r="D5233" s="7" t="s">
        <v>7</v>
      </c>
      <c r="E5233" s="7">
        <v>0</v>
      </c>
    </row>
    <row r="5234" spans="1:5" ht="15.75" customHeight="1" x14ac:dyDescent="0.25">
      <c r="A5234" s="6" t="s">
        <v>5104</v>
      </c>
      <c r="B5234" s="6" t="str">
        <f ca="1">IFERROR(__xludf.DUMMYFUNCTION("GOOGLETRANSLATE(A5234,""bn"",""en"")"),"I went to play with you")</f>
        <v>I went to play with you</v>
      </c>
      <c r="C5234" s="7" t="s">
        <v>6</v>
      </c>
      <c r="D5234" s="7" t="s">
        <v>7</v>
      </c>
      <c r="E5234" s="7">
        <v>0</v>
      </c>
    </row>
    <row r="5235" spans="1:5" ht="15.75" customHeight="1" x14ac:dyDescent="0.25">
      <c r="A5235" s="6" t="s">
        <v>2650</v>
      </c>
      <c r="B5235" s="6" t="str">
        <f ca="1">IFERROR(__xludf.DUMMYFUNCTION("GOOGLETRANSLATE(A5235,""bn"",""en"")"),"The Asuras used to come and kill the cows of the Aryans and eat them and run away")</f>
        <v>The Asuras used to come and kill the cows of the Aryans and eat them and run away</v>
      </c>
      <c r="C5235" s="7" t="s">
        <v>6</v>
      </c>
      <c r="D5235" s="7" t="s">
        <v>7</v>
      </c>
      <c r="E5235" s="7">
        <v>0</v>
      </c>
    </row>
    <row r="5236" spans="1:5" ht="15.75" customHeight="1" x14ac:dyDescent="0.25">
      <c r="A5236" s="6" t="s">
        <v>5105</v>
      </c>
      <c r="B5236" s="6" t="str">
        <f ca="1">IFERROR(__xludf.DUMMYFUNCTION("GOOGLETRANSLATE(A5236,""bn"",""en"")"),"Sadh has arisen to meet once in failure")</f>
        <v>Sadh has arisen to meet once in failure</v>
      </c>
      <c r="C5236" s="7" t="s">
        <v>6</v>
      </c>
      <c r="D5236" s="7" t="s">
        <v>7</v>
      </c>
      <c r="E5236" s="7">
        <v>0</v>
      </c>
    </row>
    <row r="5237" spans="1:5" ht="15.75" customHeight="1" x14ac:dyDescent="0.25">
      <c r="A5237" s="6" t="s">
        <v>5106</v>
      </c>
      <c r="B5237" s="6" t="str">
        <f ca="1">IFERROR(__xludf.DUMMYFUNCTION("GOOGLETRANSLATE(A5237,""bn"",""en"")"),"It takes hard work to make that dream a reality")</f>
        <v>It takes hard work to make that dream a reality</v>
      </c>
      <c r="C5237" s="8" t="s">
        <v>13</v>
      </c>
      <c r="D5237" s="8" t="s">
        <v>14</v>
      </c>
      <c r="E5237" s="8">
        <v>1</v>
      </c>
    </row>
    <row r="5238" spans="1:5" ht="15.75" customHeight="1" x14ac:dyDescent="0.25">
      <c r="A5238" s="6" t="s">
        <v>5107</v>
      </c>
      <c r="B5238" s="6" t="str">
        <f ca="1">IFERROR(__xludf.DUMMYFUNCTION("GOOGLETRANSLATE(A5238,""bn"",""en"")"),"I used to deliver newspapers to specific places at specific times every day")</f>
        <v>I used to deliver newspapers to specific places at specific times every day</v>
      </c>
      <c r="C5238" s="8" t="s">
        <v>13</v>
      </c>
      <c r="D5238" s="8" t="s">
        <v>14</v>
      </c>
      <c r="E5238" s="8">
        <v>1</v>
      </c>
    </row>
    <row r="5239" spans="1:5" ht="15.75" customHeight="1" x14ac:dyDescent="0.25">
      <c r="A5239" s="6" t="s">
        <v>5108</v>
      </c>
      <c r="B5239" s="6" t="str">
        <f ca="1">IFERROR(__xludf.DUMMYFUNCTION("GOOGLETRANSLATE(A5239,""bn"",""en"")"),"Sohag came and sat near me")</f>
        <v>Sohag came and sat near me</v>
      </c>
      <c r="C5239" s="8" t="s">
        <v>13</v>
      </c>
      <c r="D5239" s="8" t="s">
        <v>14</v>
      </c>
      <c r="E5239" s="8">
        <v>1</v>
      </c>
    </row>
    <row r="5240" spans="1:5" ht="15.75" customHeight="1" x14ac:dyDescent="0.25">
      <c r="A5240" s="6" t="s">
        <v>5109</v>
      </c>
      <c r="B5240" s="6" t="str">
        <f ca="1">IFERROR(__xludf.DUMMYFUNCTION("GOOGLETRANSLATE(A5240,""bn"",""en"")"),"Helps lengthen the midsection to keep the trunk straight")</f>
        <v>Helps lengthen the midsection to keep the trunk straight</v>
      </c>
      <c r="C5240" s="8" t="s">
        <v>13</v>
      </c>
      <c r="D5240" s="8" t="s">
        <v>14</v>
      </c>
      <c r="E5240" s="8">
        <v>1</v>
      </c>
    </row>
    <row r="5241" spans="1:5" ht="15.75" customHeight="1" x14ac:dyDescent="0.25">
      <c r="A5241" s="6" t="s">
        <v>5110</v>
      </c>
      <c r="B5241" s="6" t="str">
        <f ca="1">IFERROR(__xludf.DUMMYFUNCTION("GOOGLETRANSLATE(A5241,""bn"",""en"")"),"Socio-social factors affect educational attainment opportunities")</f>
        <v>Socio-social factors affect educational attainment opportunities</v>
      </c>
      <c r="C5241" s="8" t="s">
        <v>13</v>
      </c>
      <c r="D5241" s="8" t="s">
        <v>14</v>
      </c>
      <c r="E5241" s="8">
        <v>1</v>
      </c>
    </row>
    <row r="5242" spans="1:5" ht="15.75" customHeight="1" x14ac:dyDescent="0.25">
      <c r="A5242" s="6" t="s">
        <v>5111</v>
      </c>
      <c r="B5242" s="6" t="str">
        <f ca="1">IFERROR(__xludf.DUMMYFUNCTION("GOOGLETRANSLATE(A5242,""bn"",""en"")"),"They used to call him Khan Saheb then")</f>
        <v>They used to call him Khan Saheb then</v>
      </c>
      <c r="C5242" s="7" t="s">
        <v>6</v>
      </c>
      <c r="D5242" s="7" t="s">
        <v>7</v>
      </c>
      <c r="E5242" s="7">
        <v>0</v>
      </c>
    </row>
    <row r="5243" spans="1:5" ht="15.75" customHeight="1" x14ac:dyDescent="0.25">
      <c r="A5243" s="6" t="s">
        <v>5112</v>
      </c>
      <c r="B5243" s="6" t="str">
        <f ca="1">IFERROR(__xludf.DUMMYFUNCTION("GOOGLETRANSLATE(A5243,""bn"",""en"")"),"It was getting dark when I finally found the house")</f>
        <v>It was getting dark when I finally found the house</v>
      </c>
      <c r="C5243" s="7" t="s">
        <v>6</v>
      </c>
      <c r="D5243" s="7" t="s">
        <v>7</v>
      </c>
      <c r="E5243" s="7">
        <v>0</v>
      </c>
    </row>
    <row r="5244" spans="1:5" ht="15.75" customHeight="1" x14ac:dyDescent="0.25">
      <c r="A5244" s="6" t="s">
        <v>5113</v>
      </c>
      <c r="B5244" s="6" t="str">
        <f ca="1">IFERROR(__xludf.DUMMYFUNCTION("GOOGLETRANSLATE(A5244,""bn"",""en"")"),"Even if you ask him to stop, he will continue to do Dhawan")</f>
        <v>Even if you ask him to stop, he will continue to do Dhawan</v>
      </c>
      <c r="C5244" s="7" t="s">
        <v>6</v>
      </c>
      <c r="D5244" s="7" t="s">
        <v>7</v>
      </c>
      <c r="E5244" s="7">
        <v>0</v>
      </c>
    </row>
    <row r="5245" spans="1:5" ht="15.75" customHeight="1" x14ac:dyDescent="0.25">
      <c r="A5245" s="6" t="s">
        <v>5114</v>
      </c>
      <c r="B5245" s="6" t="str">
        <f ca="1">IFERROR(__xludf.DUMMYFUNCTION("GOOGLETRANSLATE(A5245,""bn"",""en"")"),"Even if they say there is water, they will throw water and go to fetch water")</f>
        <v>Even if they say there is water, they will throw water and go to fetch water</v>
      </c>
      <c r="C5245" s="7" t="s">
        <v>6</v>
      </c>
      <c r="D5245" s="7" t="s">
        <v>7</v>
      </c>
      <c r="E5245" s="7">
        <v>0</v>
      </c>
    </row>
    <row r="5246" spans="1:5" ht="15.75" customHeight="1" x14ac:dyDescent="0.25">
      <c r="A5246" s="6" t="s">
        <v>1775</v>
      </c>
      <c r="B5246" s="6" t="str">
        <f ca="1">IFERROR(__xludf.DUMMYFUNCTION("GOOGLETRANSLATE(A5246,""bn"",""en"")"),"In ancient times, when the Aryans first came to India, the Asuras were very powerful and their numbers were infinite")</f>
        <v>In ancient times, when the Aryans first came to India, the Asuras were very powerful and their numbers were infinite</v>
      </c>
      <c r="C5246" s="7" t="s">
        <v>6</v>
      </c>
      <c r="D5246" s="7" t="s">
        <v>7</v>
      </c>
      <c r="E5246" s="7">
        <v>0</v>
      </c>
    </row>
    <row r="5247" spans="1:5" ht="15.75" customHeight="1" x14ac:dyDescent="0.25">
      <c r="A5247" s="6" t="s">
        <v>5115</v>
      </c>
      <c r="B5247" s="6" t="str">
        <f ca="1">IFERROR(__xludf.DUMMYFUNCTION("GOOGLETRANSLATE(A5247,""bn"",""en"")"),"He himself is gone")</f>
        <v>He himself is gone</v>
      </c>
      <c r="C5247" s="8" t="s">
        <v>13</v>
      </c>
      <c r="D5247" s="8" t="s">
        <v>14</v>
      </c>
      <c r="E5247" s="8">
        <v>1</v>
      </c>
    </row>
    <row r="5248" spans="1:5" ht="15.75" customHeight="1" x14ac:dyDescent="0.25">
      <c r="A5248" s="6" t="s">
        <v>5116</v>
      </c>
      <c r="B5248" s="6" t="str">
        <f ca="1">IFERROR(__xludf.DUMMYFUNCTION("GOOGLETRANSLATE(A5248,""bn"",""en"")"),"Agricultural cooperatives help small-scale farmers collectively access market resources")</f>
        <v>Agricultural cooperatives help small-scale farmers collectively access market resources</v>
      </c>
      <c r="C5248" s="8" t="s">
        <v>13</v>
      </c>
      <c r="D5248" s="8" t="s">
        <v>14</v>
      </c>
      <c r="E5248" s="8">
        <v>1</v>
      </c>
    </row>
    <row r="5249" spans="1:5" ht="15.75" customHeight="1" x14ac:dyDescent="0.25">
      <c r="A5249" s="6" t="s">
        <v>5117</v>
      </c>
      <c r="B5249" s="6" t="str">
        <f ca="1">IFERROR(__xludf.DUMMYFUNCTION("GOOGLETRANSLATE(A5249,""bn"",""en"")"),"Diane West Shelley Winters has won the award twice")</f>
        <v>Diane West Shelley Winters has won the award twice</v>
      </c>
      <c r="C5249" s="8" t="s">
        <v>13</v>
      </c>
      <c r="D5249" s="8" t="s">
        <v>14</v>
      </c>
      <c r="E5249" s="8">
        <v>1</v>
      </c>
    </row>
    <row r="5250" spans="1:5" ht="15.75" customHeight="1" x14ac:dyDescent="0.25">
      <c r="A5250" s="6" t="s">
        <v>5118</v>
      </c>
      <c r="B5250" s="6" t="str">
        <f ca="1">IFERROR(__xludf.DUMMYFUNCTION("GOOGLETRANSLATE(A5250,""bn"",""en"")"),"Nostalgic feelings bring longing for simpler times")</f>
        <v>Nostalgic feelings bring longing for simpler times</v>
      </c>
      <c r="C5250" s="8" t="s">
        <v>13</v>
      </c>
      <c r="D5250" s="8" t="s">
        <v>14</v>
      </c>
      <c r="E5250" s="8">
        <v>1</v>
      </c>
    </row>
    <row r="5251" spans="1:5" ht="15.75" customHeight="1" x14ac:dyDescent="0.25">
      <c r="A5251" s="6" t="s">
        <v>5119</v>
      </c>
      <c r="B5251" s="6" t="str">
        <f ca="1">IFERROR(__xludf.DUMMYFUNCTION("GOOGLETRANSLATE(A5251,""bn"",""en"")"),"He became a disciple of Rishi Rich")</f>
        <v>He became a disciple of Rishi Rich</v>
      </c>
      <c r="C5251" s="8" t="s">
        <v>13</v>
      </c>
      <c r="D5251" s="8" t="s">
        <v>14</v>
      </c>
      <c r="E5251" s="8">
        <v>1</v>
      </c>
    </row>
    <row r="5252" spans="1:5" ht="15.75" customHeight="1" x14ac:dyDescent="0.25">
      <c r="A5252" s="6" t="s">
        <v>5120</v>
      </c>
      <c r="B5252" s="6" t="str">
        <f ca="1">IFERROR(__xludf.DUMMYFUNCTION("GOOGLETRANSLATE(A5252,""bn"",""en"")"),"After spending some time in this most beautiful place, the prince got down from his horse")</f>
        <v>After spending some time in this most beautiful place, the prince got down from his horse</v>
      </c>
      <c r="C5252" s="7" t="s">
        <v>6</v>
      </c>
      <c r="D5252" s="7" t="s">
        <v>7</v>
      </c>
      <c r="E5252" s="7">
        <v>0</v>
      </c>
    </row>
    <row r="5253" spans="1:5" ht="15.75" customHeight="1" x14ac:dyDescent="0.25">
      <c r="A5253" s="6" t="s">
        <v>5121</v>
      </c>
      <c r="B5253" s="6" t="str">
        <f ca="1">IFERROR(__xludf.DUMMYFUNCTION("GOOGLETRANSLATE(A5253,""bn"",""en"")"),"I don't know exactly what the sound caused the tiger to stand up")</f>
        <v>I don't know exactly what the sound caused the tiger to stand up</v>
      </c>
      <c r="C5253" s="7" t="s">
        <v>6</v>
      </c>
      <c r="D5253" s="7" t="s">
        <v>7</v>
      </c>
      <c r="E5253" s="7">
        <v>0</v>
      </c>
    </row>
    <row r="5254" spans="1:5" ht="15.75" customHeight="1" x14ac:dyDescent="0.25">
      <c r="A5254" s="6" t="s">
        <v>5122</v>
      </c>
      <c r="B5254" s="6" t="str">
        <f ca="1">IFERROR(__xludf.DUMMYFUNCTION("GOOGLETRANSLATE(A5254,""bn"",""en"")"),"They have not returned from the field yet")</f>
        <v>They have not returned from the field yet</v>
      </c>
      <c r="C5254" s="7" t="s">
        <v>6</v>
      </c>
      <c r="D5254" s="7" t="s">
        <v>7</v>
      </c>
      <c r="E5254" s="7">
        <v>0</v>
      </c>
    </row>
    <row r="5255" spans="1:5" ht="15.75" customHeight="1" x14ac:dyDescent="0.25">
      <c r="A5255" s="6" t="s">
        <v>5123</v>
      </c>
      <c r="B5255" s="6" t="str">
        <f ca="1">IFERROR(__xludf.DUMMYFUNCTION("GOOGLETRANSLATE(A5255,""bn"",""en"")"),"That is the age to imitate him")</f>
        <v>That is the age to imitate him</v>
      </c>
      <c r="C5255" s="7" t="s">
        <v>6</v>
      </c>
      <c r="D5255" s="7" t="s">
        <v>7</v>
      </c>
      <c r="E5255" s="7">
        <v>0</v>
      </c>
    </row>
    <row r="5256" spans="1:5" ht="15.75" customHeight="1" x14ac:dyDescent="0.25">
      <c r="A5256" s="6" t="s">
        <v>5124</v>
      </c>
      <c r="B5256" s="6" t="str">
        <f ca="1">IFERROR(__xludf.DUMMYFUNCTION("GOOGLETRANSLATE(A5256,""bn"",""en"")"),"Suddenly, the amount of clothes increased disproportionately without saving")</f>
        <v>Suddenly, the amount of clothes increased disproportionately without saving</v>
      </c>
      <c r="C5256" s="7" t="s">
        <v>6</v>
      </c>
      <c r="D5256" s="7" t="s">
        <v>7</v>
      </c>
      <c r="E5256" s="7">
        <v>0</v>
      </c>
    </row>
    <row r="5257" spans="1:5" ht="15.75" customHeight="1" x14ac:dyDescent="0.25">
      <c r="A5257" s="6" t="s">
        <v>5125</v>
      </c>
      <c r="B5257" s="6" t="str">
        <f ca="1">IFERROR(__xludf.DUMMYFUNCTION("GOOGLETRANSLATE(A5257,""bn"",""en"")"),"He is holding his throat still trying to bite")</f>
        <v>He is holding his throat still trying to bite</v>
      </c>
      <c r="C5257" s="8" t="s">
        <v>13</v>
      </c>
      <c r="D5257" s="8" t="s">
        <v>14</v>
      </c>
      <c r="E5257" s="8">
        <v>1</v>
      </c>
    </row>
    <row r="5258" spans="1:5" ht="15.75" customHeight="1" x14ac:dyDescent="0.25">
      <c r="A5258" s="6" t="s">
        <v>5126</v>
      </c>
      <c r="B5258" s="6" t="str">
        <f ca="1">IFERROR(__xludf.DUMMYFUNCTION("GOOGLETRANSLATE(A5258,""bn"",""en"")"),"Transaction ID is required for tracking purposes")</f>
        <v>Transaction ID is required for tracking purposes</v>
      </c>
      <c r="C5258" s="8" t="s">
        <v>13</v>
      </c>
      <c r="D5258" s="8" t="s">
        <v>14</v>
      </c>
      <c r="E5258" s="8">
        <v>1</v>
      </c>
    </row>
    <row r="5259" spans="1:5" ht="15.75" customHeight="1" x14ac:dyDescent="0.25">
      <c r="A5259" s="6" t="s">
        <v>5127</v>
      </c>
      <c r="B5259" s="6" t="str">
        <f ca="1">IFERROR(__xludf.DUMMYFUNCTION("GOOGLETRANSLATE(A5259,""bn"",""en"")"),"He said father is not home")</f>
        <v>He said father is not home</v>
      </c>
      <c r="C5259" s="8" t="s">
        <v>13</v>
      </c>
      <c r="D5259" s="8" t="s">
        <v>14</v>
      </c>
      <c r="E5259" s="8">
        <v>1</v>
      </c>
    </row>
    <row r="5260" spans="1:5" ht="15.75" customHeight="1" x14ac:dyDescent="0.25">
      <c r="A5260" s="6" t="s">
        <v>5128</v>
      </c>
      <c r="B5260" s="6" t="str">
        <f ca="1">IFERROR(__xludf.DUMMYFUNCTION("GOOGLETRANSLATE(A5260,""bn"",""en"")"),"A strange panic slowly began to engulf me")</f>
        <v>A strange panic slowly began to engulf me</v>
      </c>
      <c r="C5260" s="8" t="s">
        <v>13</v>
      </c>
      <c r="D5260" s="8" t="s">
        <v>14</v>
      </c>
      <c r="E5260" s="8">
        <v>1</v>
      </c>
    </row>
    <row r="5261" spans="1:5" ht="15.75" customHeight="1" x14ac:dyDescent="0.25">
      <c r="A5261" s="6" t="s">
        <v>5129</v>
      </c>
      <c r="B5261" s="6" t="str">
        <f ca="1">IFERROR(__xludf.DUMMYFUNCTION("GOOGLETRANSLATE(A5261,""bn"",""en"")"),"Embrace failure as a stepping stone to success")</f>
        <v>Embrace failure as a stepping stone to success</v>
      </c>
      <c r="C5261" s="8" t="s">
        <v>13</v>
      </c>
      <c r="D5261" s="8" t="s">
        <v>14</v>
      </c>
      <c r="E5261" s="8">
        <v>1</v>
      </c>
    </row>
    <row r="5262" spans="1:5" ht="15.75" customHeight="1" x14ac:dyDescent="0.25">
      <c r="A5262" s="6" t="s">
        <v>5130</v>
      </c>
      <c r="B5262" s="6" t="str">
        <f ca="1">IFERROR(__xludf.DUMMYFUNCTION("GOOGLETRANSLATE(A5262,""bn"",""en"")"),"Kiranmayi had moved far away from this trivial story")</f>
        <v>Kiranmayi had moved far away from this trivial story</v>
      </c>
      <c r="C5262" s="7" t="s">
        <v>6</v>
      </c>
      <c r="D5262" s="7" t="s">
        <v>7</v>
      </c>
      <c r="E5262" s="7">
        <v>0</v>
      </c>
    </row>
    <row r="5263" spans="1:5" ht="15.75" customHeight="1" x14ac:dyDescent="0.25">
      <c r="A5263" s="6" t="s">
        <v>5131</v>
      </c>
      <c r="B5263" s="6" t="str">
        <f ca="1">IFERROR(__xludf.DUMMYFUNCTION("GOOGLETRANSLATE(A5263,""bn"",""en"")"),"I called him through the window but he did not come")</f>
        <v>I called him through the window but he did not come</v>
      </c>
      <c r="C5263" s="7" t="s">
        <v>6</v>
      </c>
      <c r="D5263" s="7" t="s">
        <v>7</v>
      </c>
      <c r="E5263" s="7">
        <v>0</v>
      </c>
    </row>
    <row r="5264" spans="1:5" ht="15.75" customHeight="1" x14ac:dyDescent="0.25">
      <c r="A5264" s="6" t="s">
        <v>5132</v>
      </c>
      <c r="B5264" s="6" t="str">
        <f ca="1">IFERROR(__xludf.DUMMYFUNCTION("GOOGLETRANSLATE(A5264,""bn"",""en"")"),"Susan's school will have to be changed")</f>
        <v>Susan's school will have to be changed</v>
      </c>
      <c r="C5264" s="7" t="s">
        <v>6</v>
      </c>
      <c r="D5264" s="7" t="s">
        <v>7</v>
      </c>
      <c r="E5264" s="7">
        <v>0</v>
      </c>
    </row>
    <row r="5265" spans="1:5" ht="15.75" customHeight="1" x14ac:dyDescent="0.25">
      <c r="A5265" s="6" t="s">
        <v>4890</v>
      </c>
      <c r="B5265" s="6" t="str">
        <f ca="1">IFERROR(__xludf.DUMMYFUNCTION("GOOGLETRANSLATE(A5265,""bn"",""en"")"),"In response to this, a gentleman wrote that how few castes live in India")</f>
        <v>In response to this, a gentleman wrote that how few castes live in India</v>
      </c>
      <c r="C5265" s="7" t="s">
        <v>6</v>
      </c>
      <c r="D5265" s="7" t="s">
        <v>7</v>
      </c>
      <c r="E5265" s="7">
        <v>0</v>
      </c>
    </row>
    <row r="5266" spans="1:5" ht="15.75" customHeight="1" x14ac:dyDescent="0.25">
      <c r="A5266" s="6" t="s">
        <v>5133</v>
      </c>
      <c r="B5266" s="6" t="str">
        <f ca="1">IFERROR(__xludf.DUMMYFUNCTION("GOOGLETRANSLATE(A5266,""bn"",""en"")"),"If you can create a database, it will be appreciated")</f>
        <v>If you can create a database, it will be appreciated</v>
      </c>
      <c r="C5266" s="7" t="s">
        <v>6</v>
      </c>
      <c r="D5266" s="7" t="s">
        <v>7</v>
      </c>
      <c r="E5266" s="7">
        <v>0</v>
      </c>
    </row>
    <row r="5267" spans="1:5" ht="15.75" customHeight="1" x14ac:dyDescent="0.25">
      <c r="A5267" s="6" t="s">
        <v>5134</v>
      </c>
      <c r="B5267" s="6" t="str">
        <f ca="1">IFERROR(__xludf.DUMMYFUNCTION("GOOGLETRANSLATE(A5267,""bn"",""en"")"),"Elder brother Gobind Nath was also a successful lawyer")</f>
        <v>Elder brother Gobind Nath was also a successful lawyer</v>
      </c>
      <c r="C5267" s="8" t="s">
        <v>13</v>
      </c>
      <c r="D5267" s="8" t="s">
        <v>14</v>
      </c>
      <c r="E5267" s="8">
        <v>1</v>
      </c>
    </row>
    <row r="5268" spans="1:5" ht="15.75" customHeight="1" x14ac:dyDescent="0.25">
      <c r="A5268" s="6" t="s">
        <v>5135</v>
      </c>
      <c r="B5268" s="6" t="str">
        <f ca="1">IFERROR(__xludf.DUMMYFUNCTION("GOOGLETRANSLATE(A5268,""bn"",""en"")"),"In the end we won the game")</f>
        <v>In the end we won the game</v>
      </c>
      <c r="C5268" s="8" t="s">
        <v>13</v>
      </c>
      <c r="D5268" s="8" t="s">
        <v>14</v>
      </c>
      <c r="E5268" s="8">
        <v>1</v>
      </c>
    </row>
    <row r="5269" spans="1:5" ht="15.75" customHeight="1" x14ac:dyDescent="0.25">
      <c r="A5269" s="6" t="s">
        <v>5136</v>
      </c>
      <c r="B5269" s="6" t="str">
        <f ca="1">IFERROR(__xludf.DUMMYFUNCTION("GOOGLETRANSLATE(A5269,""bn"",""en"")"),"Sarthi Bhupati received the order")</f>
        <v>Sarthi Bhupati received the order</v>
      </c>
      <c r="C5269" s="8" t="s">
        <v>13</v>
      </c>
      <c r="D5269" s="8" t="s">
        <v>14</v>
      </c>
      <c r="E5269" s="8">
        <v>1</v>
      </c>
    </row>
    <row r="5270" spans="1:5" ht="15.75" customHeight="1" x14ac:dyDescent="0.25">
      <c r="A5270" s="6" t="s">
        <v>5137</v>
      </c>
      <c r="B5270" s="6" t="str">
        <f ca="1">IFERROR(__xludf.DUMMYFUNCTION("GOOGLETRANSLATE(A5270,""bn"",""en"")"),"His story flourished in the Middle Ages")</f>
        <v>His story flourished in the Middle Ages</v>
      </c>
      <c r="C5270" s="8" t="s">
        <v>13</v>
      </c>
      <c r="D5270" s="8" t="s">
        <v>14</v>
      </c>
      <c r="E5270" s="8">
        <v>1</v>
      </c>
    </row>
    <row r="5271" spans="1:5" ht="15.75" customHeight="1" x14ac:dyDescent="0.25">
      <c r="A5271" s="6" t="s">
        <v>5138</v>
      </c>
      <c r="B5271" s="6" t="str">
        <f ca="1">IFERROR(__xludf.DUMMYFUNCTION("GOOGLETRANSLATE(A5271,""bn"",""en"")"),"Criminal activity can have devastating effects on individuals and society")</f>
        <v>Criminal activity can have devastating effects on individuals and society</v>
      </c>
      <c r="C5271" s="8" t="s">
        <v>13</v>
      </c>
      <c r="D5271" s="8" t="s">
        <v>14</v>
      </c>
      <c r="E5271" s="8">
        <v>1</v>
      </c>
    </row>
    <row r="5272" spans="1:5" ht="15.75" customHeight="1" x14ac:dyDescent="0.25">
      <c r="A5272" s="6" t="s">
        <v>5139</v>
      </c>
      <c r="B5272" s="6" t="str">
        <f ca="1">IFERROR(__xludf.DUMMYFUNCTION("GOOGLETRANSLATE(A5272,""bn"",""en"")"),"Among the savages, however, all appear to be in many parts braver than the brave Europeans")</f>
        <v>Among the savages, however, all appear to be in many parts braver than the brave Europeans</v>
      </c>
      <c r="C5272" s="7" t="s">
        <v>6</v>
      </c>
      <c r="D5272" s="7" t="s">
        <v>7</v>
      </c>
      <c r="E5272" s="7">
        <v>0</v>
      </c>
    </row>
    <row r="5273" spans="1:5" ht="15.75" customHeight="1" x14ac:dyDescent="0.25">
      <c r="A5273" s="6" t="s">
        <v>5140</v>
      </c>
      <c r="B5273" s="6" t="str">
        <f ca="1">IFERROR(__xludf.DUMMYFUNCTION("GOOGLETRANSLATE(A5273,""bn"",""en"")"),"I firmly believe that your efforts will not go in vain")</f>
        <v>I firmly believe that your efforts will not go in vain</v>
      </c>
      <c r="C5273" s="7" t="s">
        <v>6</v>
      </c>
      <c r="D5273" s="7" t="s">
        <v>7</v>
      </c>
      <c r="E5273" s="7">
        <v>0</v>
      </c>
    </row>
    <row r="5274" spans="1:5" ht="15.75" customHeight="1" x14ac:dyDescent="0.25">
      <c r="A5274" s="6" t="s">
        <v>5141</v>
      </c>
      <c r="B5274" s="6" t="str">
        <f ca="1">IFERROR(__xludf.DUMMYFUNCTION("GOOGLETRANSLATE(A5274,""bn"",""en"")"),"I asked him to wait for me but he didn't")</f>
        <v>I asked him to wait for me but he didn't</v>
      </c>
      <c r="C5274" s="7" t="s">
        <v>6</v>
      </c>
      <c r="D5274" s="7" t="s">
        <v>7</v>
      </c>
      <c r="E5274" s="7">
        <v>0</v>
      </c>
    </row>
    <row r="5275" spans="1:5" ht="15.75" customHeight="1" x14ac:dyDescent="0.25">
      <c r="A5275" s="6" t="s">
        <v>5142</v>
      </c>
      <c r="B5275" s="6" t="str">
        <f ca="1">IFERROR(__xludf.DUMMYFUNCTION("GOOGLETRANSLATE(A5275,""bn"",""en"")"),"The river becomes completely dry in winter")</f>
        <v>The river becomes completely dry in winter</v>
      </c>
      <c r="C5275" s="7" t="s">
        <v>6</v>
      </c>
      <c r="D5275" s="7" t="s">
        <v>7</v>
      </c>
      <c r="E5275" s="7">
        <v>0</v>
      </c>
    </row>
    <row r="5276" spans="1:5" ht="15.75" customHeight="1" x14ac:dyDescent="0.25">
      <c r="A5276" s="6" t="s">
        <v>5143</v>
      </c>
      <c r="B5276" s="6" t="str">
        <f ca="1">IFERROR(__xludf.DUMMYFUNCTION("GOOGLETRANSLATE(A5276,""bn"",""en"")"),"He came from school and went to sleep after eating")</f>
        <v>He came from school and went to sleep after eating</v>
      </c>
      <c r="C5276" s="7" t="s">
        <v>6</v>
      </c>
      <c r="D5276" s="7" t="s">
        <v>7</v>
      </c>
      <c r="E5276" s="7">
        <v>0</v>
      </c>
    </row>
    <row r="5277" spans="1:5" ht="15.75" customHeight="1" x14ac:dyDescent="0.25">
      <c r="A5277" s="6" t="s">
        <v>5144</v>
      </c>
      <c r="B5277" s="6" t="str">
        <f ca="1">IFERROR(__xludf.DUMMYFUNCTION("GOOGLETRANSLATE(A5277,""bn"",""en"")"),"Ritu let me sit")</f>
        <v>Ritu let me sit</v>
      </c>
      <c r="C5277" s="8" t="s">
        <v>13</v>
      </c>
      <c r="D5277" s="8" t="s">
        <v>14</v>
      </c>
      <c r="E5277" s="8">
        <v>1</v>
      </c>
    </row>
    <row r="5278" spans="1:5" ht="15.75" customHeight="1" x14ac:dyDescent="0.25">
      <c r="A5278" s="6" t="s">
        <v>5145</v>
      </c>
      <c r="B5278" s="6" t="str">
        <f ca="1">IFERROR(__xludf.DUMMYFUNCTION("GOOGLETRANSLATE(A5278,""bn"",""en"")"),"Setting financial goals Creating a plan to achieve them is essential to financial success")</f>
        <v>Setting financial goals Creating a plan to achieve them is essential to financial success</v>
      </c>
      <c r="C5278" s="8" t="s">
        <v>13</v>
      </c>
      <c r="D5278" s="8" t="s">
        <v>14</v>
      </c>
      <c r="E5278" s="8">
        <v>1</v>
      </c>
    </row>
    <row r="5279" spans="1:5" ht="15.75" customHeight="1" x14ac:dyDescent="0.25">
      <c r="A5279" s="6" t="s">
        <v>5146</v>
      </c>
      <c r="B5279" s="6" t="str">
        <f ca="1">IFERROR(__xludf.DUMMYFUNCTION("GOOGLETRANSLATE(A5279,""bn"",""en"")"),"I wanted to go to the market with him")</f>
        <v>I wanted to go to the market with him</v>
      </c>
      <c r="C5279" s="8" t="s">
        <v>13</v>
      </c>
      <c r="D5279" s="8" t="s">
        <v>14</v>
      </c>
      <c r="E5279" s="8">
        <v>1</v>
      </c>
    </row>
    <row r="5280" spans="1:5" ht="15.75" customHeight="1" x14ac:dyDescent="0.25">
      <c r="A5280" s="6" t="s">
        <v>5147</v>
      </c>
      <c r="B5280" s="6" t="str">
        <f ca="1">IFERROR(__xludf.DUMMYFUNCTION("GOOGLETRANSLATE(A5280,""bn"",""en"")"),"I can do it well")</f>
        <v>I can do it well</v>
      </c>
      <c r="C5280" s="8" t="s">
        <v>13</v>
      </c>
      <c r="D5280" s="8" t="s">
        <v>14</v>
      </c>
      <c r="E5280" s="8">
        <v>1</v>
      </c>
    </row>
    <row r="5281" spans="1:5" ht="15.75" customHeight="1" x14ac:dyDescent="0.25">
      <c r="A5281" s="6" t="s">
        <v>5148</v>
      </c>
      <c r="B5281" s="6" t="str">
        <f ca="1">IFERROR(__xludf.DUMMYFUNCTION("GOOGLETRANSLATE(A5281,""bn"",""en"")"),"Strive for balance in all areas of your life")</f>
        <v>Strive for balance in all areas of your life</v>
      </c>
      <c r="C5281" s="8" t="s">
        <v>13</v>
      </c>
      <c r="D5281" s="8" t="s">
        <v>14</v>
      </c>
      <c r="E5281" s="8">
        <v>1</v>
      </c>
    </row>
    <row r="5282" spans="1:5" ht="15.75" customHeight="1" x14ac:dyDescent="0.25">
      <c r="A5282" s="6" t="s">
        <v>851</v>
      </c>
      <c r="B5282" s="6" t="str">
        <f ca="1">IFERROR(__xludf.DUMMYFUNCTION("GOOGLETRANSLATE(A5282,""bn"",""en"")"),"I used to play sports with my mind like a boy")</f>
        <v>I used to play sports with my mind like a boy</v>
      </c>
      <c r="C5282" s="7" t="s">
        <v>6</v>
      </c>
      <c r="D5282" s="7" t="s">
        <v>7</v>
      </c>
      <c r="E5282" s="7">
        <v>0</v>
      </c>
    </row>
    <row r="5283" spans="1:5" ht="15.75" customHeight="1" x14ac:dyDescent="0.25">
      <c r="A5283" s="6" t="s">
        <v>5149</v>
      </c>
      <c r="B5283" s="6" t="str">
        <f ca="1">IFERROR(__xludf.DUMMYFUNCTION("GOOGLETRANSLATE(A5283,""bn"",""en"")"),"That afternoon we were drenched in rain")</f>
        <v>That afternoon we were drenched in rain</v>
      </c>
      <c r="C5283" s="7" t="s">
        <v>6</v>
      </c>
      <c r="D5283" s="7" t="s">
        <v>7</v>
      </c>
      <c r="E5283" s="7">
        <v>0</v>
      </c>
    </row>
    <row r="5284" spans="1:5" ht="15.75" customHeight="1" x14ac:dyDescent="0.25">
      <c r="A5284" s="6" t="s">
        <v>5150</v>
      </c>
      <c r="B5284" s="6" t="str">
        <f ca="1">IFERROR(__xludf.DUMMYFUNCTION("GOOGLETRANSLATE(A5284,""bn"",""en"")"),"He came out and spread a mat on the balcony")</f>
        <v>He came out and spread a mat on the balcony</v>
      </c>
      <c r="C5284" s="7" t="s">
        <v>6</v>
      </c>
      <c r="D5284" s="7" t="s">
        <v>7</v>
      </c>
      <c r="E5284" s="7">
        <v>0</v>
      </c>
    </row>
    <row r="5285" spans="1:5" ht="15.75" customHeight="1" x14ac:dyDescent="0.25">
      <c r="A5285" s="6" t="s">
        <v>5151</v>
      </c>
      <c r="B5285" s="6" t="str">
        <f ca="1">IFERROR(__xludf.DUMMYFUNCTION("GOOGLETRANSLATE(A5285,""bn"",""en"")"),"Maya stood and saw that Lal was crying")</f>
        <v>Maya stood and saw that Lal was crying</v>
      </c>
      <c r="C5285" s="7" t="s">
        <v>6</v>
      </c>
      <c r="D5285" s="7" t="s">
        <v>7</v>
      </c>
      <c r="E5285" s="7">
        <v>0</v>
      </c>
    </row>
    <row r="5286" spans="1:5" ht="15.75" customHeight="1" x14ac:dyDescent="0.25">
      <c r="A5286" s="6" t="s">
        <v>5152</v>
      </c>
      <c r="B5286" s="6" t="str">
        <f ca="1">IFERROR(__xludf.DUMMYFUNCTION("GOOGLETRANSLATE(A5286,""bn"",""en"")"),"Gopal Das's actions are called throat stabbing")</f>
        <v>Gopal Das's actions are called throat stabbing</v>
      </c>
      <c r="C5286" s="7" t="s">
        <v>6</v>
      </c>
      <c r="D5286" s="7" t="s">
        <v>7</v>
      </c>
      <c r="E5286" s="7">
        <v>0</v>
      </c>
    </row>
    <row r="5287" spans="1:5" ht="15.75" customHeight="1" x14ac:dyDescent="0.25">
      <c r="A5287" s="6" t="s">
        <v>5153</v>
      </c>
      <c r="B5287" s="6" t="str">
        <f ca="1">IFERROR(__xludf.DUMMYFUNCTION("GOOGLETRANSLATE(A5287,""bn"",""en"")"),"It is this assurance that allows the Hubble Space Telescope to be used")</f>
        <v>It is this assurance that allows the Hubble Space Telescope to be used</v>
      </c>
      <c r="C5287" s="8" t="s">
        <v>13</v>
      </c>
      <c r="D5287" s="8" t="s">
        <v>14</v>
      </c>
      <c r="E5287" s="8">
        <v>1</v>
      </c>
    </row>
    <row r="5288" spans="1:5" ht="15.75" customHeight="1" x14ac:dyDescent="0.25">
      <c r="A5288" s="6" t="s">
        <v>5154</v>
      </c>
      <c r="B5288" s="6" t="str">
        <f ca="1">IFERROR(__xludf.DUMMYFUNCTION("GOOGLETRANSLATE(A5288,""bn"",""en"")"),"He won the Nobel Prize in Literature")</f>
        <v>He won the Nobel Prize in Literature</v>
      </c>
      <c r="C5288" s="8" t="s">
        <v>13</v>
      </c>
      <c r="D5288" s="8" t="s">
        <v>14</v>
      </c>
      <c r="E5288" s="8">
        <v>1</v>
      </c>
    </row>
    <row r="5289" spans="1:5" ht="15.75" customHeight="1" x14ac:dyDescent="0.25">
      <c r="A5289" s="6" t="s">
        <v>5155</v>
      </c>
      <c r="B5289" s="6" t="str">
        <f ca="1">IFERROR(__xludf.DUMMYFUNCTION("GOOGLETRANSLATE(A5289,""bn"",""en"")"),"Honey works as a medicine for many diseases")</f>
        <v>Honey works as a medicine for many diseases</v>
      </c>
      <c r="C5289" s="8" t="s">
        <v>13</v>
      </c>
      <c r="D5289" s="8" t="s">
        <v>14</v>
      </c>
      <c r="E5289" s="8">
        <v>1</v>
      </c>
    </row>
    <row r="5290" spans="1:5" ht="15.75" customHeight="1" x14ac:dyDescent="0.25">
      <c r="A5290" s="6" t="s">
        <v>5156</v>
      </c>
      <c r="B5290" s="6" t="str">
        <f ca="1">IFERROR(__xludf.DUMMYFUNCTION("GOOGLETRANSLATE(A5290,""bn"",""en"")"),"I admire the wisdom of my grandparents")</f>
        <v>I admire the wisdom of my grandparents</v>
      </c>
      <c r="C5290" s="8" t="s">
        <v>13</v>
      </c>
      <c r="D5290" s="8" t="s">
        <v>14</v>
      </c>
      <c r="E5290" s="8">
        <v>1</v>
      </c>
    </row>
    <row r="5291" spans="1:5" ht="15.75" customHeight="1" x14ac:dyDescent="0.25">
      <c r="A5291" s="6" t="s">
        <v>5157</v>
      </c>
      <c r="B5291" s="6" t="str">
        <f ca="1">IFERROR(__xludf.DUMMYFUNCTION("GOOGLETRANSLATE(A5291,""bn"",""en"")"),"The prisoner feels as if he is drowning")</f>
        <v>The prisoner feels as if he is drowning</v>
      </c>
      <c r="C5291" s="8" t="s">
        <v>13</v>
      </c>
      <c r="D5291" s="8" t="s">
        <v>14</v>
      </c>
      <c r="E5291" s="8">
        <v>1</v>
      </c>
    </row>
    <row r="5292" spans="1:5" ht="15.75" customHeight="1" x14ac:dyDescent="0.25">
      <c r="A5292" s="6" t="s">
        <v>5158</v>
      </c>
      <c r="B5292" s="6" t="str">
        <f ca="1">IFERROR(__xludf.DUMMYFUNCTION("GOOGLETRANSLATE(A5292,""bn"",""en"")"),"From childhood, God gave me the opportunity to think about many things")</f>
        <v>From childhood, God gave me the opportunity to think about many things</v>
      </c>
      <c r="C5292" s="7" t="s">
        <v>6</v>
      </c>
      <c r="D5292" s="7" t="s">
        <v>7</v>
      </c>
      <c r="E5292" s="7">
        <v>0</v>
      </c>
    </row>
    <row r="5293" spans="1:5" ht="15.75" customHeight="1" x14ac:dyDescent="0.25">
      <c r="A5293" s="6" t="s">
        <v>5159</v>
      </c>
      <c r="B5293" s="6" t="str">
        <f ca="1">IFERROR(__xludf.DUMMYFUNCTION("GOOGLETRANSLATE(A5293,""bn"",""en"")"),"He understood in his heart that the matter was not so simple")</f>
        <v>He understood in his heart that the matter was not so simple</v>
      </c>
      <c r="C5293" s="7" t="s">
        <v>6</v>
      </c>
      <c r="D5293" s="7" t="s">
        <v>7</v>
      </c>
      <c r="E5293" s="7">
        <v>0</v>
      </c>
    </row>
    <row r="5294" spans="1:5" ht="15.75" customHeight="1" x14ac:dyDescent="0.25">
      <c r="A5294" s="6" t="s">
        <v>5160</v>
      </c>
      <c r="B5294" s="6" t="str">
        <f ca="1">IFERROR(__xludf.DUMMYFUNCTION("GOOGLETRANSLATE(A5294,""bn"",""en"")"),"There a small bird was sitting very dejectedly on a dry branch of a tree")</f>
        <v>There a small bird was sitting very dejectedly on a dry branch of a tree</v>
      </c>
      <c r="C5294" s="7" t="s">
        <v>6</v>
      </c>
      <c r="D5294" s="7" t="s">
        <v>7</v>
      </c>
      <c r="E5294" s="7">
        <v>0</v>
      </c>
    </row>
    <row r="5295" spans="1:5" ht="15.75" customHeight="1" x14ac:dyDescent="0.25">
      <c r="A5295" s="6" t="s">
        <v>5161</v>
      </c>
      <c r="B5295" s="6" t="str">
        <f ca="1">IFERROR(__xludf.DUMMYFUNCTION("GOOGLETRANSLATE(A5295,""bn"",""en"")"),"A middle-aged gentleman with a scraggly mustache and curly hair came out and asked the boy where the Chakrabortys' house was.")</f>
        <v>A middle-aged gentleman with a scraggly mustache and curly hair came out and asked the boy where the Chakrabortys' house was.</v>
      </c>
      <c r="C5295" s="7" t="s">
        <v>6</v>
      </c>
      <c r="D5295" s="7" t="s">
        <v>7</v>
      </c>
      <c r="E5295" s="7">
        <v>0</v>
      </c>
    </row>
    <row r="5296" spans="1:5" ht="15.75" customHeight="1" x14ac:dyDescent="0.25">
      <c r="A5296" s="6" t="s">
        <v>5162</v>
      </c>
      <c r="B5296" s="6" t="str">
        <f ca="1">IFERROR(__xludf.DUMMYFUNCTION("GOOGLETRANSLATE(A5296,""bn"",""en"")"),"Sujan had given us food")</f>
        <v>Sujan had given us food</v>
      </c>
      <c r="C5296" s="7" t="s">
        <v>6</v>
      </c>
      <c r="D5296" s="7" t="s">
        <v>7</v>
      </c>
      <c r="E5296" s="7">
        <v>0</v>
      </c>
    </row>
    <row r="5297" spans="1:5" ht="15.75" customHeight="1" x14ac:dyDescent="0.25">
      <c r="A5297" s="6" t="s">
        <v>5163</v>
      </c>
      <c r="B5297" s="6" t="str">
        <f ca="1">IFERROR(__xludf.DUMMYFUNCTION("GOOGLETRANSLATE(A5297,""bn"",""en"")"),"He was very worried about his exams")</f>
        <v>He was very worried about his exams</v>
      </c>
      <c r="C5297" s="8" t="s">
        <v>13</v>
      </c>
      <c r="D5297" s="8" t="s">
        <v>14</v>
      </c>
      <c r="E5297" s="8">
        <v>1</v>
      </c>
    </row>
    <row r="5298" spans="1:5" ht="15.75" customHeight="1" x14ac:dyDescent="0.25">
      <c r="A5298" s="6" t="s">
        <v>5164</v>
      </c>
      <c r="B5298" s="6" t="str">
        <f ca="1">IFERROR(__xludf.DUMMYFUNCTION("GOOGLETRANSLATE(A5298,""bn"",""en"")"),"Tag a friend who needs encouragement")</f>
        <v>Tag a friend who needs encouragement</v>
      </c>
      <c r="C5298" s="8" t="s">
        <v>13</v>
      </c>
      <c r="D5298" s="8" t="s">
        <v>14</v>
      </c>
      <c r="E5298" s="8">
        <v>1</v>
      </c>
    </row>
    <row r="5299" spans="1:5" ht="15.75" customHeight="1" x14ac:dyDescent="0.25">
      <c r="A5299" s="6" t="s">
        <v>5165</v>
      </c>
      <c r="B5299" s="6" t="str">
        <f ca="1">IFERROR(__xludf.DUMMYFUNCTION("GOOGLETRANSLATE(A5299,""bn"",""en"")"),"Creamy pasta satisfies carb cravings")</f>
        <v>Creamy pasta satisfies carb cravings</v>
      </c>
      <c r="C5299" s="8" t="s">
        <v>13</v>
      </c>
      <c r="D5299" s="8" t="s">
        <v>14</v>
      </c>
      <c r="E5299" s="8">
        <v>1</v>
      </c>
    </row>
    <row r="5300" spans="1:5" ht="15.75" customHeight="1" x14ac:dyDescent="0.25">
      <c r="A5300" s="6" t="s">
        <v>5166</v>
      </c>
      <c r="B5300" s="6" t="str">
        <f ca="1">IFERROR(__xludf.DUMMYFUNCTION("GOOGLETRANSLATE(A5300,""bn"",""en"")"),"Orange is a popular fruit")</f>
        <v>Orange is a popular fruit</v>
      </c>
      <c r="C5300" s="8" t="s">
        <v>13</v>
      </c>
      <c r="D5300" s="8" t="s">
        <v>14</v>
      </c>
      <c r="E5300" s="8">
        <v>1</v>
      </c>
    </row>
    <row r="5301" spans="1:5" ht="15.75" customHeight="1" x14ac:dyDescent="0.25">
      <c r="A5301" s="6" t="s">
        <v>5167</v>
      </c>
      <c r="B5301" s="6" t="str">
        <f ca="1">IFERROR(__xludf.DUMMYFUNCTION("GOOGLETRANSLATE(A5301,""bn"",""en"")"),"Focus on quality over quantity")</f>
        <v>Focus on quality over quantity</v>
      </c>
      <c r="C5301" s="8" t="s">
        <v>13</v>
      </c>
      <c r="D5301" s="8" t="s">
        <v>14</v>
      </c>
      <c r="E5301" s="8">
        <v>1</v>
      </c>
    </row>
    <row r="5302" spans="1:5" ht="15.75" customHeight="1" x14ac:dyDescent="0.25">
      <c r="A5302" s="6" t="s">
        <v>5168</v>
      </c>
      <c r="B5302" s="6" t="str">
        <f ca="1">IFERROR(__xludf.DUMMYFUNCTION("GOOGLETRANSLATE(A5302,""bn"",""en"")"),"In truth, he has seen something, but getting to know that something closely does not work, which means that it is better to return home now")</f>
        <v>In truth, he has seen something, but getting to know that something closely does not work, which means that it is better to return home now</v>
      </c>
      <c r="C5302" s="7" t="s">
        <v>6</v>
      </c>
      <c r="D5302" s="7" t="s">
        <v>7</v>
      </c>
      <c r="E5302" s="7">
        <v>0</v>
      </c>
    </row>
    <row r="5303" spans="1:5" ht="15.75" customHeight="1" x14ac:dyDescent="0.25">
      <c r="A5303" s="6" t="s">
        <v>5169</v>
      </c>
      <c r="B5303" s="6" t="str">
        <f ca="1">IFERROR(__xludf.DUMMYFUNCTION("GOOGLETRANSLATE(A5303,""bn"",""en"")"),"If I say I am rich, then I have to end my life in poverty")</f>
        <v>If I say I am rich, then I have to end my life in poverty</v>
      </c>
      <c r="C5303" s="7" t="s">
        <v>6</v>
      </c>
      <c r="D5303" s="7" t="s">
        <v>7</v>
      </c>
      <c r="E5303" s="7">
        <v>0</v>
      </c>
    </row>
    <row r="5304" spans="1:5" ht="15.75" customHeight="1" x14ac:dyDescent="0.25">
      <c r="A5304" s="6" t="s">
        <v>5170</v>
      </c>
      <c r="B5304" s="6" t="str">
        <f ca="1">IFERROR(__xludf.DUMMYFUNCTION("GOOGLETRANSLATE(A5304,""bn"",""en"")"),"I wrote him a letter a long time ago")</f>
        <v>I wrote him a letter a long time ago</v>
      </c>
      <c r="C5304" s="7" t="s">
        <v>6</v>
      </c>
      <c r="D5304" s="7" t="s">
        <v>7</v>
      </c>
      <c r="E5304" s="7">
        <v>0</v>
      </c>
    </row>
    <row r="5305" spans="1:5" ht="15.75" customHeight="1" x14ac:dyDescent="0.25">
      <c r="A5305" s="6" t="s">
        <v>5171</v>
      </c>
      <c r="B5305" s="6" t="str">
        <f ca="1">IFERROR(__xludf.DUMMYFUNCTION("GOOGLETRANSLATE(A5305,""bn"",""en"")"),"Liquor made from mauya flowers is commonly used in the region")</f>
        <v>Liquor made from mauya flowers is commonly used in the region</v>
      </c>
      <c r="C5305" s="7" t="s">
        <v>6</v>
      </c>
      <c r="D5305" s="7" t="s">
        <v>7</v>
      </c>
      <c r="E5305" s="7">
        <v>0</v>
      </c>
    </row>
    <row r="5306" spans="1:5" ht="15.75" customHeight="1" x14ac:dyDescent="0.25">
      <c r="A5306" s="6" t="s">
        <v>5172</v>
      </c>
      <c r="B5306" s="6" t="str">
        <f ca="1">IFERROR(__xludf.DUMMYFUNCTION("GOOGLETRANSLATE(A5306,""bn"",""en"")"),"God has not deprived you of any virtue")</f>
        <v>God has not deprived you of any virtue</v>
      </c>
      <c r="C5306" s="7" t="s">
        <v>6</v>
      </c>
      <c r="D5306" s="7" t="s">
        <v>7</v>
      </c>
      <c r="E5306" s="7">
        <v>0</v>
      </c>
    </row>
    <row r="5307" spans="1:5" ht="15.75" customHeight="1" x14ac:dyDescent="0.25">
      <c r="A5307" s="6" t="s">
        <v>5173</v>
      </c>
      <c r="B5307" s="6" t="str">
        <f ca="1">IFERROR(__xludf.DUMMYFUNCTION("GOOGLETRANSLATE(A5307,""bn"",""en"")"),"Gradually increase the intensity of the exercise")</f>
        <v>Gradually increase the intensity of the exercise</v>
      </c>
      <c r="C5307" s="8" t="s">
        <v>13</v>
      </c>
      <c r="D5307" s="8" t="s">
        <v>14</v>
      </c>
      <c r="E5307" s="8">
        <v>1</v>
      </c>
    </row>
    <row r="5308" spans="1:5" ht="15.75" customHeight="1" x14ac:dyDescent="0.25">
      <c r="A5308" s="6" t="s">
        <v>5174</v>
      </c>
      <c r="B5308" s="6" t="str">
        <f ca="1">IFERROR(__xludf.DUMMYFUNCTION("GOOGLETRANSLATE(A5308,""bn"",""en"")"),"Two friends were lost in the forest.")</f>
        <v>Two friends were lost in the forest.</v>
      </c>
      <c r="C5308" s="8" t="s">
        <v>13</v>
      </c>
      <c r="D5308" s="8" t="s">
        <v>14</v>
      </c>
      <c r="E5308" s="8">
        <v>1</v>
      </c>
    </row>
    <row r="5309" spans="1:5" ht="15.75" customHeight="1" x14ac:dyDescent="0.25">
      <c r="A5309" s="6" t="s">
        <v>5175</v>
      </c>
      <c r="B5309" s="6" t="str">
        <f ca="1">IFERROR(__xludf.DUMMYFUNCTION("GOOGLETRANSLATE(A5309,""bn"",""en"")"),"The parking lot was so crowded it took forever to find a spot")</f>
        <v>The parking lot was so crowded it took forever to find a spot</v>
      </c>
      <c r="C5309" s="8" t="s">
        <v>13</v>
      </c>
      <c r="D5309" s="8" t="s">
        <v>14</v>
      </c>
      <c r="E5309" s="8">
        <v>1</v>
      </c>
    </row>
    <row r="5310" spans="1:5" ht="15.75" customHeight="1" x14ac:dyDescent="0.25">
      <c r="A5310" s="6" t="s">
        <v>5176</v>
      </c>
      <c r="B5310" s="6" t="str">
        <f ca="1">IFERROR(__xludf.DUMMYFUNCTION("GOOGLETRANSLATE(A5310,""bn"",""en"")"),"Ruma was collecting money for the fair")</f>
        <v>Ruma was collecting money for the fair</v>
      </c>
      <c r="C5310" s="8" t="s">
        <v>13</v>
      </c>
      <c r="D5310" s="8" t="s">
        <v>14</v>
      </c>
      <c r="E5310" s="8">
        <v>1</v>
      </c>
    </row>
    <row r="5311" spans="1:5" ht="15.75" customHeight="1" x14ac:dyDescent="0.25">
      <c r="A5311" s="6" t="s">
        <v>5177</v>
      </c>
      <c r="B5311" s="6" t="str">
        <f ca="1">IFERROR(__xludf.DUMMYFUNCTION("GOOGLETRANSLATE(A5311,""bn"",""en"")"),"Mix up workouts to stay busy")</f>
        <v>Mix up workouts to stay busy</v>
      </c>
      <c r="C5311" s="8" t="s">
        <v>13</v>
      </c>
      <c r="D5311" s="8" t="s">
        <v>14</v>
      </c>
      <c r="E5311" s="8">
        <v>1</v>
      </c>
    </row>
    <row r="5312" spans="1:5" ht="15.75" customHeight="1" x14ac:dyDescent="0.25">
      <c r="A5312" s="6" t="s">
        <v>1167</v>
      </c>
      <c r="B5312" s="6" t="str">
        <f ca="1">IFERROR(__xludf.DUMMYFUNCTION("GOOGLETRANSLATE(A5312,""bn"",""en"")"),"My desk brother disappeared after letting me sit in the haircut")</f>
        <v>My desk brother disappeared after letting me sit in the haircut</v>
      </c>
      <c r="C5312" s="7" t="s">
        <v>6</v>
      </c>
      <c r="D5312" s="7" t="s">
        <v>7</v>
      </c>
      <c r="E5312" s="7">
        <v>0</v>
      </c>
    </row>
    <row r="5313" spans="1:5" ht="15.75" customHeight="1" x14ac:dyDescent="0.25">
      <c r="A5313" s="6" t="s">
        <v>5178</v>
      </c>
      <c r="B5313" s="6" t="str">
        <f ca="1">IFERROR(__xludf.DUMMYFUNCTION("GOOGLETRANSLATE(A5313,""bn"",""en"")"),"If you look at it, it seems that there is a conspiracy going on between the two")</f>
        <v>If you look at it, it seems that there is a conspiracy going on between the two</v>
      </c>
      <c r="C5313" s="7" t="s">
        <v>6</v>
      </c>
      <c r="D5313" s="7" t="s">
        <v>7</v>
      </c>
      <c r="E5313" s="7">
        <v>0</v>
      </c>
    </row>
    <row r="5314" spans="1:5" ht="15.75" customHeight="1" x14ac:dyDescent="0.25">
      <c r="A5314" s="6" t="s">
        <v>5179</v>
      </c>
      <c r="B5314" s="6" t="str">
        <f ca="1">IFERROR(__xludf.DUMMYFUNCTION("GOOGLETRANSLATE(A5314,""bn"",""en"")"),"The next day in the afternoon, I saw a number of women sitting on a floor")</f>
        <v>The next day in the afternoon, I saw a number of women sitting on a floor</v>
      </c>
      <c r="C5314" s="7" t="s">
        <v>6</v>
      </c>
      <c r="D5314" s="7" t="s">
        <v>7</v>
      </c>
      <c r="E5314" s="7">
        <v>0</v>
      </c>
    </row>
    <row r="5315" spans="1:5" ht="15.75" customHeight="1" x14ac:dyDescent="0.25">
      <c r="A5315" s="6" t="s">
        <v>5180</v>
      </c>
      <c r="B5315" s="6" t="str">
        <f ca="1">IFERROR(__xludf.DUMMYFUNCTION("GOOGLETRANSLATE(A5315,""bn"",""en"")"),"He was sitting alone in a quiet place")</f>
        <v>He was sitting alone in a quiet place</v>
      </c>
      <c r="C5315" s="7" t="s">
        <v>6</v>
      </c>
      <c r="D5315" s="7" t="s">
        <v>7</v>
      </c>
      <c r="E5315" s="7">
        <v>0</v>
      </c>
    </row>
    <row r="5316" spans="1:5" ht="15.75" customHeight="1" x14ac:dyDescent="0.25">
      <c r="A5316" s="6" t="s">
        <v>3582</v>
      </c>
      <c r="B5316" s="6" t="str">
        <f ca="1">IFERROR(__xludf.DUMMYFUNCTION("GOOGLETRANSLATE(A5316,""bn"",""en"")"),"Maua flowers are used as a delicacy in the Palamau region")</f>
        <v>Maua flowers are used as a delicacy in the Palamau region</v>
      </c>
      <c r="C5316" s="7" t="s">
        <v>6</v>
      </c>
      <c r="D5316" s="7" t="s">
        <v>7</v>
      </c>
      <c r="E5316" s="7">
        <v>0</v>
      </c>
    </row>
    <row r="5317" spans="1:5" ht="15.75" customHeight="1" x14ac:dyDescent="0.25">
      <c r="A5317" s="6" t="s">
        <v>5181</v>
      </c>
      <c r="B5317" s="6" t="str">
        <f ca="1">IFERROR(__xludf.DUMMYFUNCTION("GOOGLETRANSLATE(A5317,""bn"",""en"")"),"Influenza pandemic kills more than one million people")</f>
        <v>Influenza pandemic kills more than one million people</v>
      </c>
      <c r="C5317" s="8" t="s">
        <v>13</v>
      </c>
      <c r="D5317" s="8" t="s">
        <v>14</v>
      </c>
      <c r="E5317" s="8">
        <v>1</v>
      </c>
    </row>
    <row r="5318" spans="1:5" ht="15.75" customHeight="1" x14ac:dyDescent="0.25">
      <c r="A5318" s="6" t="s">
        <v>5182</v>
      </c>
      <c r="B5318" s="6" t="str">
        <f ca="1">IFERROR(__xludf.DUMMYFUNCTION("GOOGLETRANSLATE(A5318,""bn"",""en"")"),"Sharif asked me to read the book")</f>
        <v>Sharif asked me to read the book</v>
      </c>
      <c r="C5318" s="8" t="s">
        <v>13</v>
      </c>
      <c r="D5318" s="8" t="s">
        <v>14</v>
      </c>
      <c r="E5318" s="8">
        <v>1</v>
      </c>
    </row>
    <row r="5319" spans="1:5" ht="15.75" customHeight="1" x14ac:dyDescent="0.25">
      <c r="A5319" s="6" t="s">
        <v>5183</v>
      </c>
      <c r="B5319" s="6" t="str">
        <f ca="1">IFERROR(__xludf.DUMMYFUNCTION("GOOGLETRANSLATE(A5319,""bn"",""en"")"),"The Ten Commandments are a set of ethical moral principles in Judeo-Christianity")</f>
        <v>The Ten Commandments are a set of ethical moral principles in Judeo-Christianity</v>
      </c>
      <c r="C5319" s="8" t="s">
        <v>13</v>
      </c>
      <c r="D5319" s="8" t="s">
        <v>14</v>
      </c>
      <c r="E5319" s="8">
        <v>1</v>
      </c>
    </row>
    <row r="5320" spans="1:5" ht="15.75" customHeight="1" x14ac:dyDescent="0.25">
      <c r="A5320" s="6" t="s">
        <v>5184</v>
      </c>
      <c r="B5320" s="6" t="str">
        <f ca="1">IFERROR(__xludf.DUMMYFUNCTION("GOOGLETRANSLATE(A5320,""bn"",""en"")"),"He advised in a serious voice")</f>
        <v>He advised in a serious voice</v>
      </c>
      <c r="C5320" s="8" t="s">
        <v>13</v>
      </c>
      <c r="D5320" s="8" t="s">
        <v>14</v>
      </c>
      <c r="E5320" s="8">
        <v>1</v>
      </c>
    </row>
    <row r="5321" spans="1:5" ht="15.75" customHeight="1" x14ac:dyDescent="0.25">
      <c r="A5321" s="6" t="s">
        <v>5185</v>
      </c>
      <c r="B5321" s="6" t="str">
        <f ca="1">IFERROR(__xludf.DUMMYFUNCTION("GOOGLETRANSLATE(A5321,""bn"",""en"")"),"The transaction was initiated from a foreign country")</f>
        <v>The transaction was initiated from a foreign country</v>
      </c>
      <c r="C5321" s="8" t="s">
        <v>13</v>
      </c>
      <c r="D5321" s="8" t="s">
        <v>14</v>
      </c>
      <c r="E5321" s="8">
        <v>1</v>
      </c>
    </row>
    <row r="5322" spans="1:5" ht="15.75" customHeight="1" x14ac:dyDescent="0.25">
      <c r="A5322" s="6" t="s">
        <v>5186</v>
      </c>
      <c r="B5322" s="6" t="str">
        <f ca="1">IFERROR(__xludf.DUMMYFUNCTION("GOOGLETRANSLATE(A5322,""bn"",""en"")"),"He laughed and said poison money")</f>
        <v>He laughed and said poison money</v>
      </c>
      <c r="C5322" s="7" t="s">
        <v>6</v>
      </c>
      <c r="D5322" s="7" t="s">
        <v>7</v>
      </c>
      <c r="E5322" s="7">
        <v>0</v>
      </c>
    </row>
    <row r="5323" spans="1:5" ht="15.75" customHeight="1" x14ac:dyDescent="0.25">
      <c r="A5323" s="6" t="s">
        <v>5187</v>
      </c>
      <c r="B5323" s="6" t="str">
        <f ca="1">IFERROR(__xludf.DUMMYFUNCTION("GOOGLETRANSLATE(A5323,""bn"",""en"")"),"He called me to play but I could not go due to illness")</f>
        <v>He called me to play but I could not go due to illness</v>
      </c>
      <c r="C5323" s="7" t="s">
        <v>6</v>
      </c>
      <c r="D5323" s="7" t="s">
        <v>7</v>
      </c>
      <c r="E5323" s="7">
        <v>0</v>
      </c>
    </row>
    <row r="5324" spans="1:5" ht="15.75" customHeight="1" x14ac:dyDescent="0.25">
      <c r="A5324" s="6" t="s">
        <v>5188</v>
      </c>
      <c r="B5324" s="6" t="str">
        <f ca="1">IFERROR(__xludf.DUMMYFUNCTION("GOOGLETRANSLATE(A5324,""bn"",""en"")"),"The main awlat of Palamau is the Maua tree")</f>
        <v>The main awlat of Palamau is the Maua tree</v>
      </c>
      <c r="C5324" s="7" t="s">
        <v>6</v>
      </c>
      <c r="D5324" s="7" t="s">
        <v>7</v>
      </c>
      <c r="E5324" s="7">
        <v>0</v>
      </c>
    </row>
    <row r="5325" spans="1:5" ht="15.75" customHeight="1" x14ac:dyDescent="0.25">
      <c r="A5325" s="6" t="s">
        <v>5189</v>
      </c>
      <c r="B5325" s="6" t="str">
        <f ca="1">IFERROR(__xludf.DUMMYFUNCTION("GOOGLETRANSLATE(A5325,""bn"",""en"")"),"The bride is coming round the side porch")</f>
        <v>The bride is coming round the side porch</v>
      </c>
      <c r="C5325" s="7" t="s">
        <v>6</v>
      </c>
      <c r="D5325" s="7" t="s">
        <v>7</v>
      </c>
      <c r="E5325" s="7">
        <v>0</v>
      </c>
    </row>
    <row r="5326" spans="1:5" ht="15.75" customHeight="1" x14ac:dyDescent="0.25">
      <c r="A5326" s="6" t="s">
        <v>5190</v>
      </c>
      <c r="B5326" s="6" t="str">
        <f ca="1">IFERROR(__xludf.DUMMYFUNCTION("GOOGLETRANSLATE(A5326,""bn"",""en"")"),"Even the thick leaves of the banyan trees did not stop the rain for long")</f>
        <v>Even the thick leaves of the banyan trees did not stop the rain for long</v>
      </c>
      <c r="C5326" s="7" t="s">
        <v>6</v>
      </c>
      <c r="D5326" s="7" t="s">
        <v>7</v>
      </c>
      <c r="E5326" s="7">
        <v>0</v>
      </c>
    </row>
    <row r="5327" spans="1:5" ht="15.75" customHeight="1" x14ac:dyDescent="0.25">
      <c r="A5327" s="6" t="s">
        <v>5191</v>
      </c>
      <c r="B5327" s="6" t="str">
        <f ca="1">IFERROR(__xludf.DUMMYFUNCTION("GOOGLETRANSLATE(A5327,""bn"",""en"")"),"Stay true to your values")</f>
        <v>Stay true to your values</v>
      </c>
      <c r="C5327" s="8" t="s">
        <v>13</v>
      </c>
      <c r="D5327" s="8" t="s">
        <v>14</v>
      </c>
      <c r="E5327" s="8">
        <v>1</v>
      </c>
    </row>
    <row r="5328" spans="1:5" ht="15.75" customHeight="1" x14ac:dyDescent="0.25">
      <c r="A5328" s="6" t="s">
        <v>5192</v>
      </c>
      <c r="B5328" s="6" t="str">
        <f ca="1">IFERROR(__xludf.DUMMYFUNCTION("GOOGLETRANSLATE(A5328,""bn"",""en"")"),"Transaction status is pending")</f>
        <v>Transaction status is pending</v>
      </c>
      <c r="C5328" s="8" t="s">
        <v>13</v>
      </c>
      <c r="D5328" s="8" t="s">
        <v>14</v>
      </c>
      <c r="E5328" s="8">
        <v>1</v>
      </c>
    </row>
    <row r="5329" spans="1:5" ht="15.75" customHeight="1" x14ac:dyDescent="0.25">
      <c r="A5329" s="6" t="s">
        <v>5193</v>
      </c>
      <c r="B5329" s="6" t="str">
        <f ca="1">IFERROR(__xludf.DUMMYFUNCTION("GOOGLETRANSLATE(A5329,""bn"",""en"")"),"He then began writing his most famous work, The Divine Comedy")</f>
        <v>He then began writing his most famous work, The Divine Comedy</v>
      </c>
      <c r="C5329" s="8" t="s">
        <v>13</v>
      </c>
      <c r="D5329" s="8" t="s">
        <v>14</v>
      </c>
      <c r="E5329" s="8">
        <v>1</v>
      </c>
    </row>
    <row r="5330" spans="1:5" ht="15.75" customHeight="1" x14ac:dyDescent="0.25">
      <c r="A5330" s="6" t="s">
        <v>5194</v>
      </c>
      <c r="B5330" s="6" t="str">
        <f ca="1">IFERROR(__xludf.DUMMYFUNCTION("GOOGLETRANSLATE(A5330,""bn"",""en"")"),"I told Rajiv to do it")</f>
        <v>I told Rajiv to do it</v>
      </c>
      <c r="C5330" s="8" t="s">
        <v>13</v>
      </c>
      <c r="D5330" s="8" t="s">
        <v>14</v>
      </c>
      <c r="E5330" s="8">
        <v>1</v>
      </c>
    </row>
    <row r="5331" spans="1:5" ht="15.75" customHeight="1" x14ac:dyDescent="0.25">
      <c r="A5331" s="6" t="s">
        <v>5195</v>
      </c>
      <c r="B5331" s="6" t="str">
        <f ca="1">IFERROR(__xludf.DUMMYFUNCTION("GOOGLETRANSLATE(A5331,""bn"",""en"")"),"Education empowers individuals to pursue their aspirations")</f>
        <v>Education empowers individuals to pursue their aspirations</v>
      </c>
      <c r="C5331" s="8" t="s">
        <v>13</v>
      </c>
      <c r="D5331" s="8" t="s">
        <v>14</v>
      </c>
      <c r="E5331" s="8">
        <v>1</v>
      </c>
    </row>
    <row r="5332" spans="1:5" ht="15.75" customHeight="1" x14ac:dyDescent="0.25">
      <c r="A5332" s="6" t="s">
        <v>5196</v>
      </c>
      <c r="B5332" s="6" t="str">
        <f ca="1">IFERROR(__xludf.DUMMYFUNCTION("GOOGLETRANSLATE(A5332,""bn"",""en"")"),"After another two or three steps, the dark forest was visible in all directions.")</f>
        <v>After another two or three steps, the dark forest was visible in all directions.</v>
      </c>
      <c r="C5332" s="7" t="s">
        <v>6</v>
      </c>
      <c r="D5332" s="7" t="s">
        <v>7</v>
      </c>
      <c r="E5332" s="7">
        <v>0</v>
      </c>
    </row>
    <row r="5333" spans="1:5" ht="15.75" customHeight="1" x14ac:dyDescent="0.25">
      <c r="A5333" s="6" t="s">
        <v>5197</v>
      </c>
      <c r="B5333" s="6" t="str">
        <f ca="1">IFERROR(__xludf.DUMMYFUNCTION("GOOGLETRANSLATE(A5333,""bn"",""en"")"),"There is a Nilkuthi nearby so Mr. Kuthir has collected a lot and set up this new post office.")</f>
        <v>There is a Nilkuthi nearby so Mr. Kuthir has collected a lot and set up this new post office.</v>
      </c>
      <c r="C5333" s="7" t="s">
        <v>6</v>
      </c>
      <c r="D5333" s="7" t="s">
        <v>7</v>
      </c>
      <c r="E5333" s="7">
        <v>0</v>
      </c>
    </row>
    <row r="5334" spans="1:5" ht="15.75" customHeight="1" x14ac:dyDescent="0.25">
      <c r="A5334" s="6" t="s">
        <v>5198</v>
      </c>
      <c r="B5334" s="6" t="str">
        <f ca="1">IFERROR(__xludf.DUMMYFUNCTION("GOOGLETRANSLATE(A5334,""bn"",""en"")"),"Once long ago I abused like this")</f>
        <v>Once long ago I abused like this</v>
      </c>
      <c r="C5334" s="7" t="s">
        <v>6</v>
      </c>
      <c r="D5334" s="7" t="s">
        <v>7</v>
      </c>
      <c r="E5334" s="7">
        <v>0</v>
      </c>
    </row>
    <row r="5335" spans="1:5" ht="15.75" customHeight="1" x14ac:dyDescent="0.25">
      <c r="A5335" s="6" t="s">
        <v>1341</v>
      </c>
      <c r="B5335" s="6" t="str">
        <f ca="1">IFERROR(__xludf.DUMMYFUNCTION("GOOGLETRANSLATE(A5335,""bn"",""en"")"),"They will go to fetch water even if they say there is water, they will throw water and go fetch water")</f>
        <v>They will go to fetch water even if they say there is water, they will throw water and go fetch water</v>
      </c>
      <c r="C5335" s="7" t="s">
        <v>6</v>
      </c>
      <c r="D5335" s="7" t="s">
        <v>7</v>
      </c>
      <c r="E5335" s="7">
        <v>0</v>
      </c>
    </row>
    <row r="5336" spans="1:5" ht="15.75" customHeight="1" x14ac:dyDescent="0.25">
      <c r="A5336" s="6" t="s">
        <v>5199</v>
      </c>
      <c r="B5336" s="6" t="str">
        <f ca="1">IFERROR(__xludf.DUMMYFUNCTION("GOOGLETRANSLATE(A5336,""bn"",""en"")"),"He brought Haru into your world")</f>
        <v>He brought Haru into your world</v>
      </c>
      <c r="C5336" s="7" t="s">
        <v>6</v>
      </c>
      <c r="D5336" s="7" t="s">
        <v>7</v>
      </c>
      <c r="E5336" s="7">
        <v>0</v>
      </c>
    </row>
    <row r="5337" spans="1:5" ht="15.75" customHeight="1" x14ac:dyDescent="0.25">
      <c r="A5337" s="6" t="s">
        <v>5200</v>
      </c>
      <c r="B5337" s="6" t="str">
        <f ca="1">IFERROR(__xludf.DUMMYFUNCTION("GOOGLETRANSLATE(A5337,""bn"",""en"")"),"He gained fame by writing philosophical essays in Bengali language")</f>
        <v>He gained fame by writing philosophical essays in Bengali language</v>
      </c>
      <c r="C5337" s="8" t="s">
        <v>13</v>
      </c>
      <c r="D5337" s="8" t="s">
        <v>14</v>
      </c>
      <c r="E5337" s="8">
        <v>1</v>
      </c>
    </row>
    <row r="5338" spans="1:5" ht="15.75" customHeight="1" x14ac:dyDescent="0.25">
      <c r="A5338" s="6" t="s">
        <v>5201</v>
      </c>
      <c r="B5338" s="6" t="str">
        <f ca="1">IFERROR(__xludf.DUMMYFUNCTION("GOOGLETRANSLATE(A5338,""bn"",""en"")"),"Is this your new job?")</f>
        <v>Is this your new job?</v>
      </c>
      <c r="C5338" s="8" t="s">
        <v>13</v>
      </c>
      <c r="D5338" s="8" t="s">
        <v>14</v>
      </c>
      <c r="E5338" s="8">
        <v>1</v>
      </c>
    </row>
    <row r="5339" spans="1:5" ht="15.75" customHeight="1" x14ac:dyDescent="0.25">
      <c r="A5339" s="6" t="s">
        <v>5202</v>
      </c>
      <c r="B5339" s="6" t="str">
        <f ca="1">IFERROR(__xludf.DUMMYFUNCTION("GOOGLETRANSLATE(A5339,""bn"",""en"")"),"The desert stretches for miles with its golden sands shimmering in the harsh sunlight")</f>
        <v>The desert stretches for miles with its golden sands shimmering in the harsh sunlight</v>
      </c>
      <c r="C5339" s="8" t="s">
        <v>13</v>
      </c>
      <c r="D5339" s="8" t="s">
        <v>14</v>
      </c>
      <c r="E5339" s="8">
        <v>1</v>
      </c>
    </row>
    <row r="5340" spans="1:5" ht="15.75" customHeight="1" x14ac:dyDescent="0.25">
      <c r="A5340" s="6" t="s">
        <v>5203</v>
      </c>
      <c r="B5340" s="6" t="str">
        <f ca="1">IFERROR(__xludf.DUMMYFUNCTION("GOOGLETRANSLATE(A5340,""bn"",""en"")"),"Because the price of the certificate is more than the skill")</f>
        <v>Because the price of the certificate is more than the skill</v>
      </c>
      <c r="C5340" s="8" t="s">
        <v>13</v>
      </c>
      <c r="D5340" s="8" t="s">
        <v>14</v>
      </c>
      <c r="E5340" s="8">
        <v>1</v>
      </c>
    </row>
    <row r="5341" spans="1:5" ht="15.75" customHeight="1" x14ac:dyDescent="0.25">
      <c r="A5341" s="6" t="s">
        <v>5204</v>
      </c>
      <c r="B5341" s="6" t="str">
        <f ca="1">IFERROR(__xludf.DUMMYFUNCTION("GOOGLETRANSLATE(A5341,""bn"",""en"")"),"Akbar's son Emperor Jahangir ruled with prosperity")</f>
        <v>Akbar's son Emperor Jahangir ruled with prosperity</v>
      </c>
      <c r="C5341" s="8" t="s">
        <v>13</v>
      </c>
      <c r="D5341" s="8" t="s">
        <v>14</v>
      </c>
      <c r="E5341" s="8">
        <v>1</v>
      </c>
    </row>
    <row r="5342" spans="1:5" ht="15.75" customHeight="1" x14ac:dyDescent="0.25">
      <c r="A5342" s="6" t="s">
        <v>5205</v>
      </c>
      <c r="B5342" s="6" t="str">
        <f ca="1">IFERROR(__xludf.DUMMYFUNCTION("GOOGLETRANSLATE(A5342,""bn"",""en"")"),"He saved that greatness by working hard")</f>
        <v>He saved that greatness by working hard</v>
      </c>
      <c r="C5342" s="7" t="s">
        <v>6</v>
      </c>
      <c r="D5342" s="7" t="s">
        <v>7</v>
      </c>
      <c r="E5342" s="7">
        <v>0</v>
      </c>
    </row>
    <row r="5343" spans="1:5" ht="15.75" customHeight="1" x14ac:dyDescent="0.25">
      <c r="A5343" s="6" t="s">
        <v>5206</v>
      </c>
      <c r="B5343" s="6" t="str">
        <f ca="1">IFERROR(__xludf.DUMMYFUNCTION("GOOGLETRANSLATE(A5343,""bn"",""en"")"),"He wanted to eat a fruit")</f>
        <v>He wanted to eat a fruit</v>
      </c>
      <c r="C5343" s="7" t="s">
        <v>6</v>
      </c>
      <c r="D5343" s="7" t="s">
        <v>7</v>
      </c>
      <c r="E5343" s="7">
        <v>0</v>
      </c>
    </row>
    <row r="5344" spans="1:5" ht="15.75" customHeight="1" x14ac:dyDescent="0.25">
      <c r="A5344" s="6" t="s">
        <v>5207</v>
      </c>
      <c r="B5344" s="6" t="str">
        <f ca="1">IFERROR(__xludf.DUMMYFUNCTION("GOOGLETRANSLATE(A5344,""bn"",""en"")"),"The girl raised her eyes to Vinay's face and silently supported this request")</f>
        <v>The girl raised her eyes to Vinay's face and silently supported this request</v>
      </c>
      <c r="C5344" s="7" t="s">
        <v>6</v>
      </c>
      <c r="D5344" s="7" t="s">
        <v>7</v>
      </c>
      <c r="E5344" s="7">
        <v>0</v>
      </c>
    </row>
    <row r="5345" spans="1:5" ht="15.75" customHeight="1" x14ac:dyDescent="0.25">
      <c r="A5345" s="6" t="s">
        <v>5208</v>
      </c>
      <c r="B5345" s="6" t="str">
        <f ca="1">IFERROR(__xludf.DUMMYFUNCTION("GOOGLETRANSLATE(A5345,""bn"",""en"")"),"All around are black stones and animals and their shepherds are like that")</f>
        <v>All around are black stones and animals and their shepherds are like that</v>
      </c>
      <c r="C5345" s="7" t="s">
        <v>6</v>
      </c>
      <c r="D5345" s="7" t="s">
        <v>7</v>
      </c>
      <c r="E5345" s="7">
        <v>0</v>
      </c>
    </row>
    <row r="5346" spans="1:5" ht="15.75" customHeight="1" x14ac:dyDescent="0.25">
      <c r="A5346" s="6" t="s">
        <v>5209</v>
      </c>
      <c r="B5346" s="6" t="str">
        <f ca="1">IFERROR(__xludf.DUMMYFUNCTION("GOOGLETRANSLATE(A5346,""bn"",""en"")"),"One day Fatik lost his school book")</f>
        <v>One day Fatik lost his school book</v>
      </c>
      <c r="C5346" s="7" t="s">
        <v>6</v>
      </c>
      <c r="D5346" s="7" t="s">
        <v>7</v>
      </c>
      <c r="E5346" s="7">
        <v>0</v>
      </c>
    </row>
    <row r="5347" spans="1:5" ht="15.75" customHeight="1" x14ac:dyDescent="0.25">
      <c r="A5347" s="6" t="s">
        <v>5210</v>
      </c>
      <c r="B5347" s="6" t="str">
        <f ca="1">IFERROR(__xludf.DUMMYFUNCTION("GOOGLETRANSLATE(A5347,""bn"",""en"")"),"I went to play in the field")</f>
        <v>I went to play in the field</v>
      </c>
      <c r="C5347" s="8" t="s">
        <v>13</v>
      </c>
      <c r="D5347" s="8" t="s">
        <v>14</v>
      </c>
      <c r="E5347" s="8">
        <v>1</v>
      </c>
    </row>
    <row r="5348" spans="1:5" ht="15.75" customHeight="1" x14ac:dyDescent="0.25">
      <c r="A5348" s="6" t="s">
        <v>5211</v>
      </c>
      <c r="B5348" s="6" t="str">
        <f ca="1">IFERROR(__xludf.DUMMYFUNCTION("GOOGLETRANSLATE(A5348,""bn"",""en"")"),"Newspapers often publish special editions to cover major events or milestones")</f>
        <v>Newspapers often publish special editions to cover major events or milestones</v>
      </c>
      <c r="C5348" s="8" t="s">
        <v>13</v>
      </c>
      <c r="D5348" s="8" t="s">
        <v>14</v>
      </c>
      <c r="E5348" s="8">
        <v>1</v>
      </c>
    </row>
    <row r="5349" spans="1:5" ht="15.75" customHeight="1" x14ac:dyDescent="0.25">
      <c r="A5349" s="6" t="s">
        <v>5212</v>
      </c>
      <c r="B5349" s="6" t="str">
        <f ca="1">IFERROR(__xludf.DUMMYFUNCTION("GOOGLETRANSLATE(A5349,""bn"",""en"")"),"Exploring the eerie catacombs they felt the weight of history bearing down on them")</f>
        <v>Exploring the eerie catacombs they felt the weight of history bearing down on them</v>
      </c>
      <c r="C5349" s="8" t="s">
        <v>13</v>
      </c>
      <c r="D5349" s="8" t="s">
        <v>14</v>
      </c>
      <c r="E5349" s="8">
        <v>1</v>
      </c>
    </row>
    <row r="5350" spans="1:5" ht="15.75" customHeight="1" x14ac:dyDescent="0.25">
      <c r="A5350" s="6" t="s">
        <v>5213</v>
      </c>
      <c r="B5350" s="6" t="str">
        <f ca="1">IFERROR(__xludf.DUMMYFUNCTION("GOOGLETRANSLATE(A5350,""bn"",""en"")"),"Susan can do it")</f>
        <v>Susan can do it</v>
      </c>
      <c r="C5350" s="8" t="s">
        <v>13</v>
      </c>
      <c r="D5350" s="8" t="s">
        <v>14</v>
      </c>
      <c r="E5350" s="8">
        <v>1</v>
      </c>
    </row>
    <row r="5351" spans="1:5" ht="15.75" customHeight="1" x14ac:dyDescent="0.25">
      <c r="A5351" s="6" t="s">
        <v>5214</v>
      </c>
      <c r="B5351" s="6" t="str">
        <f ca="1">IFERROR(__xludf.DUMMYFUNCTION("GOOGLETRANSLATE(A5351,""bn"",""en"")"),"When I was young, I thought I would grow up to be a doctor, but now I don't think so")</f>
        <v>When I was young, I thought I would grow up to be a doctor, but now I don't think so</v>
      </c>
      <c r="C5351" s="8" t="s">
        <v>13</v>
      </c>
      <c r="D5351" s="8" t="s">
        <v>14</v>
      </c>
      <c r="E5351" s="8">
        <v>1</v>
      </c>
    </row>
    <row r="5352" spans="1:5" ht="15.75" customHeight="1" x14ac:dyDescent="0.25">
      <c r="A5352" s="6" t="s">
        <v>5215</v>
      </c>
      <c r="B5352" s="6" t="str">
        <f ca="1">IFERROR(__xludf.DUMMYFUNCTION("GOOGLETRANSLATE(A5352,""bn"",""en"")"),"I cannot say how much my aunt was pleased with this unnecessary addition to her family")</f>
        <v>I cannot say how much my aunt was pleased with this unnecessary addition to her family</v>
      </c>
      <c r="C5352" s="7" t="s">
        <v>6</v>
      </c>
      <c r="D5352" s="7" t="s">
        <v>7</v>
      </c>
      <c r="E5352" s="7">
        <v>0</v>
      </c>
    </row>
    <row r="5353" spans="1:5" ht="15.75" customHeight="1" x14ac:dyDescent="0.25">
      <c r="A5353" s="6" t="s">
        <v>5216</v>
      </c>
      <c r="B5353" s="6" t="str">
        <f ca="1">IFERROR(__xludf.DUMMYFUNCTION("GOOGLETRANSLATE(A5353,""bn"",""en"")"),"At the end, noticing that the night was getting longer, he said, ""Then why don't you sit down?""")</f>
        <v>At the end, noticing that the night was getting longer, he said, "Then why don't you sit down?"</v>
      </c>
      <c r="C5353" s="7" t="s">
        <v>6</v>
      </c>
      <c r="D5353" s="7" t="s">
        <v>7</v>
      </c>
      <c r="E5353" s="7">
        <v>0</v>
      </c>
    </row>
    <row r="5354" spans="1:5" ht="15.75" customHeight="1" x14ac:dyDescent="0.25">
      <c r="A5354" s="6" t="s">
        <v>5217</v>
      </c>
      <c r="B5354" s="6" t="str">
        <f ca="1">IFERROR(__xludf.DUMMYFUNCTION("GOOGLETRANSLATE(A5354,""bn"",""en"")"),"In their running, the water of the river is excited and rising on the pool")</f>
        <v>In their running, the water of the river is excited and rising on the pool</v>
      </c>
      <c r="C5354" s="7" t="s">
        <v>6</v>
      </c>
      <c r="D5354" s="7" t="s">
        <v>7</v>
      </c>
      <c r="E5354" s="7">
        <v>0</v>
      </c>
    </row>
    <row r="5355" spans="1:5" ht="15.75" customHeight="1" x14ac:dyDescent="0.25">
      <c r="A5355" s="6" t="s">
        <v>5218</v>
      </c>
      <c r="B5355" s="6" t="str">
        <f ca="1">IFERROR(__xludf.DUMMYFUNCTION("GOOGLETRANSLATE(A5355,""bn"",""en"")"),"It is difficult to determine")</f>
        <v>It is difficult to determine</v>
      </c>
      <c r="C5355" s="7" t="s">
        <v>6</v>
      </c>
      <c r="D5355" s="7" t="s">
        <v>7</v>
      </c>
      <c r="E5355" s="7">
        <v>0</v>
      </c>
    </row>
    <row r="5356" spans="1:5" ht="15.75" customHeight="1" x14ac:dyDescent="0.25">
      <c r="A5356" s="6" t="s">
        <v>5219</v>
      </c>
      <c r="B5356" s="6" t="str">
        <f ca="1">IFERROR(__xludf.DUMMYFUNCTION("GOOGLETRANSLATE(A5356,""bn"",""en"")"),"I moved the table lamp")</f>
        <v>I moved the table lamp</v>
      </c>
      <c r="C5356" s="7" t="s">
        <v>6</v>
      </c>
      <c r="D5356" s="7" t="s">
        <v>7</v>
      </c>
      <c r="E5356" s="7">
        <v>0</v>
      </c>
    </row>
    <row r="5357" spans="1:5" ht="15.75" customHeight="1" x14ac:dyDescent="0.25">
      <c r="A5357" s="6" t="s">
        <v>5220</v>
      </c>
      <c r="B5357" s="6" t="str">
        <f ca="1">IFERROR(__xludf.DUMMYFUNCTION("GOOGLETRANSLATE(A5357,""bn"",""en"")"),"Building an emergency fund can provide a financial safety net in times of uncertainty")</f>
        <v>Building an emergency fund can provide a financial safety net in times of uncertainty</v>
      </c>
      <c r="C5357" s="8" t="s">
        <v>13</v>
      </c>
      <c r="D5357" s="8" t="s">
        <v>14</v>
      </c>
      <c r="E5357" s="8">
        <v>1</v>
      </c>
    </row>
    <row r="5358" spans="1:5" ht="15.75" customHeight="1" x14ac:dyDescent="0.25">
      <c r="A5358" s="6" t="s">
        <v>5221</v>
      </c>
      <c r="B5358" s="6" t="str">
        <f ca="1">IFERROR(__xludf.DUMMYFUNCTION("GOOGLETRANSLATE(A5358,""bn"",""en"")"),"I need to rotate the tires on my SUV they wear unevenly")</f>
        <v>I need to rotate the tires on my SUV they wear unevenly</v>
      </c>
      <c r="C5358" s="8" t="s">
        <v>13</v>
      </c>
      <c r="D5358" s="8" t="s">
        <v>14</v>
      </c>
      <c r="E5358" s="8">
        <v>1</v>
      </c>
    </row>
    <row r="5359" spans="1:5" ht="15.75" customHeight="1" x14ac:dyDescent="0.25">
      <c r="A5359" s="6" t="s">
        <v>5222</v>
      </c>
      <c r="B5359" s="6" t="str">
        <f ca="1">IFERROR(__xludf.DUMMYFUNCTION("GOOGLETRANSLATE(A5359,""bn"",""en"")"),"The war did not have much impact on the daily life of ordinary people")</f>
        <v>The war did not have much impact on the daily life of ordinary people</v>
      </c>
      <c r="C5359" s="8" t="s">
        <v>13</v>
      </c>
      <c r="D5359" s="8" t="s">
        <v>14</v>
      </c>
      <c r="E5359" s="8">
        <v>1</v>
      </c>
    </row>
    <row r="5360" spans="1:5" ht="15.75" customHeight="1" x14ac:dyDescent="0.25">
      <c r="A5360" s="6" t="s">
        <v>5223</v>
      </c>
      <c r="B5360" s="6" t="str">
        <f ca="1">IFERROR(__xludf.DUMMYFUNCTION("GOOGLETRANSLATE(A5360,""bn"",""en"")"),"Skateboarding at school is both fun and practical")</f>
        <v>Skateboarding at school is both fun and practical</v>
      </c>
      <c r="C5360" s="8" t="s">
        <v>13</v>
      </c>
      <c r="D5360" s="8" t="s">
        <v>14</v>
      </c>
      <c r="E5360" s="8">
        <v>1</v>
      </c>
    </row>
    <row r="5361" spans="1:5" ht="15.75" customHeight="1" x14ac:dyDescent="0.25">
      <c r="A5361" s="6" t="s">
        <v>5224</v>
      </c>
      <c r="B5361" s="6" t="str">
        <f ca="1">IFERROR(__xludf.DUMMYFUNCTION("GOOGLETRANSLATE(A5361,""bn"",""en"")"),"Benefit worked with me")</f>
        <v>Benefit worked with me</v>
      </c>
      <c r="C5361" s="8" t="s">
        <v>13</v>
      </c>
      <c r="D5361" s="8" t="s">
        <v>14</v>
      </c>
      <c r="E5361" s="8">
        <v>1</v>
      </c>
    </row>
    <row r="5362" spans="1:5" ht="15.75" customHeight="1" x14ac:dyDescent="0.25">
      <c r="A5362" s="6" t="s">
        <v>5225</v>
      </c>
      <c r="B5362" s="6" t="str">
        <f ca="1">IFERROR(__xludf.DUMMYFUNCTION("GOOGLETRANSLATE(A5362,""bn"",""en"")"),"A very simple breakfast was served")</f>
        <v>A very simple breakfast was served</v>
      </c>
      <c r="C5362" s="7" t="s">
        <v>6</v>
      </c>
      <c r="D5362" s="7" t="s">
        <v>7</v>
      </c>
      <c r="E5362" s="7">
        <v>0</v>
      </c>
    </row>
    <row r="5363" spans="1:5" ht="15.75" customHeight="1" x14ac:dyDescent="0.25">
      <c r="A5363" s="6" t="s">
        <v>5226</v>
      </c>
      <c r="B5363" s="6" t="str">
        <f ca="1">IFERROR(__xludf.DUMMYFUNCTION("GOOGLETRANSLATE(A5363,""bn"",""en"")"),"I didn't recognize him at first")</f>
        <v>I didn't recognize him at first</v>
      </c>
      <c r="C5363" s="7" t="s">
        <v>6</v>
      </c>
      <c r="D5363" s="7" t="s">
        <v>7</v>
      </c>
      <c r="E5363" s="7">
        <v>0</v>
      </c>
    </row>
    <row r="5364" spans="1:5" ht="15.75" customHeight="1" x14ac:dyDescent="0.25">
      <c r="A5364" s="6" t="s">
        <v>5227</v>
      </c>
      <c r="B5364" s="6" t="str">
        <f ca="1">IFERROR(__xludf.DUMMYFUNCTION("GOOGLETRANSLATE(A5364,""bn"",""en"")"),"Their school exams will start from tomorrow")</f>
        <v>Their school exams will start from tomorrow</v>
      </c>
      <c r="C5364" s="7" t="s">
        <v>6</v>
      </c>
      <c r="D5364" s="7" t="s">
        <v>7</v>
      </c>
      <c r="E5364" s="7">
        <v>0</v>
      </c>
    </row>
    <row r="5365" spans="1:5" ht="15.75" customHeight="1" x14ac:dyDescent="0.25">
      <c r="A5365" s="6" t="s">
        <v>5228</v>
      </c>
      <c r="B5365" s="6" t="str">
        <f ca="1">IFERROR(__xludf.DUMMYFUNCTION("GOOGLETRANSLATE(A5365,""bn"",""en"")"),"Karim let Rahim read a book")</f>
        <v>Karim let Rahim read a book</v>
      </c>
      <c r="C5365" s="7" t="s">
        <v>6</v>
      </c>
      <c r="D5365" s="7" t="s">
        <v>7</v>
      </c>
      <c r="E5365" s="7">
        <v>0</v>
      </c>
    </row>
    <row r="5366" spans="1:5" ht="15.75" customHeight="1" x14ac:dyDescent="0.25">
      <c r="A5366" s="6" t="s">
        <v>5229</v>
      </c>
      <c r="B5366" s="6" t="str">
        <f ca="1">IFERROR(__xludf.DUMMYFUNCTION("GOOGLETRANSLATE(A5366,""bn"",""en"")"),"Shashi was returning from the city")</f>
        <v>Shashi was returning from the city</v>
      </c>
      <c r="C5366" s="7" t="s">
        <v>6</v>
      </c>
      <c r="D5366" s="7" t="s">
        <v>7</v>
      </c>
      <c r="E5366" s="7">
        <v>0</v>
      </c>
    </row>
    <row r="5367" spans="1:5" ht="15.75" customHeight="1" x14ac:dyDescent="0.25">
      <c r="A5367" s="6" t="s">
        <v>5230</v>
      </c>
      <c r="B5367" s="6" t="str">
        <f ca="1">IFERROR(__xludf.DUMMYFUNCTION("GOOGLETRANSLATE(A5367,""bn"",""en"")"),"Differentiated instruction accommodates different learning styles")</f>
        <v>Differentiated instruction accommodates different learning styles</v>
      </c>
      <c r="C5367" s="8" t="s">
        <v>13</v>
      </c>
      <c r="D5367" s="8" t="s">
        <v>14</v>
      </c>
      <c r="E5367" s="8">
        <v>1</v>
      </c>
    </row>
    <row r="5368" spans="1:5" ht="15.75" customHeight="1" x14ac:dyDescent="0.25">
      <c r="A5368" s="6" t="s">
        <v>5231</v>
      </c>
      <c r="B5368" s="6" t="str">
        <f ca="1">IFERROR(__xludf.DUMMYFUNCTION("GOOGLETRANSLATE(A5368,""bn"",""en"")"),"Poor guy is probably looking for a mate now")</f>
        <v>Poor guy is probably looking for a mate now</v>
      </c>
      <c r="C5368" s="8" t="s">
        <v>13</v>
      </c>
      <c r="D5368" s="8" t="s">
        <v>14</v>
      </c>
      <c r="E5368" s="8">
        <v>1</v>
      </c>
    </row>
    <row r="5369" spans="1:5" ht="15.75" customHeight="1" x14ac:dyDescent="0.25">
      <c r="A5369" s="6" t="s">
        <v>5232</v>
      </c>
      <c r="B5369" s="6" t="str">
        <f ca="1">IFERROR(__xludf.DUMMYFUNCTION("GOOGLETRANSLATE(A5369,""bn"",""en"")"),"Tag someone you admire")</f>
        <v>Tag someone you admire</v>
      </c>
      <c r="C5369" s="8" t="s">
        <v>13</v>
      </c>
      <c r="D5369" s="8" t="s">
        <v>14</v>
      </c>
      <c r="E5369" s="8">
        <v>1</v>
      </c>
    </row>
    <row r="5370" spans="1:5" ht="15.75" customHeight="1" x14ac:dyDescent="0.25">
      <c r="A5370" s="6" t="s">
        <v>5233</v>
      </c>
      <c r="B5370" s="6" t="str">
        <f ca="1">IFERROR(__xludf.DUMMYFUNCTION("GOOGLETRANSLATE(A5370,""bn"",""en"")"),"He was a great mathematician despite suffering from Japanese throughout his life")</f>
        <v>He was a great mathematician despite suffering from Japanese throughout his life</v>
      </c>
      <c r="C5370" s="8" t="s">
        <v>13</v>
      </c>
      <c r="D5370" s="8" t="s">
        <v>14</v>
      </c>
      <c r="E5370" s="8">
        <v>1</v>
      </c>
    </row>
    <row r="5371" spans="1:5" ht="15.75" customHeight="1" x14ac:dyDescent="0.25">
      <c r="A5371" s="6" t="s">
        <v>5234</v>
      </c>
      <c r="B5371" s="6" t="str">
        <f ca="1">IFERROR(__xludf.DUMMYFUNCTION("GOOGLETRANSLATE(A5371,""bn"",""en"")"),"Needy people will come and take")</f>
        <v>Needy people will come and take</v>
      </c>
      <c r="C5371" s="8" t="s">
        <v>13</v>
      </c>
      <c r="D5371" s="8" t="s">
        <v>14</v>
      </c>
      <c r="E5371" s="8">
        <v>1</v>
      </c>
    </row>
    <row r="5372" spans="1:5" ht="15.75" customHeight="1" x14ac:dyDescent="0.25">
      <c r="A5372" s="6" t="s">
        <v>5235</v>
      </c>
      <c r="B5372" s="6" t="str">
        <f ca="1">IFERROR(__xludf.DUMMYFUNCTION("GOOGLETRANSLATE(A5372,""bn"",""en"")"),"Pushing the doll a little further towards the base of the tree, Sashi picked up the light and went ahead.")</f>
        <v>Pushing the doll a little further towards the base of the tree, Sashi picked up the light and went ahead.</v>
      </c>
      <c r="C5372" s="7" t="s">
        <v>6</v>
      </c>
      <c r="D5372" s="7" t="s">
        <v>7</v>
      </c>
      <c r="E5372" s="7">
        <v>0</v>
      </c>
    </row>
    <row r="5373" spans="1:5" ht="15.75" customHeight="1" x14ac:dyDescent="0.25">
      <c r="A5373" s="6" t="s">
        <v>5236</v>
      </c>
      <c r="B5373" s="6" t="str">
        <f ca="1">IFERROR(__xludf.DUMMYFUNCTION("GOOGLETRANSLATE(A5373,""bn"",""en"")"),"I wished him well")</f>
        <v>I wished him well</v>
      </c>
      <c r="C5373" s="7" t="s">
        <v>6</v>
      </c>
      <c r="D5373" s="7" t="s">
        <v>7</v>
      </c>
      <c r="E5373" s="7">
        <v>0</v>
      </c>
    </row>
    <row r="5374" spans="1:5" ht="15.75" customHeight="1" x14ac:dyDescent="0.25">
      <c r="A5374" s="6" t="s">
        <v>5237</v>
      </c>
      <c r="B5374" s="6" t="str">
        <f ca="1">IFERROR(__xludf.DUMMYFUNCTION("GOOGLETRANSLATE(A5374,""bn"",""en"")"),"He heard my words and was saddened by my pain")</f>
        <v>He heard my words and was saddened by my pain</v>
      </c>
      <c r="C5374" s="7" t="s">
        <v>6</v>
      </c>
      <c r="D5374" s="7" t="s">
        <v>7</v>
      </c>
      <c r="E5374" s="7">
        <v>0</v>
      </c>
    </row>
    <row r="5375" spans="1:5" ht="15.75" customHeight="1" x14ac:dyDescent="0.25">
      <c r="A5375" s="6" t="s">
        <v>5238</v>
      </c>
      <c r="B5375" s="6" t="str">
        <f ca="1">IFERROR(__xludf.DUMMYFUNCTION("GOOGLETRANSLATE(A5375,""bn"",""en"")"),"Rana cannot run away from school and become Ishvarchandra")</f>
        <v>Rana cannot run away from school and become Ishvarchandra</v>
      </c>
      <c r="C5375" s="7" t="s">
        <v>6</v>
      </c>
      <c r="D5375" s="7" t="s">
        <v>7</v>
      </c>
      <c r="E5375" s="7">
        <v>0</v>
      </c>
    </row>
    <row r="5376" spans="1:5" ht="15.75" customHeight="1" x14ac:dyDescent="0.25">
      <c r="A5376" s="6" t="s">
        <v>5239</v>
      </c>
      <c r="B5376" s="6" t="str">
        <f ca="1">IFERROR(__xludf.DUMMYFUNCTION("GOOGLETRANSLATE(A5376,""bn"",""en"")"),"The young women I have seen in the village are exactly the same in shape and ornaments")</f>
        <v>The young women I have seen in the village are exactly the same in shape and ornaments</v>
      </c>
      <c r="C5376" s="7" t="s">
        <v>6</v>
      </c>
      <c r="D5376" s="7" t="s">
        <v>7</v>
      </c>
      <c r="E5376" s="7">
        <v>0</v>
      </c>
    </row>
    <row r="5377" spans="1:5" ht="15.75" customHeight="1" x14ac:dyDescent="0.25">
      <c r="A5377" s="6" t="s">
        <v>5240</v>
      </c>
      <c r="B5377" s="6" t="str">
        <f ca="1">IFERROR(__xludf.DUMMYFUNCTION("GOOGLETRANSLATE(A5377,""bn"",""en"")"),"He secured first rank in the exam")</f>
        <v>He secured first rank in the exam</v>
      </c>
      <c r="C5377" s="8" t="s">
        <v>13</v>
      </c>
      <c r="D5377" s="8" t="s">
        <v>14</v>
      </c>
      <c r="E5377" s="8">
        <v>1</v>
      </c>
    </row>
    <row r="5378" spans="1:5" ht="15.75" customHeight="1" x14ac:dyDescent="0.25">
      <c r="A5378" s="6" t="s">
        <v>5241</v>
      </c>
      <c r="B5378" s="6" t="str">
        <f ca="1">IFERROR(__xludf.DUMMYFUNCTION("GOOGLETRANSLATE(A5378,""bn"",""en"")"),"Keep a gratitude journal to remind yourself of life's blessings")</f>
        <v>Keep a gratitude journal to remind yourself of life's blessings</v>
      </c>
      <c r="C5378" s="8" t="s">
        <v>13</v>
      </c>
      <c r="D5378" s="8" t="s">
        <v>14</v>
      </c>
      <c r="E5378" s="8">
        <v>1</v>
      </c>
    </row>
    <row r="5379" spans="1:5" ht="15.75" customHeight="1" x14ac:dyDescent="0.25">
      <c r="A5379" s="6" t="s">
        <v>5242</v>
      </c>
      <c r="B5379" s="6" t="str">
        <f ca="1">IFERROR(__xludf.DUMMYFUNCTION("GOOGLETRANSLATE(A5379,""bn"",""en"")"),"The setting sun paints the sky with bright hues of orange-pink, casting a warm glow over the landscape")</f>
        <v>The setting sun paints the sky with bright hues of orange-pink, casting a warm glow over the landscape</v>
      </c>
      <c r="C5379" s="8" t="s">
        <v>13</v>
      </c>
      <c r="D5379" s="8" t="s">
        <v>14</v>
      </c>
      <c r="E5379" s="8">
        <v>1</v>
      </c>
    </row>
    <row r="5380" spans="1:5" ht="15.75" customHeight="1" x14ac:dyDescent="0.25">
      <c r="A5380" s="6" t="s">
        <v>5243</v>
      </c>
      <c r="B5380" s="6" t="str">
        <f ca="1">IFERROR(__xludf.DUMMYFUNCTION("GOOGLETRANSLATE(A5380,""bn"",""en"")"),"As a royal prisoner, he spent many years in prison at various stages")</f>
        <v>As a royal prisoner, he spent many years in prison at various stages</v>
      </c>
      <c r="C5380" s="8" t="s">
        <v>13</v>
      </c>
      <c r="D5380" s="8" t="s">
        <v>14</v>
      </c>
      <c r="E5380" s="8">
        <v>1</v>
      </c>
    </row>
    <row r="5381" spans="1:5" ht="15.75" customHeight="1" x14ac:dyDescent="0.25">
      <c r="A5381" s="6" t="s">
        <v>5244</v>
      </c>
      <c r="B5381" s="6" t="str">
        <f ca="1">IFERROR(__xludf.DUMMYFUNCTION("GOOGLETRANSLATE(A5381,""bn"",""en"")"),"Retweet for a virtual hug")</f>
        <v>Retweet for a virtual hug</v>
      </c>
      <c r="C5381" s="8" t="s">
        <v>13</v>
      </c>
      <c r="D5381" s="8" t="s">
        <v>14</v>
      </c>
      <c r="E5381" s="8">
        <v>1</v>
      </c>
    </row>
    <row r="5382" spans="1:5" ht="15.75" customHeight="1" x14ac:dyDescent="0.25">
      <c r="A5382" s="6" t="s">
        <v>5245</v>
      </c>
      <c r="B5382" s="6" t="str">
        <f ca="1">IFERROR(__xludf.DUMMYFUNCTION("GOOGLETRANSLATE(A5382,""bn"",""en"")"),"I wanted to catch a bidi in my mind")</f>
        <v>I wanted to catch a bidi in my mind</v>
      </c>
      <c r="C5382" s="7" t="s">
        <v>6</v>
      </c>
      <c r="D5382" s="7" t="s">
        <v>7</v>
      </c>
      <c r="E5382" s="7">
        <v>0</v>
      </c>
    </row>
    <row r="5383" spans="1:5" ht="15.75" customHeight="1" x14ac:dyDescent="0.25">
      <c r="A5383" s="6" t="s">
        <v>161</v>
      </c>
      <c r="B5383" s="6" t="str">
        <f ca="1">IFERROR(__xludf.DUMMYFUNCTION("GOOGLETRANSLATE(A5383,""bn"",""en"")"),"Everyone felt like Krishna Tagore")</f>
        <v>Everyone felt like Krishna Tagore</v>
      </c>
      <c r="C5383" s="7" t="s">
        <v>6</v>
      </c>
      <c r="D5383" s="7" t="s">
        <v>7</v>
      </c>
      <c r="E5383" s="7">
        <v>0</v>
      </c>
    </row>
    <row r="5384" spans="1:5" ht="15.75" customHeight="1" x14ac:dyDescent="0.25">
      <c r="A5384" s="6" t="s">
        <v>5246</v>
      </c>
      <c r="B5384" s="6" t="str">
        <f ca="1">IFERROR(__xludf.DUMMYFUNCTION("GOOGLETRANSLATE(A5384,""bn"",""en"")"),"Bilati wine has two intoxicating libors while Mauya wine has only one")</f>
        <v>Bilati wine has two intoxicating libors while Mauya wine has only one</v>
      </c>
      <c r="C5384" s="7" t="s">
        <v>6</v>
      </c>
      <c r="D5384" s="7" t="s">
        <v>7</v>
      </c>
      <c r="E5384" s="7">
        <v>0</v>
      </c>
    </row>
    <row r="5385" spans="1:5" ht="15.75" customHeight="1" x14ac:dyDescent="0.25">
      <c r="A5385" s="6" t="s">
        <v>5247</v>
      </c>
      <c r="B5385" s="6" t="str">
        <f ca="1">IFERROR(__xludf.DUMMYFUNCTION("GOOGLETRANSLATE(A5385,""bn"",""en"")"),"If I don't marry Asha, there will be a regret in his mind")</f>
        <v>If I don't marry Asha, there will be a regret in his mind</v>
      </c>
      <c r="C5385" s="7" t="s">
        <v>6</v>
      </c>
      <c r="D5385" s="7" t="s">
        <v>7</v>
      </c>
      <c r="E5385" s="7">
        <v>0</v>
      </c>
    </row>
    <row r="5386" spans="1:5" ht="15.75" customHeight="1" x14ac:dyDescent="0.25">
      <c r="A5386" s="6" t="s">
        <v>5248</v>
      </c>
      <c r="B5386" s="6" t="str">
        <f ca="1">IFERROR(__xludf.DUMMYFUNCTION("GOOGLETRANSLATE(A5386,""bn"",""en"")"),"The flowers on their heads began to dance, the throb of their chests began to sway")</f>
        <v>The flowers on their heads began to dance, the throb of their chests began to sway</v>
      </c>
      <c r="C5386" s="7" t="s">
        <v>6</v>
      </c>
      <c r="D5386" s="7" t="s">
        <v>7</v>
      </c>
      <c r="E5386" s="7">
        <v>0</v>
      </c>
    </row>
    <row r="5387" spans="1:5" ht="15.75" customHeight="1" x14ac:dyDescent="0.25">
      <c r="A5387" s="6" t="s">
        <v>5249</v>
      </c>
      <c r="B5387" s="6" t="str">
        <f ca="1">IFERROR(__xludf.DUMMYFUNCTION("GOOGLETRANSLATE(A5387,""bn"",""en"")"),"Transaction history is accessible through the online portal")</f>
        <v>Transaction history is accessible through the online portal</v>
      </c>
      <c r="C5387" s="8" t="s">
        <v>13</v>
      </c>
      <c r="D5387" s="8" t="s">
        <v>14</v>
      </c>
      <c r="E5387" s="8">
        <v>1</v>
      </c>
    </row>
    <row r="5388" spans="1:5" ht="15.75" customHeight="1" x14ac:dyDescent="0.25">
      <c r="A5388" s="6" t="s">
        <v>5250</v>
      </c>
      <c r="B5388" s="6" t="str">
        <f ca="1">IFERROR(__xludf.DUMMYFUNCTION("GOOGLETRANSLATE(A5388,""bn"",""en"")"),"An old two-storied house in the lane of Rayerbazar")</f>
        <v>An old two-storied house in the lane of Rayerbazar</v>
      </c>
      <c r="C5388" s="8" t="s">
        <v>13</v>
      </c>
      <c r="D5388" s="8" t="s">
        <v>14</v>
      </c>
      <c r="E5388" s="8">
        <v>1</v>
      </c>
    </row>
    <row r="5389" spans="1:5" ht="15.75" customHeight="1" x14ac:dyDescent="0.25">
      <c r="A5389" s="6" t="s">
        <v>5251</v>
      </c>
      <c r="B5389" s="6" t="str">
        <f ca="1">IFERROR(__xludf.DUMMYFUNCTION("GOOGLETRANSLATE(A5389,""bn"",""en"")"),"One green chilli and one onion")</f>
        <v>One green chilli and one onion</v>
      </c>
      <c r="C5389" s="8" t="s">
        <v>13</v>
      </c>
      <c r="D5389" s="8" t="s">
        <v>14</v>
      </c>
      <c r="E5389" s="8">
        <v>1</v>
      </c>
    </row>
    <row r="5390" spans="1:5" ht="15.75" customHeight="1" x14ac:dyDescent="0.25">
      <c r="A5390" s="6" t="s">
        <v>5252</v>
      </c>
      <c r="B5390" s="6" t="str">
        <f ca="1">IFERROR(__xludf.DUMMYFUNCTION("GOOGLETRANSLATE(A5390,""bn"",""en"")"),"I just got my driver's license and I'm excited to hit the road")</f>
        <v>I just got my driver's license and I'm excited to hit the road</v>
      </c>
      <c r="C5390" s="8" t="s">
        <v>13</v>
      </c>
      <c r="D5390" s="8" t="s">
        <v>14</v>
      </c>
      <c r="E5390" s="8">
        <v>1</v>
      </c>
    </row>
    <row r="5391" spans="1:5" ht="15.75" customHeight="1" x14ac:dyDescent="0.25">
      <c r="A5391" s="6" t="s">
        <v>5253</v>
      </c>
      <c r="B5391" s="6" t="str">
        <f ca="1">IFERROR(__xludf.DUMMYFUNCTION("GOOGLETRANSLATE(A5391,""bn"",""en"")"),"The film won the Academy Award for Best Picture")</f>
        <v>The film won the Academy Award for Best Picture</v>
      </c>
      <c r="C5391" s="8" t="s">
        <v>13</v>
      </c>
      <c r="D5391" s="8" t="s">
        <v>14</v>
      </c>
      <c r="E5391" s="8">
        <v>1</v>
      </c>
    </row>
    <row r="5392" spans="1:5" ht="15.75" customHeight="1" x14ac:dyDescent="0.25">
      <c r="A5392" s="6" t="s">
        <v>5254</v>
      </c>
      <c r="B5392" s="6" t="str">
        <f ca="1">IFERROR(__xludf.DUMMYFUNCTION("GOOGLETRANSLATE(A5392,""bn"",""en"")"),"Susan saw it shrink")</f>
        <v>Susan saw it shrink</v>
      </c>
      <c r="C5392" s="7" t="s">
        <v>6</v>
      </c>
      <c r="D5392" s="7" t="s">
        <v>7</v>
      </c>
      <c r="E5392" s="7">
        <v>0</v>
      </c>
    </row>
    <row r="5393" spans="1:5" ht="15.75" customHeight="1" x14ac:dyDescent="0.25">
      <c r="A5393" s="6" t="s">
        <v>5255</v>
      </c>
      <c r="B5393" s="6" t="str">
        <f ca="1">IFERROR(__xludf.DUMMYFUNCTION("GOOGLETRANSLATE(A5393,""bn"",""en"")"),"I can't understand my own good and bad")</f>
        <v>I can't understand my own good and bad</v>
      </c>
      <c r="C5393" s="7" t="s">
        <v>6</v>
      </c>
      <c r="D5393" s="7" t="s">
        <v>7</v>
      </c>
      <c r="E5393" s="7">
        <v>0</v>
      </c>
    </row>
    <row r="5394" spans="1:5" ht="15.75" customHeight="1" x14ac:dyDescent="0.25">
      <c r="A5394" s="6" t="s">
        <v>5256</v>
      </c>
      <c r="B5394" s="6" t="str">
        <f ca="1">IFERROR(__xludf.DUMMYFUNCTION("GOOGLETRANSLATE(A5394,""bn"",""en"")"),"I proceeded after listening to Suman")</f>
        <v>I proceeded after listening to Suman</v>
      </c>
      <c r="C5394" s="7" t="s">
        <v>6</v>
      </c>
      <c r="D5394" s="7" t="s">
        <v>7</v>
      </c>
      <c r="E5394" s="7">
        <v>0</v>
      </c>
    </row>
    <row r="5395" spans="1:5" ht="15.75" customHeight="1" x14ac:dyDescent="0.25">
      <c r="A5395" s="6" t="s">
        <v>5003</v>
      </c>
      <c r="B5395" s="6" t="str">
        <f ca="1">IFERROR(__xludf.DUMMYFUNCTION("GOOGLETRANSLATE(A5395,""bn"",""en"")"),"I couldn't figure out why the sound lasted as long as it went as far as that layer.")</f>
        <v>I couldn't figure out why the sound lasted as long as it went as far as that layer.</v>
      </c>
      <c r="C5395" s="7" t="s">
        <v>6</v>
      </c>
      <c r="D5395" s="7" t="s">
        <v>7</v>
      </c>
      <c r="E5395" s="7">
        <v>0</v>
      </c>
    </row>
    <row r="5396" spans="1:5" ht="15.75" customHeight="1" x14ac:dyDescent="0.25">
      <c r="A5396" s="6" t="s">
        <v>5257</v>
      </c>
      <c r="B5396" s="6" t="str">
        <f ca="1">IFERROR(__xludf.DUMMYFUNCTION("GOOGLETRANSLATE(A5396,""bn"",""en"")"),"If the girl wants to come home, how can the father not bring her?")</f>
        <v>If the girl wants to come home, how can the father not bring her?</v>
      </c>
      <c r="C5396" s="7" t="s">
        <v>6</v>
      </c>
      <c r="D5396" s="7" t="s">
        <v>7</v>
      </c>
      <c r="E5396" s="7">
        <v>0</v>
      </c>
    </row>
    <row r="5397" spans="1:5" ht="15.75" customHeight="1" x14ac:dyDescent="0.25">
      <c r="A5397" s="6" t="s">
        <v>5258</v>
      </c>
      <c r="B5397" s="6" t="str">
        <f ca="1">IFERROR(__xludf.DUMMYFUNCTION("GOOGLETRANSLATE(A5397,""bn"",""en"")"),"Rajyavardhan was killed in a clash with Devagupta's ally Shashanka")</f>
        <v>Rajyavardhan was killed in a clash with Devagupta's ally Shashanka</v>
      </c>
      <c r="C5397" s="8" t="s">
        <v>13</v>
      </c>
      <c r="D5397" s="8" t="s">
        <v>14</v>
      </c>
      <c r="E5397" s="8">
        <v>1</v>
      </c>
    </row>
    <row r="5398" spans="1:5" ht="15.75" customHeight="1" x14ac:dyDescent="0.25">
      <c r="A5398" s="6" t="s">
        <v>2203</v>
      </c>
      <c r="B5398" s="6" t="str">
        <f ca="1">IFERROR(__xludf.DUMMYFUNCTION("GOOGLETRANSLATE(A5398,""bn"",""en"")"),"He was very worried about the danger")</f>
        <v>He was very worried about the danger</v>
      </c>
      <c r="C5398" s="8" t="s">
        <v>13</v>
      </c>
      <c r="D5398" s="8" t="s">
        <v>14</v>
      </c>
      <c r="E5398" s="8">
        <v>1</v>
      </c>
    </row>
    <row r="5399" spans="1:5" ht="15.75" customHeight="1" x14ac:dyDescent="0.25">
      <c r="A5399" s="6" t="s">
        <v>5259</v>
      </c>
      <c r="B5399" s="6" t="str">
        <f ca="1">IFERROR(__xludf.DUMMYFUNCTION("GOOGLETRANSLATE(A5399,""bn"",""en"")"),"It doesn't matter if you don't eat it at once")</f>
        <v>It doesn't matter if you don't eat it at once</v>
      </c>
      <c r="C5399" s="8" t="s">
        <v>13</v>
      </c>
      <c r="D5399" s="8" t="s">
        <v>14</v>
      </c>
      <c r="E5399" s="8">
        <v>1</v>
      </c>
    </row>
    <row r="5400" spans="1:5" ht="15.75" customHeight="1" x14ac:dyDescent="0.25">
      <c r="A5400" s="6" t="s">
        <v>5260</v>
      </c>
      <c r="B5400" s="6" t="str">
        <f ca="1">IFERROR(__xludf.DUMMYFUNCTION("GOOGLETRANSLATE(A5400,""bn"",""en"")"),"Paying off your credit card balance in full each month can help you avoid expensive interest charges")</f>
        <v>Paying off your credit card balance in full each month can help you avoid expensive interest charges</v>
      </c>
      <c r="C5400" s="8" t="s">
        <v>13</v>
      </c>
      <c r="D5400" s="8" t="s">
        <v>14</v>
      </c>
      <c r="E5400" s="8">
        <v>1</v>
      </c>
    </row>
    <row r="5401" spans="1:5" ht="15.75" customHeight="1" x14ac:dyDescent="0.25">
      <c r="A5401" s="6" t="s">
        <v>5261</v>
      </c>
      <c r="B5401" s="6" t="str">
        <f ca="1">IFERROR(__xludf.DUMMYFUNCTION("GOOGLETRANSLATE(A5401,""bn"",""en"")"),"Navigating through grief brings emotional healing")</f>
        <v>Navigating through grief brings emotional healing</v>
      </c>
      <c r="C5401" s="8" t="s">
        <v>13</v>
      </c>
      <c r="D5401" s="8" t="s">
        <v>14</v>
      </c>
      <c r="E5401" s="8">
        <v>1</v>
      </c>
    </row>
    <row r="5402" spans="1:5" ht="15.75" customHeight="1" x14ac:dyDescent="0.25">
      <c r="A5402" s="6" t="s">
        <v>5262</v>
      </c>
      <c r="B5402" s="6" t="str">
        <f ca="1">IFERROR(__xludf.DUMMYFUNCTION("GOOGLETRANSLATE(A5402,""bn"",""en"")"),"He is staying near the college because his work in the hospital has fallen")</f>
        <v>He is staying near the college because his work in the hospital has fallen</v>
      </c>
      <c r="C5402" s="7" t="s">
        <v>6</v>
      </c>
      <c r="D5402" s="7" t="s">
        <v>7</v>
      </c>
      <c r="E5402" s="7">
        <v>0</v>
      </c>
    </row>
    <row r="5403" spans="1:5" ht="15.75" customHeight="1" x14ac:dyDescent="0.25">
      <c r="A5403" s="6" t="s">
        <v>5263</v>
      </c>
      <c r="B5403" s="6" t="str">
        <f ca="1">IFERROR(__xludf.DUMMYFUNCTION("GOOGLETRANSLATE(A5403,""bn"",""en"")"),"Later I saw a buffalo raising its face and glancing at my palanquin with a wooden bell hanging around its neck.")</f>
        <v>Later I saw a buffalo raising its face and glancing at my palanquin with a wooden bell hanging around its neck.</v>
      </c>
      <c r="C5403" s="7" t="s">
        <v>6</v>
      </c>
      <c r="D5403" s="7" t="s">
        <v>7</v>
      </c>
      <c r="E5403" s="7">
        <v>0</v>
      </c>
    </row>
    <row r="5404" spans="1:5" ht="15.75" customHeight="1" x14ac:dyDescent="0.25">
      <c r="A5404" s="6" t="s">
        <v>5264</v>
      </c>
      <c r="B5404" s="6" t="str">
        <f ca="1">IFERROR(__xludf.DUMMYFUNCTION("GOOGLETRANSLATE(A5404,""bn"",""en"")"),"All the women came running to see my palanquin")</f>
        <v>All the women came running to see my palanquin</v>
      </c>
      <c r="C5404" s="7" t="s">
        <v>6</v>
      </c>
      <c r="D5404" s="7" t="s">
        <v>7</v>
      </c>
      <c r="E5404" s="7">
        <v>0</v>
      </c>
    </row>
    <row r="5405" spans="1:5" ht="15.75" customHeight="1" x14ac:dyDescent="0.25">
      <c r="A5405" s="6" t="s">
        <v>5265</v>
      </c>
      <c r="B5405" s="6" t="str">
        <f ca="1">IFERROR(__xludf.DUMMYFUNCTION("GOOGLETRANSLATE(A5405,""bn"",""en"")"),"That day he was lying in bed like Nirjib")</f>
        <v>That day he was lying in bed like Nirjib</v>
      </c>
      <c r="C5405" s="7" t="s">
        <v>6</v>
      </c>
      <c r="D5405" s="7" t="s">
        <v>7</v>
      </c>
      <c r="E5405" s="7">
        <v>0</v>
      </c>
    </row>
    <row r="5406" spans="1:5" ht="15.75" customHeight="1" x14ac:dyDescent="0.25">
      <c r="A5406" s="6" t="s">
        <v>5266</v>
      </c>
      <c r="B5406" s="6" t="str">
        <f ca="1">IFERROR(__xludf.DUMMYFUNCTION("GOOGLETRANSLATE(A5406,""bn"",""en"")"),"Will you tread carefully on my heart's cornice")</f>
        <v>Will you tread carefully on my heart's cornice</v>
      </c>
      <c r="C5406" s="7" t="s">
        <v>6</v>
      </c>
      <c r="D5406" s="7" t="s">
        <v>7</v>
      </c>
      <c r="E5406" s="7">
        <v>0</v>
      </c>
    </row>
    <row r="5407" spans="1:5" ht="15.75" customHeight="1" x14ac:dyDescent="0.25">
      <c r="A5407" s="6" t="s">
        <v>5267</v>
      </c>
      <c r="B5407" s="6" t="str">
        <f ca="1">IFERROR(__xludf.DUMMYFUNCTION("GOOGLETRANSLATE(A5407,""bn"",""en"")"),"Paying off high interest debt should be a priority to improve your financial situation")</f>
        <v>Paying off high interest debt should be a priority to improve your financial situation</v>
      </c>
      <c r="C5407" s="8" t="s">
        <v>13</v>
      </c>
      <c r="D5407" s="8" t="s">
        <v>14</v>
      </c>
      <c r="E5407" s="8">
        <v>1</v>
      </c>
    </row>
    <row r="5408" spans="1:5" ht="15.75" customHeight="1" x14ac:dyDescent="0.25">
      <c r="A5408" s="6" t="s">
        <v>732</v>
      </c>
      <c r="B5408" s="6" t="str">
        <f ca="1">IFERROR(__xludf.DUMMYFUNCTION("GOOGLETRANSLATE(A5408,""bn"",""en"")"),"The swan turned its head and looked at him")</f>
        <v>The swan turned its head and looked at him</v>
      </c>
      <c r="C5408" s="8" t="s">
        <v>13</v>
      </c>
      <c r="D5408" s="8" t="s">
        <v>14</v>
      </c>
      <c r="E5408" s="8">
        <v>1</v>
      </c>
    </row>
    <row r="5409" spans="1:5" ht="15.75" customHeight="1" x14ac:dyDescent="0.25">
      <c r="A5409" s="6" t="s">
        <v>5146</v>
      </c>
      <c r="B5409" s="6" t="str">
        <f ca="1">IFERROR(__xludf.DUMMYFUNCTION("GOOGLETRANSLATE(A5409,""bn"",""en"")"),"I wanted to go to the market with him")</f>
        <v>I wanted to go to the market with him</v>
      </c>
      <c r="C5409" s="8" t="s">
        <v>13</v>
      </c>
      <c r="D5409" s="8" t="s">
        <v>14</v>
      </c>
      <c r="E5409" s="8">
        <v>1</v>
      </c>
    </row>
    <row r="5410" spans="1:5" ht="15.75" customHeight="1" x14ac:dyDescent="0.25">
      <c r="A5410" s="6" t="s">
        <v>5268</v>
      </c>
      <c r="B5410" s="6" t="str">
        <f ca="1">IFERROR(__xludf.DUMMYFUNCTION("GOOGLETRANSLATE(A5410,""bn"",""en"")"),"Experiencing rejection from a romantic interest brings heartache")</f>
        <v>Experiencing rejection from a romantic interest brings heartache</v>
      </c>
      <c r="C5410" s="8" t="s">
        <v>13</v>
      </c>
      <c r="D5410" s="8" t="s">
        <v>14</v>
      </c>
      <c r="E5410" s="8">
        <v>1</v>
      </c>
    </row>
    <row r="5411" spans="1:5" ht="15.75" customHeight="1" x14ac:dyDescent="0.25">
      <c r="A5411" s="6" t="s">
        <v>5269</v>
      </c>
      <c r="B5411" s="6" t="str">
        <f ca="1">IFERROR(__xludf.DUMMYFUNCTION("GOOGLETRANSLATE(A5411,""bn"",""en"")"),"I want to buy a nice car.")</f>
        <v>I want to buy a nice car.</v>
      </c>
      <c r="C5411" s="8" t="s">
        <v>13</v>
      </c>
      <c r="D5411" s="8" t="s">
        <v>14</v>
      </c>
      <c r="E5411" s="8">
        <v>1</v>
      </c>
    </row>
    <row r="5412" spans="1:5" ht="15.75" customHeight="1" x14ac:dyDescent="0.25">
      <c r="A5412" s="6" t="s">
        <v>4063</v>
      </c>
      <c r="B5412" s="6" t="str">
        <f ca="1">IFERROR(__xludf.DUMMYFUNCTION("GOOGLETRANSLATE(A5412,""bn"",""en"")"),"It is very clean and the wind sweeps it away")</f>
        <v>It is very clean and the wind sweeps it away</v>
      </c>
      <c r="C5412" s="7" t="s">
        <v>6</v>
      </c>
      <c r="D5412" s="7" t="s">
        <v>7</v>
      </c>
      <c r="E5412" s="7">
        <v>0</v>
      </c>
    </row>
    <row r="5413" spans="1:5" ht="15.75" customHeight="1" x14ac:dyDescent="0.25">
      <c r="A5413" s="6" t="s">
        <v>5270</v>
      </c>
      <c r="B5413" s="6" t="str">
        <f ca="1">IFERROR(__xludf.DUMMYFUNCTION("GOOGLETRANSLATE(A5413,""bn"",""en"")"),"Sumi can do the job")</f>
        <v>Sumi can do the job</v>
      </c>
      <c r="C5413" s="7" t="s">
        <v>6</v>
      </c>
      <c r="D5413" s="7" t="s">
        <v>7</v>
      </c>
      <c r="E5413" s="7">
        <v>0</v>
      </c>
    </row>
    <row r="5414" spans="1:5" ht="15.75" customHeight="1" x14ac:dyDescent="0.25">
      <c r="A5414" s="6" t="s">
        <v>5271</v>
      </c>
      <c r="B5414" s="6" t="str">
        <f ca="1">IFERROR(__xludf.DUMMYFUNCTION("GOOGLETRANSLATE(A5414,""bn"",""en"")"),"Holding the light high, they all crowded around to see Haru")</f>
        <v>Holding the light high, they all crowded around to see Haru</v>
      </c>
      <c r="C5414" s="7" t="s">
        <v>6</v>
      </c>
      <c r="D5414" s="7" t="s">
        <v>7</v>
      </c>
      <c r="E5414" s="7">
        <v>0</v>
      </c>
    </row>
    <row r="5415" spans="1:5" ht="15.75" customHeight="1" x14ac:dyDescent="0.25">
      <c r="A5415" s="6" t="s">
        <v>5272</v>
      </c>
      <c r="B5415" s="6" t="str">
        <f ca="1">IFERROR(__xludf.DUMMYFUNCTION("GOOGLETRANSLATE(A5415,""bn"",""en"")"),"Now there are broken sheets and torn leaves")</f>
        <v>Now there are broken sheets and torn leaves</v>
      </c>
      <c r="C5415" s="7" t="s">
        <v>6</v>
      </c>
      <c r="D5415" s="7" t="s">
        <v>7</v>
      </c>
      <c r="E5415" s="7">
        <v>0</v>
      </c>
    </row>
    <row r="5416" spans="1:5" ht="15.75" customHeight="1" x14ac:dyDescent="0.25">
      <c r="A5416" s="6" t="s">
        <v>5273</v>
      </c>
      <c r="B5416" s="6" t="str">
        <f ca="1">IFERROR(__xludf.DUMMYFUNCTION("GOOGLETRANSLATE(A5416,""bn"",""en"")"),"Drunk knows how to wake up at ten o'clock after talking all night")</f>
        <v>Drunk knows how to wake up at ten o'clock after talking all night</v>
      </c>
      <c r="C5416" s="7" t="s">
        <v>6</v>
      </c>
      <c r="D5416" s="7" t="s">
        <v>7</v>
      </c>
      <c r="E5416" s="7">
        <v>0</v>
      </c>
    </row>
    <row r="5417" spans="1:5" ht="15.75" customHeight="1" x14ac:dyDescent="0.25">
      <c r="A5417" s="6" t="s">
        <v>5274</v>
      </c>
      <c r="B5417" s="6" t="str">
        <f ca="1">IFERROR(__xludf.DUMMYFUNCTION("GOOGLETRANSLATE(A5417,""bn"",""en"")"),"Sajeev walked on the road with me")</f>
        <v>Sajeev walked on the road with me</v>
      </c>
      <c r="C5417" s="8" t="s">
        <v>13</v>
      </c>
      <c r="D5417" s="8" t="s">
        <v>14</v>
      </c>
      <c r="E5417" s="8">
        <v>1</v>
      </c>
    </row>
    <row r="5418" spans="1:5" ht="15.75" customHeight="1" x14ac:dyDescent="0.25">
      <c r="A5418" s="6" t="s">
        <v>5275</v>
      </c>
      <c r="B5418" s="6" t="str">
        <f ca="1">IFERROR(__xludf.DUMMYFUNCTION("GOOGLETRANSLATE(A5418,""bn"",""en"")"),"Fishing in local lakes is quiet")</f>
        <v>Fishing in local lakes is quiet</v>
      </c>
      <c r="C5418" s="8" t="s">
        <v>13</v>
      </c>
      <c r="D5418" s="8" t="s">
        <v>14</v>
      </c>
      <c r="E5418" s="8">
        <v>1</v>
      </c>
    </row>
    <row r="5419" spans="1:5" ht="15.75" customHeight="1" x14ac:dyDescent="0.25">
      <c r="A5419" s="6" t="s">
        <v>5276</v>
      </c>
      <c r="B5419" s="6" t="str">
        <f ca="1">IFERROR(__xludf.DUMMYFUNCTION("GOOGLETRANSLATE(A5419,""bn"",""en"")"),"Most of the people of Pundra Bhumi in Pundrakestra were suffering from this disease")</f>
        <v>Most of the people of Pundra Bhumi in Pundrakestra were suffering from this disease</v>
      </c>
      <c r="C5419" s="8" t="s">
        <v>13</v>
      </c>
      <c r="D5419" s="8" t="s">
        <v>14</v>
      </c>
      <c r="E5419" s="8">
        <v>1</v>
      </c>
    </row>
    <row r="5420" spans="1:5" ht="15.75" customHeight="1" x14ac:dyDescent="0.25">
      <c r="A5420" s="6" t="s">
        <v>5277</v>
      </c>
      <c r="B5420" s="6" t="str">
        <f ca="1">IFERROR(__xludf.DUMMYFUNCTION("GOOGLETRANSLATE(A5420,""bn"",""en"")"),"Grilled chicken satisfies protein cravings")</f>
        <v>Grilled chicken satisfies protein cravings</v>
      </c>
      <c r="C5420" s="8" t="s">
        <v>13</v>
      </c>
      <c r="D5420" s="8" t="s">
        <v>14</v>
      </c>
      <c r="E5420" s="8">
        <v>1</v>
      </c>
    </row>
    <row r="5421" spans="1:5" ht="15.75" customHeight="1" x14ac:dyDescent="0.25">
      <c r="A5421" s="6" t="s">
        <v>5278</v>
      </c>
      <c r="B5421" s="6" t="str">
        <f ca="1">IFERROR(__xludf.DUMMYFUNCTION("GOOGLETRANSLATE(A5421,""bn"",""en"")"),"I couldn't believe him because he lied to me")</f>
        <v>I couldn't believe him because he lied to me</v>
      </c>
      <c r="C5421" s="8" t="s">
        <v>13</v>
      </c>
      <c r="D5421" s="8" t="s">
        <v>14</v>
      </c>
      <c r="E5421" s="8">
        <v>1</v>
      </c>
    </row>
    <row r="5422" spans="1:5" ht="15.75" customHeight="1" x14ac:dyDescent="0.25">
      <c r="A5422" s="6" t="s">
        <v>5279</v>
      </c>
      <c r="B5422" s="6" t="str">
        <f ca="1">IFERROR(__xludf.DUMMYFUNCTION("GOOGLETRANSLATE(A5422,""bn"",""en"")"),"It seems that he has not used such a life properly for so long")</f>
        <v>It seems that he has not used such a life properly for so long</v>
      </c>
      <c r="C5422" s="7" t="s">
        <v>6</v>
      </c>
      <c r="D5422" s="7" t="s">
        <v>7</v>
      </c>
      <c r="E5422" s="7">
        <v>0</v>
      </c>
    </row>
    <row r="5423" spans="1:5" ht="15.75" customHeight="1" x14ac:dyDescent="0.25">
      <c r="A5423" s="6" t="s">
        <v>5280</v>
      </c>
      <c r="B5423" s="6" t="str">
        <f ca="1">IFERROR(__xludf.DUMMYFUNCTION("GOOGLETRANSLATE(A5423,""bn"",""en"")"),"He has never met a gentleman")</f>
        <v>He has never met a gentleman</v>
      </c>
      <c r="C5423" s="7" t="s">
        <v>6</v>
      </c>
      <c r="D5423" s="7" t="s">
        <v>7</v>
      </c>
      <c r="E5423" s="7">
        <v>0</v>
      </c>
    </row>
    <row r="5424" spans="1:5" ht="15.75" customHeight="1" x14ac:dyDescent="0.25">
      <c r="A5424" s="6" t="s">
        <v>5281</v>
      </c>
      <c r="B5424" s="6" t="str">
        <f ca="1">IFERROR(__xludf.DUMMYFUNCTION("GOOGLETRANSLATE(A5424,""bn"",""en"")"),"They have a large house at the edge of each village")</f>
        <v>They have a large house at the edge of each village</v>
      </c>
      <c r="C5424" s="7" t="s">
        <v>6</v>
      </c>
      <c r="D5424" s="7" t="s">
        <v>7</v>
      </c>
      <c r="E5424" s="7">
        <v>0</v>
      </c>
    </row>
    <row r="5425" spans="1:5" ht="15.75" customHeight="1" x14ac:dyDescent="0.25">
      <c r="A5425" s="6" t="s">
        <v>5282</v>
      </c>
      <c r="B5425" s="6" t="str">
        <f ca="1">IFERROR(__xludf.DUMMYFUNCTION("GOOGLETRANSLATE(A5425,""bn"",""en"")"),"Seeing that everyone lifted the yoke on their shoulders, the yoke fell right on their shoulders.")</f>
        <v>Seeing that everyone lifted the yoke on their shoulders, the yoke fell right on their shoulders.</v>
      </c>
      <c r="C5425" s="7" t="s">
        <v>6</v>
      </c>
      <c r="D5425" s="7" t="s">
        <v>7</v>
      </c>
      <c r="E5425" s="7">
        <v>0</v>
      </c>
    </row>
    <row r="5426" spans="1:5" ht="15.75" customHeight="1" x14ac:dyDescent="0.25">
      <c r="A5426" s="6" t="s">
        <v>5283</v>
      </c>
      <c r="B5426" s="6" t="str">
        <f ca="1">IFERROR(__xludf.DUMMYFUNCTION("GOOGLETRANSLATE(A5426,""bn"",""en"")"),"When a thirteen-year-old unknown, uneducated village boy is left behind, the possibility of some kind of revolution appears.")</f>
        <v>When a thirteen-year-old unknown, uneducated village boy is left behind, the possibility of some kind of revolution appears.</v>
      </c>
      <c r="C5426" s="7" t="s">
        <v>6</v>
      </c>
      <c r="D5426" s="7" t="s">
        <v>7</v>
      </c>
      <c r="E5426" s="7">
        <v>0</v>
      </c>
    </row>
    <row r="5427" spans="1:5" ht="15.75" customHeight="1" x14ac:dyDescent="0.25">
      <c r="A5427" s="6" t="s">
        <v>5284</v>
      </c>
      <c r="B5427" s="6" t="str">
        <f ca="1">IFERROR(__xludf.DUMMYFUNCTION("GOOGLETRANSLATE(A5427,""bn"",""en"")"),"The curriculum should be adapted to educational needs")</f>
        <v>The curriculum should be adapted to educational needs</v>
      </c>
      <c r="C5427" s="8" t="s">
        <v>13</v>
      </c>
      <c r="D5427" s="8" t="s">
        <v>14</v>
      </c>
      <c r="E5427" s="8">
        <v>1</v>
      </c>
    </row>
    <row r="5428" spans="1:5" ht="15.75" customHeight="1" x14ac:dyDescent="0.25">
      <c r="A5428" s="6" t="s">
        <v>5285</v>
      </c>
      <c r="B5428" s="6" t="str">
        <f ca="1">IFERROR(__xludf.DUMMYFUNCTION("GOOGLETRANSLATE(A5428,""bn"",""en"")"),"The father divided his property among his sons")</f>
        <v>The father divided his property among his sons</v>
      </c>
      <c r="C5428" s="8" t="s">
        <v>13</v>
      </c>
      <c r="D5428" s="8" t="s">
        <v>14</v>
      </c>
      <c r="E5428" s="8">
        <v>1</v>
      </c>
    </row>
    <row r="5429" spans="1:5" ht="15.75" customHeight="1" x14ac:dyDescent="0.25">
      <c r="A5429" s="6" t="s">
        <v>5286</v>
      </c>
      <c r="B5429" s="6" t="str">
        <f ca="1">IFERROR(__xludf.DUMMYFUNCTION("GOOGLETRANSLATE(A5429,""bn"",""en"")"),"Sometimes there was no time manipulation")</f>
        <v>Sometimes there was no time manipulation</v>
      </c>
      <c r="C5429" s="8" t="s">
        <v>13</v>
      </c>
      <c r="D5429" s="8" t="s">
        <v>14</v>
      </c>
      <c r="E5429" s="8">
        <v>1</v>
      </c>
    </row>
    <row r="5430" spans="1:5" ht="15.75" customHeight="1" x14ac:dyDescent="0.25">
      <c r="A5430" s="6" t="s">
        <v>5287</v>
      </c>
      <c r="B5430" s="6" t="str">
        <f ca="1">IFERROR(__xludf.DUMMYFUNCTION("GOOGLETRANSLATE(A5430,""bn"",""en"")"),"Comment your favorite quote")</f>
        <v>Comment your favorite quote</v>
      </c>
      <c r="C5430" s="8" t="s">
        <v>13</v>
      </c>
      <c r="D5430" s="8" t="s">
        <v>14</v>
      </c>
      <c r="E5430" s="8">
        <v>1</v>
      </c>
    </row>
    <row r="5431" spans="1:5" ht="15.75" customHeight="1" x14ac:dyDescent="0.25">
      <c r="A5431" s="6" t="s">
        <v>5288</v>
      </c>
      <c r="B5431" s="6" t="str">
        <f ca="1">IFERROR(__xludf.DUMMYFUNCTION("GOOGLETRANSLATE(A5431,""bn"",""en"")"),"Green has not returned from school yet")</f>
        <v>Green has not returned from school yet</v>
      </c>
      <c r="C5431" s="8" t="s">
        <v>13</v>
      </c>
      <c r="D5431" s="8" t="s">
        <v>14</v>
      </c>
      <c r="E5431" s="8">
        <v>1</v>
      </c>
    </row>
    <row r="5432" spans="1:5" ht="15.75" customHeight="1" x14ac:dyDescent="0.25">
      <c r="A5432" s="6" t="s">
        <v>5289</v>
      </c>
      <c r="B5432" s="6" t="str">
        <f ca="1">IFERROR(__xludf.DUMMYFUNCTION("GOOGLETRANSLATE(A5432,""bn"",""en"")"),"Moti was lying in the dark of the big room and she wanted to know the matter by raising her weak voice as high as she could")</f>
        <v>Moti was lying in the dark of the big room and she wanted to know the matter by raising her weak voice as high as she could</v>
      </c>
      <c r="C5432" s="7" t="s">
        <v>6</v>
      </c>
      <c r="D5432" s="7" t="s">
        <v>7</v>
      </c>
      <c r="E5432" s="7">
        <v>0</v>
      </c>
    </row>
    <row r="5433" spans="1:5" ht="15.75" customHeight="1" x14ac:dyDescent="0.25">
      <c r="A5433" s="6" t="s">
        <v>5290</v>
      </c>
      <c r="B5433" s="6" t="str">
        <f ca="1">IFERROR(__xludf.DUMMYFUNCTION("GOOGLETRANSLATE(A5433,""bn"",""en"")"),"Later I used to see all their eating habits and they did not hide anything from me")</f>
        <v>Later I used to see all their eating habits and they did not hide anything from me</v>
      </c>
      <c r="C5433" s="7" t="s">
        <v>6</v>
      </c>
      <c r="D5433" s="7" t="s">
        <v>7</v>
      </c>
      <c r="E5433" s="7">
        <v>0</v>
      </c>
    </row>
    <row r="5434" spans="1:5" ht="15.75" customHeight="1" x14ac:dyDescent="0.25">
      <c r="A5434" s="6" t="s">
        <v>5291</v>
      </c>
      <c r="B5434" s="6" t="str">
        <f ca="1">IFERROR(__xludf.DUMMYFUNCTION("GOOGLETRANSLATE(A5434,""bn"",""en"")"),"Gradually, two brick buildings are found")</f>
        <v>Gradually, two brick buildings are found</v>
      </c>
      <c r="C5434" s="7" t="s">
        <v>6</v>
      </c>
      <c r="D5434" s="7" t="s">
        <v>7</v>
      </c>
      <c r="E5434" s="7">
        <v>0</v>
      </c>
    </row>
    <row r="5435" spans="1:5" ht="15.75" customHeight="1" x14ac:dyDescent="0.25">
      <c r="A5435" s="6" t="s">
        <v>5292</v>
      </c>
      <c r="B5435" s="6" t="str">
        <f ca="1">IFERROR(__xludf.DUMMYFUNCTION("GOOGLETRANSLATE(A5435,""bn"",""en"")"),"As I was about to take them and pay the price, he suddenly grabbed my hand")</f>
        <v>As I was about to take them and pay the price, he suddenly grabbed my hand</v>
      </c>
      <c r="C5435" s="7" t="s">
        <v>6</v>
      </c>
      <c r="D5435" s="7" t="s">
        <v>7</v>
      </c>
      <c r="E5435" s="7">
        <v>0</v>
      </c>
    </row>
    <row r="5436" spans="1:5" ht="15.75" customHeight="1" x14ac:dyDescent="0.25">
      <c r="A5436" s="6" t="s">
        <v>5293</v>
      </c>
      <c r="B5436" s="6" t="str">
        <f ca="1">IFERROR(__xludf.DUMMYFUNCTION("GOOGLETRANSLATE(A5436,""bn"",""en"")"),"After about a minute the young man came and said very cheerfully")</f>
        <v>After about a minute the young man came and said very cheerfully</v>
      </c>
      <c r="C5436" s="7" t="s">
        <v>6</v>
      </c>
      <c r="D5436" s="7" t="s">
        <v>7</v>
      </c>
      <c r="E5436" s="7">
        <v>0</v>
      </c>
    </row>
    <row r="5437" spans="1:5" ht="15.75" customHeight="1" x14ac:dyDescent="0.25">
      <c r="A5437" s="6" t="s">
        <v>5294</v>
      </c>
      <c r="B5437" s="6" t="str">
        <f ca="1">IFERROR(__xludf.DUMMYFUNCTION("GOOGLETRANSLATE(A5437,""bn"",""en"")"),"When he defied the ban and returned to India, he was imprisoned again")</f>
        <v>When he defied the ban and returned to India, he was imprisoned again</v>
      </c>
      <c r="C5437" s="8" t="s">
        <v>13</v>
      </c>
      <c r="D5437" s="8" t="s">
        <v>14</v>
      </c>
      <c r="E5437" s="8">
        <v>1</v>
      </c>
    </row>
    <row r="5438" spans="1:5" ht="15.75" customHeight="1" x14ac:dyDescent="0.25">
      <c r="A5438" s="6" t="s">
        <v>5295</v>
      </c>
      <c r="B5438" s="6" t="str">
        <f ca="1">IFERROR(__xludf.DUMMYFUNCTION("GOOGLETRANSLATE(A5438,""bn"",""en"")"),"Stay organized to minimize stress and maximize productivity")</f>
        <v>Stay organized to minimize stress and maximize productivity</v>
      </c>
      <c r="C5438" s="8" t="s">
        <v>13</v>
      </c>
      <c r="D5438" s="8" t="s">
        <v>14</v>
      </c>
      <c r="E5438" s="8">
        <v>1</v>
      </c>
    </row>
    <row r="5439" spans="1:5" ht="15.75" customHeight="1" x14ac:dyDescent="0.25">
      <c r="A5439" s="6" t="s">
        <v>5296</v>
      </c>
      <c r="B5439" s="6" t="str">
        <f ca="1">IFERROR(__xludf.DUMMYFUNCTION("GOOGLETRANSLATE(A5439,""bn"",""en"")"),"This ancient Chinese philosopher died in B.C")</f>
        <v>This ancient Chinese philosopher died in B.C</v>
      </c>
      <c r="C5439" s="8" t="s">
        <v>13</v>
      </c>
      <c r="D5439" s="8" t="s">
        <v>14</v>
      </c>
      <c r="E5439" s="8">
        <v>1</v>
      </c>
    </row>
    <row r="5440" spans="1:5" ht="15.75" customHeight="1" x14ac:dyDescent="0.25">
      <c r="A5440" s="6" t="s">
        <v>5297</v>
      </c>
      <c r="B5440" s="6" t="str">
        <f ca="1">IFERROR(__xludf.DUMMYFUNCTION("GOOGLETRANSLATE(A5440,""bn"",""en"")"),"There is also an Emmy Grammy Tony Award winning personality")</f>
        <v>There is also an Emmy Grammy Tony Award winning personality</v>
      </c>
      <c r="C5440" s="8" t="s">
        <v>13</v>
      </c>
      <c r="D5440" s="8" t="s">
        <v>14</v>
      </c>
      <c r="E5440" s="8">
        <v>1</v>
      </c>
    </row>
    <row r="5441" spans="1:5" ht="15.75" customHeight="1" x14ac:dyDescent="0.25">
      <c r="A5441" s="6" t="s">
        <v>5298</v>
      </c>
      <c r="B5441" s="6" t="str">
        <f ca="1">IFERROR(__xludf.DUMMYFUNCTION("GOOGLETRANSLATE(A5441,""bn"",""en"")"),"Don't forget Roni's beautiful face")</f>
        <v>Don't forget Roni's beautiful face</v>
      </c>
      <c r="C5441" s="8" t="s">
        <v>13</v>
      </c>
      <c r="D5441" s="8" t="s">
        <v>14</v>
      </c>
      <c r="E5441" s="8">
        <v>1</v>
      </c>
    </row>
    <row r="5442" spans="1:5" ht="15.75" customHeight="1" x14ac:dyDescent="0.25">
      <c r="A5442" s="6" t="s">
        <v>5299</v>
      </c>
      <c r="B5442" s="6" t="str">
        <f ca="1">IFERROR(__xludf.DUMMYFUNCTION("GOOGLETRANSLATE(A5442,""bn"",""en"")"),"Her voice was choked with tears and she hid her face on her grandfather's shoulder and cried")</f>
        <v>Her voice was choked with tears and she hid her face on her grandfather's shoulder and cried</v>
      </c>
      <c r="C5442" s="7" t="s">
        <v>6</v>
      </c>
      <c r="D5442" s="7" t="s">
        <v>7</v>
      </c>
      <c r="E5442" s="7">
        <v>0</v>
      </c>
    </row>
    <row r="5443" spans="1:5" ht="15.75" customHeight="1" x14ac:dyDescent="0.25">
      <c r="A5443" s="6" t="s">
        <v>5300</v>
      </c>
      <c r="B5443" s="6" t="str">
        <f ca="1">IFERROR(__xludf.DUMMYFUNCTION("GOOGLETRANSLATE(A5443,""bn"",""en"")"),"That incident of that day destroyed them")</f>
        <v>That incident of that day destroyed them</v>
      </c>
      <c r="C5443" s="7" t="s">
        <v>6</v>
      </c>
      <c r="D5443" s="7" t="s">
        <v>7</v>
      </c>
      <c r="E5443" s="7">
        <v>0</v>
      </c>
    </row>
    <row r="5444" spans="1:5" ht="15.75" customHeight="1" x14ac:dyDescent="0.25">
      <c r="A5444" s="6" t="s">
        <v>5301</v>
      </c>
      <c r="B5444" s="6" t="str">
        <f ca="1">IFERROR(__xludf.DUMMYFUNCTION("GOOGLETRANSLATE(A5444,""bn"",""en"")"),"The boys fully approved of the proposal, realizing how much surprise and annoyance the person would feel when the wood was needed.")</f>
        <v>The boys fully approved of the proposal, realizing how much surprise and annoyance the person would feel when the wood was needed.</v>
      </c>
      <c r="C5444" s="7" t="s">
        <v>6</v>
      </c>
      <c r="D5444" s="7" t="s">
        <v>7</v>
      </c>
      <c r="E5444" s="7">
        <v>0</v>
      </c>
    </row>
    <row r="5445" spans="1:5" ht="15.75" customHeight="1" x14ac:dyDescent="0.25">
      <c r="A5445" s="6" t="s">
        <v>5302</v>
      </c>
      <c r="B5445" s="6" t="str">
        <f ca="1">IFERROR(__xludf.DUMMYFUNCTION("GOOGLETRANSLATE(A5445,""bn"",""en"")"),"Even if a resident sits in a sage's ashram parsha, within three days the sage will become a sage.")</f>
        <v>Even if a resident sits in a sage's ashram parsha, within three days the sage will become a sage.</v>
      </c>
      <c r="C5445" s="7" t="s">
        <v>6</v>
      </c>
      <c r="D5445" s="7" t="s">
        <v>7</v>
      </c>
      <c r="E5445" s="7">
        <v>0</v>
      </c>
    </row>
    <row r="5446" spans="1:5" ht="15.75" customHeight="1" x14ac:dyDescent="0.25">
      <c r="A5446" s="6" t="s">
        <v>5303</v>
      </c>
      <c r="B5446" s="6" t="str">
        <f ca="1">IFERROR(__xludf.DUMMYFUNCTION("GOOGLETRANSLATE(A5446,""bn"",""en"")"),"Men did not call me. Women have eyes. They smiled and called me. I smiled and walked with them.")</f>
        <v>Men did not call me. Women have eyes. They smiled and called me. I smiled and walked with them.</v>
      </c>
      <c r="C5446" s="7" t="s">
        <v>6</v>
      </c>
      <c r="D5446" s="7" t="s">
        <v>7</v>
      </c>
      <c r="E5446" s="7">
        <v>0</v>
      </c>
    </row>
    <row r="5447" spans="1:5" ht="15.75" customHeight="1" x14ac:dyDescent="0.25">
      <c r="A5447" s="6" t="s">
        <v>5304</v>
      </c>
      <c r="B5447" s="6" t="str">
        <f ca="1">IFERROR(__xludf.DUMMYFUNCTION("GOOGLETRANSLATE(A5447,""bn"",""en"")"),"Practice forgiveness both towards others and towards yourself")</f>
        <v>Practice forgiveness both towards others and towards yourself</v>
      </c>
      <c r="C5447" s="8" t="s">
        <v>13</v>
      </c>
      <c r="D5447" s="8" t="s">
        <v>14</v>
      </c>
      <c r="E5447" s="8">
        <v>1</v>
      </c>
    </row>
    <row r="5448" spans="1:5" ht="15.75" customHeight="1" x14ac:dyDescent="0.25">
      <c r="A5448" s="6" t="s">
        <v>5305</v>
      </c>
      <c r="B5448" s="6" t="str">
        <f ca="1">IFERROR(__xludf.DUMMYFUNCTION("GOOGLETRANSLATE(A5448,""bn"",""en"")"),"That night mother told me a story")</f>
        <v>That night mother told me a story</v>
      </c>
      <c r="C5448" s="8" t="s">
        <v>13</v>
      </c>
      <c r="D5448" s="8" t="s">
        <v>14</v>
      </c>
      <c r="E5448" s="8">
        <v>1</v>
      </c>
    </row>
    <row r="5449" spans="1:5" ht="15.75" customHeight="1" x14ac:dyDescent="0.25">
      <c r="A5449" s="6" t="s">
        <v>5306</v>
      </c>
      <c r="B5449" s="6" t="str">
        <f ca="1">IFERROR(__xludf.DUMMYFUNCTION("GOOGLETRANSLATE(A5449,""bn"",""en"")"),"It is a regular ingredient in most protein-rich foods")</f>
        <v>It is a regular ingredient in most protein-rich foods</v>
      </c>
      <c r="C5449" s="8" t="s">
        <v>13</v>
      </c>
      <c r="D5449" s="8" t="s">
        <v>14</v>
      </c>
      <c r="E5449" s="8">
        <v>1</v>
      </c>
    </row>
    <row r="5450" spans="1:5" ht="15.75" customHeight="1" x14ac:dyDescent="0.25">
      <c r="A5450" s="6" t="s">
        <v>5307</v>
      </c>
      <c r="B5450" s="6" t="str">
        <f ca="1">IFERROR(__xludf.DUMMYFUNCTION("GOOGLETRANSLATE(A5450,""bn"",""en"")"),"Scented candles bring relaxation")</f>
        <v>Scented candles bring relaxation</v>
      </c>
      <c r="C5450" s="8" t="s">
        <v>13</v>
      </c>
      <c r="D5450" s="8" t="s">
        <v>14</v>
      </c>
      <c r="E5450" s="8">
        <v>1</v>
      </c>
    </row>
    <row r="5451" spans="1:5" ht="15.75" customHeight="1" x14ac:dyDescent="0.25">
      <c r="A5451" s="6" t="s">
        <v>5308</v>
      </c>
      <c r="B5451" s="6" t="str">
        <f ca="1">IFERROR(__xludf.DUMMYFUNCTION("GOOGLETRANSLATE(A5451,""bn"",""en"")"),"Include balance exercises for stability")</f>
        <v>Include balance exercises for stability</v>
      </c>
      <c r="C5451" s="8" t="s">
        <v>13</v>
      </c>
      <c r="D5451" s="8" t="s">
        <v>14</v>
      </c>
      <c r="E5451" s="8">
        <v>1</v>
      </c>
    </row>
    <row r="5452" spans="1:5" ht="15.75" customHeight="1" x14ac:dyDescent="0.25">
      <c r="A5452" s="6" t="s">
        <v>5309</v>
      </c>
      <c r="B5452" s="6" t="str">
        <f ca="1">IFERROR(__xludf.DUMMYFUNCTION("GOOGLETRANSLATE(A5452,""bn"",""en"")"),"There is nothing new in the mountains that will not be met with")</f>
        <v>There is nothing new in the mountains that will not be met with</v>
      </c>
      <c r="C5452" s="7" t="s">
        <v>6</v>
      </c>
      <c r="D5452" s="7" t="s">
        <v>7</v>
      </c>
      <c r="E5452" s="7">
        <v>0</v>
      </c>
    </row>
    <row r="5453" spans="1:5" ht="15.75" customHeight="1" x14ac:dyDescent="0.25">
      <c r="A5453" s="6" t="s">
        <v>5310</v>
      </c>
      <c r="B5453" s="6" t="str">
        <f ca="1">IFERROR(__xludf.DUMMYFUNCTION("GOOGLETRANSLATE(A5453,""bn"",""en"")"),"Kalya will not add it")</f>
        <v>Kalya will not add it</v>
      </c>
      <c r="C5453" s="7" t="s">
        <v>6</v>
      </c>
      <c r="D5453" s="7" t="s">
        <v>7</v>
      </c>
      <c r="E5453" s="7">
        <v>0</v>
      </c>
    </row>
    <row r="5454" spans="1:5" ht="15.75" customHeight="1" x14ac:dyDescent="0.25">
      <c r="A5454" s="6" t="s">
        <v>5311</v>
      </c>
      <c r="B5454" s="6" t="str">
        <f ca="1">IFERROR(__xludf.DUMMYFUNCTION("GOOGLETRANSLATE(A5454,""bn"",""en"")"),"Now Rana will come back from school")</f>
        <v>Now Rana will come back from school</v>
      </c>
      <c r="C5454" s="7" t="s">
        <v>6</v>
      </c>
      <c r="D5454" s="7" t="s">
        <v>7</v>
      </c>
      <c r="E5454" s="7">
        <v>0</v>
      </c>
    </row>
    <row r="5455" spans="1:5" ht="15.75" customHeight="1" x14ac:dyDescent="0.25">
      <c r="A5455" s="6" t="s">
        <v>5312</v>
      </c>
      <c r="B5455" s="6" t="str">
        <f ca="1">IFERROR(__xludf.DUMMYFUNCTION("GOOGLETRANSLATE(A5455,""bn"",""en"")"),"In his mouth, only half-hearted words, bad words, and dirty words are profound.")</f>
        <v>In his mouth, only half-hearted words, bad words, and dirty words are profound.</v>
      </c>
      <c r="C5455" s="7" t="s">
        <v>6</v>
      </c>
      <c r="D5455" s="7" t="s">
        <v>7</v>
      </c>
      <c r="E5455" s="7">
        <v>0</v>
      </c>
    </row>
    <row r="5456" spans="1:5" ht="15.75" customHeight="1" x14ac:dyDescent="0.25">
      <c r="A5456" s="6" t="s">
        <v>5313</v>
      </c>
      <c r="B5456" s="6" t="str">
        <f ca="1">IFERROR(__xludf.DUMMYFUNCTION("GOOGLETRANSLATE(A5456,""bn"",""en"")"),"He snapped and said, ""You are the only cook, mother, so I came to sit once.""")</f>
        <v>He snapped and said, "You are the only cook, mother, so I came to sit once."</v>
      </c>
      <c r="C5456" s="7" t="s">
        <v>6</v>
      </c>
      <c r="D5456" s="7" t="s">
        <v>7</v>
      </c>
      <c r="E5456" s="7">
        <v>0</v>
      </c>
    </row>
    <row r="5457" spans="1:5" ht="15.75" customHeight="1" x14ac:dyDescent="0.25">
      <c r="A5457" s="6" t="s">
        <v>5314</v>
      </c>
      <c r="B5457" s="6" t="str">
        <f ca="1">IFERROR(__xludf.DUMMYFUNCTION("GOOGLETRANSLATE(A5457,""bn"",""en"")"),"Newspapers face challenges in adapting to the changing media landscape")</f>
        <v>Newspapers face challenges in adapting to the changing media landscape</v>
      </c>
      <c r="C5457" s="8" t="s">
        <v>13</v>
      </c>
      <c r="D5457" s="8" t="s">
        <v>14</v>
      </c>
      <c r="E5457" s="8">
        <v>1</v>
      </c>
    </row>
    <row r="5458" spans="1:5" ht="15.75" customHeight="1" x14ac:dyDescent="0.25">
      <c r="A5458" s="6" t="s">
        <v>5315</v>
      </c>
      <c r="B5458" s="6" t="str">
        <f ca="1">IFERROR(__xludf.DUMMYFUNCTION("GOOGLETRANSLATE(A5458,""bn"",""en"")"),"As usual, Siddique signed the success there as well")</f>
        <v>As usual, Siddique signed the success there as well</v>
      </c>
      <c r="C5458" s="8" t="s">
        <v>13</v>
      </c>
      <c r="D5458" s="8" t="s">
        <v>14</v>
      </c>
      <c r="E5458" s="8">
        <v>1</v>
      </c>
    </row>
    <row r="5459" spans="1:5" ht="15.75" customHeight="1" x14ac:dyDescent="0.25">
      <c r="A5459" s="6" t="s">
        <v>5316</v>
      </c>
      <c r="B5459" s="6" t="str">
        <f ca="1">IFERROR(__xludf.DUMMYFUNCTION("GOOGLETRANSLATE(A5459,""bn"",""en"")"),"Rahim heard Karim's words and advanced")</f>
        <v>Rahim heard Karim's words and advanced</v>
      </c>
      <c r="C5459" s="8" t="s">
        <v>13</v>
      </c>
      <c r="D5459" s="8" t="s">
        <v>14</v>
      </c>
      <c r="E5459" s="8">
        <v>1</v>
      </c>
    </row>
    <row r="5460" spans="1:5" ht="15.75" customHeight="1" x14ac:dyDescent="0.25">
      <c r="A5460" s="6" t="s">
        <v>5317</v>
      </c>
      <c r="B5460" s="6" t="str">
        <f ca="1">IFERROR(__xludf.DUMMYFUNCTION("GOOGLETRANSLATE(A5460,""bn"",""en"")"),"He wanted to go for a walk in the sea")</f>
        <v>He wanted to go for a walk in the sea</v>
      </c>
      <c r="C5460" s="8" t="s">
        <v>13</v>
      </c>
      <c r="D5460" s="8" t="s">
        <v>14</v>
      </c>
      <c r="E5460" s="8">
        <v>1</v>
      </c>
    </row>
    <row r="5461" spans="1:5" ht="15.75" customHeight="1" x14ac:dyDescent="0.25">
      <c r="A5461" s="6" t="s">
        <v>5318</v>
      </c>
      <c r="B5461" s="6" t="str">
        <f ca="1">IFERROR(__xludf.DUMMYFUNCTION("GOOGLETRANSLATE(A5461,""bn"",""en"")"),"So the sun was seen very early")</f>
        <v>So the sun was seen very early</v>
      </c>
      <c r="C5461" s="8" t="s">
        <v>13</v>
      </c>
      <c r="D5461" s="8" t="s">
        <v>14</v>
      </c>
      <c r="E5461" s="8">
        <v>1</v>
      </c>
    </row>
    <row r="5462" spans="1:5" ht="15.75" customHeight="1" x14ac:dyDescent="0.25">
      <c r="A5462" s="6" t="s">
        <v>4981</v>
      </c>
      <c r="B5462" s="6" t="str">
        <f ca="1">IFERROR(__xludf.DUMMYFUNCTION("GOOGLETRANSLATE(A5462,""bn"",""en"")"),"Radhakunja has all gone and all is gone only this lineage remains")</f>
        <v>Radhakunja has all gone and all is gone only this lineage remains</v>
      </c>
      <c r="C5462" s="7" t="s">
        <v>6</v>
      </c>
      <c r="D5462" s="7" t="s">
        <v>7</v>
      </c>
      <c r="E5462" s="7">
        <v>0</v>
      </c>
    </row>
    <row r="5463" spans="1:5" ht="15.75" customHeight="1" x14ac:dyDescent="0.25">
      <c r="A5463" s="6" t="s">
        <v>5319</v>
      </c>
      <c r="B5463" s="6" t="str">
        <f ca="1">IFERROR(__xludf.DUMMYFUNCTION("GOOGLETRANSLATE(A5463,""bn"",""en"")"),"At this age women generally begin to be thought of as rare creatures of some superior heaven")</f>
        <v>At this age women generally begin to be thought of as rare creatures of some superior heaven</v>
      </c>
      <c r="C5463" s="7" t="s">
        <v>6</v>
      </c>
      <c r="D5463" s="7" t="s">
        <v>7</v>
      </c>
      <c r="E5463" s="7">
        <v>0</v>
      </c>
    </row>
    <row r="5464" spans="1:5" ht="15.75" customHeight="1" x14ac:dyDescent="0.25">
      <c r="A5464" s="6" t="s">
        <v>5320</v>
      </c>
      <c r="B5464" s="6" t="str">
        <f ca="1">IFERROR(__xludf.DUMMYFUNCTION("GOOGLETRANSLATE(A5464,""bn"",""en"")"),"He took out the letter from his pocket")</f>
        <v>He took out the letter from his pocket</v>
      </c>
      <c r="C5464" s="7" t="s">
        <v>6</v>
      </c>
      <c r="D5464" s="7" t="s">
        <v>7</v>
      </c>
      <c r="E5464" s="7">
        <v>0</v>
      </c>
    </row>
    <row r="5465" spans="1:5" ht="15.75" customHeight="1" x14ac:dyDescent="0.25">
      <c r="A5465" s="6" t="s">
        <v>5321</v>
      </c>
      <c r="B5465" s="6" t="str">
        <f ca="1">IFERROR(__xludf.DUMMYFUNCTION("GOOGLETRANSLATE(A5465,""bn"",""en"")"),"Sentenced to several years of mercy imprisonment for the offense of grievous bodily harm")</f>
        <v>Sentenced to several years of mercy imprisonment for the offense of grievous bodily harm</v>
      </c>
      <c r="C5465" s="7" t="s">
        <v>6</v>
      </c>
      <c r="D5465" s="7" t="s">
        <v>7</v>
      </c>
      <c r="E5465" s="7">
        <v>0</v>
      </c>
    </row>
    <row r="5466" spans="1:5" ht="15.75" customHeight="1" x14ac:dyDescent="0.25">
      <c r="A5466" s="6" t="s">
        <v>5322</v>
      </c>
      <c r="B5466" s="6" t="str">
        <f ca="1">IFERROR(__xludf.DUMMYFUNCTION("GOOGLETRANSLATE(A5466,""bn"",""en"")"),"Shakib Sajib is walking together")</f>
        <v>Shakib Sajib is walking together</v>
      </c>
      <c r="C5466" s="7" t="s">
        <v>6</v>
      </c>
      <c r="D5466" s="7" t="s">
        <v>7</v>
      </c>
      <c r="E5466" s="7">
        <v>0</v>
      </c>
    </row>
    <row r="5467" spans="1:5" ht="15.75" customHeight="1" x14ac:dyDescent="0.25">
      <c r="A5467" s="6" t="s">
        <v>5323</v>
      </c>
      <c r="B5467" s="6" t="str">
        <f ca="1">IFERROR(__xludf.DUMMYFUNCTION("GOOGLETRANSLATE(A5467,""bn"",""en"")"),"My motorcycle needs a tune up it has been acting up recently")</f>
        <v>My motorcycle needs a tune up it has been acting up recently</v>
      </c>
      <c r="C5467" s="8" t="s">
        <v>13</v>
      </c>
      <c r="D5467" s="8" t="s">
        <v>14</v>
      </c>
      <c r="E5467" s="8">
        <v>1</v>
      </c>
    </row>
    <row r="5468" spans="1:5" ht="15.75" customHeight="1" x14ac:dyDescent="0.25">
      <c r="A5468" s="6" t="s">
        <v>1877</v>
      </c>
      <c r="B5468" s="6" t="str">
        <f ca="1">IFERROR(__xludf.DUMMYFUNCTION("GOOGLETRANSLATE(A5468,""bn"",""en"")"),"If he sits for a while under the open sky, the sorrows of his mind will be removed")</f>
        <v>If he sits for a while under the open sky, the sorrows of his mind will be removed</v>
      </c>
      <c r="C5468" s="8" t="s">
        <v>13</v>
      </c>
      <c r="D5468" s="8" t="s">
        <v>14</v>
      </c>
      <c r="E5468" s="8">
        <v>1</v>
      </c>
    </row>
    <row r="5469" spans="1:5" ht="15.75" customHeight="1" x14ac:dyDescent="0.25">
      <c r="A5469" s="6" t="s">
        <v>5034</v>
      </c>
      <c r="B5469" s="6" t="str">
        <f ca="1">IFERROR(__xludf.DUMMYFUNCTION("GOOGLETRANSLATE(A5469,""bn"",""en"")"),"My uncles also have five children")</f>
        <v>My uncles also have five children</v>
      </c>
      <c r="C5469" s="8" t="s">
        <v>13</v>
      </c>
      <c r="D5469" s="8" t="s">
        <v>14</v>
      </c>
      <c r="E5469" s="8">
        <v>1</v>
      </c>
    </row>
    <row r="5470" spans="1:5" ht="15.75" customHeight="1" x14ac:dyDescent="0.25">
      <c r="A5470" s="6" t="s">
        <v>5324</v>
      </c>
      <c r="B5470" s="6" t="str">
        <f ca="1">IFERROR(__xludf.DUMMYFUNCTION("GOOGLETRANSLATE(A5470,""bn"",""en"")"),"My friend just got a convertible it's perfect for summer drives")</f>
        <v>My friend just got a convertible it's perfect for summer drives</v>
      </c>
      <c r="C5470" s="8" t="s">
        <v>13</v>
      </c>
      <c r="D5470" s="8" t="s">
        <v>14</v>
      </c>
      <c r="E5470" s="8">
        <v>1</v>
      </c>
    </row>
    <row r="5471" spans="1:5" ht="15.75" customHeight="1" x14ac:dyDescent="0.25">
      <c r="A5471" s="6" t="s">
        <v>5325</v>
      </c>
      <c r="B5471" s="6" t="str">
        <f ca="1">IFERROR(__xludf.DUMMYFUNCTION("GOOGLETRANSLATE(A5471,""bn"",""en"")"),"Muhammad Mansoor Uddin was brilliant as a student")</f>
        <v>Muhammad Mansoor Uddin was brilliant as a student</v>
      </c>
      <c r="C5471" s="8" t="s">
        <v>13</v>
      </c>
      <c r="D5471" s="8" t="s">
        <v>14</v>
      </c>
      <c r="E5471" s="8">
        <v>1</v>
      </c>
    </row>
    <row r="5472" spans="1:5" ht="15.75" customHeight="1" x14ac:dyDescent="0.25">
      <c r="A5472" s="6" t="s">
        <v>5326</v>
      </c>
      <c r="B5472" s="6" t="str">
        <f ca="1">IFERROR(__xludf.DUMMYFUNCTION("GOOGLETRANSLATE(A5472,""bn"",""en"")"),"I never thought earning in an honest way would be so difficult")</f>
        <v>I never thought earning in an honest way would be so difficult</v>
      </c>
      <c r="C5472" s="7" t="s">
        <v>6</v>
      </c>
      <c r="D5472" s="7" t="s">
        <v>7</v>
      </c>
      <c r="E5472" s="7">
        <v>0</v>
      </c>
    </row>
    <row r="5473" spans="1:5" ht="15.75" customHeight="1" x14ac:dyDescent="0.25">
      <c r="A5473" s="6" t="s">
        <v>5327</v>
      </c>
      <c r="B5473" s="6" t="str">
        <f ca="1">IFERROR(__xludf.DUMMYFUNCTION("GOOGLETRANSLATE(A5473,""bn"",""en"")"),"Coming out of the boys' dormitory, I saw in one of the rooms a crying ripe dead Rambha swaying.")</f>
        <v>Coming out of the boys' dormitory, I saw in one of the rooms a crying ripe dead Rambha swaying.</v>
      </c>
      <c r="C5473" s="7" t="s">
        <v>6</v>
      </c>
      <c r="D5473" s="7" t="s">
        <v>7</v>
      </c>
      <c r="E5473" s="7">
        <v>0</v>
      </c>
    </row>
    <row r="5474" spans="1:5" ht="15.75" customHeight="1" x14ac:dyDescent="0.25">
      <c r="A5474" s="6" t="s">
        <v>5328</v>
      </c>
      <c r="B5474" s="6" t="str">
        <f ca="1">IFERROR(__xludf.DUMMYFUNCTION("GOOGLETRANSLATE(A5474,""bn"",""en"")"),"Rahim will now return from the madrasa")</f>
        <v>Rahim will now return from the madrasa</v>
      </c>
      <c r="C5474" s="7" t="s">
        <v>6</v>
      </c>
      <c r="D5474" s="7" t="s">
        <v>7</v>
      </c>
      <c r="E5474" s="7">
        <v>0</v>
      </c>
    </row>
    <row r="5475" spans="1:5" ht="15.75" customHeight="1" x14ac:dyDescent="0.25">
      <c r="A5475" s="6" t="s">
        <v>5329</v>
      </c>
      <c r="B5475" s="6" t="str">
        <f ca="1">IFERROR(__xludf.DUMMYFUNCTION("GOOGLETRANSLATE(A5475,""bn"",""en"")"),"As he traveled through the canal, he kept looking up at the kingdom of ghost snakes")</f>
        <v>As he traveled through the canal, he kept looking up at the kingdom of ghost snakes</v>
      </c>
      <c r="C5475" s="7" t="s">
        <v>6</v>
      </c>
      <c r="D5475" s="7" t="s">
        <v>7</v>
      </c>
      <c r="E5475" s="7">
        <v>0</v>
      </c>
    </row>
    <row r="5476" spans="1:5" ht="15.75" customHeight="1" x14ac:dyDescent="0.25">
      <c r="A5476" s="6" t="s">
        <v>1016</v>
      </c>
      <c r="B5476" s="6" t="str">
        <f ca="1">IFERROR(__xludf.DUMMYFUNCTION("GOOGLETRANSLATE(A5476,""bn"",""en"")"),"Sitting on this high place, up to five to seven kroshs could be seen")</f>
        <v>Sitting on this high place, up to five to seven kroshs could be seen</v>
      </c>
      <c r="C5476" s="7" t="s">
        <v>6</v>
      </c>
      <c r="D5476" s="7" t="s">
        <v>7</v>
      </c>
      <c r="E5476" s="7">
        <v>0</v>
      </c>
    </row>
    <row r="5477" spans="1:5" ht="15.75" customHeight="1" x14ac:dyDescent="0.25">
      <c r="A5477" s="6" t="s">
        <v>5330</v>
      </c>
      <c r="B5477" s="6" t="str">
        <f ca="1">IFERROR(__xludf.DUMMYFUNCTION("GOOGLETRANSLATE(A5477,""bn"",""en"")"),"He is a devoted Muslim who is devoted to his religion")</f>
        <v>He is a devoted Muslim who is devoted to his religion</v>
      </c>
      <c r="C5477" s="8" t="s">
        <v>13</v>
      </c>
      <c r="D5477" s="8" t="s">
        <v>14</v>
      </c>
      <c r="E5477" s="8">
        <v>1</v>
      </c>
    </row>
    <row r="5478" spans="1:5" ht="15.75" customHeight="1" x14ac:dyDescent="0.25">
      <c r="A5478" s="6" t="s">
        <v>5331</v>
      </c>
      <c r="B5478" s="6" t="str">
        <f ca="1">IFERROR(__xludf.DUMMYFUNCTION("GOOGLETRANSLATE(A5478,""bn"",""en"")"),"I prayed at home")</f>
        <v>I prayed at home</v>
      </c>
      <c r="C5478" s="8" t="s">
        <v>13</v>
      </c>
      <c r="D5478" s="8" t="s">
        <v>14</v>
      </c>
      <c r="E5478" s="8">
        <v>1</v>
      </c>
    </row>
    <row r="5479" spans="1:5" ht="15.75" customHeight="1" x14ac:dyDescent="0.25">
      <c r="A5479" s="6" t="s">
        <v>5332</v>
      </c>
      <c r="B5479" s="6" t="str">
        <f ca="1">IFERROR(__xludf.DUMMYFUNCTION("GOOGLETRANSLATE(A5479,""bn"",""en"")"),"Regionalism Pies are prepared in all festivals")</f>
        <v>Regionalism Pies are prepared in all festivals</v>
      </c>
      <c r="C5479" s="8" t="s">
        <v>13</v>
      </c>
      <c r="D5479" s="8" t="s">
        <v>14</v>
      </c>
      <c r="E5479" s="8">
        <v>1</v>
      </c>
    </row>
    <row r="5480" spans="1:5" ht="15.75" customHeight="1" x14ac:dyDescent="0.25">
      <c r="A5480" s="6" t="s">
        <v>5333</v>
      </c>
      <c r="B5480" s="6" t="str">
        <f ca="1">IFERROR(__xludf.DUMMYFUNCTION("GOOGLETRANSLATE(A5480,""bn"",""en"")"),"He recognized me from a distance")</f>
        <v>He recognized me from a distance</v>
      </c>
      <c r="C5480" s="8" t="s">
        <v>13</v>
      </c>
      <c r="D5480" s="8" t="s">
        <v>14</v>
      </c>
      <c r="E5480" s="8">
        <v>1</v>
      </c>
    </row>
    <row r="5481" spans="1:5" ht="15.75" customHeight="1" x14ac:dyDescent="0.25">
      <c r="A5481" s="6" t="s">
        <v>2476</v>
      </c>
      <c r="B5481" s="6" t="str">
        <f ca="1">IFERROR(__xludf.DUMMYFUNCTION("GOOGLETRANSLATE(A5481,""bn"",""en"")"),"This is how we were plagued with many problems due to the war")</f>
        <v>This is how we were plagued with many problems due to the war</v>
      </c>
      <c r="C5481" s="8" t="s">
        <v>13</v>
      </c>
      <c r="D5481" s="8" t="s">
        <v>14</v>
      </c>
      <c r="E5481" s="8">
        <v>1</v>
      </c>
    </row>
    <row r="5482" spans="1:5" ht="15.75" customHeight="1" x14ac:dyDescent="0.25">
      <c r="A5482" s="6" t="s">
        <v>5334</v>
      </c>
      <c r="B5482" s="6" t="str">
        <f ca="1">IFERROR(__xludf.DUMMYFUNCTION("GOOGLETRANSLATE(A5482,""bn"",""en"")"),"Makhanlal, the youngest of Fatik, solemnly went and sat down on the pile, when all, girding their loins, were about to engage in their work with attention.")</f>
        <v>Makhanlal, the youngest of Fatik, solemnly went and sat down on the pile, when all, girding their loins, were about to engage in their work with attention.</v>
      </c>
      <c r="C5482" s="7" t="s">
        <v>6</v>
      </c>
      <c r="D5482" s="7" t="s">
        <v>7</v>
      </c>
      <c r="E5482" s="7">
        <v>0</v>
      </c>
    </row>
    <row r="5483" spans="1:5" ht="15.75" customHeight="1" x14ac:dyDescent="0.25">
      <c r="A5483" s="6" t="s">
        <v>1981</v>
      </c>
      <c r="B5483" s="6" t="str">
        <f ca="1">IFERROR(__xludf.DUMMYFUNCTION("GOOGLETRANSLATE(A5483,""bn"",""en"")"),"When they come in contact with the main race, the minor races become somewhat discouraged and exhausted")</f>
        <v>When they come in contact with the main race, the minor races become somewhat discouraged and exhausted</v>
      </c>
      <c r="C5483" s="7" t="s">
        <v>6</v>
      </c>
      <c r="D5483" s="7" t="s">
        <v>7</v>
      </c>
      <c r="E5483" s="7">
        <v>0</v>
      </c>
    </row>
    <row r="5484" spans="1:5" ht="15.75" customHeight="1" x14ac:dyDescent="0.25">
      <c r="A5484" s="6" t="s">
        <v>5335</v>
      </c>
      <c r="B5484" s="6" t="str">
        <f ca="1">IFERROR(__xludf.DUMMYFUNCTION("GOOGLETRANSLATE(A5484,""bn"",""en"")"),"He is the sand of hope")</f>
        <v>He is the sand of hope</v>
      </c>
      <c r="C5484" s="7" t="s">
        <v>6</v>
      </c>
      <c r="D5484" s="7" t="s">
        <v>7</v>
      </c>
      <c r="E5484" s="7">
        <v>0</v>
      </c>
    </row>
    <row r="5485" spans="1:5" ht="15.75" customHeight="1" x14ac:dyDescent="0.25">
      <c r="A5485" s="6" t="s">
        <v>5336</v>
      </c>
      <c r="B5485" s="6" t="str">
        <f ca="1">IFERROR(__xludf.DUMMYFUNCTION("GOOGLETRANSLATE(A5485,""bn"",""en"")"),"After waiting on the road for a long time, they saw a car")</f>
        <v>After waiting on the road for a long time, they saw a car</v>
      </c>
      <c r="C5485" s="7" t="s">
        <v>6</v>
      </c>
      <c r="D5485" s="7" t="s">
        <v>7</v>
      </c>
      <c r="E5485" s="7">
        <v>0</v>
      </c>
    </row>
    <row r="5486" spans="1:5" ht="15.75" customHeight="1" x14ac:dyDescent="0.25">
      <c r="A5486" s="6" t="s">
        <v>5337</v>
      </c>
      <c r="B5486" s="6" t="str">
        <f ca="1">IFERROR(__xludf.DUMMYFUNCTION("GOOGLETRANSLATE(A5486,""bn"",""en"")"),"The bride looked in that direction")</f>
        <v>The bride looked in that direction</v>
      </c>
      <c r="C5486" s="7" t="s">
        <v>6</v>
      </c>
      <c r="D5486" s="7" t="s">
        <v>7</v>
      </c>
      <c r="E5486" s="7">
        <v>0</v>
      </c>
    </row>
    <row r="5487" spans="1:5" ht="15.75" customHeight="1" x14ac:dyDescent="0.25">
      <c r="A5487" s="6" t="s">
        <v>5338</v>
      </c>
      <c r="B5487" s="6" t="str">
        <f ca="1">IFERROR(__xludf.DUMMYFUNCTION("GOOGLETRANSLATE(A5487,""bn"",""en"")"),"I saw it crumble")</f>
        <v>I saw it crumble</v>
      </c>
      <c r="C5487" s="8" t="s">
        <v>13</v>
      </c>
      <c r="D5487" s="8" t="s">
        <v>14</v>
      </c>
      <c r="E5487" s="8">
        <v>1</v>
      </c>
    </row>
    <row r="5488" spans="1:5" ht="15.75" customHeight="1" x14ac:dyDescent="0.25">
      <c r="A5488" s="6" t="s">
        <v>5339</v>
      </c>
      <c r="B5488" s="6" t="str">
        <f ca="1">IFERROR(__xludf.DUMMYFUNCTION("GOOGLETRANSLATE(A5488,""bn"",""en"")"),"Rana Roni entered there together")</f>
        <v>Rana Roni entered there together</v>
      </c>
      <c r="C5488" s="8" t="s">
        <v>13</v>
      </c>
      <c r="D5488" s="8" t="s">
        <v>14</v>
      </c>
      <c r="E5488" s="8">
        <v>1</v>
      </c>
    </row>
    <row r="5489" spans="1:5" ht="15.75" customHeight="1" x14ac:dyDescent="0.25">
      <c r="A5489" s="6" t="s">
        <v>5340</v>
      </c>
      <c r="B5489" s="6" t="str">
        <f ca="1">IFERROR(__xludf.DUMMYFUNCTION("GOOGLETRANSLATE(A5489,""bn"",""en"")"),"He won the first Touring Prize in")</f>
        <v>He won the first Touring Prize in</v>
      </c>
      <c r="C5489" s="8" t="s">
        <v>13</v>
      </c>
      <c r="D5489" s="8" t="s">
        <v>14</v>
      </c>
      <c r="E5489" s="8">
        <v>1</v>
      </c>
    </row>
    <row r="5490" spans="1:5" ht="15.75" customHeight="1" x14ac:dyDescent="0.25">
      <c r="A5490" s="6" t="s">
        <v>5341</v>
      </c>
      <c r="B5490" s="6" t="str">
        <f ca="1">IFERROR(__xludf.DUMMYFUNCTION("GOOGLETRANSLATE(A5490,""bn"",""en"")"),"I love hearing stories about my family history")</f>
        <v>I love hearing stories about my family history</v>
      </c>
      <c r="C5490" s="8" t="s">
        <v>13</v>
      </c>
      <c r="D5490" s="8" t="s">
        <v>14</v>
      </c>
      <c r="E5490" s="8">
        <v>1</v>
      </c>
    </row>
    <row r="5491" spans="1:5" ht="15.75" customHeight="1" x14ac:dyDescent="0.25">
      <c r="A5491" s="6" t="s">
        <v>5342</v>
      </c>
      <c r="B5491" s="6" t="str">
        <f ca="1">IFERROR(__xludf.DUMMYFUNCTION("GOOGLETRANSLATE(A5491,""bn"",""en"")"),"Social workers provided support services to needy families")</f>
        <v>Social workers provided support services to needy families</v>
      </c>
      <c r="C5491" s="8" t="s">
        <v>13</v>
      </c>
      <c r="D5491" s="8" t="s">
        <v>14</v>
      </c>
      <c r="E5491" s="8">
        <v>1</v>
      </c>
    </row>
    <row r="5492" spans="1:5" ht="15.75" customHeight="1" x14ac:dyDescent="0.25">
      <c r="A5492" s="6" t="s">
        <v>5343</v>
      </c>
      <c r="B5492" s="6" t="str">
        <f ca="1">IFERROR(__xludf.DUMMYFUNCTION("GOOGLETRANSLATE(A5492,""bn"",""en"")"),"He threw the towel over his shoulders and went down to take a bath")</f>
        <v>He threw the towel over his shoulders and went down to take a bath</v>
      </c>
      <c r="C5492" s="7" t="s">
        <v>6</v>
      </c>
      <c r="D5492" s="7" t="s">
        <v>7</v>
      </c>
      <c r="E5492" s="7">
        <v>0</v>
      </c>
    </row>
    <row r="5493" spans="1:5" ht="15.75" customHeight="1" x14ac:dyDescent="0.25">
      <c r="A5493" s="6" t="s">
        <v>5344</v>
      </c>
      <c r="B5493" s="6" t="str">
        <f ca="1">IFERROR(__xludf.DUMMYFUNCTION("GOOGLETRANSLATE(A5493,""bn"",""en"")"),"Despite his repeated requests, Annapurna's plot succeeded")</f>
        <v>Despite his repeated requests, Annapurna's plot succeeded</v>
      </c>
      <c r="C5493" s="7" t="s">
        <v>6</v>
      </c>
      <c r="D5493" s="7" t="s">
        <v>7</v>
      </c>
      <c r="E5493" s="7">
        <v>0</v>
      </c>
    </row>
    <row r="5494" spans="1:5" ht="15.75" customHeight="1" x14ac:dyDescent="0.25">
      <c r="A5494" s="6" t="s">
        <v>5345</v>
      </c>
      <c r="B5494" s="6" t="str">
        <f ca="1">IFERROR(__xludf.DUMMYFUNCTION("GOOGLETRANSLATE(A5494,""bn"",""en"")"),"Roni gave me the book")</f>
        <v>Roni gave me the book</v>
      </c>
      <c r="C5494" s="7" t="s">
        <v>6</v>
      </c>
      <c r="D5494" s="7" t="s">
        <v>7</v>
      </c>
      <c r="E5494" s="7">
        <v>0</v>
      </c>
    </row>
    <row r="5495" spans="1:5" ht="15.75" customHeight="1" x14ac:dyDescent="0.25">
      <c r="A5495" s="6" t="s">
        <v>5346</v>
      </c>
      <c r="B5495" s="6" t="str">
        <f ca="1">IFERROR(__xludf.DUMMYFUNCTION("GOOGLETRANSLATE(A5495,""bn"",""en"")"),"Among the savages, however, all appear to be in many parts more daring than the brave Europeans, and less consequential.")</f>
        <v>Among the savages, however, all appear to be in many parts more daring than the brave Europeans, and less consequential.</v>
      </c>
      <c r="C5495" s="7" t="s">
        <v>6</v>
      </c>
      <c r="D5495" s="7" t="s">
        <v>7</v>
      </c>
      <c r="E5495" s="7">
        <v>0</v>
      </c>
    </row>
    <row r="5496" spans="1:5" ht="15.75" customHeight="1" x14ac:dyDescent="0.25">
      <c r="A5496" s="6" t="s">
        <v>5347</v>
      </c>
      <c r="B5496" s="6" t="str">
        <f ca="1">IFERROR(__xludf.DUMMYFUNCTION("GOOGLETRANSLATE(A5496,""bn"",""en"")"),"When I decided to go to Palamau I did not know how far that place was")</f>
        <v>When I decided to go to Palamau I did not know how far that place was</v>
      </c>
      <c r="C5496" s="7" t="s">
        <v>6</v>
      </c>
      <c r="D5496" s="7" t="s">
        <v>7</v>
      </c>
      <c r="E5496" s="7">
        <v>0</v>
      </c>
    </row>
    <row r="5497" spans="1:5" ht="15.75" customHeight="1" x14ac:dyDescent="0.25">
      <c r="A5497" s="6" t="s">
        <v>5348</v>
      </c>
      <c r="B5497" s="6" t="str">
        <f ca="1">IFERROR(__xludf.DUMMYFUNCTION("GOOGLETRANSLATE(A5497,""bn"",""en"")"),"The book became very popular")</f>
        <v>The book became very popular</v>
      </c>
      <c r="C5497" s="8" t="s">
        <v>13</v>
      </c>
      <c r="D5497" s="8" t="s">
        <v>14</v>
      </c>
      <c r="E5497" s="8">
        <v>1</v>
      </c>
    </row>
    <row r="5498" spans="1:5" ht="15.75" customHeight="1" x14ac:dyDescent="0.25">
      <c r="A5498" s="6" t="s">
        <v>5349</v>
      </c>
      <c r="B5498" s="6" t="str">
        <f ca="1">IFERROR(__xludf.DUMMYFUNCTION("GOOGLETRANSLATE(A5498,""bn"",""en"")"),"Agroforestry systems provide ecosystem services such as carbon sequestration and biodiversity conservation")</f>
        <v>Agroforestry systems provide ecosystem services such as carbon sequestration and biodiversity conservation</v>
      </c>
      <c r="C5498" s="8" t="s">
        <v>13</v>
      </c>
      <c r="D5498" s="8" t="s">
        <v>14</v>
      </c>
      <c r="E5498" s="8">
        <v>1</v>
      </c>
    </row>
    <row r="5499" spans="1:5" ht="15.75" customHeight="1" x14ac:dyDescent="0.25">
      <c r="A5499" s="6" t="s">
        <v>5350</v>
      </c>
      <c r="B5499" s="6" t="str">
        <f ca="1">IFERROR(__xludf.DUMMYFUNCTION("GOOGLETRANSLATE(A5499,""bn"",""en"")"),"Scuba diving is an exciting adventure")</f>
        <v>Scuba diving is an exciting adventure</v>
      </c>
      <c r="C5499" s="8" t="s">
        <v>13</v>
      </c>
      <c r="D5499" s="8" t="s">
        <v>14</v>
      </c>
      <c r="E5499" s="8">
        <v>1</v>
      </c>
    </row>
    <row r="5500" spans="1:5" ht="15.75" customHeight="1" x14ac:dyDescent="0.25">
      <c r="A5500" s="6" t="s">
        <v>5351</v>
      </c>
      <c r="B5500" s="6" t="str">
        <f ca="1">IFERROR(__xludf.DUMMYFUNCTION("GOOGLETRANSLATE(A5500,""bn"",""en"")"),"Fresh basil garnishes Italian dishes")</f>
        <v>Fresh basil garnishes Italian dishes</v>
      </c>
      <c r="C5500" s="8" t="s">
        <v>13</v>
      </c>
      <c r="D5500" s="8" t="s">
        <v>14</v>
      </c>
      <c r="E5500" s="8">
        <v>1</v>
      </c>
    </row>
    <row r="5501" spans="1:5" ht="15.75" customHeight="1" x14ac:dyDescent="0.25">
      <c r="A5501" s="6" t="s">
        <v>5352</v>
      </c>
      <c r="B5501" s="6" t="str">
        <f ca="1">IFERROR(__xludf.DUMMYFUNCTION("GOOGLETRANSLATE(A5501,""bn"",""en"")"),"After leaving the cars one by one, my car started moving.")</f>
        <v>After leaving the cars one by one, my car started moving.</v>
      </c>
      <c r="C5501" s="8" t="s">
        <v>13</v>
      </c>
      <c r="D5501" s="8" t="s">
        <v>14</v>
      </c>
      <c r="E5501" s="8">
        <v>1</v>
      </c>
    </row>
    <row r="5502" spans="1:5" ht="15.75" customHeight="1" x14ac:dyDescent="0.25">
      <c r="A5502" s="6" t="s">
        <v>5353</v>
      </c>
      <c r="B5502" s="6" t="str">
        <f ca="1">IFERROR(__xludf.DUMMYFUNCTION("GOOGLETRANSLATE(A5502,""bn"",""en"")"),"The friend went and stood in front of the daughter")</f>
        <v>The friend went and stood in front of the daughter</v>
      </c>
      <c r="C5502" s="7" t="s">
        <v>6</v>
      </c>
      <c r="D5502" s="7" t="s">
        <v>7</v>
      </c>
      <c r="E5502" s="7">
        <v>0</v>
      </c>
    </row>
    <row r="5503" spans="1:5" ht="15.75" customHeight="1" x14ac:dyDescent="0.25">
      <c r="A5503" s="6" t="s">
        <v>5354</v>
      </c>
      <c r="B5503" s="6" t="str">
        <f ca="1">IFERROR(__xludf.DUMMYFUNCTION("GOOGLETRANSLATE(A5503,""bn"",""en"")"),"After entering Palamau, I saw that there were all the river villages, but nothing was visible from a distance")</f>
        <v>After entering Palamau, I saw that there were all the river villages, but nothing was visible from a distance</v>
      </c>
      <c r="C5503" s="7" t="s">
        <v>6</v>
      </c>
      <c r="D5503" s="7" t="s">
        <v>7</v>
      </c>
      <c r="E5503" s="7">
        <v>0</v>
      </c>
    </row>
    <row r="5504" spans="1:5" ht="15.75" customHeight="1" x14ac:dyDescent="0.25">
      <c r="A5504" s="6" t="s">
        <v>292</v>
      </c>
      <c r="B5504" s="6" t="str">
        <f ca="1">IFERROR(__xludf.DUMMYFUNCTION("GOOGLETRANSLATE(A5504,""bn"",""en"")"),"Seeing that my hair was too long, the barber very enthusiastically tried to soften my hair in various ways.")</f>
        <v>Seeing that my hair was too long, the barber very enthusiastically tried to soften my hair in various ways.</v>
      </c>
      <c r="C5504" s="7" t="s">
        <v>6</v>
      </c>
      <c r="D5504" s="7" t="s">
        <v>7</v>
      </c>
      <c r="E5504" s="7">
        <v>0</v>
      </c>
    </row>
    <row r="5505" spans="1:5" ht="15.75" customHeight="1" x14ac:dyDescent="0.25">
      <c r="A5505" s="6" t="s">
        <v>5355</v>
      </c>
      <c r="B5505" s="6" t="str">
        <f ca="1">IFERROR(__xludf.DUMMYFUNCTION("GOOGLETRANSLATE(A5505,""bn"",""en"")"),"There were many objections to this in Anthapura")</f>
        <v>There were many objections to this in Anthapura</v>
      </c>
      <c r="C5505" s="7" t="s">
        <v>6</v>
      </c>
      <c r="D5505" s="7" t="s">
        <v>7</v>
      </c>
      <c r="E5505" s="7">
        <v>0</v>
      </c>
    </row>
    <row r="5506" spans="1:5" ht="15.75" customHeight="1" x14ac:dyDescent="0.25">
      <c r="A5506" s="6" t="s">
        <v>5356</v>
      </c>
      <c r="B5506" s="6" t="str">
        <f ca="1">IFERROR(__xludf.DUMMYFUNCTION("GOOGLETRANSLATE(A5506,""bn"",""en"")"),"I stood up and said it was a long night and went to the garden")</f>
        <v>I stood up and said it was a long night and went to the garden</v>
      </c>
      <c r="C5506" s="7" t="s">
        <v>6</v>
      </c>
      <c r="D5506" s="7" t="s">
        <v>7</v>
      </c>
      <c r="E5506" s="7">
        <v>0</v>
      </c>
    </row>
    <row r="5507" spans="1:5" ht="15.75" customHeight="1" x14ac:dyDescent="0.25">
      <c r="A5507" s="6" t="s">
        <v>5357</v>
      </c>
      <c r="B5507" s="6" t="str">
        <f ca="1">IFERROR(__xludf.DUMMYFUNCTION("GOOGLETRANSLATE(A5507,""bn"",""en"")"),"did you see them")</f>
        <v>did you see them</v>
      </c>
      <c r="C5507" s="8" t="s">
        <v>13</v>
      </c>
      <c r="D5507" s="8" t="s">
        <v>14</v>
      </c>
      <c r="E5507" s="8">
        <v>1</v>
      </c>
    </row>
    <row r="5508" spans="1:5" ht="15.75" customHeight="1" x14ac:dyDescent="0.25">
      <c r="A5508" s="6" t="s">
        <v>5358</v>
      </c>
      <c r="B5508" s="6" t="str">
        <f ca="1">IFERROR(__xludf.DUMMYFUNCTION("GOOGLETRANSLATE(A5508,""bn"",""en"")"),"President can suspend constitutional rights")</f>
        <v>President can suspend constitutional rights</v>
      </c>
      <c r="C5508" s="8" t="s">
        <v>13</v>
      </c>
      <c r="D5508" s="8" t="s">
        <v>14</v>
      </c>
      <c r="E5508" s="8">
        <v>1</v>
      </c>
    </row>
    <row r="5509" spans="1:5" ht="15.75" customHeight="1" x14ac:dyDescent="0.25">
      <c r="A5509" s="6" t="s">
        <v>5359</v>
      </c>
      <c r="B5509" s="6" t="str">
        <f ca="1">IFERROR(__xludf.DUMMYFUNCTION("GOOGLETRANSLATE(A5509,""bn"",""en"")"),"Software engineers develop algorithms to optimize website performance")</f>
        <v>Software engineers develop algorithms to optimize website performance</v>
      </c>
      <c r="C5509" s="8" t="s">
        <v>13</v>
      </c>
      <c r="D5509" s="8" t="s">
        <v>14</v>
      </c>
      <c r="E5509" s="8">
        <v>1</v>
      </c>
    </row>
    <row r="5510" spans="1:5" ht="15.75" customHeight="1" x14ac:dyDescent="0.25">
      <c r="A5510" s="6" t="s">
        <v>5360</v>
      </c>
      <c r="B5510" s="6" t="str">
        <f ca="1">IFERROR(__xludf.DUMMYFUNCTION("GOOGLETRANSLATE(A5510,""bn"",""en"")"),"Come to listen to Sufal's song")</f>
        <v>Come to listen to Sufal's song</v>
      </c>
      <c r="C5510" s="8" t="s">
        <v>13</v>
      </c>
      <c r="D5510" s="8" t="s">
        <v>14</v>
      </c>
      <c r="E5510" s="8">
        <v>1</v>
      </c>
    </row>
    <row r="5511" spans="1:5" ht="15.75" customHeight="1" x14ac:dyDescent="0.25">
      <c r="A5511" s="6" t="s">
        <v>5361</v>
      </c>
      <c r="B5511" s="6" t="str">
        <f ca="1">IFERROR(__xludf.DUMMYFUNCTION("GOOGLETRANSLATE(A5511,""bn"",""en"")"),"The soft glow of fireflies illuminates the night with their magical light, illuminating the darkness")</f>
        <v>The soft glow of fireflies illuminates the night with their magical light, illuminating the darkness</v>
      </c>
      <c r="C5511" s="8" t="s">
        <v>13</v>
      </c>
      <c r="D5511" s="8" t="s">
        <v>14</v>
      </c>
      <c r="E5511" s="8">
        <v>1</v>
      </c>
    </row>
    <row r="5512" spans="1:5" ht="15.75" customHeight="1" x14ac:dyDescent="0.25">
      <c r="A5512" s="6" t="s">
        <v>5362</v>
      </c>
      <c r="B5512" s="6" t="str">
        <f ca="1">IFERROR(__xludf.DUMMYFUNCTION("GOOGLETRANSLATE(A5512,""bn"",""en"")"),"Chest patia kept looking at my face")</f>
        <v>Chest patia kept looking at my face</v>
      </c>
      <c r="C5512" s="7" t="s">
        <v>6</v>
      </c>
      <c r="D5512" s="7" t="s">
        <v>7</v>
      </c>
      <c r="E5512" s="7">
        <v>0</v>
      </c>
    </row>
    <row r="5513" spans="1:5" ht="15.75" customHeight="1" x14ac:dyDescent="0.25">
      <c r="A5513" s="6" t="s">
        <v>5363</v>
      </c>
      <c r="B5513" s="6" t="str">
        <f ca="1">IFERROR(__xludf.DUMMYFUNCTION("GOOGLETRANSLATE(A5513,""bn"",""en"")"),"I had not eaten for about two days, and as soon as I heard about food, my hunger became more intense")</f>
        <v>I had not eaten for about two days, and as soon as I heard about food, my hunger became more intense</v>
      </c>
      <c r="C5513" s="7" t="s">
        <v>6</v>
      </c>
      <c r="D5513" s="7" t="s">
        <v>7</v>
      </c>
      <c r="E5513" s="7">
        <v>0</v>
      </c>
    </row>
    <row r="5514" spans="1:5" ht="15.75" customHeight="1" x14ac:dyDescent="0.25">
      <c r="A5514" s="6" t="s">
        <v>5364</v>
      </c>
      <c r="B5514" s="6" t="str">
        <f ca="1">IFERROR(__xludf.DUMMYFUNCTION("GOOGLETRANSLATE(A5514,""bn"",""en"")"),"My brother is working in the field")</f>
        <v>My brother is working in the field</v>
      </c>
      <c r="C5514" s="7" t="s">
        <v>6</v>
      </c>
      <c r="D5514" s="7" t="s">
        <v>7</v>
      </c>
      <c r="E5514" s="7">
        <v>0</v>
      </c>
    </row>
    <row r="5515" spans="1:5" ht="15.75" customHeight="1" x14ac:dyDescent="0.25">
      <c r="A5515" s="6" t="s">
        <v>5365</v>
      </c>
      <c r="B5515" s="6" t="str">
        <f ca="1">IFERROR(__xludf.DUMMYFUNCTION("GOOGLETRANSLATE(A5515,""bn"",""en"")"),"You said you would teach me music")</f>
        <v>You said you would teach me music</v>
      </c>
      <c r="C5515" s="7" t="s">
        <v>6</v>
      </c>
      <c r="D5515" s="7" t="s">
        <v>7</v>
      </c>
      <c r="E5515" s="7">
        <v>0</v>
      </c>
    </row>
    <row r="5516" spans="1:5" ht="15.75" customHeight="1" x14ac:dyDescent="0.25">
      <c r="A5516" s="6" t="s">
        <v>3812</v>
      </c>
      <c r="B5516" s="6" t="str">
        <f ca="1">IFERROR(__xludf.DUMMYFUNCTION("GOOGLETRANSLATE(A5516,""bn"",""en"")"),"I can understand the bravery of others only because I have done such anger myself many times")</f>
        <v>I can understand the bravery of others only because I have done such anger myself many times</v>
      </c>
      <c r="C5516" s="7" t="s">
        <v>6</v>
      </c>
      <c r="D5516" s="7" t="s">
        <v>7</v>
      </c>
      <c r="E5516" s="7">
        <v>0</v>
      </c>
    </row>
    <row r="5517" spans="1:5" ht="15.75" customHeight="1" x14ac:dyDescent="0.25">
      <c r="A5517" s="6" t="s">
        <v>5366</v>
      </c>
      <c r="B5517" s="6" t="str">
        <f ca="1">IFERROR(__xludf.DUMMYFUNCTION("GOOGLETRANSLATE(A5517,""bn"",""en"")"),"Climate smart agriculture aims to reduce adaptation to the impacts of climate change on agriculture")</f>
        <v>Climate smart agriculture aims to reduce adaptation to the impacts of climate change on agriculture</v>
      </c>
      <c r="C5517" s="8" t="s">
        <v>13</v>
      </c>
      <c r="D5517" s="8" t="s">
        <v>14</v>
      </c>
      <c r="E5517" s="8">
        <v>1</v>
      </c>
    </row>
    <row r="5518" spans="1:5" ht="15.75" customHeight="1" x14ac:dyDescent="0.25">
      <c r="A5518" s="6" t="s">
        <v>5367</v>
      </c>
      <c r="B5518" s="6" t="str">
        <f ca="1">IFERROR(__xludf.DUMMYFUNCTION("GOOGLETRANSLATE(A5518,""bn"",""en"")"),"While leaving, he slammed the door and showed his anger")</f>
        <v>While leaving, he slammed the door and showed his anger</v>
      </c>
      <c r="C5518" s="8" t="s">
        <v>13</v>
      </c>
      <c r="D5518" s="8" t="s">
        <v>14</v>
      </c>
      <c r="E5518" s="8">
        <v>1</v>
      </c>
    </row>
    <row r="5519" spans="1:5" ht="15.75" customHeight="1" x14ac:dyDescent="0.25">
      <c r="A5519" s="6" t="s">
        <v>5368</v>
      </c>
      <c r="B5519" s="6" t="str">
        <f ca="1">IFERROR(__xludf.DUMMYFUNCTION("GOOGLETRANSLATE(A5519,""bn"",""en"")"),"No one will laugh at me")</f>
        <v>No one will laugh at me</v>
      </c>
      <c r="C5519" s="8" t="s">
        <v>13</v>
      </c>
      <c r="D5519" s="8" t="s">
        <v>14</v>
      </c>
      <c r="E5519" s="8">
        <v>1</v>
      </c>
    </row>
    <row r="5520" spans="1:5" ht="15.75" customHeight="1" x14ac:dyDescent="0.25">
      <c r="A5520" s="6" t="s">
        <v>5369</v>
      </c>
      <c r="B5520" s="6" t="str">
        <f ca="1">IFERROR(__xludf.DUMMYFUNCTION("GOOGLETRANSLATE(A5520,""bn"",""en"")"),"Hong Kong's economy is very strong")</f>
        <v>Hong Kong's economy is very strong</v>
      </c>
      <c r="C5520" s="8" t="s">
        <v>13</v>
      </c>
      <c r="D5520" s="8" t="s">
        <v>14</v>
      </c>
      <c r="E5520" s="8">
        <v>1</v>
      </c>
    </row>
    <row r="5521" spans="1:5" ht="15.75" customHeight="1" x14ac:dyDescent="0.25">
      <c r="A5521" s="6" t="s">
        <v>5370</v>
      </c>
      <c r="B5521" s="6" t="str">
        <f ca="1">IFERROR(__xludf.DUMMYFUNCTION("GOOGLETRANSLATE(A5521,""bn"",""en"")"),"Exercise brings quiet wonder")</f>
        <v>Exercise brings quiet wonder</v>
      </c>
      <c r="C5521" s="8" t="s">
        <v>13</v>
      </c>
      <c r="D5521" s="8" t="s">
        <v>14</v>
      </c>
      <c r="E5521" s="8">
        <v>1</v>
      </c>
    </row>
    <row r="5522" spans="1:5" ht="15.75" customHeight="1" x14ac:dyDescent="0.25">
      <c r="A5522" s="6" t="s">
        <v>2806</v>
      </c>
      <c r="B5522" s="6" t="str">
        <f ca="1">IFERROR(__xludf.DUMMYFUNCTION("GOOGLETRANSLATE(A5522,""bn"",""en"")"),"Then the heavenly angel went to the bald man before")</f>
        <v>Then the heavenly angel went to the bald man before</v>
      </c>
      <c r="C5522" s="7" t="s">
        <v>6</v>
      </c>
      <c r="D5522" s="7" t="s">
        <v>7</v>
      </c>
      <c r="E5522" s="7">
        <v>0</v>
      </c>
    </row>
    <row r="5523" spans="1:5" ht="15.75" customHeight="1" x14ac:dyDescent="0.25">
      <c r="A5523" s="6" t="s">
        <v>5371</v>
      </c>
      <c r="B5523" s="6" t="str">
        <f ca="1">IFERROR(__xludf.DUMMYFUNCTION("GOOGLETRANSLATE(A5523,""bn"",""en"")"),"He asked Fatik how to go to Calcutta with Fatik uncle")</f>
        <v>He asked Fatik how to go to Calcutta with Fatik uncle</v>
      </c>
      <c r="C5523" s="7" t="s">
        <v>6</v>
      </c>
      <c r="D5523" s="7" t="s">
        <v>7</v>
      </c>
      <c r="E5523" s="7">
        <v>0</v>
      </c>
    </row>
    <row r="5524" spans="1:5" ht="15.75" customHeight="1" x14ac:dyDescent="0.25">
      <c r="A5524" s="6" t="s">
        <v>5372</v>
      </c>
      <c r="B5524" s="6" t="str">
        <f ca="1">IFERROR(__xludf.DUMMYFUNCTION("GOOGLETRANSLATE(A5524,""bn"",""en"")"),"Shashi had become a man under the rule of his father")</f>
        <v>Shashi had become a man under the rule of his father</v>
      </c>
      <c r="C5524" s="7" t="s">
        <v>6</v>
      </c>
      <c r="D5524" s="7" t="s">
        <v>7</v>
      </c>
      <c r="E5524" s="7">
        <v>0</v>
      </c>
    </row>
    <row r="5525" spans="1:5" ht="15.75" customHeight="1" x14ac:dyDescent="0.25">
      <c r="A5525" s="6" t="s">
        <v>5373</v>
      </c>
      <c r="B5525" s="6" t="str">
        <f ca="1">IFERROR(__xludf.DUMMYFUNCTION("GOOGLETRANSLATE(A5525,""bn"",""en"")"),"Once again, everyone's head is filled with a smile")</f>
        <v>Once again, everyone's head is filled with a smile</v>
      </c>
      <c r="C5525" s="7" t="s">
        <v>6</v>
      </c>
      <c r="D5525" s="7" t="s">
        <v>7</v>
      </c>
      <c r="E5525" s="7">
        <v>0</v>
      </c>
    </row>
    <row r="5526" spans="1:5" ht="15.75" customHeight="1" x14ac:dyDescent="0.25">
      <c r="A5526" s="6" t="s">
        <v>5374</v>
      </c>
      <c r="B5526" s="6" t="str">
        <f ca="1">IFERROR(__xludf.DUMMYFUNCTION("GOOGLETRANSLATE(A5526,""bn"",""en"")"),"I asked him how far he had finished studying for the exam")</f>
        <v>I asked him how far he had finished studying for the exam</v>
      </c>
      <c r="C5526" s="7" t="s">
        <v>6</v>
      </c>
      <c r="D5526" s="7" t="s">
        <v>7</v>
      </c>
      <c r="E5526" s="7">
        <v>0</v>
      </c>
    </row>
    <row r="5527" spans="1:5" ht="15.75" customHeight="1" x14ac:dyDescent="0.25">
      <c r="A5527" s="6" t="s">
        <v>5375</v>
      </c>
      <c r="B5527" s="6" t="str">
        <f ca="1">IFERROR(__xludf.DUMMYFUNCTION("GOOGLETRANSLATE(A5527,""bn"",""en"")"),"The sad news of that day made him unconscious")</f>
        <v>The sad news of that day made him unconscious</v>
      </c>
      <c r="C5527" s="8" t="s">
        <v>13</v>
      </c>
      <c r="D5527" s="8" t="s">
        <v>14</v>
      </c>
      <c r="E5527" s="8">
        <v>1</v>
      </c>
    </row>
    <row r="5528" spans="1:5" ht="15.75" customHeight="1" x14ac:dyDescent="0.25">
      <c r="A5528" s="6" t="s">
        <v>5376</v>
      </c>
      <c r="B5528" s="6" t="str">
        <f ca="1">IFERROR(__xludf.DUMMYFUNCTION("GOOGLETRANSLATE(A5528,""bn"",""en"")"),"The Supreme Electoral Council conducts voter registration elections")</f>
        <v>The Supreme Electoral Council conducts voter registration elections</v>
      </c>
      <c r="C5528" s="8" t="s">
        <v>13</v>
      </c>
      <c r="D5528" s="8" t="s">
        <v>14</v>
      </c>
      <c r="E5528" s="8">
        <v>1</v>
      </c>
    </row>
    <row r="5529" spans="1:5" ht="15.75" customHeight="1" x14ac:dyDescent="0.25">
      <c r="A5529" s="6" t="s">
        <v>5377</v>
      </c>
      <c r="B5529" s="6" t="str">
        <f ca="1">IFERROR(__xludf.DUMMYFUNCTION("GOOGLETRANSLATE(A5529,""bn"",""en"")"),"We are all playing together")</f>
        <v>We are all playing together</v>
      </c>
      <c r="C5529" s="8" t="s">
        <v>13</v>
      </c>
      <c r="D5529" s="8" t="s">
        <v>14</v>
      </c>
      <c r="E5529" s="8">
        <v>1</v>
      </c>
    </row>
    <row r="5530" spans="1:5" ht="15.75" customHeight="1" x14ac:dyDescent="0.25">
      <c r="A5530" s="6" t="s">
        <v>5378</v>
      </c>
      <c r="B5530" s="6" t="str">
        <f ca="1">IFERROR(__xludf.DUMMYFUNCTION("GOOGLETRANSLATE(A5530,""bn"",""en"")"),"I finished this job a long time ago")</f>
        <v>I finished this job a long time ago</v>
      </c>
      <c r="C5530" s="8" t="s">
        <v>13</v>
      </c>
      <c r="D5530" s="8" t="s">
        <v>14</v>
      </c>
      <c r="E5530" s="8">
        <v>1</v>
      </c>
    </row>
    <row r="5531" spans="1:5" ht="15.75" customHeight="1" x14ac:dyDescent="0.25">
      <c r="A5531" s="6" t="s">
        <v>5379</v>
      </c>
      <c r="B5531" s="6" t="str">
        <f ca="1">IFERROR(__xludf.DUMMYFUNCTION("GOOGLETRANSLATE(A5531,""bn"",""en"")"),"Educational interventions aim to promote academic success for all students")</f>
        <v>Educational interventions aim to promote academic success for all students</v>
      </c>
      <c r="C5531" s="8" t="s">
        <v>13</v>
      </c>
      <c r="D5531" s="8" t="s">
        <v>14</v>
      </c>
      <c r="E5531" s="8">
        <v>1</v>
      </c>
    </row>
    <row r="5532" spans="1:5" ht="15.75" customHeight="1" x14ac:dyDescent="0.25">
      <c r="A5532" s="6" t="s">
        <v>5380</v>
      </c>
      <c r="B5532" s="6" t="str">
        <f ca="1">IFERROR(__xludf.DUMMYFUNCTION("GOOGLETRANSLATE(A5532,""bn"",""en"")"),"He looked at me with a nod")</f>
        <v>He looked at me with a nod</v>
      </c>
      <c r="C5532" s="7" t="s">
        <v>6</v>
      </c>
      <c r="D5532" s="7" t="s">
        <v>7</v>
      </c>
      <c r="E5532" s="7">
        <v>0</v>
      </c>
    </row>
    <row r="5533" spans="1:5" ht="15.75" customHeight="1" x14ac:dyDescent="0.25">
      <c r="A5533" s="6" t="s">
        <v>5381</v>
      </c>
      <c r="B5533" s="6" t="str">
        <f ca="1">IFERROR(__xludf.DUMMYFUNCTION("GOOGLETRANSLATE(A5533,""bn"",""en"")"),"How he was cowering in the dark room")</f>
        <v>How he was cowering in the dark room</v>
      </c>
      <c r="C5533" s="7" t="s">
        <v>6</v>
      </c>
      <c r="D5533" s="7" t="s">
        <v>7</v>
      </c>
      <c r="E5533" s="7">
        <v>0</v>
      </c>
    </row>
    <row r="5534" spans="1:5" ht="15.75" customHeight="1" x14ac:dyDescent="0.25">
      <c r="A5534" s="6" t="s">
        <v>5382</v>
      </c>
      <c r="B5534" s="6" t="str">
        <f ca="1">IFERROR(__xludf.DUMMYFUNCTION("GOOGLETRANSLATE(A5534,""bn"",""en"")"),"Dejected, he turned and lay down on his side, facing the wall again")</f>
        <v>Dejected, he turned and lay down on his side, facing the wall again</v>
      </c>
      <c r="C5534" s="7" t="s">
        <v>6</v>
      </c>
      <c r="D5534" s="7" t="s">
        <v>7</v>
      </c>
      <c r="E5534" s="7">
        <v>0</v>
      </c>
    </row>
    <row r="5535" spans="1:5" ht="15.75" customHeight="1" x14ac:dyDescent="0.25">
      <c r="A5535" s="6" t="s">
        <v>5383</v>
      </c>
      <c r="B5535" s="6" t="str">
        <f ca="1">IFERROR(__xludf.DUMMYFUNCTION("GOOGLETRANSLATE(A5535,""bn"",""en"")"),"He insisted that he will get you")</f>
        <v>He insisted that he will get you</v>
      </c>
      <c r="C5535" s="7" t="s">
        <v>6</v>
      </c>
      <c r="D5535" s="7" t="s">
        <v>7</v>
      </c>
      <c r="E5535" s="7">
        <v>0</v>
      </c>
    </row>
    <row r="5536" spans="1:5" ht="15.75" customHeight="1" x14ac:dyDescent="0.25">
      <c r="A5536" s="6" t="s">
        <v>5384</v>
      </c>
      <c r="B5536" s="6" t="str">
        <f ca="1">IFERROR(__xludf.DUMMYFUNCTION("GOOGLETRANSLATE(A5536,""bn"",""en"")"),"If the Guru's respect is not the highest, danger will occur")</f>
        <v>If the Guru's respect is not the highest, danger will occur</v>
      </c>
      <c r="C5536" s="7" t="s">
        <v>6</v>
      </c>
      <c r="D5536" s="7" t="s">
        <v>7</v>
      </c>
      <c r="E5536" s="7">
        <v>0</v>
      </c>
    </row>
    <row r="5537" spans="1:5" ht="15.75" customHeight="1" x14ac:dyDescent="0.25">
      <c r="A5537" s="6" t="s">
        <v>5385</v>
      </c>
      <c r="B5537" s="6" t="str">
        <f ca="1">IFERROR(__xludf.DUMMYFUNCTION("GOOGLETRANSLATE(A5537,""bn"",""en"")"),"During the year he gained popularity as a foreign dancer")</f>
        <v>During the year he gained popularity as a foreign dancer</v>
      </c>
      <c r="C5537" s="8" t="s">
        <v>13</v>
      </c>
      <c r="D5537" s="8" t="s">
        <v>14</v>
      </c>
      <c r="E5537" s="8">
        <v>1</v>
      </c>
    </row>
    <row r="5538" spans="1:5" ht="15.75" customHeight="1" x14ac:dyDescent="0.25">
      <c r="A5538" s="6" t="s">
        <v>5386</v>
      </c>
      <c r="B5538" s="6" t="str">
        <f ca="1">IFERROR(__xludf.DUMMYFUNCTION("GOOGLETRANSLATE(A5538,""bn"",""en"")"),"Follow us for technical improvement")</f>
        <v>Follow us for technical improvement</v>
      </c>
      <c r="C5538" s="8" t="s">
        <v>13</v>
      </c>
      <c r="D5538" s="8" t="s">
        <v>14</v>
      </c>
      <c r="E5538" s="8">
        <v>1</v>
      </c>
    </row>
    <row r="5539" spans="1:5" ht="15.75" customHeight="1" x14ac:dyDescent="0.25">
      <c r="A5539" s="6" t="s">
        <v>5387</v>
      </c>
      <c r="B5539" s="6" t="str">
        <f ca="1">IFERROR(__xludf.DUMMYFUNCTION("GOOGLETRANSLATE(A5539,""bn"",""en"")"),"Then I divided them into batches")</f>
        <v>Then I divided them into batches</v>
      </c>
      <c r="C5539" s="8" t="s">
        <v>13</v>
      </c>
      <c r="D5539" s="8" t="s">
        <v>14</v>
      </c>
      <c r="E5539" s="8">
        <v>1</v>
      </c>
    </row>
    <row r="5540" spans="1:5" ht="15.75" customHeight="1" x14ac:dyDescent="0.25">
      <c r="A5540" s="6" t="s">
        <v>5388</v>
      </c>
      <c r="B5540" s="6" t="str">
        <f ca="1">IFERROR(__xludf.DUMMYFUNCTION("GOOGLETRANSLATE(A5540,""bn"",""en"")"),"Raju will not eat rice now")</f>
        <v>Raju will not eat rice now</v>
      </c>
      <c r="C5540" s="8" t="s">
        <v>13</v>
      </c>
      <c r="D5540" s="8" t="s">
        <v>14</v>
      </c>
      <c r="E5540" s="8">
        <v>1</v>
      </c>
    </row>
    <row r="5541" spans="1:5" ht="15.75" customHeight="1" x14ac:dyDescent="0.25">
      <c r="A5541" s="6" t="s">
        <v>5389</v>
      </c>
      <c r="B5541" s="6" t="str">
        <f ca="1">IFERROR(__xludf.DUMMYFUNCTION("GOOGLETRANSLATE(A5541,""bn"",""en"")"),"Elegant plating enhances the dining experience")</f>
        <v>Elegant plating enhances the dining experience</v>
      </c>
      <c r="C5541" s="8" t="s">
        <v>13</v>
      </c>
      <c r="D5541" s="8" t="s">
        <v>14</v>
      </c>
      <c r="E5541" s="8">
        <v>1</v>
      </c>
    </row>
    <row r="5542" spans="1:5" ht="15.75" customHeight="1" x14ac:dyDescent="0.25">
      <c r="A5542" s="6" t="s">
        <v>5390</v>
      </c>
      <c r="B5542" s="6" t="str">
        <f ca="1">IFERROR(__xludf.DUMMYFUNCTION("GOOGLETRANSLATE(A5542,""bn"",""en"")"),"It is true to say that sacrifice is not suffering")</f>
        <v>It is true to say that sacrifice is not suffering</v>
      </c>
      <c r="C5542" s="7" t="s">
        <v>6</v>
      </c>
      <c r="D5542" s="7" t="s">
        <v>7</v>
      </c>
      <c r="E5542" s="7">
        <v>0</v>
      </c>
    </row>
    <row r="5543" spans="1:5" ht="15.75" customHeight="1" x14ac:dyDescent="0.25">
      <c r="A5543" s="6" t="s">
        <v>5391</v>
      </c>
      <c r="B5543" s="6" t="str">
        <f ca="1">IFERROR(__xludf.DUMMYFUNCTION("GOOGLETRANSLATE(A5543,""bn"",""en"")"),"That's what I heard Radhe Manyung")</f>
        <v>That's what I heard Radhe Manyung</v>
      </c>
      <c r="C5543" s="7" t="s">
        <v>6</v>
      </c>
      <c r="D5543" s="7" t="s">
        <v>7</v>
      </c>
      <c r="E5543" s="7">
        <v>0</v>
      </c>
    </row>
    <row r="5544" spans="1:5" ht="15.75" customHeight="1" x14ac:dyDescent="0.25">
      <c r="A5544" s="6" t="s">
        <v>5392</v>
      </c>
      <c r="B5544" s="6" t="str">
        <f ca="1">IFERROR(__xludf.DUMMYFUNCTION("GOOGLETRANSLATE(A5544,""bn"",""en"")"),"The money saved by cutting the hair should be used to buy pens")</f>
        <v>The money saved by cutting the hair should be used to buy pens</v>
      </c>
      <c r="C5544" s="7" t="s">
        <v>6</v>
      </c>
      <c r="D5544" s="7" t="s">
        <v>7</v>
      </c>
      <c r="E5544" s="7">
        <v>0</v>
      </c>
    </row>
    <row r="5545" spans="1:5" ht="15.75" customHeight="1" x14ac:dyDescent="0.25">
      <c r="A5545" s="6" t="s">
        <v>5393</v>
      </c>
      <c r="B5545" s="6" t="str">
        <f ca="1">IFERROR(__xludf.DUMMYFUNCTION("GOOGLETRANSLATE(A5545,""bn"",""en"")"),"They are also gradually disappearing under the authority of the Sahibs")</f>
        <v>They are also gradually disappearing under the authority of the Sahibs</v>
      </c>
      <c r="C5545" s="7" t="s">
        <v>6</v>
      </c>
      <c r="D5545" s="7" t="s">
        <v>7</v>
      </c>
      <c r="E5545" s="7">
        <v>0</v>
      </c>
    </row>
    <row r="5546" spans="1:5" ht="15.75" customHeight="1" x14ac:dyDescent="0.25">
      <c r="A5546" s="6" t="s">
        <v>5394</v>
      </c>
      <c r="B5546" s="6" t="str">
        <f ca="1">IFERROR(__xludf.DUMMYFUNCTION("GOOGLETRANSLATE(A5546,""bn"",""en"")"),"He was very neglectful of his body")</f>
        <v>He was very neglectful of his body</v>
      </c>
      <c r="C5546" s="7" t="s">
        <v>6</v>
      </c>
      <c r="D5546" s="7" t="s">
        <v>7</v>
      </c>
      <c r="E5546" s="7">
        <v>0</v>
      </c>
    </row>
    <row r="5547" spans="1:5" ht="15.75" customHeight="1" x14ac:dyDescent="0.25">
      <c r="A5547" s="6" t="s">
        <v>5395</v>
      </c>
      <c r="B5547" s="6" t="str">
        <f ca="1">IFERROR(__xludf.DUMMYFUNCTION("GOOGLETRANSLATE(A5547,""bn"",""en"")"),"Salam is an exchange of peace")</f>
        <v>Salam is an exchange of peace</v>
      </c>
      <c r="C5547" s="8" t="s">
        <v>13</v>
      </c>
      <c r="D5547" s="8" t="s">
        <v>14</v>
      </c>
      <c r="E5547" s="8">
        <v>1</v>
      </c>
    </row>
    <row r="5548" spans="1:5" ht="15.75" customHeight="1" x14ac:dyDescent="0.25">
      <c r="A5548" s="6" t="s">
        <v>5396</v>
      </c>
      <c r="B5548" s="6" t="str">
        <f ca="1">IFERROR(__xludf.DUMMYFUNCTION("GOOGLETRANSLATE(A5548,""bn"",""en"")"),"Find joy in the little things")</f>
        <v>Find joy in the little things</v>
      </c>
      <c r="C5548" s="8" t="s">
        <v>13</v>
      </c>
      <c r="D5548" s="8" t="s">
        <v>14</v>
      </c>
      <c r="E5548" s="8">
        <v>1</v>
      </c>
    </row>
    <row r="5549" spans="1:5" ht="15.75" customHeight="1" x14ac:dyDescent="0.25">
      <c r="A5549" s="6" t="s">
        <v>5397</v>
      </c>
      <c r="B5549" s="6" t="str">
        <f ca="1">IFERROR(__xludf.DUMMYFUNCTION("GOOGLETRANSLATE(A5549,""bn"",""en"")"),"Rafiq is much better than him")</f>
        <v>Rafiq is much better than him</v>
      </c>
      <c r="C5549" s="8" t="s">
        <v>13</v>
      </c>
      <c r="D5549" s="8" t="s">
        <v>14</v>
      </c>
      <c r="E5549" s="8">
        <v>1</v>
      </c>
    </row>
    <row r="5550" spans="1:5" ht="15.75" customHeight="1" x14ac:dyDescent="0.25">
      <c r="A5550" s="6" t="s">
        <v>5398</v>
      </c>
      <c r="B5550" s="6" t="str">
        <f ca="1">IFERROR(__xludf.DUMMYFUNCTION("GOOGLETRANSLATE(A5550,""bn"",""en"")"),"Mix cardio with strength training")</f>
        <v>Mix cardio with strength training</v>
      </c>
      <c r="C5550" s="8" t="s">
        <v>13</v>
      </c>
      <c r="D5550" s="8" t="s">
        <v>14</v>
      </c>
      <c r="E5550" s="8">
        <v>1</v>
      </c>
    </row>
    <row r="5551" spans="1:5" ht="15.75" customHeight="1" x14ac:dyDescent="0.25">
      <c r="A5551" s="6" t="s">
        <v>5399</v>
      </c>
      <c r="B5551" s="6" t="str">
        <f ca="1">IFERROR(__xludf.DUMMYFUNCTION("GOOGLETRANSLATE(A5551,""bn"",""en"")"),"This fish can be easily cultivated along with other fish like roe")</f>
        <v>This fish can be easily cultivated along with other fish like roe</v>
      </c>
      <c r="C5551" s="8" t="s">
        <v>13</v>
      </c>
      <c r="D5551" s="8" t="s">
        <v>14</v>
      </c>
      <c r="E5551" s="8">
        <v>1</v>
      </c>
    </row>
    <row r="5552" spans="1:5" ht="15.75" customHeight="1" x14ac:dyDescent="0.25">
      <c r="A5552" s="6" t="s">
        <v>5400</v>
      </c>
      <c r="B5552" s="6" t="str">
        <f ca="1">IFERROR(__xludf.DUMMYFUNCTION("GOOGLETRANSLATE(A5552,""bn"",""en"")"),"He stood for a minute and asked everyone in the house for no reason")</f>
        <v>He stood for a minute and asked everyone in the house for no reason</v>
      </c>
      <c r="C5552" s="7" t="s">
        <v>6</v>
      </c>
      <c r="D5552" s="7" t="s">
        <v>7</v>
      </c>
      <c r="E5552" s="7">
        <v>0</v>
      </c>
    </row>
    <row r="5553" spans="1:5" ht="15.75" customHeight="1" x14ac:dyDescent="0.25">
      <c r="A5553" s="6" t="s">
        <v>5401</v>
      </c>
      <c r="B5553" s="6" t="str">
        <f ca="1">IFERROR(__xludf.DUMMYFUNCTION("GOOGLETRANSLATE(A5553,""bn"",""en"")"),"He realized his mistake and repented")</f>
        <v>He realized his mistake and repented</v>
      </c>
      <c r="C5553" s="7" t="s">
        <v>6</v>
      </c>
      <c r="D5553" s="7" t="s">
        <v>7</v>
      </c>
      <c r="E5553" s="7">
        <v>0</v>
      </c>
    </row>
    <row r="5554" spans="1:5" ht="15.75" customHeight="1" x14ac:dyDescent="0.25">
      <c r="A5554" s="6" t="s">
        <v>5402</v>
      </c>
      <c r="B5554" s="6" t="str">
        <f ca="1">IFERROR(__xludf.DUMMYFUNCTION("GOOGLETRANSLATE(A5554,""bn"",""en"")"),"The watch passed and the afternoon came")</f>
        <v>The watch passed and the afternoon came</v>
      </c>
      <c r="C5554" s="7" t="s">
        <v>6</v>
      </c>
      <c r="D5554" s="7" t="s">
        <v>7</v>
      </c>
      <c r="E5554" s="7">
        <v>0</v>
      </c>
    </row>
    <row r="5555" spans="1:5" ht="15.75" customHeight="1" x14ac:dyDescent="0.25">
      <c r="A5555" s="6" t="s">
        <v>5403</v>
      </c>
      <c r="B5555" s="6" t="str">
        <f ca="1">IFERROR(__xludf.DUMMYFUNCTION("GOOGLETRANSLATE(A5555,""bn"",""en"")"),"Was there anything written on me that night—but you read it?")</f>
        <v>Was there anything written on me that night—but you read it?</v>
      </c>
      <c r="C5555" s="7" t="s">
        <v>6</v>
      </c>
      <c r="D5555" s="7" t="s">
        <v>7</v>
      </c>
      <c r="E5555" s="7">
        <v>0</v>
      </c>
    </row>
    <row r="5556" spans="1:5" ht="15.75" customHeight="1" x14ac:dyDescent="0.25">
      <c r="A5556" s="6" t="s">
        <v>5404</v>
      </c>
      <c r="B5556" s="6" t="str">
        <f ca="1">IFERROR(__xludf.DUMMYFUNCTION("GOOGLETRANSLATE(A5556,""bn"",""en"")"),"I went to market")</f>
        <v>I went to market</v>
      </c>
      <c r="C5556" s="7" t="s">
        <v>6</v>
      </c>
      <c r="D5556" s="7" t="s">
        <v>7</v>
      </c>
      <c r="E5556" s="7">
        <v>0</v>
      </c>
    </row>
    <row r="5557" spans="1:5" ht="15.75" customHeight="1" x14ac:dyDescent="0.25">
      <c r="A5557" s="6" t="s">
        <v>5405</v>
      </c>
      <c r="B5557" s="6" t="str">
        <f ca="1">IFERROR(__xludf.DUMMYFUNCTION("GOOGLETRANSLATE(A5557,""bn"",""en"")"),"Kura was his favorite bird")</f>
        <v>Kura was his favorite bird</v>
      </c>
      <c r="C5557" s="8" t="s">
        <v>13</v>
      </c>
      <c r="D5557" s="8" t="s">
        <v>14</v>
      </c>
      <c r="E5557" s="8">
        <v>1</v>
      </c>
    </row>
    <row r="5558" spans="1:5" ht="15.75" customHeight="1" x14ac:dyDescent="0.25">
      <c r="A5558" s="6" t="s">
        <v>5406</v>
      </c>
      <c r="B5558" s="6" t="str">
        <f ca="1">IFERROR(__xludf.DUMMYFUNCTION("GOOGLETRANSLATE(A5558,""bn"",""en"")"),"Nilganj Juma Masjid has a separate imam")</f>
        <v>Nilganj Juma Masjid has a separate imam</v>
      </c>
      <c r="C5558" s="8" t="s">
        <v>13</v>
      </c>
      <c r="D5558" s="8" t="s">
        <v>14</v>
      </c>
      <c r="E5558" s="8">
        <v>1</v>
      </c>
    </row>
    <row r="5559" spans="1:5" ht="15.75" customHeight="1" x14ac:dyDescent="0.25">
      <c r="A5559" s="6" t="s">
        <v>5407</v>
      </c>
      <c r="B5559" s="6" t="str">
        <f ca="1">IFERROR(__xludf.DUMMYFUNCTION("GOOGLETRANSLATE(A5559,""bn"",""en"")"),"If you cannot love your work, you will never lead a happy life")</f>
        <v>If you cannot love your work, you will never lead a happy life</v>
      </c>
      <c r="C5559" s="8" t="s">
        <v>13</v>
      </c>
      <c r="D5559" s="8" t="s">
        <v>14</v>
      </c>
      <c r="E5559" s="8">
        <v>1</v>
      </c>
    </row>
    <row r="5560" spans="1:5" ht="15.75" customHeight="1" x14ac:dyDescent="0.25">
      <c r="A5560" s="6" t="s">
        <v>5408</v>
      </c>
      <c r="B5560" s="6" t="str">
        <f ca="1">IFERROR(__xludf.DUMMYFUNCTION("GOOGLETRANSLATE(A5560,""bn"",""en"")"),"I saved money for Eid")</f>
        <v>I saved money for Eid</v>
      </c>
      <c r="C5560" s="8" t="s">
        <v>13</v>
      </c>
      <c r="D5560" s="8" t="s">
        <v>14</v>
      </c>
      <c r="E5560" s="8">
        <v>1</v>
      </c>
    </row>
    <row r="5561" spans="1:5" ht="15.75" customHeight="1" x14ac:dyDescent="0.25">
      <c r="A5561" s="6" t="s">
        <v>5409</v>
      </c>
      <c r="B5561" s="6" t="str">
        <f ca="1">IFERROR(__xludf.DUMMYFUNCTION("GOOGLETRANSLATE(A5561,""bn"",""en"")"),"After the outbreak of World War II, he returned to Japan")</f>
        <v>After the outbreak of World War II, he returned to Japan</v>
      </c>
      <c r="C5561" s="8" t="s">
        <v>13</v>
      </c>
      <c r="D5561" s="8" t="s">
        <v>14</v>
      </c>
      <c r="E5561" s="8">
        <v>1</v>
      </c>
    </row>
    <row r="5562" spans="1:5" ht="15.75" customHeight="1" x14ac:dyDescent="0.25">
      <c r="A5562" s="6" t="s">
        <v>5410</v>
      </c>
      <c r="B5562" s="6" t="str">
        <f ca="1">IFERROR(__xludf.DUMMYFUNCTION("GOOGLETRANSLATE(A5562,""bn"",""en"")"),"Snatching the lamp from Kusum's hand, he went to the kitchen and lit the lamp with a stick of jute.")</f>
        <v>Snatching the lamp from Kusum's hand, he went to the kitchen and lit the lamp with a stick of jute.</v>
      </c>
      <c r="C5562" s="7" t="s">
        <v>6</v>
      </c>
      <c r="D5562" s="7" t="s">
        <v>7</v>
      </c>
      <c r="E5562" s="7">
        <v>0</v>
      </c>
    </row>
    <row r="5563" spans="1:5" ht="15.75" customHeight="1" x14ac:dyDescent="0.25">
      <c r="A5563" s="6" t="s">
        <v>5411</v>
      </c>
      <c r="B5563" s="6" t="str">
        <f ca="1">IFERROR(__xludf.DUMMYFUNCTION("GOOGLETRANSLATE(A5563,""bn"",""en"")"),"If you had come today, I would have gone with you")</f>
        <v>If you had come today, I would have gone with you</v>
      </c>
      <c r="C5563" s="7" t="s">
        <v>6</v>
      </c>
      <c r="D5563" s="7" t="s">
        <v>7</v>
      </c>
      <c r="E5563" s="7">
        <v>0</v>
      </c>
    </row>
    <row r="5564" spans="1:5" ht="15.75" customHeight="1" x14ac:dyDescent="0.25">
      <c r="A5564" s="6" t="s">
        <v>5412</v>
      </c>
      <c r="B5564" s="6" t="str">
        <f ca="1">IFERROR(__xludf.DUMMYFUNCTION("GOOGLETRANSLATE(A5564,""bn"",""en"")"),"Rahim went to the market to buy fish")</f>
        <v>Rahim went to the market to buy fish</v>
      </c>
      <c r="C5564" s="7" t="s">
        <v>6</v>
      </c>
      <c r="D5564" s="7" t="s">
        <v>7</v>
      </c>
      <c r="E5564" s="7">
        <v>0</v>
      </c>
    </row>
    <row r="5565" spans="1:5" ht="15.75" customHeight="1" x14ac:dyDescent="0.25">
      <c r="A5565" s="6" t="s">
        <v>5413</v>
      </c>
      <c r="B5565" s="6" t="str">
        <f ca="1">IFERROR(__xludf.DUMMYFUNCTION("GOOGLETRANSLATE(A5565,""bn"",""en"")"),"Both the father and the daughter were crying and neither of them could speak.")</f>
        <v>Both the father and the daughter were crying and neither of them could speak.</v>
      </c>
      <c r="C5565" s="7" t="s">
        <v>6</v>
      </c>
      <c r="D5565" s="7" t="s">
        <v>7</v>
      </c>
      <c r="E5565" s="7">
        <v>0</v>
      </c>
    </row>
    <row r="5566" spans="1:5" ht="15.75" customHeight="1" x14ac:dyDescent="0.25">
      <c r="A5566" s="6" t="s">
        <v>5414</v>
      </c>
      <c r="B5566" s="6" t="str">
        <f ca="1">IFERROR(__xludf.DUMMYFUNCTION("GOOGLETRANSLATE(A5566,""bn"",""en"")"),"The weedy jungles that grow year-round in the ponds are now poisoned, gasping under the water of the monsoons.")</f>
        <v>The weedy jungles that grow year-round in the ponds are now poisoned, gasping under the water of the monsoons.</v>
      </c>
      <c r="C5566" s="7" t="s">
        <v>6</v>
      </c>
      <c r="D5566" s="7" t="s">
        <v>7</v>
      </c>
      <c r="E5566" s="7">
        <v>0</v>
      </c>
    </row>
    <row r="5567" spans="1:5" ht="15.75" customHeight="1" x14ac:dyDescent="0.25">
      <c r="A5567" s="6" t="s">
        <v>3818</v>
      </c>
      <c r="B5567" s="6" t="str">
        <f ca="1">IFERROR(__xludf.DUMMYFUNCTION("GOOGLETRANSLATE(A5567,""bn"",""en"")"),"So India got involved in the war despite opposing the war")</f>
        <v>So India got involved in the war despite opposing the war</v>
      </c>
      <c r="C5567" s="8" t="s">
        <v>13</v>
      </c>
      <c r="D5567" s="8" t="s">
        <v>14</v>
      </c>
      <c r="E5567" s="8">
        <v>1</v>
      </c>
    </row>
    <row r="5568" spans="1:5" ht="15.75" customHeight="1" x14ac:dyDescent="0.25">
      <c r="A5568" s="6" t="s">
        <v>5415</v>
      </c>
      <c r="B5568" s="6" t="str">
        <f ca="1">IFERROR(__xludf.DUMMYFUNCTION("GOOGLETRANSLATE(A5568,""bn"",""en"")"),"where are you from")</f>
        <v>where are you from</v>
      </c>
      <c r="C5568" s="8" t="s">
        <v>13</v>
      </c>
      <c r="D5568" s="8" t="s">
        <v>14</v>
      </c>
      <c r="E5568" s="8">
        <v>1</v>
      </c>
    </row>
    <row r="5569" spans="1:5" ht="15.75" customHeight="1" x14ac:dyDescent="0.25">
      <c r="A5569" s="6" t="s">
        <v>5416</v>
      </c>
      <c r="B5569" s="6" t="str">
        <f ca="1">IFERROR(__xludf.DUMMYFUNCTION("GOOGLETRANSLATE(A5569,""bn"",""en"")"),"It's not right")</f>
        <v>It's not right</v>
      </c>
      <c r="C5569" s="8" t="s">
        <v>13</v>
      </c>
      <c r="D5569" s="8" t="s">
        <v>14</v>
      </c>
      <c r="E5569" s="8">
        <v>1</v>
      </c>
    </row>
    <row r="5570" spans="1:5" ht="15.75" customHeight="1" x14ac:dyDescent="0.25">
      <c r="A5570" s="6" t="s">
        <v>5417</v>
      </c>
      <c r="B5570" s="6" t="str">
        <f ca="1">IFERROR(__xludf.DUMMYFUNCTION("GOOGLETRANSLATE(A5570,""bn"",""en"")"),"Suman did not hear me")</f>
        <v>Suman did not hear me</v>
      </c>
      <c r="C5570" s="8" t="s">
        <v>13</v>
      </c>
      <c r="D5570" s="8" t="s">
        <v>14</v>
      </c>
      <c r="E5570" s="8">
        <v>1</v>
      </c>
    </row>
    <row r="5571" spans="1:5" ht="15.75" customHeight="1" x14ac:dyDescent="0.25">
      <c r="A5571" s="6" t="s">
        <v>5418</v>
      </c>
      <c r="B5571" s="6" t="str">
        <f ca="1">IFERROR(__xludf.DUMMYFUNCTION("GOOGLETRANSLATE(A5571,""bn"",""en"")"),"Sanghas was a scholar of Maya texts")</f>
        <v>Sanghas was a scholar of Maya texts</v>
      </c>
      <c r="C5571" s="8" t="s">
        <v>13</v>
      </c>
      <c r="D5571" s="8" t="s">
        <v>14</v>
      </c>
      <c r="E5571" s="8">
        <v>1</v>
      </c>
    </row>
    <row r="5572" spans="1:5" ht="15.75" customHeight="1" x14ac:dyDescent="0.25">
      <c r="A5572" s="6" t="s">
        <v>5419</v>
      </c>
      <c r="B5572" s="6" t="str">
        <f ca="1">IFERROR(__xludf.DUMMYFUNCTION("GOOGLETRANSLATE(A5572,""bn"",""en"")"),"The puja holiday in the month of Kartika is still very late")</f>
        <v>The puja holiday in the month of Kartika is still very late</v>
      </c>
      <c r="C5572" s="7" t="s">
        <v>6</v>
      </c>
      <c r="D5572" s="7" t="s">
        <v>7</v>
      </c>
      <c r="E5572" s="7">
        <v>0</v>
      </c>
    </row>
    <row r="5573" spans="1:5" ht="15.75" customHeight="1" x14ac:dyDescent="0.25">
      <c r="A5573" s="6" t="s">
        <v>5420</v>
      </c>
      <c r="B5573" s="6" t="str">
        <f ca="1">IFERROR(__xludf.DUMMYFUNCTION("GOOGLETRANSLATE(A5573,""bn"",""en"")"),"His complexion was a fierce whitish-yellow tinge that did not make him faint at all.")</f>
        <v>His complexion was a fierce whitish-yellow tinge that did not make him faint at all.</v>
      </c>
      <c r="C5573" s="7" t="s">
        <v>6</v>
      </c>
      <c r="D5573" s="7" t="s">
        <v>7</v>
      </c>
      <c r="E5573" s="7">
        <v>0</v>
      </c>
    </row>
    <row r="5574" spans="1:5" ht="15.75" customHeight="1" x14ac:dyDescent="0.25">
      <c r="A5574" s="6" t="s">
        <v>5421</v>
      </c>
      <c r="B5574" s="6" t="str">
        <f ca="1">IFERROR(__xludf.DUMMYFUNCTION("GOOGLETRANSLATE(A5574,""bn"",""en"")"),"I got out of the car and stood on the balcony when it was raining")</f>
        <v>I got out of the car and stood on the balcony when it was raining</v>
      </c>
      <c r="C5574" s="7" t="s">
        <v>6</v>
      </c>
      <c r="D5574" s="7" t="s">
        <v>7</v>
      </c>
      <c r="E5574" s="7">
        <v>0</v>
      </c>
    </row>
    <row r="5575" spans="1:5" ht="15.75" customHeight="1" x14ac:dyDescent="0.25">
      <c r="A5575" s="6" t="s">
        <v>2551</v>
      </c>
      <c r="B5575" s="6" t="str">
        <f ca="1">IFERROR(__xludf.DUMMYFUNCTION("GOOGLETRANSLATE(A5575,""bn"",""en"")"),"In the shadow of the mountains, the wilderness has become more beautiful")</f>
        <v>In the shadow of the mountains, the wilderness has become more beautiful</v>
      </c>
      <c r="C5575" s="7" t="s">
        <v>6</v>
      </c>
      <c r="D5575" s="7" t="s">
        <v>7</v>
      </c>
      <c r="E5575" s="7">
        <v>0</v>
      </c>
    </row>
    <row r="5576" spans="1:5" ht="15.75" customHeight="1" x14ac:dyDescent="0.25">
      <c r="A5576" s="6" t="s">
        <v>5422</v>
      </c>
      <c r="B5576" s="6" t="str">
        <f ca="1">IFERROR(__xludf.DUMMYFUNCTION("GOOGLETRANSLATE(A5576,""bn"",""en"")"),"He had drawn a stool in front of the open window and was sitting drinking water on the road")</f>
        <v>He had drawn a stool in front of the open window and was sitting drinking water on the road</v>
      </c>
      <c r="C5576" s="7" t="s">
        <v>6</v>
      </c>
      <c r="D5576" s="7" t="s">
        <v>7</v>
      </c>
      <c r="E5576" s="7">
        <v>0</v>
      </c>
    </row>
    <row r="5577" spans="1:5" ht="15.75" customHeight="1" x14ac:dyDescent="0.25">
      <c r="A5577" s="6" t="s">
        <v>5423</v>
      </c>
      <c r="B5577" s="6" t="str">
        <f ca="1">IFERROR(__xludf.DUMMYFUNCTION("GOOGLETRANSLATE(A5577,""bn"",""en"")"),"Exploring nature trails provides serene exercise")</f>
        <v>Exploring nature trails provides serene exercise</v>
      </c>
      <c r="C5577" s="8" t="s">
        <v>13</v>
      </c>
      <c r="D5577" s="8" t="s">
        <v>14</v>
      </c>
      <c r="E5577" s="8">
        <v>1</v>
      </c>
    </row>
    <row r="5578" spans="1:5" ht="15.75" customHeight="1" x14ac:dyDescent="0.25">
      <c r="A5578" s="6" t="s">
        <v>5424</v>
      </c>
      <c r="B5578" s="6" t="str">
        <f ca="1">IFERROR(__xludf.DUMMYFUNCTION("GOOGLETRANSLATE(A5578,""bn"",""en"")"),"My grandparents have been married for over sixty years")</f>
        <v>My grandparents have been married for over sixty years</v>
      </c>
      <c r="C5578" s="8" t="s">
        <v>13</v>
      </c>
      <c r="D5578" s="8" t="s">
        <v>14</v>
      </c>
      <c r="E5578" s="8">
        <v>1</v>
      </c>
    </row>
    <row r="5579" spans="1:5" ht="15.75" customHeight="1" x14ac:dyDescent="0.25">
      <c r="A5579" s="6" t="s">
        <v>5425</v>
      </c>
      <c r="B5579" s="6" t="str">
        <f ca="1">IFERROR(__xludf.DUMMYFUNCTION("GOOGLETRANSLATE(A5579,""bn"",""en"")"),"It is night, the fair is not less than twelve")</f>
        <v>It is night, the fair is not less than twelve</v>
      </c>
      <c r="C5579" s="8" t="s">
        <v>13</v>
      </c>
      <c r="D5579" s="8" t="s">
        <v>14</v>
      </c>
      <c r="E5579" s="8">
        <v>1</v>
      </c>
    </row>
    <row r="5580" spans="1:5" ht="15.75" customHeight="1" x14ac:dyDescent="0.25">
      <c r="A5580" s="6" t="s">
        <v>5426</v>
      </c>
      <c r="B5580" s="6" t="str">
        <f ca="1">IFERROR(__xludf.DUMMYFUNCTION("GOOGLETRANSLATE(A5580,""bn"",""en"")"),"The scent of pine needles fills the air carried on the wind from the nearby forest")</f>
        <v>The scent of pine needles fills the air carried on the wind from the nearby forest</v>
      </c>
      <c r="C5580" s="8" t="s">
        <v>13</v>
      </c>
      <c r="D5580" s="8" t="s">
        <v>14</v>
      </c>
      <c r="E5580" s="8">
        <v>1</v>
      </c>
    </row>
    <row r="5581" spans="1:5" ht="15.75" customHeight="1" x14ac:dyDescent="0.25">
      <c r="A5581" s="6" t="s">
        <v>3240</v>
      </c>
      <c r="B5581" s="6" t="str">
        <f ca="1">IFERROR(__xludf.DUMMYFUNCTION("GOOGLETRANSLATE(A5581,""bn"",""en"")"),"There is no such thing as East Malibagh")</f>
        <v>There is no such thing as East Malibagh</v>
      </c>
      <c r="C5581" s="8" t="s">
        <v>13</v>
      </c>
      <c r="D5581" s="8" t="s">
        <v>14</v>
      </c>
      <c r="E5581" s="8">
        <v>1</v>
      </c>
    </row>
    <row r="5582" spans="1:5" ht="15.75" customHeight="1" x14ac:dyDescent="0.25">
      <c r="A5582" s="6" t="s">
        <v>5427</v>
      </c>
      <c r="B5582" s="6" t="str">
        <f ca="1">IFERROR(__xludf.DUMMYFUNCTION("GOOGLETRANSLATE(A5582,""bn"",""en"")"),"On the other hand, both sides started secretly arranging marriages")</f>
        <v>On the other hand, both sides started secretly arranging marriages</v>
      </c>
      <c r="C5582" s="7" t="s">
        <v>6</v>
      </c>
      <c r="D5582" s="7" t="s">
        <v>7</v>
      </c>
      <c r="E5582" s="7">
        <v>0</v>
      </c>
    </row>
    <row r="5583" spans="1:5" ht="15.75" customHeight="1" x14ac:dyDescent="0.25">
      <c r="A5583" s="6" t="s">
        <v>5428</v>
      </c>
      <c r="B5583" s="6" t="str">
        <f ca="1">IFERROR(__xludf.DUMMYFUNCTION("GOOGLETRANSLATE(A5583,""bn"",""en"")"),"Maury is not weak, a gentleman has written in this regard")</f>
        <v>Maury is not weak, a gentleman has written in this regard</v>
      </c>
      <c r="C5583" s="7" t="s">
        <v>6</v>
      </c>
      <c r="D5583" s="7" t="s">
        <v>7</v>
      </c>
      <c r="E5583" s="7">
        <v>0</v>
      </c>
    </row>
    <row r="5584" spans="1:5" ht="15.75" customHeight="1" x14ac:dyDescent="0.25">
      <c r="A5584" s="6" t="s">
        <v>5429</v>
      </c>
      <c r="B5584" s="6" t="str">
        <f ca="1">IFERROR(__xludf.DUMMYFUNCTION("GOOGLETRANSLATE(A5584,""bn"",""en"")"),"A little pain in the head is nothing serious")</f>
        <v>A little pain in the head is nothing serious</v>
      </c>
      <c r="C5584" s="7" t="s">
        <v>6</v>
      </c>
      <c r="D5584" s="7" t="s">
        <v>7</v>
      </c>
      <c r="E5584" s="7">
        <v>0</v>
      </c>
    </row>
    <row r="5585" spans="1:5" ht="15.75" customHeight="1" x14ac:dyDescent="0.25">
      <c r="A5585" s="6" t="s">
        <v>5430</v>
      </c>
      <c r="B5585" s="6" t="str">
        <f ca="1">IFERROR(__xludf.DUMMYFUNCTION("GOOGLETRANSLATE(A5585,""bn"",""en"")"),"This precocious theoretician began to ponder silently on the futility of all human sports")</f>
        <v>This precocious theoretician began to ponder silently on the futility of all human sports</v>
      </c>
      <c r="C5585" s="7" t="s">
        <v>6</v>
      </c>
      <c r="D5585" s="7" t="s">
        <v>7</v>
      </c>
      <c r="E5585" s="7">
        <v>0</v>
      </c>
    </row>
    <row r="5586" spans="1:5" ht="15.75" customHeight="1" x14ac:dyDescent="0.25">
      <c r="A5586" s="6" t="s">
        <v>5431</v>
      </c>
      <c r="B5586" s="6" t="str">
        <f ca="1">IFERROR(__xludf.DUMMYFUNCTION("GOOGLETRANSLATE(A5586,""bn"",""en"")"),"What I said about myself is the memory of this life")</f>
        <v>What I said about myself is the memory of this life</v>
      </c>
      <c r="C5586" s="7" t="s">
        <v>6</v>
      </c>
      <c r="D5586" s="7" t="s">
        <v>7</v>
      </c>
      <c r="E5586" s="7">
        <v>0</v>
      </c>
    </row>
    <row r="5587" spans="1:5" ht="15.75" customHeight="1" x14ac:dyDescent="0.25">
      <c r="A5587" s="6" t="s">
        <v>5432</v>
      </c>
      <c r="B5587" s="6" t="str">
        <f ca="1">IFERROR(__xludf.DUMMYFUNCTION("GOOGLETRANSLATE(A5587,""bn"",""en"")"),"Another torch procession on the main road")</f>
        <v>Another torch procession on the main road</v>
      </c>
      <c r="C5587" s="8" t="s">
        <v>13</v>
      </c>
      <c r="D5587" s="8" t="s">
        <v>14</v>
      </c>
      <c r="E5587" s="8">
        <v>1</v>
      </c>
    </row>
    <row r="5588" spans="1:5" ht="15.75" customHeight="1" x14ac:dyDescent="0.25">
      <c r="A5588" s="6" t="s">
        <v>5433</v>
      </c>
      <c r="B5588" s="6" t="str">
        <f ca="1">IFERROR(__xludf.DUMMYFUNCTION("GOOGLETRANSLATE(A5588,""bn"",""en"")"),"Adventure can teach valuable life lessons about perseverance and adaptability")</f>
        <v>Adventure can teach valuable life lessons about perseverance and adaptability</v>
      </c>
      <c r="C5588" s="8" t="s">
        <v>13</v>
      </c>
      <c r="D5588" s="8" t="s">
        <v>14</v>
      </c>
      <c r="E5588" s="8">
        <v>1</v>
      </c>
    </row>
    <row r="5589" spans="1:5" ht="15.75" customHeight="1" x14ac:dyDescent="0.25">
      <c r="A5589" s="6" t="s">
        <v>5434</v>
      </c>
      <c r="B5589" s="6" t="str">
        <f ca="1">IFERROR(__xludf.DUMMYFUNCTION("GOOGLETRANSLATE(A5589,""bn"",""en"")"),"No need to work hard")</f>
        <v>No need to work hard</v>
      </c>
      <c r="C5589" s="8" t="s">
        <v>13</v>
      </c>
      <c r="D5589" s="8" t="s">
        <v>14</v>
      </c>
      <c r="E5589" s="8">
        <v>1</v>
      </c>
    </row>
    <row r="5590" spans="1:5" ht="15.75" customHeight="1" x14ac:dyDescent="0.25">
      <c r="A5590" s="6" t="s">
        <v>5435</v>
      </c>
      <c r="B5590" s="6" t="str">
        <f ca="1">IFERROR(__xludf.DUMMYFUNCTION("GOOGLETRANSLATE(A5590,""bn"",""en"")"),"I used to wait for the train there")</f>
        <v>I used to wait for the train there</v>
      </c>
      <c r="C5590" s="8" t="s">
        <v>13</v>
      </c>
      <c r="D5590" s="8" t="s">
        <v>14</v>
      </c>
      <c r="E5590" s="8">
        <v>1</v>
      </c>
    </row>
    <row r="5591" spans="1:5" ht="15.75" customHeight="1" x14ac:dyDescent="0.25">
      <c r="A5591" s="6" t="s">
        <v>5436</v>
      </c>
      <c r="B5591" s="6" t="str">
        <f ca="1">IFERROR(__xludf.DUMMYFUNCTION("GOOGLETRANSLATE(A5591,""bn"",""en"")"),"In the end I got better results than Rahim")</f>
        <v>In the end I got better results than Rahim</v>
      </c>
      <c r="C5591" s="8" t="s">
        <v>13</v>
      </c>
      <c r="D5591" s="8" t="s">
        <v>14</v>
      </c>
      <c r="E5591" s="8">
        <v>1</v>
      </c>
    </row>
    <row r="5592" spans="1:5" ht="15.75" customHeight="1" x14ac:dyDescent="0.25">
      <c r="A5592" s="6" t="s">
        <v>5437</v>
      </c>
      <c r="B5592" s="6" t="str">
        <f ca="1">IFERROR(__xludf.DUMMYFUNCTION("GOOGLETRANSLATE(A5592,""bn"",""en"")"),"I saw it and said sir, will you cut my hair without any razor scissors")</f>
        <v>I saw it and said sir, will you cut my hair without any razor scissors</v>
      </c>
      <c r="C5592" s="7" t="s">
        <v>6</v>
      </c>
      <c r="D5592" s="7" t="s">
        <v>7</v>
      </c>
      <c r="E5592" s="7">
        <v>0</v>
      </c>
    </row>
    <row r="5593" spans="1:5" ht="15.75" customHeight="1" x14ac:dyDescent="0.25">
      <c r="A5593" s="6" t="s">
        <v>5438</v>
      </c>
      <c r="B5593" s="6" t="str">
        <f ca="1">IFERROR(__xludf.DUMMYFUNCTION("GOOGLETRANSLATE(A5593,""bn"",""en"")"),"You will notice that I speak in a completely foreign language")</f>
        <v>You will notice that I speak in a completely foreign language</v>
      </c>
      <c r="C5593" s="7" t="s">
        <v>6</v>
      </c>
      <c r="D5593" s="7" t="s">
        <v>7</v>
      </c>
      <c r="E5593" s="7">
        <v>0</v>
      </c>
    </row>
    <row r="5594" spans="1:5" ht="15.75" customHeight="1" x14ac:dyDescent="0.25">
      <c r="A5594" s="6" t="s">
        <v>5439</v>
      </c>
      <c r="B5594" s="6" t="str">
        <f ca="1">IFERROR(__xludf.DUMMYFUNCTION("GOOGLETRANSLATE(A5594,""bn"",""en"")"),"Rana has written a letter to Roni")</f>
        <v>Rana has written a letter to Roni</v>
      </c>
      <c r="C5594" s="7" t="s">
        <v>6</v>
      </c>
      <c r="D5594" s="7" t="s">
        <v>7</v>
      </c>
      <c r="E5594" s="7">
        <v>0</v>
      </c>
    </row>
    <row r="5595" spans="1:5" ht="15.75" customHeight="1" x14ac:dyDescent="0.25">
      <c r="A5595" s="6" t="s">
        <v>5440</v>
      </c>
      <c r="B5595" s="6" t="str">
        <f ca="1">IFERROR(__xludf.DUMMYFUNCTION("GOOGLETRANSLATE(A5595,""bn"",""en"")"),"Morning gradually became afternoon and evening became evening")</f>
        <v>Morning gradually became afternoon and evening became evening</v>
      </c>
      <c r="C5595" s="7" t="s">
        <v>6</v>
      </c>
      <c r="D5595" s="7" t="s">
        <v>7</v>
      </c>
      <c r="E5595" s="7">
        <v>0</v>
      </c>
    </row>
    <row r="5596" spans="1:5" ht="15.75" customHeight="1" x14ac:dyDescent="0.25">
      <c r="A5596" s="6" t="s">
        <v>5441</v>
      </c>
      <c r="B5596" s="6" t="str">
        <f ca="1">IFERROR(__xludf.DUMMYFUNCTION("GOOGLETRANSLATE(A5596,""bn"",""en"")"),"Rana Roni entered there together")</f>
        <v>Rana Roni entered there together</v>
      </c>
      <c r="C5596" s="7" t="s">
        <v>6</v>
      </c>
      <c r="D5596" s="7" t="s">
        <v>7</v>
      </c>
      <c r="E5596" s="7">
        <v>0</v>
      </c>
    </row>
    <row r="5597" spans="1:5" ht="15.75" customHeight="1" x14ac:dyDescent="0.25">
      <c r="A5597" s="6" t="s">
        <v>4517</v>
      </c>
      <c r="B5597" s="6" t="str">
        <f ca="1">IFERROR(__xludf.DUMMYFUNCTION("GOOGLETRANSLATE(A5597,""bn"",""en"")"),"The Mughal Empire began with Babur's victory over Ibrahim Lodi in the First Battle of Jwalpatha.")</f>
        <v>The Mughal Empire began with Babur's victory over Ibrahim Lodi in the First Battle of Jwalpatha.</v>
      </c>
      <c r="C5597" s="8" t="s">
        <v>13</v>
      </c>
      <c r="D5597" s="8" t="s">
        <v>14</v>
      </c>
      <c r="E5597" s="8">
        <v>1</v>
      </c>
    </row>
    <row r="5598" spans="1:5" ht="15.75" customHeight="1" x14ac:dyDescent="0.25">
      <c r="A5598" s="6" t="s">
        <v>5442</v>
      </c>
      <c r="B5598" s="6" t="str">
        <f ca="1">IFERROR(__xludf.DUMMYFUNCTION("GOOGLETRANSLATE(A5598,""bn"",""en"")"),"You can provide a receipt for the transaction")</f>
        <v>You can provide a receipt for the transaction</v>
      </c>
      <c r="C5598" s="8" t="s">
        <v>13</v>
      </c>
      <c r="D5598" s="8" t="s">
        <v>14</v>
      </c>
      <c r="E5598" s="8">
        <v>1</v>
      </c>
    </row>
    <row r="5599" spans="1:5" ht="15.75" customHeight="1" x14ac:dyDescent="0.25">
      <c r="A5599" s="6" t="s">
        <v>5443</v>
      </c>
      <c r="B5599" s="6" t="str">
        <f ca="1">IFERROR(__xludf.DUMMYFUNCTION("GOOGLETRANSLATE(A5599,""bn"",""en"")"),"The obituary section of the newspaper honors the lives of those who have died")</f>
        <v>The obituary section of the newspaper honors the lives of those who have died</v>
      </c>
      <c r="C5599" s="8" t="s">
        <v>13</v>
      </c>
      <c r="D5599" s="8" t="s">
        <v>14</v>
      </c>
      <c r="E5599" s="8">
        <v>1</v>
      </c>
    </row>
    <row r="5600" spans="1:5" ht="15.75" customHeight="1" x14ac:dyDescent="0.25">
      <c r="A5600" s="6" t="s">
        <v>5444</v>
      </c>
      <c r="B5600" s="6" t="str">
        <f ca="1">IFERROR(__xludf.DUMMYFUNCTION("GOOGLETRANSLATE(A5600,""bn"",""en"")"),"Circuit training combines exercise with efficiency")</f>
        <v>Circuit training combines exercise with efficiency</v>
      </c>
      <c r="C5600" s="8" t="s">
        <v>13</v>
      </c>
      <c r="D5600" s="8" t="s">
        <v>14</v>
      </c>
      <c r="E5600" s="8">
        <v>1</v>
      </c>
    </row>
    <row r="5601" spans="1:5" ht="15.75" customHeight="1" x14ac:dyDescent="0.25">
      <c r="A5601" s="6" t="s">
        <v>5445</v>
      </c>
      <c r="B5601" s="6" t="str">
        <f ca="1">IFERROR(__xludf.DUMMYFUNCTION("GOOGLETRANSLATE(A5601,""bn"",""en"")"),"Buddhism teaches the path to enlightenment through the Eightfold Path of the Four Noble Truths")</f>
        <v>Buddhism teaches the path to enlightenment through the Eightfold Path of the Four Noble Truths</v>
      </c>
      <c r="C5601" s="8" t="s">
        <v>13</v>
      </c>
      <c r="D5601" s="8" t="s">
        <v>14</v>
      </c>
      <c r="E5601" s="8">
        <v>1</v>
      </c>
    </row>
    <row r="5602" spans="1:5" ht="15.75" customHeight="1" x14ac:dyDescent="0.25">
      <c r="A5602" s="6" t="s">
        <v>5446</v>
      </c>
      <c r="B5602" s="6" t="str">
        <f ca="1">IFERROR(__xludf.DUMMYFUNCTION("GOOGLETRANSLATE(A5602,""bn"",""en"")"),"When the car entered the garden of the house of the Bengali I was going to entertain, I was at first under the illusion that it belonged to a rich Englishman.")</f>
        <v>When the car entered the garden of the house of the Bengali I was going to entertain, I was at first under the illusion that it belonged to a rich Englishman.</v>
      </c>
      <c r="C5602" s="7" t="s">
        <v>6</v>
      </c>
      <c r="D5602" s="7" t="s">
        <v>7</v>
      </c>
      <c r="E5602" s="7">
        <v>0</v>
      </c>
    </row>
    <row r="5603" spans="1:5" ht="15.75" customHeight="1" x14ac:dyDescent="0.25">
      <c r="A5603" s="6" t="s">
        <v>4590</v>
      </c>
      <c r="B5603" s="6" t="str">
        <f ca="1">IFERROR(__xludf.DUMMYFUNCTION("GOOGLETRANSLATE(A5603,""bn"",""en"")"),"Or did the previous procession come back and Irtajuddin started walking with the procession")</f>
        <v>Or did the previous procession come back and Irtajuddin started walking with the procession</v>
      </c>
      <c r="C5603" s="7" t="s">
        <v>6</v>
      </c>
      <c r="D5603" s="7" t="s">
        <v>7</v>
      </c>
      <c r="E5603" s="7">
        <v>0</v>
      </c>
    </row>
    <row r="5604" spans="1:5" ht="15.75" customHeight="1" x14ac:dyDescent="0.25">
      <c r="A5604" s="6" t="s">
        <v>5447</v>
      </c>
      <c r="B5604" s="6" t="str">
        <f ca="1">IFERROR(__xludf.DUMMYFUNCTION("GOOGLETRANSLATE(A5604,""bn"",""en"")"),"It is getting so close that even the shadow of small stones on the mountain is visible")</f>
        <v>It is getting so close that even the shadow of small stones on the mountain is visible</v>
      </c>
      <c r="C5604" s="7" t="s">
        <v>6</v>
      </c>
      <c r="D5604" s="7" t="s">
        <v>7</v>
      </c>
      <c r="E5604" s="7">
        <v>0</v>
      </c>
    </row>
    <row r="5605" spans="1:5" ht="15.75" customHeight="1" x14ac:dyDescent="0.25">
      <c r="A5605" s="6" t="s">
        <v>3742</v>
      </c>
      <c r="B5605" s="6" t="str">
        <f ca="1">IFERROR(__xludf.DUMMYFUNCTION("GOOGLETRANSLATE(A5605,""bn"",""en"")"),"The image of steaming rice is not going away")</f>
        <v>The image of steaming rice is not going away</v>
      </c>
      <c r="C5605" s="7" t="s">
        <v>6</v>
      </c>
      <c r="D5605" s="7" t="s">
        <v>7</v>
      </c>
      <c r="E5605" s="7">
        <v>0</v>
      </c>
    </row>
    <row r="5606" spans="1:5" ht="15.75" customHeight="1" x14ac:dyDescent="0.25">
      <c r="A5606" s="6" t="s">
        <v>5448</v>
      </c>
      <c r="B5606" s="6" t="str">
        <f ca="1">IFERROR(__xludf.DUMMYFUNCTION("GOOGLETRANSLATE(A5606,""bn"",""en"")"),"Before he could finish speaking, a young man with a trimmed beard and glasses sat down with his eyes pressed shut and his teeth protruding and said, ""Satish or Satish?""")</f>
        <v>Before he could finish speaking, a young man with a trimmed beard and glasses sat down with his eyes pressed shut and his teeth protruding and said, "Satish or Satish?"</v>
      </c>
      <c r="C5606" s="7" t="s">
        <v>6</v>
      </c>
      <c r="D5606" s="7" t="s">
        <v>7</v>
      </c>
      <c r="E5606" s="7">
        <v>0</v>
      </c>
    </row>
    <row r="5607" spans="1:5" ht="15.75" customHeight="1" x14ac:dyDescent="0.25">
      <c r="A5607" s="6" t="s">
        <v>5449</v>
      </c>
      <c r="B5607" s="6" t="str">
        <f ca="1">IFERROR(__xludf.DUMMYFUNCTION("GOOGLETRANSLATE(A5607,""bn"",""en"")"),"Negotiation skills facilitate mutually beneficial agreements")</f>
        <v>Negotiation skills facilitate mutually beneficial agreements</v>
      </c>
      <c r="C5607" s="8" t="s">
        <v>13</v>
      </c>
      <c r="D5607" s="8" t="s">
        <v>14</v>
      </c>
      <c r="E5607" s="8">
        <v>1</v>
      </c>
    </row>
    <row r="5608" spans="1:5" ht="15.75" customHeight="1" x14ac:dyDescent="0.25">
      <c r="A5608" s="6" t="s">
        <v>5450</v>
      </c>
      <c r="B5608" s="6" t="str">
        <f ca="1">IFERROR(__xludf.DUMMYFUNCTION("GOOGLETRANSLATE(A5608,""bn"",""en"")"),"Transactions were conducted over a secure network")</f>
        <v>Transactions were conducted over a secure network</v>
      </c>
      <c r="C5608" s="8" t="s">
        <v>13</v>
      </c>
      <c r="D5608" s="8" t="s">
        <v>14</v>
      </c>
      <c r="E5608" s="8">
        <v>1</v>
      </c>
    </row>
    <row r="5609" spans="1:5" ht="15.75" customHeight="1" x14ac:dyDescent="0.25">
      <c r="A5609" s="6" t="s">
        <v>5451</v>
      </c>
      <c r="B5609" s="6" t="str">
        <f ca="1">IFERROR(__xludf.DUMMYFUNCTION("GOOGLETRANSLATE(A5609,""bn"",""en"")"),"If you can't decide on something, tell John about the problem")</f>
        <v>If you can't decide on something, tell John about the problem</v>
      </c>
      <c r="C5609" s="8" t="s">
        <v>13</v>
      </c>
      <c r="D5609" s="8" t="s">
        <v>14</v>
      </c>
      <c r="E5609" s="8">
        <v>1</v>
      </c>
    </row>
    <row r="5610" spans="1:5" ht="15.75" customHeight="1" x14ac:dyDescent="0.25">
      <c r="A5610" s="6" t="s">
        <v>5452</v>
      </c>
      <c r="B5610" s="6" t="str">
        <f ca="1">IFERROR(__xludf.DUMMYFUNCTION("GOOGLETRANSLATE(A5610,""bn"",""en"")"),"The scent of wildflowers wafted through the air perfuming the air with their delicate fragrance")</f>
        <v>The scent of wildflowers wafted through the air perfuming the air with their delicate fragrance</v>
      </c>
      <c r="C5610" s="8" t="s">
        <v>13</v>
      </c>
      <c r="D5610" s="8" t="s">
        <v>14</v>
      </c>
      <c r="E5610" s="8">
        <v>1</v>
      </c>
    </row>
    <row r="5611" spans="1:5" ht="15.75" customHeight="1" x14ac:dyDescent="0.25">
      <c r="A5611" s="6" t="s">
        <v>5453</v>
      </c>
      <c r="B5611" s="6" t="str">
        <f ca="1">IFERROR(__xludf.DUMMYFUNCTION("GOOGLETRANSLATE(A5611,""bn"",""en"")"),"I will go to play after school")</f>
        <v>I will go to play after school</v>
      </c>
      <c r="C5611" s="8" t="s">
        <v>13</v>
      </c>
      <c r="D5611" s="8" t="s">
        <v>14</v>
      </c>
      <c r="E5611" s="8">
        <v>1</v>
      </c>
    </row>
    <row r="5612" spans="1:5" ht="15.75" customHeight="1" x14ac:dyDescent="0.25">
      <c r="A5612" s="6" t="s">
        <v>5454</v>
      </c>
      <c r="B5612" s="6" t="str">
        <f ca="1">IFERROR(__xludf.DUMMYFUNCTION("GOOGLETRANSLATE(A5612,""bn"",""en"")"),"Govardhan went up after lighting the light and tying the boat to the sycamore tree")</f>
        <v>Govardhan went up after lighting the light and tying the boat to the sycamore tree</v>
      </c>
      <c r="C5612" s="7" t="s">
        <v>6</v>
      </c>
      <c r="D5612" s="7" t="s">
        <v>7</v>
      </c>
      <c r="E5612" s="7">
        <v>0</v>
      </c>
    </row>
    <row r="5613" spans="1:5" ht="15.75" customHeight="1" x14ac:dyDescent="0.25">
      <c r="A5613" s="6" t="s">
        <v>5455</v>
      </c>
      <c r="B5613" s="6" t="str">
        <f ca="1">IFERROR(__xludf.DUMMYFUNCTION("GOOGLETRANSLATE(A5613,""bn"",""en"")"),"I thought - I will go to Rabahut")</f>
        <v>I thought - I will go to Rabahut</v>
      </c>
      <c r="C5613" s="7" t="s">
        <v>6</v>
      </c>
      <c r="D5613" s="7" t="s">
        <v>7</v>
      </c>
      <c r="E5613" s="7">
        <v>0</v>
      </c>
    </row>
    <row r="5614" spans="1:5" ht="15.75" customHeight="1" x14ac:dyDescent="0.25">
      <c r="A5614" s="6" t="s">
        <v>4872</v>
      </c>
      <c r="B5614" s="6" t="str">
        <f ca="1">IFERROR(__xludf.DUMMYFUNCTION("GOOGLETRANSLATE(A5614,""bn"",""en"")"),"The ten or five people who live here and there will not be there after a few days")</f>
        <v>The ten or five people who live here and there will not be there after a few days</v>
      </c>
      <c r="C5614" s="7" t="s">
        <v>6</v>
      </c>
      <c r="D5614" s="7" t="s">
        <v>7</v>
      </c>
      <c r="E5614" s="7">
        <v>0</v>
      </c>
    </row>
    <row r="5615" spans="1:5" ht="15.75" customHeight="1" x14ac:dyDescent="0.25">
      <c r="A5615" s="6" t="s">
        <v>5456</v>
      </c>
      <c r="B5615" s="6" t="str">
        <f ca="1">IFERROR(__xludf.DUMMYFUNCTION("GOOGLETRANSLATE(A5615,""bn"",""en"")"),"Don't say that you can't do it once, if you can't do it, see it a hundred times")</f>
        <v>Don't say that you can't do it once, if you can't do it, see it a hundred times</v>
      </c>
      <c r="C5615" s="7" t="s">
        <v>6</v>
      </c>
      <c r="D5615" s="7" t="s">
        <v>7</v>
      </c>
      <c r="E5615" s="7">
        <v>0</v>
      </c>
    </row>
    <row r="5616" spans="1:5" ht="15.75" customHeight="1" x14ac:dyDescent="0.25">
      <c r="A5616" s="6" t="s">
        <v>5457</v>
      </c>
      <c r="B5616" s="6" t="str">
        <f ca="1">IFERROR(__xludf.DUMMYFUNCTION("GOOGLETRANSLATE(A5616,""bn"",""en"")"),"The servant ate rambha with his stomach full")</f>
        <v>The servant ate rambha with his stomach full</v>
      </c>
      <c r="C5616" s="7" t="s">
        <v>6</v>
      </c>
      <c r="D5616" s="7" t="s">
        <v>7</v>
      </c>
      <c r="E5616" s="7">
        <v>0</v>
      </c>
    </row>
    <row r="5617" spans="1:5" ht="15.75" customHeight="1" x14ac:dyDescent="0.25">
      <c r="A5617" s="6" t="s">
        <v>5458</v>
      </c>
      <c r="B5617" s="6" t="str">
        <f ca="1">IFERROR(__xludf.DUMMYFUNCTION("GOOGLETRANSLATE(A5617,""bn"",""en"")"),"He is very busy now with his exams")</f>
        <v>He is very busy now with his exams</v>
      </c>
      <c r="C5617" s="8" t="s">
        <v>13</v>
      </c>
      <c r="D5617" s="8" t="s">
        <v>14</v>
      </c>
      <c r="E5617" s="8">
        <v>1</v>
      </c>
    </row>
    <row r="5618" spans="1:5" ht="15.75" customHeight="1" x14ac:dyDescent="0.25">
      <c r="A5618" s="6" t="s">
        <v>5459</v>
      </c>
      <c r="B5618" s="6" t="str">
        <f ca="1">IFERROR(__xludf.DUMMYFUNCTION("GOOGLETRANSLATE(A5618,""bn"",""en"")"),"I came to talk to you")</f>
        <v>I came to talk to you</v>
      </c>
      <c r="C5618" s="8" t="s">
        <v>13</v>
      </c>
      <c r="D5618" s="8" t="s">
        <v>14</v>
      </c>
      <c r="E5618" s="8">
        <v>1</v>
      </c>
    </row>
    <row r="5619" spans="1:5" ht="15.75" customHeight="1" x14ac:dyDescent="0.25">
      <c r="A5619" s="6" t="s">
        <v>5460</v>
      </c>
      <c r="B5619" s="6" t="str">
        <f ca="1">IFERROR(__xludf.DUMMYFUNCTION("GOOGLETRANSLATE(A5619,""bn"",""en"")"),"I enjoy starting my day with a cup of coffee and the morning newspaper")</f>
        <v>I enjoy starting my day with a cup of coffee and the morning newspaper</v>
      </c>
      <c r="C5619" s="8" t="s">
        <v>13</v>
      </c>
      <c r="D5619" s="8" t="s">
        <v>14</v>
      </c>
      <c r="E5619" s="8">
        <v>1</v>
      </c>
    </row>
    <row r="5620" spans="1:5" ht="15.75" customHeight="1" x14ac:dyDescent="0.25">
      <c r="A5620" s="6" t="s">
        <v>5461</v>
      </c>
      <c r="B5620" s="6" t="str">
        <f ca="1">IFERROR(__xludf.DUMMYFUNCTION("GOOGLETRANSLATE(A5620,""bn"",""en"")"),"That afternoon we went for a walk")</f>
        <v>That afternoon we went for a walk</v>
      </c>
      <c r="C5620" s="8" t="s">
        <v>13</v>
      </c>
      <c r="D5620" s="8" t="s">
        <v>14</v>
      </c>
      <c r="E5620" s="8">
        <v>1</v>
      </c>
    </row>
    <row r="5621" spans="1:5" ht="15.75" customHeight="1" x14ac:dyDescent="0.25">
      <c r="A5621" s="6" t="s">
        <v>5462</v>
      </c>
      <c r="B5621" s="6" t="str">
        <f ca="1">IFERROR(__xludf.DUMMYFUNCTION("GOOGLETRANSLATE(A5621,""bn"",""en"")"),"His preferred position was center back")</f>
        <v>His preferred position was center back</v>
      </c>
      <c r="C5621" s="8" t="s">
        <v>13</v>
      </c>
      <c r="D5621" s="8" t="s">
        <v>14</v>
      </c>
      <c r="E5621" s="8">
        <v>1</v>
      </c>
    </row>
    <row r="5622" spans="1:5" ht="15.75" customHeight="1" x14ac:dyDescent="0.25">
      <c r="A5622" s="6" t="s">
        <v>5463</v>
      </c>
      <c r="B5622" s="6" t="str">
        <f ca="1">IFERROR(__xludf.DUMMYFUNCTION("GOOGLETRANSLATE(A5622,""bn"",""en"")"),"At this time, the bride's father came inside")</f>
        <v>At this time, the bride's father came inside</v>
      </c>
      <c r="C5622" s="7" t="s">
        <v>6</v>
      </c>
      <c r="D5622" s="7" t="s">
        <v>7</v>
      </c>
      <c r="E5622" s="7">
        <v>0</v>
      </c>
    </row>
    <row r="5623" spans="1:5" ht="15.75" customHeight="1" x14ac:dyDescent="0.25">
      <c r="A5623" s="6" t="s">
        <v>5464</v>
      </c>
      <c r="B5623" s="6" t="str">
        <f ca="1">IFERROR(__xludf.DUMMYFUNCTION("GOOGLETRANSLATE(A5623,""bn"",""en"")"),"He didn't hear my call")</f>
        <v>He didn't hear my call</v>
      </c>
      <c r="C5623" s="7" t="s">
        <v>6</v>
      </c>
      <c r="D5623" s="7" t="s">
        <v>7</v>
      </c>
      <c r="E5623" s="7">
        <v>0</v>
      </c>
    </row>
    <row r="5624" spans="1:5" ht="15.75" customHeight="1" x14ac:dyDescent="0.25">
      <c r="A5624" s="6" t="s">
        <v>3909</v>
      </c>
      <c r="B5624" s="6" t="str">
        <f ca="1">IFERROR(__xludf.DUMMYFUNCTION("GOOGLETRANSLATE(A5624,""bn"",""en"")"),"I could not go further")</f>
        <v>I could not go further</v>
      </c>
      <c r="C5624" s="7" t="s">
        <v>6</v>
      </c>
      <c r="D5624" s="7" t="s">
        <v>7</v>
      </c>
      <c r="E5624" s="7">
        <v>0</v>
      </c>
    </row>
    <row r="5625" spans="1:5" ht="15.75" customHeight="1" x14ac:dyDescent="0.25">
      <c r="A5625" s="6" t="s">
        <v>5465</v>
      </c>
      <c r="B5625" s="6" t="str">
        <f ca="1">IFERROR(__xludf.DUMMYFUNCTION("GOOGLETRANSLATE(A5625,""bn"",""en"")"),"Palandu is a big opponent of Hinduism")</f>
        <v>Palandu is a big opponent of Hinduism</v>
      </c>
      <c r="C5625" s="7" t="s">
        <v>6</v>
      </c>
      <c r="D5625" s="7" t="s">
        <v>7</v>
      </c>
      <c r="E5625" s="7">
        <v>0</v>
      </c>
    </row>
    <row r="5626" spans="1:5" ht="15.75" customHeight="1" x14ac:dyDescent="0.25">
      <c r="A5626" s="6" t="s">
        <v>5466</v>
      </c>
      <c r="B5626" s="6" t="str">
        <f ca="1">IFERROR(__xludf.DUMMYFUNCTION("GOOGLETRANSLATE(A5626,""bn"",""en"")"),"I hear that the number of Bengalis is at home in the calculation")</f>
        <v>I hear that the number of Bengalis is at home in the calculation</v>
      </c>
      <c r="C5626" s="7" t="s">
        <v>6</v>
      </c>
      <c r="D5626" s="7" t="s">
        <v>7</v>
      </c>
      <c r="E5626" s="7">
        <v>0</v>
      </c>
    </row>
    <row r="5627" spans="1:5" ht="15.75" customHeight="1" x14ac:dyDescent="0.25">
      <c r="A5627" s="6" t="s">
        <v>5467</v>
      </c>
      <c r="B5627" s="6" t="str">
        <f ca="1">IFERROR(__xludf.DUMMYFUNCTION("GOOGLETRANSLATE(A5627,""bn"",""en"")"),"He threw the swan over the gate")</f>
        <v>He threw the swan over the gate</v>
      </c>
      <c r="C5627" s="8" t="s">
        <v>13</v>
      </c>
      <c r="D5627" s="8" t="s">
        <v>14</v>
      </c>
      <c r="E5627" s="8">
        <v>1</v>
      </c>
    </row>
    <row r="5628" spans="1:5" ht="15.75" customHeight="1" x14ac:dyDescent="0.25">
      <c r="A5628" s="6" t="s">
        <v>5468</v>
      </c>
      <c r="B5628" s="6" t="str">
        <f ca="1">IFERROR(__xludf.DUMMYFUNCTION("GOOGLETRANSLATE(A5628,""bn"",""en"")"),"Ronnie will not go to school today")</f>
        <v>Ronnie will not go to school today</v>
      </c>
      <c r="C5628" s="8" t="s">
        <v>13</v>
      </c>
      <c r="D5628" s="8" t="s">
        <v>14</v>
      </c>
      <c r="E5628" s="8">
        <v>1</v>
      </c>
    </row>
    <row r="5629" spans="1:5" ht="15.75" customHeight="1" x14ac:dyDescent="0.25">
      <c r="A5629" s="6" t="s">
        <v>5469</v>
      </c>
      <c r="B5629" s="6" t="str">
        <f ca="1">IFERROR(__xludf.DUMMYFUNCTION("GOOGLETRANSLATE(A5629,""bn"",""en"")"),"Keep a positive attitude Optimism is contagious")</f>
        <v>Keep a positive attitude Optimism is contagious</v>
      </c>
      <c r="C5629" s="8" t="s">
        <v>13</v>
      </c>
      <c r="D5629" s="8" t="s">
        <v>14</v>
      </c>
      <c r="E5629" s="8">
        <v>1</v>
      </c>
    </row>
    <row r="5630" spans="1:5" ht="15.75" customHeight="1" x14ac:dyDescent="0.25">
      <c r="A5630" s="6" t="s">
        <v>5470</v>
      </c>
      <c r="B5630" s="6" t="str">
        <f ca="1">IFERROR(__xludf.DUMMYFUNCTION("GOOGLETRANSLATE(A5630,""bn"",""en"")"),"Feeling overwhelmed by emotions brings confusion")</f>
        <v>Feeling overwhelmed by emotions brings confusion</v>
      </c>
      <c r="C5630" s="8" t="s">
        <v>13</v>
      </c>
      <c r="D5630" s="8" t="s">
        <v>14</v>
      </c>
      <c r="E5630" s="8">
        <v>1</v>
      </c>
    </row>
    <row r="5631" spans="1:5" ht="15.75" customHeight="1" x14ac:dyDescent="0.25">
      <c r="A5631" s="6" t="s">
        <v>5471</v>
      </c>
      <c r="B5631" s="6" t="str">
        <f ca="1">IFERROR(__xludf.DUMMYFUNCTION("GOOGLETRANSLATE(A5631,""bn"",""en"")"),"Feeling appreciated by my colleagues boosts my confidence")</f>
        <v>Feeling appreciated by my colleagues boosts my confidence</v>
      </c>
      <c r="C5631" s="8" t="s">
        <v>13</v>
      </c>
      <c r="D5631" s="8" t="s">
        <v>14</v>
      </c>
      <c r="E5631" s="8">
        <v>1</v>
      </c>
    </row>
    <row r="5632" spans="1:5" ht="15.75" customHeight="1" x14ac:dyDescent="0.25">
      <c r="A5632" s="6" t="s">
        <v>5472</v>
      </c>
      <c r="B5632" s="6" t="str">
        <f ca="1">IFERROR(__xludf.DUMMYFUNCTION("GOOGLETRANSLATE(A5632,""bn"",""en"")"),"The girl was crying to her father to buy a doll")</f>
        <v>The girl was crying to her father to buy a doll</v>
      </c>
      <c r="C5632" s="7" t="s">
        <v>6</v>
      </c>
      <c r="D5632" s="7" t="s">
        <v>7</v>
      </c>
      <c r="E5632" s="7">
        <v>0</v>
      </c>
    </row>
    <row r="5633" spans="1:5" ht="15.75" customHeight="1" x14ac:dyDescent="0.25">
      <c r="A5633" s="6" t="s">
        <v>5473</v>
      </c>
      <c r="B5633" s="6" t="str">
        <f ca="1">IFERROR(__xludf.DUMMYFUNCTION("GOOGLETRANSLATE(A5633,""bn"",""en"")"),"A beautiful moon has risen in the sky")</f>
        <v>A beautiful moon has risen in the sky</v>
      </c>
      <c r="C5633" s="7" t="s">
        <v>6</v>
      </c>
      <c r="D5633" s="7" t="s">
        <v>7</v>
      </c>
      <c r="E5633" s="7">
        <v>0</v>
      </c>
    </row>
    <row r="5634" spans="1:5" ht="15.75" customHeight="1" x14ac:dyDescent="0.25">
      <c r="A5634" s="6" t="s">
        <v>4265</v>
      </c>
      <c r="B5634" s="6" t="str">
        <f ca="1">IFERROR(__xludf.DUMMYFUNCTION("GOOGLETRANSLATE(A5634,""bn"",""en"")"),"They don't even have that infinite number")</f>
        <v>They don't even have that infinite number</v>
      </c>
      <c r="C5634" s="7" t="s">
        <v>6</v>
      </c>
      <c r="D5634" s="7" t="s">
        <v>7</v>
      </c>
      <c r="E5634" s="7">
        <v>0</v>
      </c>
    </row>
    <row r="5635" spans="1:5" ht="15.75" customHeight="1" x14ac:dyDescent="0.25">
      <c r="A5635" s="6" t="s">
        <v>5474</v>
      </c>
      <c r="B5635" s="6" t="str">
        <f ca="1">IFERROR(__xludf.DUMMYFUNCTION("GOOGLETRANSLATE(A5635,""bn"",""en"")"),"Their women are strong and amazingly beautiful")</f>
        <v>Their women are strong and amazingly beautiful</v>
      </c>
      <c r="C5635" s="7" t="s">
        <v>6</v>
      </c>
      <c r="D5635" s="7" t="s">
        <v>7</v>
      </c>
      <c r="E5635" s="7">
        <v>0</v>
      </c>
    </row>
    <row r="5636" spans="1:5" ht="15.75" customHeight="1" x14ac:dyDescent="0.25">
      <c r="A5636" s="6" t="s">
        <v>5475</v>
      </c>
      <c r="B5636" s="6" t="str">
        <f ca="1">IFERROR(__xludf.DUMMYFUNCTION("GOOGLETRANSLATE(A5636,""bn"",""en"")"),"He finished work and returned home in the afternoon.")</f>
        <v>He finished work and returned home in the afternoon.</v>
      </c>
      <c r="C5636" s="7" t="s">
        <v>6</v>
      </c>
      <c r="D5636" s="7" t="s">
        <v>7</v>
      </c>
      <c r="E5636" s="7">
        <v>0</v>
      </c>
    </row>
    <row r="5637" spans="1:5" ht="15.75" customHeight="1" x14ac:dyDescent="0.25">
      <c r="A5637" s="6" t="s">
        <v>5476</v>
      </c>
      <c r="B5637" s="6" t="str">
        <f ca="1">IFERROR(__xludf.DUMMYFUNCTION("GOOGLETRANSLATE(A5637,""bn"",""en"")"),"Share your thoughts on it")</f>
        <v>Share your thoughts on it</v>
      </c>
      <c r="C5637" s="8" t="s">
        <v>13</v>
      </c>
      <c r="D5637" s="8" t="s">
        <v>14</v>
      </c>
      <c r="E5637" s="8">
        <v>1</v>
      </c>
    </row>
    <row r="5638" spans="1:5" ht="15.75" customHeight="1" x14ac:dyDescent="0.25">
      <c r="A5638" s="6" t="s">
        <v>5477</v>
      </c>
      <c r="B5638" s="6" t="str">
        <f ca="1">IFERROR(__xludf.DUMMYFUNCTION("GOOGLETRANSLATE(A5638,""bn"",""en"")"),"In the ruins of an ancient city they discovered the ruins of a forgotten civilization")</f>
        <v>In the ruins of an ancient city they discovered the ruins of a forgotten civilization</v>
      </c>
      <c r="C5638" s="8" t="s">
        <v>13</v>
      </c>
      <c r="D5638" s="8" t="s">
        <v>14</v>
      </c>
      <c r="E5638" s="8">
        <v>1</v>
      </c>
    </row>
    <row r="5639" spans="1:5" ht="15.75" customHeight="1" x14ac:dyDescent="0.25">
      <c r="A5639" s="6" t="s">
        <v>5478</v>
      </c>
      <c r="B5639" s="6" t="str">
        <f ca="1">IFERROR(__xludf.DUMMYFUNCTION("GOOGLETRANSLATE(A5639,""bn"",""en"")"),"The word khar means sin and the word chi means to cleanse or expunge")</f>
        <v>The word khar means sin and the word chi means to cleanse or expunge</v>
      </c>
      <c r="C5639" s="8" t="s">
        <v>13</v>
      </c>
      <c r="D5639" s="8" t="s">
        <v>14</v>
      </c>
      <c r="E5639" s="8">
        <v>1</v>
      </c>
    </row>
    <row r="5640" spans="1:5" ht="15.75" customHeight="1" x14ac:dyDescent="0.25">
      <c r="A5640" s="6" t="s">
        <v>5479</v>
      </c>
      <c r="B5640" s="6" t="str">
        <f ca="1">IFERROR(__xludf.DUMMYFUNCTION("GOOGLETRANSLATE(A5640,""bn"",""en"")"),"It pushes individuals out of their comfort zone and into the unknown")</f>
        <v>It pushes individuals out of their comfort zone and into the unknown</v>
      </c>
      <c r="C5640" s="8" t="s">
        <v>13</v>
      </c>
      <c r="D5640" s="8" t="s">
        <v>14</v>
      </c>
      <c r="E5640" s="8">
        <v>1</v>
      </c>
    </row>
    <row r="5641" spans="1:5" ht="15.75" customHeight="1" x14ac:dyDescent="0.25">
      <c r="A5641" s="6" t="s">
        <v>5480</v>
      </c>
      <c r="B5641" s="6" t="str">
        <f ca="1">IFERROR(__xludf.DUMMYFUNCTION("GOOGLETRANSLATE(A5641,""bn"",""en"")"),"He could tackle passes well and was good at heading")</f>
        <v>He could tackle passes well and was good at heading</v>
      </c>
      <c r="C5641" s="8" t="s">
        <v>13</v>
      </c>
      <c r="D5641" s="8" t="s">
        <v>14</v>
      </c>
      <c r="E5641" s="8">
        <v>1</v>
      </c>
    </row>
    <row r="5642" spans="1:5" ht="15.75" customHeight="1" x14ac:dyDescent="0.25">
      <c r="A5642" s="6" t="s">
        <v>1321</v>
      </c>
      <c r="B5642" s="6" t="str">
        <f ca="1">IFERROR(__xludf.DUMMYFUNCTION("GOOGLETRANSLATE(A5642,""bn"",""en"")"),"Defeated Asuras, leaving the Aryas in a good place, you went to the inaccessible mountains and set up your abodes.")</f>
        <v>Defeated Asuras, leaving the Aryas in a good place, you went to the inaccessible mountains and set up your abodes.</v>
      </c>
      <c r="C5642" s="7" t="s">
        <v>6</v>
      </c>
      <c r="D5642" s="7" t="s">
        <v>7</v>
      </c>
      <c r="E5642" s="7">
        <v>0</v>
      </c>
    </row>
    <row r="5643" spans="1:5" ht="15.75" customHeight="1" x14ac:dyDescent="0.25">
      <c r="A5643" s="6" t="s">
        <v>5481</v>
      </c>
      <c r="B5643" s="6" t="str">
        <f ca="1">IFERROR(__xludf.DUMMYFUNCTION("GOOGLETRANSLATE(A5643,""bn"",""en"")"),"I was thinking in surprise at that time Radhe Manyung etc. sounded again from one side")</f>
        <v>I was thinking in surprise at that time Radhe Manyung etc. sounded again from one side</v>
      </c>
      <c r="C5643" s="7" t="s">
        <v>6</v>
      </c>
      <c r="D5643" s="7" t="s">
        <v>7</v>
      </c>
      <c r="E5643" s="7">
        <v>0</v>
      </c>
    </row>
    <row r="5644" spans="1:5" ht="15.75" customHeight="1" x14ac:dyDescent="0.25">
      <c r="A5644" s="6" t="s">
        <v>4909</v>
      </c>
      <c r="B5644" s="6" t="str">
        <f ca="1">IFERROR(__xludf.DUMMYFUNCTION("GOOGLETRANSLATE(A5644,""bn"",""en"")"),"Both displaced the stone quarry")</f>
        <v>Both displaced the stone quarry</v>
      </c>
      <c r="C5644" s="7" t="s">
        <v>6</v>
      </c>
      <c r="D5644" s="7" t="s">
        <v>7</v>
      </c>
      <c r="E5644" s="7">
        <v>0</v>
      </c>
    </row>
    <row r="5645" spans="1:5" ht="15.75" customHeight="1" x14ac:dyDescent="0.25">
      <c r="A5645" s="6" t="s">
        <v>5482</v>
      </c>
      <c r="B5645" s="6" t="str">
        <f ca="1">IFERROR(__xludf.DUMMYFUNCTION("GOOGLETRANSLATE(A5645,""bn"",""en"")"),"I walked like a gentleman without hesitation")</f>
        <v>I walked like a gentleman without hesitation</v>
      </c>
      <c r="C5645" s="7" t="s">
        <v>6</v>
      </c>
      <c r="D5645" s="7" t="s">
        <v>7</v>
      </c>
      <c r="E5645" s="7">
        <v>0</v>
      </c>
    </row>
    <row r="5646" spans="1:5" ht="15.75" customHeight="1" x14ac:dyDescent="0.25">
      <c r="A5646" s="6" t="s">
        <v>5483</v>
      </c>
      <c r="B5646" s="6" t="str">
        <f ca="1">IFERROR(__xludf.DUMMYFUNCTION("GOOGLETRANSLATE(A5646,""bn"",""en"")"),"A motherless orphan girl in the village has to cook and eat herself.")</f>
        <v>A motherless orphan girl in the village has to cook and eat herself.</v>
      </c>
      <c r="C5646" s="7" t="s">
        <v>6</v>
      </c>
      <c r="D5646" s="7" t="s">
        <v>7</v>
      </c>
      <c r="E5646" s="7">
        <v>0</v>
      </c>
    </row>
    <row r="5647" spans="1:5" ht="15.75" customHeight="1" x14ac:dyDescent="0.25">
      <c r="A5647" s="6" t="s">
        <v>5484</v>
      </c>
      <c r="B5647" s="6" t="str">
        <f ca="1">IFERROR(__xludf.DUMMYFUNCTION("GOOGLETRANSLATE(A5647,""bn"",""en"")"),"They will go for a ride in the car together")</f>
        <v>They will go for a ride in the car together</v>
      </c>
      <c r="C5647" s="8" t="s">
        <v>13</v>
      </c>
      <c r="D5647" s="8" t="s">
        <v>14</v>
      </c>
      <c r="E5647" s="8">
        <v>1</v>
      </c>
    </row>
    <row r="5648" spans="1:5" ht="15.75" customHeight="1" x14ac:dyDescent="0.25">
      <c r="A5648" s="6" t="s">
        <v>5485</v>
      </c>
      <c r="B5648" s="6" t="str">
        <f ca="1">IFERROR(__xludf.DUMMYFUNCTION("GOOGLETRANSLATE(A5648,""bn"",""en"")"),"So my day started with it being dark outside")</f>
        <v>So my day started with it being dark outside</v>
      </c>
      <c r="C5648" s="8" t="s">
        <v>13</v>
      </c>
      <c r="D5648" s="8" t="s">
        <v>14</v>
      </c>
      <c r="E5648" s="8">
        <v>1</v>
      </c>
    </row>
    <row r="5649" spans="1:5" ht="15.75" customHeight="1" x14ac:dyDescent="0.25">
      <c r="A5649" s="6" t="s">
        <v>5486</v>
      </c>
      <c r="B5649" s="6" t="str">
        <f ca="1">IFERROR(__xludf.DUMMYFUNCTION("GOOGLETRANSLATE(A5649,""bn"",""en"")"),"Since then this day is celebrated every year")</f>
        <v>Since then this day is celebrated every year</v>
      </c>
      <c r="C5649" s="8" t="s">
        <v>13</v>
      </c>
      <c r="D5649" s="8" t="s">
        <v>14</v>
      </c>
      <c r="E5649" s="8">
        <v>1</v>
      </c>
    </row>
    <row r="5650" spans="1:5" ht="15.75" customHeight="1" x14ac:dyDescent="0.25">
      <c r="A5650" s="6" t="s">
        <v>5487</v>
      </c>
      <c r="B5650" s="6" t="str">
        <f ca="1">IFERROR(__xludf.DUMMYFUNCTION("GOOGLETRANSLATE(A5650,""bn"",""en"")"),"This monument was also destroyed in the 1990s")</f>
        <v>This monument was also destroyed in the 1990s</v>
      </c>
      <c r="C5650" s="8" t="s">
        <v>13</v>
      </c>
      <c r="D5650" s="8" t="s">
        <v>14</v>
      </c>
      <c r="E5650" s="8">
        <v>1</v>
      </c>
    </row>
    <row r="5651" spans="1:5" ht="15.75" customHeight="1" x14ac:dyDescent="0.25">
      <c r="A5651" s="6" t="s">
        <v>5488</v>
      </c>
      <c r="B5651" s="6" t="str">
        <f ca="1">IFERROR(__xludf.DUMMYFUNCTION("GOOGLETRANSLATE(A5651,""bn"",""en"")"),"In Nilganj he had to sleep with a blanket")</f>
        <v>In Nilganj he had to sleep with a blanket</v>
      </c>
      <c r="C5651" s="8" t="s">
        <v>13</v>
      </c>
      <c r="D5651" s="8" t="s">
        <v>14</v>
      </c>
      <c r="E5651" s="8">
        <v>1</v>
      </c>
    </row>
    <row r="5652" spans="1:5" ht="15.75" customHeight="1" x14ac:dyDescent="0.25">
      <c r="A5652" s="6" t="s">
        <v>5489</v>
      </c>
      <c r="B5652" s="6" t="str">
        <f ca="1">IFERROR(__xludf.DUMMYFUNCTION("GOOGLETRANSLATE(A5652,""bn"",""en"")"),"One whose actions have brought fruit is the way without suffering")</f>
        <v>One whose actions have brought fruit is the way without suffering</v>
      </c>
      <c r="C5652" s="7" t="s">
        <v>6</v>
      </c>
      <c r="D5652" s="7" t="s">
        <v>7</v>
      </c>
      <c r="E5652" s="7">
        <v>0</v>
      </c>
    </row>
    <row r="5653" spans="1:5" ht="15.75" customHeight="1" x14ac:dyDescent="0.25">
      <c r="A5653" s="6" t="s">
        <v>5490</v>
      </c>
      <c r="B5653" s="6" t="str">
        <f ca="1">IFERROR(__xludf.DUMMYFUNCTION("GOOGLETRANSLATE(A5653,""bn"",""en"")"),"He said that it is not right for me to leave my family and go to a far foreign country")</f>
        <v>He said that it is not right for me to leave my family and go to a far foreign country</v>
      </c>
      <c r="C5653" s="7" t="s">
        <v>6</v>
      </c>
      <c r="D5653" s="7" t="s">
        <v>7</v>
      </c>
      <c r="E5653" s="7">
        <v>0</v>
      </c>
    </row>
    <row r="5654" spans="1:5" ht="15.75" customHeight="1" x14ac:dyDescent="0.25">
      <c r="A5654" s="6" t="s">
        <v>1447</v>
      </c>
      <c r="B5654" s="6" t="str">
        <f ca="1">IFERROR(__xludf.DUMMYFUNCTION("GOOGLETRANSLATE(A5654,""bn"",""en"")"),"I thought that when the wife reached, the youth's anger must have turned on the rice")</f>
        <v>I thought that when the wife reached, the youth's anger must have turned on the rice</v>
      </c>
      <c r="C5654" s="7" t="s">
        <v>6</v>
      </c>
      <c r="D5654" s="7" t="s">
        <v>7</v>
      </c>
      <c r="E5654" s="7">
        <v>0</v>
      </c>
    </row>
    <row r="5655" spans="1:5" ht="15.75" customHeight="1" x14ac:dyDescent="0.25">
      <c r="A5655" s="6" t="s">
        <v>2727</v>
      </c>
      <c r="B5655" s="6" t="str">
        <f ca="1">IFERROR(__xludf.DUMMYFUNCTION("GOOGLETRANSLATE(A5655,""bn"",""en"")"),"It is not wrong to say that the demon family has been destroyed in the current situation")</f>
        <v>It is not wrong to say that the demon family has been destroyed in the current situation</v>
      </c>
      <c r="C5655" s="7" t="s">
        <v>6</v>
      </c>
      <c r="D5655" s="7" t="s">
        <v>7</v>
      </c>
      <c r="E5655" s="7">
        <v>0</v>
      </c>
    </row>
    <row r="5656" spans="1:5" ht="15.75" customHeight="1" x14ac:dyDescent="0.25">
      <c r="A5656" s="6" t="s">
        <v>5491</v>
      </c>
      <c r="B5656" s="6" t="str">
        <f ca="1">IFERROR(__xludf.DUMMYFUNCTION("GOOGLETRANSLATE(A5656,""bn"",""en"")"),"He was afraid of the winter and used to wash himself before the evening, making a jingling sound")</f>
        <v>He was afraid of the winter and used to wash himself before the evening, making a jingling sound</v>
      </c>
      <c r="C5656" s="7" t="s">
        <v>6</v>
      </c>
      <c r="D5656" s="7" t="s">
        <v>7</v>
      </c>
      <c r="E5656" s="7">
        <v>0</v>
      </c>
    </row>
    <row r="5657" spans="1:5" ht="15.75" customHeight="1" x14ac:dyDescent="0.25">
      <c r="A5657" s="6" t="s">
        <v>5492</v>
      </c>
      <c r="B5657" s="6" t="str">
        <f ca="1">IFERROR(__xludf.DUMMYFUNCTION("GOOGLETRANSLATE(A5657,""bn"",""en"")"),"He was awarded the Royal Red Cross by Queen Victoria")</f>
        <v>He was awarded the Royal Red Cross by Queen Victoria</v>
      </c>
      <c r="C5657" s="8" t="s">
        <v>13</v>
      </c>
      <c r="D5657" s="8" t="s">
        <v>14</v>
      </c>
      <c r="E5657" s="8">
        <v>1</v>
      </c>
    </row>
    <row r="5658" spans="1:5" ht="15.75" customHeight="1" x14ac:dyDescent="0.25">
      <c r="A5658" s="6" t="s">
        <v>5493</v>
      </c>
      <c r="B5658" s="6" t="str">
        <f ca="1">IFERROR(__xludf.DUMMYFUNCTION("GOOGLETRANSLATE(A5658,""bn"",""en"")"),"When the sepoys intervened, a fight ensued")</f>
        <v>When the sepoys intervened, a fight ensued</v>
      </c>
      <c r="C5658" s="8" t="s">
        <v>13</v>
      </c>
      <c r="D5658" s="8" t="s">
        <v>14</v>
      </c>
      <c r="E5658" s="8">
        <v>1</v>
      </c>
    </row>
    <row r="5659" spans="1:5" ht="15.75" customHeight="1" x14ac:dyDescent="0.25">
      <c r="A5659" s="6" t="s">
        <v>5494</v>
      </c>
      <c r="B5659" s="6" t="str">
        <f ca="1">IFERROR(__xludf.DUMMYFUNCTION("GOOGLETRANSLATE(A5659,""bn"",""en"")"),"Comment like your goal")</f>
        <v>Comment like your goal</v>
      </c>
      <c r="C5659" s="8" t="s">
        <v>13</v>
      </c>
      <c r="D5659" s="8" t="s">
        <v>14</v>
      </c>
      <c r="E5659" s="8">
        <v>1</v>
      </c>
    </row>
    <row r="5660" spans="1:5" ht="15.75" customHeight="1" x14ac:dyDescent="0.25">
      <c r="A5660" s="6" t="s">
        <v>5495</v>
      </c>
      <c r="B5660" s="6" t="str">
        <f ca="1">IFERROR(__xludf.DUMMYFUNCTION("GOOGLETRANSLATE(A5660,""bn"",""en"")"),"Regular saving is a key habit for financial stability")</f>
        <v>Regular saving is a key habit for financial stability</v>
      </c>
      <c r="C5660" s="8" t="s">
        <v>13</v>
      </c>
      <c r="D5660" s="8" t="s">
        <v>14</v>
      </c>
      <c r="E5660" s="8">
        <v>1</v>
      </c>
    </row>
    <row r="5661" spans="1:5" ht="15.75" customHeight="1" x14ac:dyDescent="0.25">
      <c r="A5661" s="6" t="s">
        <v>5496</v>
      </c>
      <c r="B5661" s="6" t="str">
        <f ca="1">IFERROR(__xludf.DUMMYFUNCTION("GOOGLETRANSLATE(A5661,""bn"",""en"")"),"Criminal negligence involves recklessness or carelessness that leads to harm")</f>
        <v>Criminal negligence involves recklessness or carelessness that leads to harm</v>
      </c>
      <c r="C5661" s="8" t="s">
        <v>13</v>
      </c>
      <c r="D5661" s="8" t="s">
        <v>14</v>
      </c>
      <c r="E5661" s="8">
        <v>1</v>
      </c>
    </row>
    <row r="5662" spans="1:5" ht="15.75" customHeight="1" x14ac:dyDescent="0.25">
      <c r="A5662" s="6" t="s">
        <v>5497</v>
      </c>
      <c r="B5662" s="6" t="str">
        <f ca="1">IFERROR(__xludf.DUMMYFUNCTION("GOOGLETRANSLATE(A5662,""bn"",""en"")"),"I came to you")</f>
        <v>I came to you</v>
      </c>
      <c r="C5662" s="7" t="s">
        <v>6</v>
      </c>
      <c r="D5662" s="7" t="s">
        <v>7</v>
      </c>
      <c r="E5662" s="7">
        <v>0</v>
      </c>
    </row>
    <row r="5663" spans="1:5" ht="15.75" customHeight="1" x14ac:dyDescent="0.25">
      <c r="A5663" s="6" t="s">
        <v>5498</v>
      </c>
      <c r="B5663" s="6" t="str">
        <f ca="1">IFERROR(__xludf.DUMMYFUNCTION("GOOGLETRANSLATE(A5663,""bn"",""en"")"),"All his companions died in coming through this forest")</f>
        <v>All his companions died in coming through this forest</v>
      </c>
      <c r="C5663" s="7" t="s">
        <v>6</v>
      </c>
      <c r="D5663" s="7" t="s">
        <v>7</v>
      </c>
      <c r="E5663" s="7">
        <v>0</v>
      </c>
    </row>
    <row r="5664" spans="1:5" ht="15.75" customHeight="1" x14ac:dyDescent="0.25">
      <c r="A5664" s="6" t="s">
        <v>5499</v>
      </c>
      <c r="B5664" s="6" t="str">
        <f ca="1">IFERROR(__xludf.DUMMYFUNCTION("GOOGLETRANSLATE(A5664,""bn"",""en"")"),"If they are marriageable, they do not get to spend the night in their father's house")</f>
        <v>If they are marriageable, they do not get to spend the night in their father's house</v>
      </c>
      <c r="C5664" s="7" t="s">
        <v>6</v>
      </c>
      <c r="D5664" s="7" t="s">
        <v>7</v>
      </c>
      <c r="E5664" s="7">
        <v>0</v>
      </c>
    </row>
    <row r="5665" spans="1:5" ht="15.75" customHeight="1" x14ac:dyDescent="0.25">
      <c r="A5665" s="6" t="s">
        <v>5500</v>
      </c>
      <c r="B5665" s="6" t="str">
        <f ca="1">IFERROR(__xludf.DUMMYFUNCTION("GOOGLETRANSLATE(A5665,""bn"",""en"")"),"He was very sick so I bought him medicine")</f>
        <v>He was very sick so I bought him medicine</v>
      </c>
      <c r="C5665" s="7" t="s">
        <v>6</v>
      </c>
      <c r="D5665" s="7" t="s">
        <v>7</v>
      </c>
      <c r="E5665" s="7">
        <v>0</v>
      </c>
    </row>
    <row r="5666" spans="1:5" ht="15.75" customHeight="1" x14ac:dyDescent="0.25">
      <c r="A5666" s="6" t="s">
        <v>5501</v>
      </c>
      <c r="B5666" s="6" t="str">
        <f ca="1">IFERROR(__xludf.DUMMYFUNCTION("GOOGLETRANSLATE(A5666,""bn"",""en"")"),"The result is nothing special about you but about me")</f>
        <v>The result is nothing special about you but about me</v>
      </c>
      <c r="C5666" s="7" t="s">
        <v>6</v>
      </c>
      <c r="D5666" s="7" t="s">
        <v>7</v>
      </c>
      <c r="E5666" s="7">
        <v>0</v>
      </c>
    </row>
    <row r="5667" spans="1:5" ht="15.75" customHeight="1" x14ac:dyDescent="0.25">
      <c r="A5667" s="6" t="s">
        <v>5502</v>
      </c>
      <c r="B5667" s="6" t="str">
        <f ca="1">IFERROR(__xludf.DUMMYFUNCTION("GOOGLETRANSLATE(A5667,""bn"",""en"")"),"Practice self-reflection to gain insight into your thinking behavior")</f>
        <v>Practice self-reflection to gain insight into your thinking behavior</v>
      </c>
      <c r="C5667" s="8" t="s">
        <v>13</v>
      </c>
      <c r="D5667" s="8" t="s">
        <v>14</v>
      </c>
      <c r="E5667" s="8">
        <v>1</v>
      </c>
    </row>
    <row r="5668" spans="1:5" ht="15.75" customHeight="1" x14ac:dyDescent="0.25">
      <c r="A5668" s="6" t="s">
        <v>5503</v>
      </c>
      <c r="B5668" s="6" t="str">
        <f ca="1">IFERROR(__xludf.DUMMYFUNCTION("GOOGLETRANSLATE(A5668,""bn"",""en"")"),"Delicious pie warm winter gathering")</f>
        <v>Delicious pie warm winter gathering</v>
      </c>
      <c r="C5668" s="8" t="s">
        <v>13</v>
      </c>
      <c r="D5668" s="8" t="s">
        <v>14</v>
      </c>
      <c r="E5668" s="8">
        <v>1</v>
      </c>
    </row>
    <row r="5669" spans="1:5" ht="15.75" customHeight="1" x14ac:dyDescent="0.25">
      <c r="A5669" s="6" t="s">
        <v>5504</v>
      </c>
      <c r="B5669" s="6" t="str">
        <f ca="1">IFERROR(__xludf.DUMMYFUNCTION("GOOGLETRANSLATE(A5669,""bn"",""en"")"),"His name is Mohiul Islam Mithu")</f>
        <v>His name is Mohiul Islam Mithu</v>
      </c>
      <c r="C5669" s="8" t="s">
        <v>13</v>
      </c>
      <c r="D5669" s="8" t="s">
        <v>14</v>
      </c>
      <c r="E5669" s="8">
        <v>1</v>
      </c>
    </row>
    <row r="5670" spans="1:5" ht="15.75" customHeight="1" x14ac:dyDescent="0.25">
      <c r="A5670" s="6" t="s">
        <v>5505</v>
      </c>
      <c r="B5670" s="6" t="str">
        <f ca="1">IFERROR(__xludf.DUMMYFUNCTION("GOOGLETRANSLATE(A5670,""bn"",""en"")"),"According to them it was love at first sight")</f>
        <v>According to them it was love at first sight</v>
      </c>
      <c r="C5670" s="8" t="s">
        <v>13</v>
      </c>
      <c r="D5670" s="8" t="s">
        <v>14</v>
      </c>
      <c r="E5670" s="8">
        <v>1</v>
      </c>
    </row>
    <row r="5671" spans="1:5" ht="15.75" customHeight="1" x14ac:dyDescent="0.25">
      <c r="A5671" s="6" t="s">
        <v>5506</v>
      </c>
      <c r="B5671" s="6" t="str">
        <f ca="1">IFERROR(__xludf.DUMMYFUNCTION("GOOGLETRANSLATE(A5671,""bn"",""en"")"),"Yesterday there were many clouds in the sky and then it rained")</f>
        <v>Yesterday there were many clouds in the sky and then it rained</v>
      </c>
      <c r="C5671" s="8" t="s">
        <v>13</v>
      </c>
      <c r="D5671" s="8" t="s">
        <v>14</v>
      </c>
      <c r="E5671" s="8">
        <v>1</v>
      </c>
    </row>
    <row r="5672" spans="1:5" ht="15.75" customHeight="1" x14ac:dyDescent="0.25">
      <c r="A5672" s="6" t="s">
        <v>3523</v>
      </c>
      <c r="B5672" s="6" t="str">
        <f ca="1">IFERROR(__xludf.DUMMYFUNCTION("GOOGLETRANSLATE(A5672,""bn"",""en"")"),"There is no soil in the western part of this hill so all the layers inside it can be seen")</f>
        <v>There is no soil in the western part of this hill so all the layers inside it can be seen</v>
      </c>
      <c r="C5672" s="7" t="s">
        <v>6</v>
      </c>
      <c r="D5672" s="7" t="s">
        <v>7</v>
      </c>
      <c r="E5672" s="7">
        <v>0</v>
      </c>
    </row>
    <row r="5673" spans="1:5" ht="15.75" customHeight="1" x14ac:dyDescent="0.25">
      <c r="A5673" s="6" t="s">
        <v>5507</v>
      </c>
      <c r="B5673" s="6" t="str">
        <f ca="1">IFERROR(__xludf.DUMMYFUNCTION("GOOGLETRANSLATE(A5673,""bn"",""en"")"),"You go quickly and bring mother back")</f>
        <v>You go quickly and bring mother back</v>
      </c>
      <c r="C5673" s="7" t="s">
        <v>6</v>
      </c>
      <c r="D5673" s="7" t="s">
        <v>7</v>
      </c>
      <c r="E5673" s="7">
        <v>0</v>
      </c>
    </row>
    <row r="5674" spans="1:5" ht="15.75" customHeight="1" x14ac:dyDescent="0.25">
      <c r="A5674" s="6" t="s">
        <v>5508</v>
      </c>
      <c r="B5674" s="6" t="str">
        <f ca="1">IFERROR(__xludf.DUMMYFUNCTION("GOOGLETRANSLATE(A5674,""bn"",""en"")"),"It became difficult for him to maintain patience")</f>
        <v>It became difficult for him to maintain patience</v>
      </c>
      <c r="C5674" s="7" t="s">
        <v>6</v>
      </c>
      <c r="D5674" s="7" t="s">
        <v>7</v>
      </c>
      <c r="E5674" s="7">
        <v>0</v>
      </c>
    </row>
    <row r="5675" spans="1:5" ht="15.75" customHeight="1" x14ac:dyDescent="0.25">
      <c r="A5675" s="6" t="s">
        <v>5509</v>
      </c>
      <c r="B5675" s="6" t="str">
        <f ca="1">IFERROR(__xludf.DUMMYFUNCTION("GOOGLETRANSLATE(A5675,""bn"",""en"")"),"Could I leave you today?")</f>
        <v>Could I leave you today?</v>
      </c>
      <c r="C5675" s="7" t="s">
        <v>6</v>
      </c>
      <c r="D5675" s="7" t="s">
        <v>7</v>
      </c>
      <c r="E5675" s="7">
        <v>0</v>
      </c>
    </row>
    <row r="5676" spans="1:5" ht="15.75" customHeight="1" x14ac:dyDescent="0.25">
      <c r="A5676" s="6" t="s">
        <v>5510</v>
      </c>
      <c r="B5676" s="6" t="str">
        <f ca="1">IFERROR(__xludf.DUMMYFUNCTION("GOOGLETRANSLATE(A5676,""bn"",""en"")"),"I will not try to meet you by force if you have the desire to break a young man's heart.")</f>
        <v>I will not try to meet you by force if you have the desire to break a young man's heart.</v>
      </c>
      <c r="C5676" s="7" t="s">
        <v>6</v>
      </c>
      <c r="D5676" s="7" t="s">
        <v>7</v>
      </c>
      <c r="E5676" s="7">
        <v>0</v>
      </c>
    </row>
    <row r="5677" spans="1:5" ht="15.75" customHeight="1" x14ac:dyDescent="0.25">
      <c r="A5677" s="6" t="s">
        <v>4975</v>
      </c>
      <c r="B5677" s="6" t="str">
        <f ca="1">IFERROR(__xludf.DUMMYFUNCTION("GOOGLETRANSLATE(A5677,""bn"",""en"")"),"There was no limit to the joy of the crowd")</f>
        <v>There was no limit to the joy of the crowd</v>
      </c>
      <c r="C5677" s="8" t="s">
        <v>13</v>
      </c>
      <c r="D5677" s="8" t="s">
        <v>14</v>
      </c>
      <c r="E5677" s="8">
        <v>1</v>
      </c>
    </row>
    <row r="5678" spans="1:5" ht="15.75" customHeight="1" x14ac:dyDescent="0.25">
      <c r="A5678" s="6" t="s">
        <v>5511</v>
      </c>
      <c r="B5678" s="6" t="str">
        <f ca="1">IFERROR(__xludf.DUMMYFUNCTION("GOOGLETRANSLATE(A5678,""bn"",""en"")"),"Gastritis is inflammation of the stomach lining often causing abdominal pain discomfort")</f>
        <v>Gastritis is inflammation of the stomach lining often causing abdominal pain discomfort</v>
      </c>
      <c r="C5678" s="8" t="s">
        <v>13</v>
      </c>
      <c r="D5678" s="8" t="s">
        <v>14</v>
      </c>
      <c r="E5678" s="8">
        <v>1</v>
      </c>
    </row>
    <row r="5679" spans="1:5" ht="15.75" customHeight="1" x14ac:dyDescent="0.25">
      <c r="A5679" s="6" t="s">
        <v>5512</v>
      </c>
      <c r="B5679" s="6" t="str">
        <f ca="1">IFERROR(__xludf.DUMMYFUNCTION("GOOGLETRANSLATE(A5679,""bn"",""en"")"),"Money laundering is a common practice within criminal networks")</f>
        <v>Money laundering is a common practice within criminal networks</v>
      </c>
      <c r="C5679" s="8" t="s">
        <v>13</v>
      </c>
      <c r="D5679" s="8" t="s">
        <v>14</v>
      </c>
      <c r="E5679" s="8">
        <v>1</v>
      </c>
    </row>
    <row r="5680" spans="1:5" ht="15.75" customHeight="1" x14ac:dyDescent="0.25">
      <c r="A5680" s="6" t="s">
        <v>5513</v>
      </c>
      <c r="B5680" s="6" t="str">
        <f ca="1">IFERROR(__xludf.DUMMYFUNCTION("GOOGLETRANSLATE(A5680,""bn"",""en"")"),"Performs regular maintenance of mechanical vehicles to keep them running smoothly")</f>
        <v>Performs regular maintenance of mechanical vehicles to keep them running smoothly</v>
      </c>
      <c r="C5680" s="8" t="s">
        <v>13</v>
      </c>
      <c r="D5680" s="8" t="s">
        <v>14</v>
      </c>
      <c r="E5680" s="8">
        <v>1</v>
      </c>
    </row>
    <row r="5681" spans="1:5" ht="15.75" customHeight="1" x14ac:dyDescent="0.25">
      <c r="A5681" s="6" t="s">
        <v>5514</v>
      </c>
      <c r="B5681" s="6" t="str">
        <f ca="1">IFERROR(__xludf.DUMMYFUNCTION("GOOGLETRANSLATE(A5681,""bn"",""en"")"),"Judaism traces its origins to God's covenant with Abraham")</f>
        <v>Judaism traces its origins to God's covenant with Abraham</v>
      </c>
      <c r="C5681" s="8" t="s">
        <v>13</v>
      </c>
      <c r="D5681" s="8" t="s">
        <v>14</v>
      </c>
      <c r="E5681" s="8">
        <v>1</v>
      </c>
    </row>
    <row r="5682" spans="1:5" ht="15.75" customHeight="1" x14ac:dyDescent="0.25">
      <c r="A5682" s="6" t="s">
        <v>5515</v>
      </c>
      <c r="B5682" s="6" t="str">
        <f ca="1">IFERROR(__xludf.DUMMYFUNCTION("GOOGLETRANSLATE(A5682,""bn"",""en"")"),"I can't explain what I see to others because I always look like a boy")</f>
        <v>I can't explain what I see to others because I always look like a boy</v>
      </c>
      <c r="C5682" s="7" t="s">
        <v>6</v>
      </c>
      <c r="D5682" s="7" t="s">
        <v>7</v>
      </c>
      <c r="E5682" s="7">
        <v>0</v>
      </c>
    </row>
    <row r="5683" spans="1:5" ht="15.75" customHeight="1" x14ac:dyDescent="0.25">
      <c r="A5683" s="6" t="s">
        <v>489</v>
      </c>
      <c r="B5683" s="6" t="str">
        <f ca="1">IFERROR(__xludf.DUMMYFUNCTION("GOOGLETRANSLATE(A5683,""bn"",""en"")"),"If the domestic animals lose their way in the forest, they have to follow the sound and search for them")</f>
        <v>If the domestic animals lose their way in the forest, they have to follow the sound and search for them</v>
      </c>
      <c r="C5683" s="7" t="s">
        <v>6</v>
      </c>
      <c r="D5683" s="7" t="s">
        <v>7</v>
      </c>
      <c r="E5683" s="7">
        <v>0</v>
      </c>
    </row>
    <row r="5684" spans="1:5" ht="15.75" customHeight="1" x14ac:dyDescent="0.25">
      <c r="A5684" s="6" t="s">
        <v>5516</v>
      </c>
      <c r="B5684" s="6" t="str">
        <f ca="1">IFERROR(__xludf.DUMMYFUNCTION("GOOGLETRANSLATE(A5684,""bn"",""en"")"),"Mother has invited you to dinner today")</f>
        <v>Mother has invited you to dinner today</v>
      </c>
      <c r="C5684" s="7" t="s">
        <v>6</v>
      </c>
      <c r="D5684" s="7" t="s">
        <v>7</v>
      </c>
      <c r="E5684" s="7">
        <v>0</v>
      </c>
    </row>
    <row r="5685" spans="1:5" ht="15.75" customHeight="1" x14ac:dyDescent="0.25">
      <c r="A5685" s="6" t="s">
        <v>5517</v>
      </c>
      <c r="B5685" s="6" t="str">
        <f ca="1">IFERROR(__xludf.DUMMYFUNCTION("GOOGLETRANSLATE(A5685,""bn"",""en"")"),"The chosen word is correct")</f>
        <v>The chosen word is correct</v>
      </c>
      <c r="C5685" s="7" t="s">
        <v>6</v>
      </c>
      <c r="D5685" s="7" t="s">
        <v>7</v>
      </c>
      <c r="E5685" s="7">
        <v>0</v>
      </c>
    </row>
    <row r="5686" spans="1:5" ht="15.75" customHeight="1" x14ac:dyDescent="0.25">
      <c r="A5686" s="6" t="s">
        <v>5518</v>
      </c>
      <c r="B5686" s="6" t="str">
        <f ca="1">IFERROR(__xludf.DUMMYFUNCTION("GOOGLETRANSLATE(A5686,""bn"",""en"")"),"All Choleras marry")</f>
        <v>All Choleras marry</v>
      </c>
      <c r="C5686" s="7" t="s">
        <v>6</v>
      </c>
      <c r="D5686" s="7" t="s">
        <v>7</v>
      </c>
      <c r="E5686" s="7">
        <v>0</v>
      </c>
    </row>
    <row r="5687" spans="1:5" ht="15.75" customHeight="1" x14ac:dyDescent="0.25">
      <c r="A5687" s="6" t="s">
        <v>5519</v>
      </c>
      <c r="B5687" s="6" t="str">
        <f ca="1">IFERROR(__xludf.DUMMYFUNCTION("GOOGLETRANSLATE(A5687,""bn"",""en"")"),"I let Suman eat")</f>
        <v>I let Suman eat</v>
      </c>
      <c r="C5687" s="8" t="s">
        <v>13</v>
      </c>
      <c r="D5687" s="8" t="s">
        <v>14</v>
      </c>
      <c r="E5687" s="8">
        <v>1</v>
      </c>
    </row>
    <row r="5688" spans="1:5" ht="15.75" customHeight="1" x14ac:dyDescent="0.25">
      <c r="A5688" s="6" t="s">
        <v>5520</v>
      </c>
      <c r="B5688" s="6" t="str">
        <f ca="1">IFERROR(__xludf.DUMMYFUNCTION("GOOGLETRANSLATE(A5688,""bn"",""en"")"),"How did your research turn out?")</f>
        <v>How did your research turn out?</v>
      </c>
      <c r="C5688" s="8" t="s">
        <v>13</v>
      </c>
      <c r="D5688" s="8" t="s">
        <v>14</v>
      </c>
      <c r="E5688" s="8">
        <v>1</v>
      </c>
    </row>
    <row r="5689" spans="1:5" ht="15.75" customHeight="1" x14ac:dyDescent="0.25">
      <c r="A5689" s="6" t="s">
        <v>5521</v>
      </c>
      <c r="B5689" s="6" t="str">
        <f ca="1">IFERROR(__xludf.DUMMYFUNCTION("GOOGLETRANSLATE(A5689,""bn"",""en"")"),"After the war, he started writing books about his experiences")</f>
        <v>After the war, he started writing books about his experiences</v>
      </c>
      <c r="C5689" s="8" t="s">
        <v>13</v>
      </c>
      <c r="D5689" s="8" t="s">
        <v>14</v>
      </c>
      <c r="E5689" s="8">
        <v>1</v>
      </c>
    </row>
    <row r="5690" spans="1:5" ht="15.75" customHeight="1" x14ac:dyDescent="0.25">
      <c r="A5690" s="6" t="s">
        <v>5522</v>
      </c>
      <c r="B5690" s="6" t="str">
        <f ca="1">IFERROR(__xludf.DUMMYFUNCTION("GOOGLETRANSLATE(A5690,""bn"",""en"")"),"He passed away this August")</f>
        <v>He passed away this August</v>
      </c>
      <c r="C5690" s="8" t="s">
        <v>13</v>
      </c>
      <c r="D5690" s="8" t="s">
        <v>14</v>
      </c>
      <c r="E5690" s="8">
        <v>1</v>
      </c>
    </row>
    <row r="5691" spans="1:5" ht="15.75" customHeight="1" x14ac:dyDescent="0.25">
      <c r="A5691" s="6" t="s">
        <v>5523</v>
      </c>
      <c r="B5691" s="6" t="str">
        <f ca="1">IFERROR(__xludf.DUMMYFUNCTION("GOOGLETRANSLATE(A5691,""bn"",""en"")"),"Criminal justice professionals work tirelessly to maintain justice and public safety")</f>
        <v>Criminal justice professionals work tirelessly to maintain justice and public safety</v>
      </c>
      <c r="C5691" s="8" t="s">
        <v>13</v>
      </c>
      <c r="D5691" s="8" t="s">
        <v>14</v>
      </c>
      <c r="E5691" s="8">
        <v>1</v>
      </c>
    </row>
    <row r="5692" spans="1:5" ht="15.75" customHeight="1" x14ac:dyDescent="0.25">
      <c r="A5692" s="6" t="s">
        <v>5524</v>
      </c>
      <c r="B5692" s="6" t="str">
        <f ca="1">IFERROR(__xludf.DUMMYFUNCTION("GOOGLETRANSLATE(A5692,""bn"",""en"")"),"An emotional father stood in front of his son")</f>
        <v>An emotional father stood in front of his son</v>
      </c>
      <c r="C5692" s="7" t="s">
        <v>6</v>
      </c>
      <c r="D5692" s="7" t="s">
        <v>7</v>
      </c>
      <c r="E5692" s="7">
        <v>0</v>
      </c>
    </row>
    <row r="5693" spans="1:5" ht="15.75" customHeight="1" x14ac:dyDescent="0.25">
      <c r="A5693" s="6" t="s">
        <v>5525</v>
      </c>
      <c r="B5693" s="6" t="str">
        <f ca="1">IFERROR(__xludf.DUMMYFUNCTION("GOOGLETRANSLATE(A5693,""bn"",""en"")"),"It suddenly rang")</f>
        <v>It suddenly rang</v>
      </c>
      <c r="C5693" s="7" t="s">
        <v>6</v>
      </c>
      <c r="D5693" s="7" t="s">
        <v>7</v>
      </c>
      <c r="E5693" s="7">
        <v>0</v>
      </c>
    </row>
    <row r="5694" spans="1:5" ht="15.75" customHeight="1" x14ac:dyDescent="0.25">
      <c r="A5694" s="6" t="s">
        <v>5526</v>
      </c>
      <c r="B5694" s="6" t="str">
        <f ca="1">IFERROR(__xludf.DUMMYFUNCTION("GOOGLETRANSLATE(A5694,""bn"",""en"")"),"I couldn't believe him because he lied to me")</f>
        <v>I couldn't believe him because he lied to me</v>
      </c>
      <c r="C5694" s="7" t="s">
        <v>6</v>
      </c>
      <c r="D5694" s="7" t="s">
        <v>7</v>
      </c>
      <c r="E5694" s="7">
        <v>0</v>
      </c>
    </row>
    <row r="5695" spans="1:5" ht="15.75" customHeight="1" x14ac:dyDescent="0.25">
      <c r="A5695" s="6" t="s">
        <v>5527</v>
      </c>
      <c r="B5695" s="6" t="str">
        <f ca="1">IFERROR(__xludf.DUMMYFUNCTION("GOOGLETRANSLATE(A5695,""bn"",""en"")"),"Those whose vision is small, they only look at small things and cannot see other things, they are truly inferior.")</f>
        <v>Those whose vision is small, they only look at small things and cannot see other things, they are truly inferior.</v>
      </c>
      <c r="C5695" s="7" t="s">
        <v>6</v>
      </c>
      <c r="D5695" s="7" t="s">
        <v>7</v>
      </c>
      <c r="E5695" s="7">
        <v>0</v>
      </c>
    </row>
    <row r="5696" spans="1:5" ht="15.75" customHeight="1" x14ac:dyDescent="0.25">
      <c r="A5696" s="6" t="s">
        <v>5528</v>
      </c>
      <c r="B5696" s="6" t="str">
        <f ca="1">IFERROR(__xludf.DUMMYFUNCTION("GOOGLETRANSLATE(A5696,""bn"",""en"")"),"Sitting on the banks of the river and writing poetry makes me happy")</f>
        <v>Sitting on the banks of the river and writing poetry makes me happy</v>
      </c>
      <c r="C5696" s="7" t="s">
        <v>6</v>
      </c>
      <c r="D5696" s="7" t="s">
        <v>7</v>
      </c>
      <c r="E5696" s="7">
        <v>0</v>
      </c>
    </row>
    <row r="5697" spans="1:5" ht="15.75" customHeight="1" x14ac:dyDescent="0.25">
      <c r="A5697" s="6" t="s">
        <v>5529</v>
      </c>
      <c r="B5697" s="6" t="str">
        <f ca="1">IFERROR(__xludf.DUMMYFUNCTION("GOOGLETRANSLATE(A5697,""bn"",""en"")"),"A concussion is an injury to the brain caused by a blow to the head that results in temporary confusion or loss of consciousness")</f>
        <v>A concussion is an injury to the brain caused by a blow to the head that results in temporary confusion or loss of consciousness</v>
      </c>
      <c r="C5697" s="8" t="s">
        <v>13</v>
      </c>
      <c r="D5697" s="8" t="s">
        <v>14</v>
      </c>
      <c r="E5697" s="8">
        <v>1</v>
      </c>
    </row>
    <row r="5698" spans="1:5" ht="15.75" customHeight="1" x14ac:dyDescent="0.25">
      <c r="A5698" s="6" t="s">
        <v>5530</v>
      </c>
      <c r="B5698" s="6" t="str">
        <f ca="1">IFERROR(__xludf.DUMMYFUNCTION("GOOGLETRANSLATE(A5698,""bn"",""en"")"),"The prize money is worth one lakh rupees")</f>
        <v>The prize money is worth one lakh rupees</v>
      </c>
      <c r="C5698" s="8" t="s">
        <v>13</v>
      </c>
      <c r="D5698" s="8" t="s">
        <v>14</v>
      </c>
      <c r="E5698" s="8">
        <v>1</v>
      </c>
    </row>
    <row r="5699" spans="1:5" ht="15.75" customHeight="1" x14ac:dyDescent="0.25">
      <c r="A5699" s="6" t="s">
        <v>5531</v>
      </c>
      <c r="B5699" s="6" t="str">
        <f ca="1">IFERROR(__xludf.DUMMYFUNCTION("GOOGLETRANSLATE(A5699,""bn"",""en"")"),"He lied to me and left")</f>
        <v>He lied to me and left</v>
      </c>
      <c r="C5699" s="8" t="s">
        <v>13</v>
      </c>
      <c r="D5699" s="8" t="s">
        <v>14</v>
      </c>
      <c r="E5699" s="8">
        <v>1</v>
      </c>
    </row>
    <row r="5700" spans="1:5" ht="15.75" customHeight="1" x14ac:dyDescent="0.25">
      <c r="A5700" s="6" t="s">
        <v>5532</v>
      </c>
      <c r="B5700" s="6" t="str">
        <f ca="1">IFERROR(__xludf.DUMMYFUNCTION("GOOGLETRANSLATE(A5700,""bn"",""en"")"),"Technology integration enhances the educational experience")</f>
        <v>Technology integration enhances the educational experience</v>
      </c>
      <c r="C5700" s="8" t="s">
        <v>13</v>
      </c>
      <c r="D5700" s="8" t="s">
        <v>14</v>
      </c>
      <c r="E5700" s="8">
        <v>1</v>
      </c>
    </row>
    <row r="5701" spans="1:5" ht="15.75" customHeight="1" x14ac:dyDescent="0.25">
      <c r="A5701" s="6" t="s">
        <v>5533</v>
      </c>
      <c r="B5701" s="6" t="str">
        <f ca="1">IFERROR(__xludf.DUMMYFUNCTION("GOOGLETRANSLATE(A5701,""bn"",""en"")"),"It's like eleven o'clock at night")</f>
        <v>It's like eleven o'clock at night</v>
      </c>
      <c r="C5701" s="8" t="s">
        <v>13</v>
      </c>
      <c r="D5701" s="8" t="s">
        <v>14</v>
      </c>
      <c r="E5701" s="8">
        <v>1</v>
      </c>
    </row>
    <row r="5702" spans="1:5" ht="15.75" customHeight="1" x14ac:dyDescent="0.25">
      <c r="A5702" s="6" t="s">
        <v>5534</v>
      </c>
      <c r="B5702" s="6" t="str">
        <f ca="1">IFERROR(__xludf.DUMMYFUNCTION("GOOGLETRANSLATE(A5702,""bn"",""en"")"),"So I became a man in my uncle's house without knowing it")</f>
        <v>So I became a man in my uncle's house without knowing it</v>
      </c>
      <c r="C5702" s="7" t="s">
        <v>6</v>
      </c>
      <c r="D5702" s="7" t="s">
        <v>7</v>
      </c>
      <c r="E5702" s="7">
        <v>0</v>
      </c>
    </row>
    <row r="5703" spans="1:5" ht="15.75" customHeight="1" x14ac:dyDescent="0.25">
      <c r="A5703" s="6" t="s">
        <v>5535</v>
      </c>
      <c r="B5703" s="6" t="str">
        <f ca="1">IFERROR(__xludf.DUMMYFUNCTION("GOOGLETRANSLATE(A5703,""bn"",""en"")"),"He was standing with his friend by the river in front of their house")</f>
        <v>He was standing with his friend by the river in front of their house</v>
      </c>
      <c r="C5703" s="7" t="s">
        <v>6</v>
      </c>
      <c r="D5703" s="7" t="s">
        <v>7</v>
      </c>
      <c r="E5703" s="7">
        <v>0</v>
      </c>
    </row>
    <row r="5704" spans="1:5" ht="15.75" customHeight="1" x14ac:dyDescent="0.25">
      <c r="A5704" s="6" t="s">
        <v>5536</v>
      </c>
      <c r="B5704" s="6" t="str">
        <f ca="1">IFERROR(__xludf.DUMMYFUNCTION("GOOGLETRANSLATE(A5704,""bn"",""en"")"),"You can't stay in this house even for a day")</f>
        <v>You can't stay in this house even for a day</v>
      </c>
      <c r="C5704" s="7" t="s">
        <v>6</v>
      </c>
      <c r="D5704" s="7" t="s">
        <v>7</v>
      </c>
      <c r="E5704" s="7">
        <v>0</v>
      </c>
    </row>
    <row r="5705" spans="1:5" ht="15.75" customHeight="1" x14ac:dyDescent="0.25">
      <c r="A5705" s="6" t="s">
        <v>4578</v>
      </c>
      <c r="B5705" s="6" t="str">
        <f ca="1">IFERROR(__xludf.DUMMYFUNCTION("GOOGLETRANSLATE(A5705,""bn"",""en"")"),"There is the death of man and the extinction of the nation")</f>
        <v>There is the death of man and the extinction of the nation</v>
      </c>
      <c r="C5705" s="7" t="s">
        <v>6</v>
      </c>
      <c r="D5705" s="7" t="s">
        <v>7</v>
      </c>
      <c r="E5705" s="7">
        <v>0</v>
      </c>
    </row>
    <row r="5706" spans="1:5" ht="15.75" customHeight="1" x14ac:dyDescent="0.25">
      <c r="A5706" s="6" t="s">
        <v>5537</v>
      </c>
      <c r="B5706" s="6" t="str">
        <f ca="1">IFERROR(__xludf.DUMMYFUNCTION("GOOGLETRANSLATE(A5706,""bn"",""en"")"),"Feeling unbearable, one day Fatik went to his aunt like a criminal and said that he had lost the book.")</f>
        <v>Feeling unbearable, one day Fatik went to his aunt like a criminal and said that he had lost the book.</v>
      </c>
      <c r="C5706" s="7" t="s">
        <v>6</v>
      </c>
      <c r="D5706" s="7" t="s">
        <v>7</v>
      </c>
      <c r="E5706" s="7">
        <v>0</v>
      </c>
    </row>
    <row r="5707" spans="1:5" ht="15.75" customHeight="1" x14ac:dyDescent="0.25">
      <c r="A5707" s="6" t="s">
        <v>5538</v>
      </c>
      <c r="B5707" s="6" t="str">
        <f ca="1">IFERROR(__xludf.DUMMYFUNCTION("GOOGLETRANSLATE(A5707,""bn"",""en"")"),"I can't understand you")</f>
        <v>I can't understand you</v>
      </c>
      <c r="C5707" s="8" t="s">
        <v>13</v>
      </c>
      <c r="D5707" s="8" t="s">
        <v>14</v>
      </c>
      <c r="E5707" s="8">
        <v>1</v>
      </c>
    </row>
    <row r="5708" spans="1:5" ht="15.75" customHeight="1" x14ac:dyDescent="0.25">
      <c r="A5708" s="6" t="s">
        <v>5539</v>
      </c>
      <c r="B5708" s="6" t="str">
        <f ca="1">IFERROR(__xludf.DUMMYFUNCTION("GOOGLETRANSLATE(A5708,""bn"",""en"")"),"Thousands of people like you came and thronged his door")</f>
        <v>Thousands of people like you came and thronged his door</v>
      </c>
      <c r="C5708" s="8" t="s">
        <v>13</v>
      </c>
      <c r="D5708" s="8" t="s">
        <v>14</v>
      </c>
      <c r="E5708" s="8">
        <v>1</v>
      </c>
    </row>
    <row r="5709" spans="1:5" ht="15.75" customHeight="1" x14ac:dyDescent="0.25">
      <c r="A5709" s="6" t="s">
        <v>5540</v>
      </c>
      <c r="B5709" s="6" t="str">
        <f ca="1">IFERROR(__xludf.DUMMYFUNCTION("GOOGLETRANSLATE(A5709,""bn"",""en"")"),"Rahim will bring education from school")</f>
        <v>Rahim will bring education from school</v>
      </c>
      <c r="C5709" s="8" t="s">
        <v>13</v>
      </c>
      <c r="D5709" s="8" t="s">
        <v>14</v>
      </c>
      <c r="E5709" s="8">
        <v>1</v>
      </c>
    </row>
    <row r="5710" spans="1:5" ht="15.75" customHeight="1" x14ac:dyDescent="0.25">
      <c r="A5710" s="6" t="s">
        <v>5541</v>
      </c>
      <c r="B5710" s="6" t="str">
        <f ca="1">IFERROR(__xludf.DUMMYFUNCTION("GOOGLETRANSLATE(A5710,""bn"",""en"")"),"It is the symbol of the Sikh shrine")</f>
        <v>It is the symbol of the Sikh shrine</v>
      </c>
      <c r="C5710" s="8" t="s">
        <v>13</v>
      </c>
      <c r="D5710" s="8" t="s">
        <v>14</v>
      </c>
      <c r="E5710" s="8">
        <v>1</v>
      </c>
    </row>
    <row r="5711" spans="1:5" ht="15.75" customHeight="1" x14ac:dyDescent="0.25">
      <c r="A5711" s="6" t="s">
        <v>1533</v>
      </c>
      <c r="B5711" s="6" t="str">
        <f ca="1">IFERROR(__xludf.DUMMYFUNCTION("GOOGLETRANSLATE(A5711,""bn"",""en"")"),"He won the Nobel Prize in Physics in")</f>
        <v>He won the Nobel Prize in Physics in</v>
      </c>
      <c r="C5711" s="8" t="s">
        <v>13</v>
      </c>
      <c r="D5711" s="8" t="s">
        <v>14</v>
      </c>
      <c r="E5711" s="8">
        <v>1</v>
      </c>
    </row>
    <row r="5712" spans="1:5" ht="15.75" customHeight="1" x14ac:dyDescent="0.25">
      <c r="A5712" s="6" t="s">
        <v>5542</v>
      </c>
      <c r="B5712" s="6" t="str">
        <f ca="1">IFERROR(__xludf.DUMMYFUNCTION("GOOGLETRANSLATE(A5712,""bn"",""en"")"),"Their number was one lakh")</f>
        <v>Their number was one lakh</v>
      </c>
      <c r="C5712" s="7" t="s">
        <v>6</v>
      </c>
      <c r="D5712" s="7" t="s">
        <v>7</v>
      </c>
      <c r="E5712" s="7">
        <v>0</v>
      </c>
    </row>
    <row r="5713" spans="1:5" ht="15.75" customHeight="1" x14ac:dyDescent="0.25">
      <c r="A5713" s="6" t="s">
        <v>5543</v>
      </c>
      <c r="B5713" s="6" t="str">
        <f ca="1">IFERROR(__xludf.DUMMYFUNCTION("GOOGLETRANSLATE(A5713,""bn"",""en"")"),"When I saw Sachish, it was as if I could see his inner soul")</f>
        <v>When I saw Sachish, it was as if I could see his inner soul</v>
      </c>
      <c r="C5713" s="7" t="s">
        <v>6</v>
      </c>
      <c r="D5713" s="7" t="s">
        <v>7</v>
      </c>
      <c r="E5713" s="7">
        <v>0</v>
      </c>
    </row>
    <row r="5714" spans="1:5" ht="15.75" customHeight="1" x14ac:dyDescent="0.25">
      <c r="A5714" s="6" t="s">
        <v>5544</v>
      </c>
      <c r="B5714" s="6" t="str">
        <f ca="1">IFERROR(__xludf.DUMMYFUNCTION("GOOGLETRANSLATE(A5714,""bn"",""en"")"),"Boudi came to Diwakar and said how many books are there")</f>
        <v>Boudi came to Diwakar and said how many books are there</v>
      </c>
      <c r="C5714" s="7" t="s">
        <v>6</v>
      </c>
      <c r="D5714" s="7" t="s">
        <v>7</v>
      </c>
      <c r="E5714" s="7">
        <v>0</v>
      </c>
    </row>
    <row r="5715" spans="1:5" ht="15.75" customHeight="1" x14ac:dyDescent="0.25">
      <c r="A5715" s="6" t="s">
        <v>5545</v>
      </c>
      <c r="B5715" s="6" t="str">
        <f ca="1">IFERROR(__xludf.DUMMYFUNCTION("GOOGLETRANSLATE(A5715,""bn"",""en"")"),"The wedding day is approaching")</f>
        <v>The wedding day is approaching</v>
      </c>
      <c r="C5715" s="7" t="s">
        <v>6</v>
      </c>
      <c r="D5715" s="7" t="s">
        <v>7</v>
      </c>
      <c r="E5715" s="7">
        <v>0</v>
      </c>
    </row>
    <row r="5716" spans="1:5" ht="15.75" customHeight="1" x14ac:dyDescent="0.25">
      <c r="A5716" s="6" t="s">
        <v>4749</v>
      </c>
      <c r="B5716" s="6" t="str">
        <f ca="1">IFERROR(__xludf.DUMMYFUNCTION("GOOGLETRANSLATE(A5716,""bn"",""en"")"),"Along with civilization comes the share of courage")</f>
        <v>Along with civilization comes the share of courage</v>
      </c>
      <c r="C5716" s="7" t="s">
        <v>6</v>
      </c>
      <c r="D5716" s="7" t="s">
        <v>7</v>
      </c>
      <c r="E5716" s="7">
        <v>0</v>
      </c>
    </row>
    <row r="5717" spans="1:5" ht="15.75" customHeight="1" x14ac:dyDescent="0.25">
      <c r="A5717" s="6" t="s">
        <v>5546</v>
      </c>
      <c r="B5717" s="6" t="str">
        <f ca="1">IFERROR(__xludf.DUMMYFUNCTION("GOOGLETRANSLATE(A5717,""bn"",""en"")"),"Rana has done the work with Rita")</f>
        <v>Rana has done the work with Rita</v>
      </c>
      <c r="C5717" s="8" t="s">
        <v>13</v>
      </c>
      <c r="D5717" s="8" t="s">
        <v>14</v>
      </c>
      <c r="E5717" s="8">
        <v>1</v>
      </c>
    </row>
    <row r="5718" spans="1:5" ht="15.75" customHeight="1" x14ac:dyDescent="0.25">
      <c r="A5718" s="6" t="s">
        <v>5547</v>
      </c>
      <c r="B5718" s="6" t="str">
        <f ca="1">IFERROR(__xludf.DUMMYFUNCTION("GOOGLETRANSLATE(A5718,""bn"",""en"")"),"The learning environment should be conducive to safe learning")</f>
        <v>The learning environment should be conducive to safe learning</v>
      </c>
      <c r="C5718" s="8" t="s">
        <v>13</v>
      </c>
      <c r="D5718" s="8" t="s">
        <v>14</v>
      </c>
      <c r="E5718" s="8">
        <v>1</v>
      </c>
    </row>
    <row r="5719" spans="1:5" ht="15.75" customHeight="1" x14ac:dyDescent="0.25">
      <c r="A5719" s="6" t="s">
        <v>5548</v>
      </c>
      <c r="B5719" s="6" t="str">
        <f ca="1">IFERROR(__xludf.DUMMYFUNCTION("GOOGLETRANSLATE(A5719,""bn"",""en"")"),"His translation is at the same time faithful to the original")</f>
        <v>His translation is at the same time faithful to the original</v>
      </c>
      <c r="C5719" s="8" t="s">
        <v>13</v>
      </c>
      <c r="D5719" s="8" t="s">
        <v>14</v>
      </c>
      <c r="E5719" s="8">
        <v>1</v>
      </c>
    </row>
    <row r="5720" spans="1:5" ht="15.75" customHeight="1" x14ac:dyDescent="0.25">
      <c r="A5720" s="6" t="s">
        <v>5549</v>
      </c>
      <c r="B5720" s="6" t="str">
        <f ca="1">IFERROR(__xludf.DUMMYFUNCTION("GOOGLETRANSLATE(A5720,""bn"",""en"")"),"Walking along side watching him with curious eyes")</f>
        <v>Walking along side watching him with curious eyes</v>
      </c>
      <c r="C5720" s="8" t="s">
        <v>13</v>
      </c>
      <c r="D5720" s="8" t="s">
        <v>14</v>
      </c>
      <c r="E5720" s="8">
        <v>1</v>
      </c>
    </row>
    <row r="5721" spans="1:5" ht="15.75" customHeight="1" x14ac:dyDescent="0.25">
      <c r="A5721" s="6" t="s">
        <v>5550</v>
      </c>
      <c r="B5721" s="6" t="str">
        <f ca="1">IFERROR(__xludf.DUMMYFUNCTION("GOOGLETRANSLATE(A5721,""bn"",""en"")"),"Scaling the crumbling ruins, they risked life and limb in search of priceless artifacts")</f>
        <v>Scaling the crumbling ruins, they risked life and limb in search of priceless artifacts</v>
      </c>
      <c r="C5721" s="8" t="s">
        <v>13</v>
      </c>
      <c r="D5721" s="8" t="s">
        <v>14</v>
      </c>
      <c r="E5721" s="8">
        <v>1</v>
      </c>
    </row>
    <row r="5722" spans="1:5" ht="15.75" customHeight="1" x14ac:dyDescent="0.25">
      <c r="A5722" s="6" t="s">
        <v>5551</v>
      </c>
      <c r="B5722" s="6" t="str">
        <f ca="1">IFERROR(__xludf.DUMMYFUNCTION("GOOGLETRANSLATE(A5722,""bn"",""en"")"),"Subh wanted books from Suma")</f>
        <v>Subh wanted books from Suma</v>
      </c>
      <c r="C5722" s="7" t="s">
        <v>6</v>
      </c>
      <c r="D5722" s="7" t="s">
        <v>7</v>
      </c>
      <c r="E5722" s="7">
        <v>0</v>
      </c>
    </row>
    <row r="5723" spans="1:5" ht="15.75" customHeight="1" x14ac:dyDescent="0.25">
      <c r="A5723" s="6" t="s">
        <v>5552</v>
      </c>
      <c r="B5723" s="6" t="str">
        <f ca="1">IFERROR(__xludf.DUMMYFUNCTION("GOOGLETRANSLATE(A5723,""bn"",""en"")"),"There was an uneasy feeling in his mind that day")</f>
        <v>There was an uneasy feeling in his mind that day</v>
      </c>
      <c r="C5723" s="7" t="s">
        <v>6</v>
      </c>
      <c r="D5723" s="7" t="s">
        <v>7</v>
      </c>
      <c r="E5723" s="7">
        <v>0</v>
      </c>
    </row>
    <row r="5724" spans="1:5" ht="15.75" customHeight="1" x14ac:dyDescent="0.25">
      <c r="A5724" s="6" t="s">
        <v>2296</v>
      </c>
      <c r="B5724" s="6" t="str">
        <f ca="1">IFERROR(__xludf.DUMMYFUNCTION("GOOGLETRANSLATE(A5724,""bn"",""en"")"),"America and other countries where the Companions have gone and established kingdoms")</f>
        <v>America and other countries where the Companions have gone and established kingdoms</v>
      </c>
      <c r="C5724" s="7" t="s">
        <v>6</v>
      </c>
      <c r="D5724" s="7" t="s">
        <v>7</v>
      </c>
      <c r="E5724" s="7">
        <v>0</v>
      </c>
    </row>
    <row r="5725" spans="1:5" ht="15.75" customHeight="1" x14ac:dyDescent="0.25">
      <c r="A5725" s="6" t="s">
        <v>5553</v>
      </c>
      <c r="B5725" s="6" t="str">
        <f ca="1">IFERROR(__xludf.DUMMYFUNCTION("GOOGLETRANSLATE(A5725,""bn"",""en"")"),"It cannot be said that he is developing much devotion or affection towards his future in-laws")</f>
        <v>It cannot be said that he is developing much devotion or affection towards his future in-laws</v>
      </c>
      <c r="C5725" s="7" t="s">
        <v>6</v>
      </c>
      <c r="D5725" s="7" t="s">
        <v>7</v>
      </c>
      <c r="E5725" s="7">
        <v>0</v>
      </c>
    </row>
    <row r="5726" spans="1:5" ht="15.75" customHeight="1" x14ac:dyDescent="0.25">
      <c r="A5726" s="6" t="s">
        <v>5554</v>
      </c>
      <c r="B5726" s="6" t="str">
        <f ca="1">IFERROR(__xludf.DUMMYFUNCTION("GOOGLETRANSLATE(A5726,""bn"",""en"")"),"How will it be, I still have a lot left of this story")</f>
        <v>How will it be, I still have a lot left of this story</v>
      </c>
      <c r="C5726" s="7" t="s">
        <v>6</v>
      </c>
      <c r="D5726" s="7" t="s">
        <v>7</v>
      </c>
      <c r="E5726" s="7">
        <v>0</v>
      </c>
    </row>
    <row r="5727" spans="1:5" ht="15.75" customHeight="1" x14ac:dyDescent="0.25">
      <c r="A5727" s="6" t="s">
        <v>5555</v>
      </c>
      <c r="B5727" s="6" t="str">
        <f ca="1">IFERROR(__xludf.DUMMYFUNCTION("GOOGLETRANSLATE(A5727,""bn"",""en"")"),"Studying again for work should not be neglected")</f>
        <v>Studying again for work should not be neglected</v>
      </c>
      <c r="C5727" s="8" t="s">
        <v>13</v>
      </c>
      <c r="D5727" s="8" t="s">
        <v>14</v>
      </c>
      <c r="E5727" s="8">
        <v>1</v>
      </c>
    </row>
    <row r="5728" spans="1:5" ht="15.75" customHeight="1" x14ac:dyDescent="0.25">
      <c r="A5728" s="6" t="s">
        <v>5556</v>
      </c>
      <c r="B5728" s="6" t="str">
        <f ca="1">IFERROR(__xludf.DUMMYFUNCTION("GOOGLETRANSLATE(A5728,""bn"",""en"")"),"I asked Saju to eat at home")</f>
        <v>I asked Saju to eat at home</v>
      </c>
      <c r="C5728" s="8" t="s">
        <v>13</v>
      </c>
      <c r="D5728" s="8" t="s">
        <v>14</v>
      </c>
      <c r="E5728" s="8">
        <v>1</v>
      </c>
    </row>
    <row r="5729" spans="1:5" ht="15.75" customHeight="1" x14ac:dyDescent="0.25">
      <c r="A5729" s="6" t="s">
        <v>5557</v>
      </c>
      <c r="B5729" s="6" t="str">
        <f ca="1">IFERROR(__xludf.DUMMYFUNCTION("GOOGLETRANSLATE(A5729,""bn"",""en"")"),"Individualized instruction meets the needs of individual students")</f>
        <v>Individualized instruction meets the needs of individual students</v>
      </c>
      <c r="C5729" s="8" t="s">
        <v>13</v>
      </c>
      <c r="D5729" s="8" t="s">
        <v>14</v>
      </c>
      <c r="E5729" s="8">
        <v>1</v>
      </c>
    </row>
    <row r="5730" spans="1:5" ht="15.75" customHeight="1" x14ac:dyDescent="0.25">
      <c r="A5730" s="6" t="s">
        <v>5558</v>
      </c>
      <c r="B5730" s="6" t="str">
        <f ca="1">IFERROR(__xludf.DUMMYFUNCTION("GOOGLETRANSLATE(A5730,""bn"",""en"")"),"I found him")</f>
        <v>I found him</v>
      </c>
      <c r="C5730" s="8" t="s">
        <v>13</v>
      </c>
      <c r="D5730" s="8" t="s">
        <v>14</v>
      </c>
      <c r="E5730" s="8">
        <v>1</v>
      </c>
    </row>
    <row r="5731" spans="1:5" ht="15.75" customHeight="1" x14ac:dyDescent="0.25">
      <c r="A5731" s="6" t="s">
        <v>5559</v>
      </c>
      <c r="B5731" s="6" t="str">
        <f ca="1">IFERROR(__xludf.DUMMYFUNCTION("GOOGLETRANSLATE(A5731,""bn"",""en"")"),"The country has no regular army")</f>
        <v>The country has no regular army</v>
      </c>
      <c r="C5731" s="8" t="s">
        <v>13</v>
      </c>
      <c r="D5731" s="8" t="s">
        <v>14</v>
      </c>
      <c r="E5731" s="8">
        <v>1</v>
      </c>
    </row>
    <row r="5732" spans="1:5" ht="15.75" customHeight="1" x14ac:dyDescent="0.25">
      <c r="A5732" s="6" t="s">
        <v>5560</v>
      </c>
      <c r="B5732" s="6" t="str">
        <f ca="1">IFERROR(__xludf.DUMMYFUNCTION("GOOGLETRANSLATE(A5732,""bn"",""en"")"),"Cleopatra would be ashamed to see her daughter's face")</f>
        <v>Cleopatra would be ashamed to see her daughter's face</v>
      </c>
      <c r="C5732" s="7" t="s">
        <v>6</v>
      </c>
      <c r="D5732" s="7" t="s">
        <v>7</v>
      </c>
      <c r="E5732" s="7">
        <v>0</v>
      </c>
    </row>
    <row r="5733" spans="1:5" ht="15.75" customHeight="1" x14ac:dyDescent="0.25">
      <c r="A5733" s="6" t="s">
        <v>5561</v>
      </c>
      <c r="B5733" s="6" t="str">
        <f ca="1">IFERROR(__xludf.DUMMYFUNCTION("GOOGLETRANSLATE(A5733,""bn"",""en"")"),"In the primitive state all men were brave")</f>
        <v>In the primitive state all men were brave</v>
      </c>
      <c r="C5733" s="7" t="s">
        <v>6</v>
      </c>
      <c r="D5733" s="7" t="s">
        <v>7</v>
      </c>
      <c r="E5733" s="7">
        <v>0</v>
      </c>
    </row>
    <row r="5734" spans="1:5" ht="15.75" customHeight="1" x14ac:dyDescent="0.25">
      <c r="A5734" s="6" t="s">
        <v>630</v>
      </c>
      <c r="B5734" s="6" t="str">
        <f ca="1">IFERROR(__xludf.DUMMYFUNCTION("GOOGLETRANSLATE(A5734,""bn"",""en"")"),"Thirty two households live there")</f>
        <v>Thirty two households live there</v>
      </c>
      <c r="C5734" s="7" t="s">
        <v>6</v>
      </c>
      <c r="D5734" s="7" t="s">
        <v>7</v>
      </c>
      <c r="E5734" s="7">
        <v>0</v>
      </c>
    </row>
    <row r="5735" spans="1:5" ht="15.75" customHeight="1" x14ac:dyDescent="0.25">
      <c r="A5735" s="6" t="s">
        <v>5562</v>
      </c>
      <c r="B5735" s="6" t="str">
        <f ca="1">IFERROR(__xludf.DUMMYFUNCTION("GOOGLETRANSLATE(A5735,""bn"",""en"")"),"The sprinkler has fallen open")</f>
        <v>The sprinkler has fallen open</v>
      </c>
      <c r="C5735" s="7" t="s">
        <v>6</v>
      </c>
      <c r="D5735" s="7" t="s">
        <v>7</v>
      </c>
      <c r="E5735" s="7">
        <v>0</v>
      </c>
    </row>
    <row r="5736" spans="1:5" ht="15.75" customHeight="1" x14ac:dyDescent="0.25">
      <c r="A5736" s="6" t="s">
        <v>5563</v>
      </c>
      <c r="B5736" s="6" t="str">
        <f ca="1">IFERROR(__xludf.DUMMYFUNCTION("GOOGLETRANSLATE(A5736,""bn"",""en"")"),"Two things must be said about Palamau")</f>
        <v>Two things must be said about Palamau</v>
      </c>
      <c r="C5736" s="7" t="s">
        <v>6</v>
      </c>
      <c r="D5736" s="7" t="s">
        <v>7</v>
      </c>
      <c r="E5736" s="7">
        <v>0</v>
      </c>
    </row>
    <row r="5737" spans="1:5" ht="15.75" customHeight="1" x14ac:dyDescent="0.25">
      <c r="A5737" s="6" t="s">
        <v>5564</v>
      </c>
      <c r="B5737" s="6" t="str">
        <f ca="1">IFERROR(__xludf.DUMMYFUNCTION("GOOGLETRANSLATE(A5737,""bn"",""en"")"),"His face was anemic pale")</f>
        <v>His face was anemic pale</v>
      </c>
      <c r="C5737" s="8" t="s">
        <v>13</v>
      </c>
      <c r="D5737" s="8" t="s">
        <v>14</v>
      </c>
      <c r="E5737" s="8">
        <v>1</v>
      </c>
    </row>
    <row r="5738" spans="1:5" ht="15.75" customHeight="1" x14ac:dyDescent="0.25">
      <c r="A5738" s="6" t="s">
        <v>5565</v>
      </c>
      <c r="B5738" s="6" t="str">
        <f ca="1">IFERROR(__xludf.DUMMYFUNCTION("GOOGLETRANSLATE(A5738,""bn"",""en"")"),"He won the Nobel Prize in Physics in")</f>
        <v>He won the Nobel Prize in Physics in</v>
      </c>
      <c r="C5738" s="8" t="s">
        <v>13</v>
      </c>
      <c r="D5738" s="8" t="s">
        <v>14</v>
      </c>
      <c r="E5738" s="8">
        <v>1</v>
      </c>
    </row>
    <row r="5739" spans="1:5" ht="15.75" customHeight="1" x14ac:dyDescent="0.25">
      <c r="A5739" s="6" t="s">
        <v>5566</v>
      </c>
      <c r="B5739" s="6" t="str">
        <f ca="1">IFERROR(__xludf.DUMMYFUNCTION("GOOGLETRANSLATE(A5739,""bn"",""en"")"),"Soil erosion can be reduced by practices such as contour plow terracing")</f>
        <v>Soil erosion can be reduced by practices such as contour plow terracing</v>
      </c>
      <c r="C5739" s="8" t="s">
        <v>13</v>
      </c>
      <c r="D5739" s="8" t="s">
        <v>14</v>
      </c>
      <c r="E5739" s="8">
        <v>1</v>
      </c>
    </row>
    <row r="5740" spans="1:5" ht="15.75" customHeight="1" x14ac:dyDescent="0.25">
      <c r="A5740" s="6" t="s">
        <v>5567</v>
      </c>
      <c r="B5740" s="6" t="str">
        <f ca="1">IFERROR(__xludf.DUMMYFUNCTION("GOOGLETRANSLATE(A5740,""bn"",""en"")"),"Choose the activity that suits you")</f>
        <v>Choose the activity that suits you</v>
      </c>
      <c r="C5740" s="8" t="s">
        <v>13</v>
      </c>
      <c r="D5740" s="8" t="s">
        <v>14</v>
      </c>
      <c r="E5740" s="8">
        <v>1</v>
      </c>
    </row>
    <row r="5741" spans="1:5" ht="15.75" customHeight="1" x14ac:dyDescent="0.25">
      <c r="A5741" s="6" t="s">
        <v>5568</v>
      </c>
      <c r="B5741" s="6" t="str">
        <f ca="1">IFERROR(__xludf.DUMMYFUNCTION("GOOGLETRANSLATE(A5741,""bn"",""en"")"),"Transactions are processed immediately")</f>
        <v>Transactions are processed immediately</v>
      </c>
      <c r="C5741" s="8" t="s">
        <v>13</v>
      </c>
      <c r="D5741" s="8" t="s">
        <v>14</v>
      </c>
      <c r="E5741" s="8">
        <v>1</v>
      </c>
    </row>
    <row r="5742" spans="1:5" ht="15.75" customHeight="1" x14ac:dyDescent="0.25">
      <c r="A5742" s="6" t="s">
        <v>5569</v>
      </c>
      <c r="B5742" s="6" t="str">
        <f ca="1">IFERROR(__xludf.DUMMYFUNCTION("GOOGLETRANSLATE(A5742,""bn"",""en"")"),"Life always seems to him to be very desirable and enjoyable")</f>
        <v>Life always seems to him to be very desirable and enjoyable</v>
      </c>
      <c r="C5742" s="7" t="s">
        <v>6</v>
      </c>
      <c r="D5742" s="7" t="s">
        <v>7</v>
      </c>
      <c r="E5742" s="7">
        <v>0</v>
      </c>
    </row>
    <row r="5743" spans="1:5" ht="15.75" customHeight="1" x14ac:dyDescent="0.25">
      <c r="A5743" s="6" t="s">
        <v>5570</v>
      </c>
      <c r="B5743" s="6" t="str">
        <f ca="1">IFERROR(__xludf.DUMMYFUNCTION("GOOGLETRANSLATE(A5743,""bn"",""en"")"),"In fact, he buys and sells property and lends money")</f>
        <v>In fact, he buys and sells property and lends money</v>
      </c>
      <c r="C5743" s="7" t="s">
        <v>6</v>
      </c>
      <c r="D5743" s="7" t="s">
        <v>7</v>
      </c>
      <c r="E5743" s="7">
        <v>0</v>
      </c>
    </row>
    <row r="5744" spans="1:5" ht="15.75" customHeight="1" x14ac:dyDescent="0.25">
      <c r="A5744" s="6" t="s">
        <v>5571</v>
      </c>
      <c r="B5744" s="6" t="str">
        <f ca="1">IFERROR(__xludf.DUMMYFUNCTION("GOOGLETRANSLATE(A5744,""bn"",""en"")"),"We will all work together")</f>
        <v>We will all work together</v>
      </c>
      <c r="C5744" s="7" t="s">
        <v>6</v>
      </c>
      <c r="D5744" s="7" t="s">
        <v>7</v>
      </c>
      <c r="E5744" s="7">
        <v>0</v>
      </c>
    </row>
    <row r="5745" spans="1:5" ht="15.75" customHeight="1" x14ac:dyDescent="0.25">
      <c r="A5745" s="6" t="s">
        <v>2786</v>
      </c>
      <c r="B5745" s="6" t="str">
        <f ca="1">IFERROR(__xludf.DUMMYFUNCTION("GOOGLETRANSLATE(A5745,""bn"",""en"")"),"He looked at me intensely and said it was unbelievable")</f>
        <v>He looked at me intensely and said it was unbelievable</v>
      </c>
      <c r="C5745" s="7" t="s">
        <v>6</v>
      </c>
      <c r="D5745" s="7" t="s">
        <v>7</v>
      </c>
      <c r="E5745" s="7">
        <v>0</v>
      </c>
    </row>
    <row r="5746" spans="1:5" ht="15.75" customHeight="1" x14ac:dyDescent="0.25">
      <c r="A5746" s="6" t="s">
        <v>5572</v>
      </c>
      <c r="B5746" s="6" t="str">
        <f ca="1">IFERROR(__xludf.DUMMYFUNCTION("GOOGLETRANSLATE(A5746,""bn"",""en"")"),"I went outside the door and asked the watchman what was the matter")</f>
        <v>I went outside the door and asked the watchman what was the matter</v>
      </c>
      <c r="C5746" s="7" t="s">
        <v>6</v>
      </c>
      <c r="D5746" s="7" t="s">
        <v>7</v>
      </c>
      <c r="E5746" s="7">
        <v>0</v>
      </c>
    </row>
    <row r="5747" spans="1:5" ht="15.75" customHeight="1" x14ac:dyDescent="0.25">
      <c r="A5747" s="6" t="s">
        <v>5573</v>
      </c>
      <c r="B5747" s="6" t="str">
        <f ca="1">IFERROR(__xludf.DUMMYFUNCTION("GOOGLETRANSLATE(A5747,""bn"",""en"")"),"Why do I have to sit in the bathroom?")</f>
        <v>Why do I have to sit in the bathroom?</v>
      </c>
      <c r="C5747" s="8" t="s">
        <v>13</v>
      </c>
      <c r="D5747" s="8" t="s">
        <v>14</v>
      </c>
      <c r="E5747" s="8">
        <v>1</v>
      </c>
    </row>
    <row r="5748" spans="1:5" ht="15.75" customHeight="1" x14ac:dyDescent="0.25">
      <c r="A5748" s="6" t="s">
        <v>5574</v>
      </c>
      <c r="B5748" s="6" t="str">
        <f ca="1">IFERROR(__xludf.DUMMYFUNCTION("GOOGLETRANSLATE(A5748,""bn"",""en"")"),"The then Madras Dhanushkari mail was always late")</f>
        <v>The then Madras Dhanushkari mail was always late</v>
      </c>
      <c r="C5748" s="8" t="s">
        <v>13</v>
      </c>
      <c r="D5748" s="8" t="s">
        <v>14</v>
      </c>
      <c r="E5748" s="8">
        <v>1</v>
      </c>
    </row>
    <row r="5749" spans="1:5" ht="15.75" customHeight="1" x14ac:dyDescent="0.25">
      <c r="A5749" s="6" t="s">
        <v>5575</v>
      </c>
      <c r="B5749" s="6" t="str">
        <f ca="1">IFERROR(__xludf.DUMMYFUNCTION("GOOGLETRANSLATE(A5749,""bn"",""en"")"),"The military officer arrested him in that state")</f>
        <v>The military officer arrested him in that state</v>
      </c>
      <c r="C5749" s="8" t="s">
        <v>13</v>
      </c>
      <c r="D5749" s="8" t="s">
        <v>14</v>
      </c>
      <c r="E5749" s="8">
        <v>1</v>
      </c>
    </row>
    <row r="5750" spans="1:5" ht="15.75" customHeight="1" x14ac:dyDescent="0.25">
      <c r="A5750" s="6" t="s">
        <v>5576</v>
      </c>
      <c r="B5750" s="6" t="str">
        <f ca="1">IFERROR(__xludf.DUMMYFUNCTION("GOOGLETRANSLATE(A5750,""bn"",""en"")"),"A few days ago I was talking to a friend of mine")</f>
        <v>A few days ago I was talking to a friend of mine</v>
      </c>
      <c r="C5750" s="8" t="s">
        <v>13</v>
      </c>
      <c r="D5750" s="8" t="s">
        <v>14</v>
      </c>
      <c r="E5750" s="8">
        <v>1</v>
      </c>
    </row>
    <row r="5751" spans="1:5" ht="15.75" customHeight="1" x14ac:dyDescent="0.25">
      <c r="A5751" s="6" t="s">
        <v>5577</v>
      </c>
      <c r="B5751" s="6" t="str">
        <f ca="1">IFERROR(__xludf.DUMMYFUNCTION("GOOGLETRANSLATE(A5751,""bn"",""en"")"),"The surface of the shell is velvety")</f>
        <v>The surface of the shell is velvety</v>
      </c>
      <c r="C5751" s="8" t="s">
        <v>13</v>
      </c>
      <c r="D5751" s="8" t="s">
        <v>14</v>
      </c>
      <c r="E5751" s="8">
        <v>1</v>
      </c>
    </row>
    <row r="5752" spans="1:5" ht="15.75" customHeight="1" x14ac:dyDescent="0.25">
      <c r="A5752" s="6" t="s">
        <v>5578</v>
      </c>
      <c r="B5752" s="6" t="str">
        <f ca="1">IFERROR(__xludf.DUMMYFUNCTION("GOOGLETRANSLATE(A5752,""bn"",""en"")"),"Rahim Karim will go for a walk")</f>
        <v>Rahim Karim will go for a walk</v>
      </c>
      <c r="C5752" s="7" t="s">
        <v>6</v>
      </c>
      <c r="D5752" s="7" t="s">
        <v>7</v>
      </c>
      <c r="E5752" s="7">
        <v>0</v>
      </c>
    </row>
    <row r="5753" spans="1:5" ht="15.75" customHeight="1" x14ac:dyDescent="0.25">
      <c r="A5753" s="6" t="s">
        <v>749</v>
      </c>
      <c r="B5753" s="6" t="str">
        <f ca="1">IFERROR(__xludf.DUMMYFUNCTION("GOOGLETRANSLATE(A5753,""bn"",""en"")"),"It seems that it will have disappeared in a long time, it is in a very small condition")</f>
        <v>It seems that it will have disappeared in a long time, it is in a very small condition</v>
      </c>
      <c r="C5753" s="7" t="s">
        <v>6</v>
      </c>
      <c r="D5753" s="7" t="s">
        <v>7</v>
      </c>
      <c r="E5753" s="7">
        <v>0</v>
      </c>
    </row>
    <row r="5754" spans="1:5" ht="15.75" customHeight="1" x14ac:dyDescent="0.25">
      <c r="A5754" s="6" t="s">
        <v>5579</v>
      </c>
      <c r="B5754" s="6" t="str">
        <f ca="1">IFERROR(__xludf.DUMMYFUNCTION("GOOGLETRANSLATE(A5754,""bn"",""en"")"),"I have never seen the form in the poet's eyes")</f>
        <v>I have never seen the form in the poet's eyes</v>
      </c>
      <c r="C5754" s="7" t="s">
        <v>6</v>
      </c>
      <c r="D5754" s="7" t="s">
        <v>7</v>
      </c>
      <c r="E5754" s="7">
        <v>0</v>
      </c>
    </row>
    <row r="5755" spans="1:5" ht="15.75" customHeight="1" x14ac:dyDescent="0.25">
      <c r="A5755" s="6" t="s">
        <v>5580</v>
      </c>
      <c r="B5755" s="6" t="str">
        <f ca="1">IFERROR(__xludf.DUMMYFUNCTION("GOOGLETRANSLATE(A5755,""bn"",""en"")"),"Now there is no shortage of Kadli")</f>
        <v>Now there is no shortage of Kadli</v>
      </c>
      <c r="C5755" s="7" t="s">
        <v>6</v>
      </c>
      <c r="D5755" s="7" t="s">
        <v>7</v>
      </c>
      <c r="E5755" s="7">
        <v>0</v>
      </c>
    </row>
    <row r="5756" spans="1:5" ht="15.75" customHeight="1" x14ac:dyDescent="0.25">
      <c r="A5756" s="6" t="s">
        <v>5581</v>
      </c>
      <c r="B5756" s="6" t="str">
        <f ca="1">IFERROR(__xludf.DUMMYFUNCTION("GOOGLETRANSLATE(A5756,""bn"",""en"")"),"At many places the two-sided vines began to touch the Pallava palanquin")</f>
        <v>At many places the two-sided vines began to touch the Pallava palanquin</v>
      </c>
      <c r="C5756" s="7" t="s">
        <v>6</v>
      </c>
      <c r="D5756" s="7" t="s">
        <v>7</v>
      </c>
      <c r="E5756" s="7">
        <v>0</v>
      </c>
    </row>
    <row r="5757" spans="1:5" ht="15.75" customHeight="1" x14ac:dyDescent="0.25">
      <c r="A5757" s="6" t="s">
        <v>5582</v>
      </c>
      <c r="B5757" s="6" t="str">
        <f ca="1">IFERROR(__xludf.DUMMYFUNCTION("GOOGLETRANSLATE(A5757,""bn"",""en"")"),"Getting validation for my emotions brings comfort")</f>
        <v>Getting validation for my emotions brings comfort</v>
      </c>
      <c r="C5757" s="8" t="s">
        <v>13</v>
      </c>
      <c r="D5757" s="8" t="s">
        <v>14</v>
      </c>
      <c r="E5757" s="8">
        <v>1</v>
      </c>
    </row>
    <row r="5758" spans="1:5" ht="15.75" customHeight="1" x14ac:dyDescent="0.25">
      <c r="A5758" s="6" t="s">
        <v>5583</v>
      </c>
      <c r="B5758" s="6" t="str">
        <f ca="1">IFERROR(__xludf.DUMMYFUNCTION("GOOGLETRANSLATE(A5758,""bn"",""en"")"),"The performance of the device exceeded my expectations")</f>
        <v>The performance of the device exceeded my expectations</v>
      </c>
      <c r="C5758" s="8" t="s">
        <v>13</v>
      </c>
      <c r="D5758" s="8" t="s">
        <v>14</v>
      </c>
      <c r="E5758" s="8">
        <v>1</v>
      </c>
    </row>
    <row r="5759" spans="1:5" ht="15.75" customHeight="1" x14ac:dyDescent="0.25">
      <c r="A5759" s="6" t="s">
        <v>5584</v>
      </c>
      <c r="B5759" s="6" t="str">
        <f ca="1">IFERROR(__xludf.DUMMYFUNCTION("GOOGLETRANSLATE(A5759,""bn"",""en"")"),"The season has done the job for him")</f>
        <v>The season has done the job for him</v>
      </c>
      <c r="C5759" s="8" t="s">
        <v>13</v>
      </c>
      <c r="D5759" s="8" t="s">
        <v>14</v>
      </c>
      <c r="E5759" s="8">
        <v>1</v>
      </c>
    </row>
    <row r="5760" spans="1:5" ht="15.75" customHeight="1" x14ac:dyDescent="0.25">
      <c r="A5760" s="6" t="s">
        <v>5585</v>
      </c>
      <c r="B5760" s="6" t="str">
        <f ca="1">IFERROR(__xludf.DUMMYFUNCTION("GOOGLETRANSLATE(A5760,""bn"",""en"")"),"Home improvement projects bring fulfillment")</f>
        <v>Home improvement projects bring fulfillment</v>
      </c>
      <c r="C5760" s="8" t="s">
        <v>13</v>
      </c>
      <c r="D5760" s="8" t="s">
        <v>14</v>
      </c>
      <c r="E5760" s="8">
        <v>1</v>
      </c>
    </row>
    <row r="5761" spans="1:5" ht="15.75" customHeight="1" x14ac:dyDescent="0.25">
      <c r="A5761" s="6" t="s">
        <v>5586</v>
      </c>
      <c r="B5761" s="6" t="str">
        <f ca="1">IFERROR(__xludf.DUMMYFUNCTION("GOOGLETRANSLATE(A5761,""bn"",""en"")"),"He is famous for his exquisite paintings")</f>
        <v>He is famous for his exquisite paintings</v>
      </c>
      <c r="C5761" s="8" t="s">
        <v>13</v>
      </c>
      <c r="D5761" s="8" t="s">
        <v>14</v>
      </c>
      <c r="E5761" s="8">
        <v>1</v>
      </c>
    </row>
    <row r="5762" spans="1:5" ht="15.75" customHeight="1" x14ac:dyDescent="0.25">
      <c r="A5762" s="6" t="s">
        <v>5587</v>
      </c>
      <c r="B5762" s="6" t="str">
        <f ca="1">IFERROR(__xludf.DUMMYFUNCTION("GOOGLETRANSLATE(A5762,""bn"",""en"")"),"did you give me my book")</f>
        <v>did you give me my book</v>
      </c>
      <c r="C5762" s="7" t="s">
        <v>6</v>
      </c>
      <c r="D5762" s="7" t="s">
        <v>7</v>
      </c>
      <c r="E5762" s="7">
        <v>0</v>
      </c>
    </row>
    <row r="5763" spans="1:5" ht="15.75" customHeight="1" x14ac:dyDescent="0.25">
      <c r="A5763" s="6" t="s">
        <v>5588</v>
      </c>
      <c r="B5763" s="6" t="str">
        <f ca="1">IFERROR(__xludf.DUMMYFUNCTION("GOOGLETRANSLATE(A5763,""bn"",""en"")"),"Suman's father has gone to work in the field")</f>
        <v>Suman's father has gone to work in the field</v>
      </c>
      <c r="C5763" s="7" t="s">
        <v>6</v>
      </c>
      <c r="D5763" s="7" t="s">
        <v>7</v>
      </c>
      <c r="E5763" s="7">
        <v>0</v>
      </c>
    </row>
    <row r="5764" spans="1:5" ht="15.75" customHeight="1" x14ac:dyDescent="0.25">
      <c r="A5764" s="6" t="s">
        <v>1955</v>
      </c>
      <c r="B5764" s="6" t="str">
        <f ca="1">IFERROR(__xludf.DUMMYFUNCTION("GOOGLETRANSLATE(A5764,""bn"",""en"")"),"On the way, it seemed that there was a student of Mr. Darwin")</f>
        <v>On the way, it seemed that there was a student of Mr. Darwin</v>
      </c>
      <c r="C5764" s="7" t="s">
        <v>6</v>
      </c>
      <c r="D5764" s="7" t="s">
        <v>7</v>
      </c>
      <c r="E5764" s="7">
        <v>0</v>
      </c>
    </row>
    <row r="5765" spans="1:5" ht="15.75" customHeight="1" x14ac:dyDescent="0.25">
      <c r="A5765" s="6" t="s">
        <v>4928</v>
      </c>
      <c r="B5765" s="6" t="str">
        <f ca="1">IFERROR(__xludf.DUMMYFUNCTION("GOOGLETRANSLATE(A5765,""bn"",""en"")"),"Their number has become very few")</f>
        <v>Their number has become very few</v>
      </c>
      <c r="C5765" s="7" t="s">
        <v>6</v>
      </c>
      <c r="D5765" s="7" t="s">
        <v>7</v>
      </c>
      <c r="E5765" s="7">
        <v>0</v>
      </c>
    </row>
    <row r="5766" spans="1:5" ht="15.75" customHeight="1" x14ac:dyDescent="0.25">
      <c r="A5766" s="6" t="s">
        <v>5589</v>
      </c>
      <c r="B5766" s="6" t="str">
        <f ca="1">IFERROR(__xludf.DUMMYFUNCTION("GOOGLETRANSLATE(A5766,""bn"",""en"")"),"Opening his sleepy eyes, he looked at the child and saw that the child was unconscious in a deep sleep")</f>
        <v>Opening his sleepy eyes, he looked at the child and saw that the child was unconscious in a deep sleep</v>
      </c>
      <c r="C5766" s="7" t="s">
        <v>6</v>
      </c>
      <c r="D5766" s="7" t="s">
        <v>7</v>
      </c>
      <c r="E5766" s="7">
        <v>0</v>
      </c>
    </row>
    <row r="5767" spans="1:5" ht="15.75" customHeight="1" x14ac:dyDescent="0.25">
      <c r="A5767" s="6" t="s">
        <v>5590</v>
      </c>
      <c r="B5767" s="6" t="str">
        <f ca="1">IFERROR(__xludf.DUMMYFUNCTION("GOOGLETRANSLATE(A5767,""bn"",""en"")"),"Soma asked us to sit in her room")</f>
        <v>Soma asked us to sit in her room</v>
      </c>
      <c r="C5767" s="8" t="s">
        <v>13</v>
      </c>
      <c r="D5767" s="8" t="s">
        <v>14</v>
      </c>
      <c r="E5767" s="8">
        <v>1</v>
      </c>
    </row>
    <row r="5768" spans="1:5" ht="15.75" customHeight="1" x14ac:dyDescent="0.25">
      <c r="A5768" s="6" t="s">
        <v>5591</v>
      </c>
      <c r="B5768" s="6" t="str">
        <f ca="1">IFERROR(__xludf.DUMMYFUNCTION("GOOGLETRANSLATE(A5768,""bn"",""en"")"),"Stay active as you age")</f>
        <v>Stay active as you age</v>
      </c>
      <c r="C5768" s="8" t="s">
        <v>13</v>
      </c>
      <c r="D5768" s="8" t="s">
        <v>14</v>
      </c>
      <c r="E5768" s="8">
        <v>1</v>
      </c>
    </row>
    <row r="5769" spans="1:5" ht="15.75" customHeight="1" x14ac:dyDescent="0.25">
      <c r="A5769" s="6" t="s">
        <v>5592</v>
      </c>
      <c r="B5769" s="6" t="str">
        <f ca="1">IFERROR(__xludf.DUMMYFUNCTION("GOOGLETRANSLATE(A5769,""bn"",""en"")"),"Soil testing helps determine soil nutrient levels for appropriate fertilizer application")</f>
        <v>Soil testing helps determine soil nutrient levels for appropriate fertilizer application</v>
      </c>
      <c r="C5769" s="8" t="s">
        <v>13</v>
      </c>
      <c r="D5769" s="8" t="s">
        <v>14</v>
      </c>
      <c r="E5769" s="8">
        <v>1</v>
      </c>
    </row>
    <row r="5770" spans="1:5" ht="15.75" customHeight="1" x14ac:dyDescent="0.25">
      <c r="A5770" s="6" t="s">
        <v>5593</v>
      </c>
      <c r="B5770" s="6" t="str">
        <f ca="1">IFERROR(__xludf.DUMMYFUNCTION("GOOGLETRANSLATE(A5770,""bn"",""en"")"),"I bought some fruit for the sick person.")</f>
        <v>I bought some fruit for the sick person.</v>
      </c>
      <c r="C5770" s="8" t="s">
        <v>13</v>
      </c>
      <c r="D5770" s="8" t="s">
        <v>14</v>
      </c>
      <c r="E5770" s="8">
        <v>1</v>
      </c>
    </row>
    <row r="5771" spans="1:5" ht="15.75" customHeight="1" x14ac:dyDescent="0.25">
      <c r="A5771" s="6" t="s">
        <v>5594</v>
      </c>
      <c r="B5771" s="6" t="str">
        <f ca="1">IFERROR(__xludf.DUMMYFUNCTION("GOOGLETRANSLATE(A5771,""bn"",""en"")"),"Precision agriculture uses technology to optimize crop production")</f>
        <v>Precision agriculture uses technology to optimize crop production</v>
      </c>
      <c r="C5771" s="8" t="s">
        <v>13</v>
      </c>
      <c r="D5771" s="8" t="s">
        <v>14</v>
      </c>
      <c r="E5771" s="8">
        <v>1</v>
      </c>
    </row>
    <row r="5772" spans="1:5" ht="15.75" customHeight="1" x14ac:dyDescent="0.25">
      <c r="A5772" s="6" t="s">
        <v>5595</v>
      </c>
      <c r="B5772" s="6" t="str">
        <f ca="1">IFERROR(__xludf.DUMMYFUNCTION("GOOGLETRANSLATE(A5772,""bn"",""en"")"),"Mokshada got up with the pain of the injury")</f>
        <v>Mokshada got up with the pain of the injury</v>
      </c>
      <c r="C5772" s="7" t="s">
        <v>6</v>
      </c>
      <c r="D5772" s="7" t="s">
        <v>7</v>
      </c>
      <c r="E5772" s="7">
        <v>0</v>
      </c>
    </row>
    <row r="5773" spans="1:5" ht="15.75" customHeight="1" x14ac:dyDescent="0.25">
      <c r="A5773" s="6" t="s">
        <v>5596</v>
      </c>
      <c r="B5773" s="6" t="str">
        <f ca="1">IFERROR(__xludf.DUMMYFUNCTION("GOOGLETRANSLATE(A5773,""bn"",""en"")"),"You have to come if you don't want to understand anything")</f>
        <v>You have to come if you don't want to understand anything</v>
      </c>
      <c r="C5773" s="7" t="s">
        <v>6</v>
      </c>
      <c r="D5773" s="7" t="s">
        <v>7</v>
      </c>
      <c r="E5773" s="7">
        <v>0</v>
      </c>
    </row>
    <row r="5774" spans="1:5" ht="15.75" customHeight="1" x14ac:dyDescent="0.25">
      <c r="A5774" s="6" t="s">
        <v>5597</v>
      </c>
      <c r="B5774" s="6" t="str">
        <f ca="1">IFERROR(__xludf.DUMMYFUNCTION("GOOGLETRANSLATE(A5774,""bn"",""en"")"),"I can speak the language")</f>
        <v>I can speak the language</v>
      </c>
      <c r="C5774" s="7" t="s">
        <v>6</v>
      </c>
      <c r="D5774" s="7" t="s">
        <v>7</v>
      </c>
      <c r="E5774" s="7">
        <v>0</v>
      </c>
    </row>
    <row r="5775" spans="1:5" ht="15.75" customHeight="1" x14ac:dyDescent="0.25">
      <c r="A5775" s="6" t="s">
        <v>5598</v>
      </c>
      <c r="B5775" s="6" t="str">
        <f ca="1">IFERROR(__xludf.DUMMYFUNCTION("GOOGLETRANSLATE(A5775,""bn"",""en"")"),"After hearing the words, he was shocked")</f>
        <v>After hearing the words, he was shocked</v>
      </c>
      <c r="C5775" s="7" t="s">
        <v>6</v>
      </c>
      <c r="D5775" s="7" t="s">
        <v>7</v>
      </c>
      <c r="E5775" s="7">
        <v>0</v>
      </c>
    </row>
    <row r="5776" spans="1:5" ht="15.75" customHeight="1" x14ac:dyDescent="0.25">
      <c r="A5776" s="6" t="s">
        <v>5599</v>
      </c>
      <c r="B5776" s="6" t="str">
        <f ca="1">IFERROR(__xludf.DUMMYFUNCTION("GOOGLETRANSLATE(A5776,""bn"",""en"")"),"He didn't believe it, he didn't say you sir")</f>
        <v>He didn't believe it, he didn't say you sir</v>
      </c>
      <c r="C5776" s="7" t="s">
        <v>6</v>
      </c>
      <c r="D5776" s="7" t="s">
        <v>7</v>
      </c>
      <c r="E5776" s="7">
        <v>0</v>
      </c>
    </row>
    <row r="5777" spans="1:5" ht="15.75" customHeight="1" x14ac:dyDescent="0.25">
      <c r="A5777" s="6" t="s">
        <v>5600</v>
      </c>
      <c r="B5777" s="6" t="str">
        <f ca="1">IFERROR(__xludf.DUMMYFUNCTION("GOOGLETRANSLATE(A5777,""bn"",""en"")"),"Sharif read all the books with me")</f>
        <v>Sharif read all the books with me</v>
      </c>
      <c r="C5777" s="8" t="s">
        <v>13</v>
      </c>
      <c r="D5777" s="8" t="s">
        <v>14</v>
      </c>
      <c r="E5777" s="8">
        <v>1</v>
      </c>
    </row>
    <row r="5778" spans="1:5" ht="15.75" customHeight="1" x14ac:dyDescent="0.25">
      <c r="A5778" s="6" t="s">
        <v>5601</v>
      </c>
      <c r="B5778" s="6" t="str">
        <f ca="1">IFERROR(__xludf.DUMMYFUNCTION("GOOGLETRANSLATE(A5778,""bn"",""en"")"),"The newspaper's editorial board expresses the publication's official position on various issues")</f>
        <v>The newspaper's editorial board expresses the publication's official position on various issues</v>
      </c>
      <c r="C5778" s="8" t="s">
        <v>13</v>
      </c>
      <c r="D5778" s="8" t="s">
        <v>14</v>
      </c>
      <c r="E5778" s="8">
        <v>1</v>
      </c>
    </row>
    <row r="5779" spans="1:5" ht="15.75" customHeight="1" x14ac:dyDescent="0.25">
      <c r="A5779" s="6" t="s">
        <v>5602</v>
      </c>
      <c r="B5779" s="6" t="str">
        <f ca="1">IFERROR(__xludf.DUMMYFUNCTION("GOOGLETRANSLATE(A5779,""bn"",""en"")"),"Yes Boss Yes Boss is a Bollywood movie of the year")</f>
        <v>Yes Boss Yes Boss is a Bollywood movie of the year</v>
      </c>
      <c r="C5779" s="8" t="s">
        <v>13</v>
      </c>
      <c r="D5779" s="8" t="s">
        <v>14</v>
      </c>
      <c r="E5779" s="8">
        <v>1</v>
      </c>
    </row>
    <row r="5780" spans="1:5" ht="15.75" customHeight="1" x14ac:dyDescent="0.25">
      <c r="A5780" s="6" t="s">
        <v>5603</v>
      </c>
      <c r="B5780" s="6" t="str">
        <f ca="1">IFERROR(__xludf.DUMMYFUNCTION("GOOGLETRANSLATE(A5780,""bn"",""en"")"),"Anadilal Poddar of Congress won the election")</f>
        <v>Anadilal Poddar of Congress won the election</v>
      </c>
      <c r="C5780" s="8" t="s">
        <v>13</v>
      </c>
      <c r="D5780" s="8" t="s">
        <v>14</v>
      </c>
      <c r="E5780" s="8">
        <v>1</v>
      </c>
    </row>
    <row r="5781" spans="1:5" ht="15.75" customHeight="1" x14ac:dyDescent="0.25">
      <c r="A5781" s="6" t="s">
        <v>5604</v>
      </c>
      <c r="B5781" s="6" t="str">
        <f ca="1">IFERROR(__xludf.DUMMYFUNCTION("GOOGLETRANSLATE(A5781,""bn"",""en"")"),"He has to go to Malibagh")</f>
        <v>He has to go to Malibagh</v>
      </c>
      <c r="C5781" s="8" t="s">
        <v>13</v>
      </c>
      <c r="D5781" s="8" t="s">
        <v>14</v>
      </c>
      <c r="E5781" s="8">
        <v>1</v>
      </c>
    </row>
    <row r="5782" spans="1:5" ht="15.75" customHeight="1" x14ac:dyDescent="0.25">
      <c r="A5782" s="6" t="s">
        <v>5605</v>
      </c>
      <c r="B5782" s="6" t="str">
        <f ca="1">IFERROR(__xludf.DUMMYFUNCTION("GOOGLETRANSLATE(A5782,""bn"",""en"")"),"You can spend the rest of your life comfortably")</f>
        <v>You can spend the rest of your life comfortably</v>
      </c>
      <c r="C5782" s="7" t="s">
        <v>6</v>
      </c>
      <c r="D5782" s="7" t="s">
        <v>7</v>
      </c>
      <c r="E5782" s="7">
        <v>0</v>
      </c>
    </row>
    <row r="5783" spans="1:5" ht="15.75" customHeight="1" x14ac:dyDescent="0.25">
      <c r="A5783" s="6" t="s">
        <v>5606</v>
      </c>
      <c r="B5783" s="6" t="str">
        <f ca="1">IFERROR(__xludf.DUMMYFUNCTION("GOOGLETRANSLATE(A5783,""bn"",""en"")"),"Is it not better to investigate the internal affairs of Bengali society once?")</f>
        <v>Is it not better to investigate the internal affairs of Bengali society once?</v>
      </c>
      <c r="C5783" s="7" t="s">
        <v>6</v>
      </c>
      <c r="D5783" s="7" t="s">
        <v>7</v>
      </c>
      <c r="E5783" s="7">
        <v>0</v>
      </c>
    </row>
    <row r="5784" spans="1:5" ht="15.75" customHeight="1" x14ac:dyDescent="0.25">
      <c r="A5784" s="6" t="s">
        <v>5607</v>
      </c>
      <c r="B5784" s="6" t="str">
        <f ca="1">IFERROR(__xludf.DUMMYFUNCTION("GOOGLETRANSLATE(A5784,""bn"",""en"")"),"He bought a new car yesterday")</f>
        <v>He bought a new car yesterday</v>
      </c>
      <c r="C5784" s="7" t="s">
        <v>6</v>
      </c>
      <c r="D5784" s="7" t="s">
        <v>7</v>
      </c>
      <c r="E5784" s="7">
        <v>0</v>
      </c>
    </row>
    <row r="5785" spans="1:5" ht="15.75" customHeight="1" x14ac:dyDescent="0.25">
      <c r="A5785" s="6" t="s">
        <v>5608</v>
      </c>
      <c r="B5785" s="6" t="str">
        <f ca="1">IFERROR(__xludf.DUMMYFUNCTION("GOOGLETRANSLATE(A5785,""bn"",""en"")"),"Sashi sat straight after moving around")</f>
        <v>Sashi sat straight after moving around</v>
      </c>
      <c r="C5785" s="7" t="s">
        <v>6</v>
      </c>
      <c r="D5785" s="7" t="s">
        <v>7</v>
      </c>
      <c r="E5785" s="7">
        <v>0</v>
      </c>
    </row>
    <row r="5786" spans="1:5" ht="15.75" customHeight="1" x14ac:dyDescent="0.25">
      <c r="A5786" s="6" t="s">
        <v>5609</v>
      </c>
      <c r="B5786" s="6" t="str">
        <f ca="1">IFERROR(__xludf.DUMMYFUNCTION("GOOGLETRANSLATE(A5786,""bn"",""en"")"),"I will have to get the result of this cruelty one day")</f>
        <v>I will have to get the result of this cruelty one day</v>
      </c>
      <c r="C5786" s="7" t="s">
        <v>6</v>
      </c>
      <c r="D5786" s="7" t="s">
        <v>7</v>
      </c>
      <c r="E5786" s="7">
        <v>0</v>
      </c>
    </row>
    <row r="5787" spans="1:5" ht="15.75" customHeight="1" x14ac:dyDescent="0.25">
      <c r="A5787" s="6" t="s">
        <v>5610</v>
      </c>
      <c r="B5787" s="6" t="str">
        <f ca="1">IFERROR(__xludf.DUMMYFUNCTION("GOOGLETRANSLATE(A5787,""bn"",""en"")"),"Otitis media is an infection or inflammation of the middle ear often accompanied by ear pain and fever")</f>
        <v>Otitis media is an infection or inflammation of the middle ear often accompanied by ear pain and fever</v>
      </c>
      <c r="C5787" s="8" t="s">
        <v>13</v>
      </c>
      <c r="D5787" s="8" t="s">
        <v>14</v>
      </c>
      <c r="E5787" s="8">
        <v>1</v>
      </c>
    </row>
    <row r="5788" spans="1:5" ht="15.75" customHeight="1" x14ac:dyDescent="0.25">
      <c r="A5788" s="6" t="s">
        <v>5611</v>
      </c>
      <c r="B5788" s="6" t="str">
        <f ca="1">IFERROR(__xludf.DUMMYFUNCTION("GOOGLETRANSLATE(A5788,""bn"",""en"")"),"Children in particular were always given plenty of food")</f>
        <v>Children in particular were always given plenty of food</v>
      </c>
      <c r="C5788" s="8" t="s">
        <v>13</v>
      </c>
      <c r="D5788" s="8" t="s">
        <v>14</v>
      </c>
      <c r="E5788" s="8">
        <v>1</v>
      </c>
    </row>
    <row r="5789" spans="1:5" ht="15.75" customHeight="1" x14ac:dyDescent="0.25">
      <c r="A5789" s="6" t="s">
        <v>5612</v>
      </c>
      <c r="B5789" s="6" t="str">
        <f ca="1">IFERROR(__xludf.DUMMYFUNCTION("GOOGLETRANSLATE(A5789,""bn"",""en"")"),"Strength training prevents muscle damage")</f>
        <v>Strength training prevents muscle damage</v>
      </c>
      <c r="C5789" s="8" t="s">
        <v>13</v>
      </c>
      <c r="D5789" s="8" t="s">
        <v>14</v>
      </c>
      <c r="E5789" s="8">
        <v>1</v>
      </c>
    </row>
    <row r="5790" spans="1:5" ht="15.75" customHeight="1" x14ac:dyDescent="0.25">
      <c r="A5790" s="6" t="s">
        <v>5613</v>
      </c>
      <c r="B5790" s="6" t="str">
        <f ca="1">IFERROR(__xludf.DUMMYFUNCTION("GOOGLETRANSLATE(A5790,""bn"",""en"")"),"Robin asked me to go to the field")</f>
        <v>Robin asked me to go to the field</v>
      </c>
      <c r="C5790" s="8" t="s">
        <v>13</v>
      </c>
      <c r="D5790" s="8" t="s">
        <v>14</v>
      </c>
      <c r="E5790" s="8">
        <v>1</v>
      </c>
    </row>
    <row r="5791" spans="1:5" ht="15.75" customHeight="1" x14ac:dyDescent="0.25">
      <c r="A5791" s="6" t="s">
        <v>5614</v>
      </c>
      <c r="B5791" s="6" t="str">
        <f ca="1">IFERROR(__xludf.DUMMYFUNCTION("GOOGLETRANSLATE(A5791,""bn"",""en"")"),"His family status was very prosperous")</f>
        <v>His family status was very prosperous</v>
      </c>
      <c r="C5791" s="8" t="s">
        <v>13</v>
      </c>
      <c r="D5791" s="8" t="s">
        <v>14</v>
      </c>
      <c r="E5791" s="8">
        <v>1</v>
      </c>
    </row>
    <row r="5792" spans="1:5" ht="15.75" customHeight="1" x14ac:dyDescent="0.25">
      <c r="A5792" s="6" t="s">
        <v>5615</v>
      </c>
      <c r="B5792" s="6" t="str">
        <f ca="1">IFERROR(__xludf.DUMMYFUNCTION("GOOGLETRANSLATE(A5792,""bn"",""en"")"),"Unlike other days, this day goes slowly, but the head is full of goosebumps")</f>
        <v>Unlike other days, this day goes slowly, but the head is full of goosebumps</v>
      </c>
      <c r="C5792" s="7" t="s">
        <v>6</v>
      </c>
      <c r="D5792" s="7" t="s">
        <v>7</v>
      </c>
      <c r="E5792" s="7">
        <v>0</v>
      </c>
    </row>
    <row r="5793" spans="1:5" ht="15.75" customHeight="1" x14ac:dyDescent="0.25">
      <c r="A5793" s="6" t="s">
        <v>5616</v>
      </c>
      <c r="B5793" s="6" t="str">
        <f ca="1">IFERROR(__xludf.DUMMYFUNCTION("GOOGLETRANSLATE(A5793,""bn"",""en"")"),"I saw that with him of whom I am speaking, all the great and the subtle are equally observed")</f>
        <v>I saw that with him of whom I am speaking, all the great and the subtle are equally observed</v>
      </c>
      <c r="C5793" s="7" t="s">
        <v>6</v>
      </c>
      <c r="D5793" s="7" t="s">
        <v>7</v>
      </c>
      <c r="E5793" s="7">
        <v>0</v>
      </c>
    </row>
    <row r="5794" spans="1:5" ht="15.75" customHeight="1" x14ac:dyDescent="0.25">
      <c r="A5794" s="6" t="s">
        <v>5617</v>
      </c>
      <c r="B5794" s="6" t="str">
        <f ca="1">IFERROR(__xludf.DUMMYFUNCTION("GOOGLETRANSLATE(A5794,""bn"",""en"")"),"I still don't understand why it didn't come")</f>
        <v>I still don't understand why it didn't come</v>
      </c>
      <c r="C5794" s="7" t="s">
        <v>6</v>
      </c>
      <c r="D5794" s="7" t="s">
        <v>7</v>
      </c>
      <c r="E5794" s="7">
        <v>0</v>
      </c>
    </row>
    <row r="5795" spans="1:5" ht="15.75" customHeight="1" x14ac:dyDescent="0.25">
      <c r="A5795" s="6" t="s">
        <v>5618</v>
      </c>
      <c r="B5795" s="6" t="str">
        <f ca="1">IFERROR(__xludf.DUMMYFUNCTION("GOOGLETRANSLATE(A5795,""bn"",""en"")"),"Rana used to call Sujan")</f>
        <v>Rana used to call Sujan</v>
      </c>
      <c r="C5795" s="7" t="s">
        <v>6</v>
      </c>
      <c r="D5795" s="7" t="s">
        <v>7</v>
      </c>
      <c r="E5795" s="7">
        <v>0</v>
      </c>
    </row>
    <row r="5796" spans="1:5" ht="15.75" customHeight="1" x14ac:dyDescent="0.25">
      <c r="A5796" s="6" t="s">
        <v>5619</v>
      </c>
      <c r="B5796" s="6" t="str">
        <f ca="1">IFERROR(__xludf.DUMMYFUNCTION("GOOGLETRANSLATE(A5796,""bn"",""en"")"),"I took off my shoes and started walking barefoot again")</f>
        <v>I took off my shoes and started walking barefoot again</v>
      </c>
      <c r="C5796" s="7" t="s">
        <v>6</v>
      </c>
      <c r="D5796" s="7" t="s">
        <v>7</v>
      </c>
      <c r="E5796" s="7">
        <v>0</v>
      </c>
    </row>
    <row r="5797" spans="1:5" ht="15.75" customHeight="1" x14ac:dyDescent="0.25">
      <c r="A5797" s="6" t="s">
        <v>5620</v>
      </c>
      <c r="B5797" s="6" t="str">
        <f ca="1">IFERROR(__xludf.DUMMYFUNCTION("GOOGLETRANSLATE(A5797,""bn"",""en"")"),"I waited for him at the station")</f>
        <v>I waited for him at the station</v>
      </c>
      <c r="C5797" s="8" t="s">
        <v>13</v>
      </c>
      <c r="D5797" s="8" t="s">
        <v>14</v>
      </c>
      <c r="E5797" s="8">
        <v>1</v>
      </c>
    </row>
    <row r="5798" spans="1:5" ht="15.75" customHeight="1" x14ac:dyDescent="0.25">
      <c r="A5798" s="6" t="s">
        <v>5621</v>
      </c>
      <c r="B5798" s="6" t="str">
        <f ca="1">IFERROR(__xludf.DUMMYFUNCTION("GOOGLETRANSLATE(A5798,""bn"",""en"")"),"It is difficult to categorize this band")</f>
        <v>It is difficult to categorize this band</v>
      </c>
      <c r="C5798" s="8" t="s">
        <v>13</v>
      </c>
      <c r="D5798" s="8" t="s">
        <v>14</v>
      </c>
      <c r="E5798" s="8">
        <v>1</v>
      </c>
    </row>
    <row r="5799" spans="1:5" ht="15.75" customHeight="1" x14ac:dyDescent="0.25">
      <c r="A5799" s="6" t="s">
        <v>5622</v>
      </c>
      <c r="B5799" s="6" t="str">
        <f ca="1">IFERROR(__xludf.DUMMYFUNCTION("GOOGLETRANSLATE(A5799,""bn"",""en"")"),"The king asked them to sing")</f>
        <v>The king asked them to sing</v>
      </c>
      <c r="C5799" s="8" t="s">
        <v>13</v>
      </c>
      <c r="D5799" s="8" t="s">
        <v>14</v>
      </c>
      <c r="E5799" s="8">
        <v>1</v>
      </c>
    </row>
    <row r="5800" spans="1:5" ht="15.75" customHeight="1" x14ac:dyDescent="0.25">
      <c r="A5800" s="6" t="s">
        <v>5623</v>
      </c>
      <c r="B5800" s="6" t="str">
        <f ca="1">IFERROR(__xludf.DUMMYFUNCTION("GOOGLETRANSLATE(A5800,""bn"",""en"")"),"Agroforestry practices such as ali cropping combine trees with crops for mutual benefit")</f>
        <v>Agroforestry practices such as ali cropping combine trees with crops for mutual benefit</v>
      </c>
      <c r="C5800" s="8" t="s">
        <v>13</v>
      </c>
      <c r="D5800" s="8" t="s">
        <v>14</v>
      </c>
      <c r="E5800" s="8">
        <v>1</v>
      </c>
    </row>
    <row r="5801" spans="1:5" ht="15.75" customHeight="1" x14ac:dyDescent="0.25">
      <c r="A5801" s="6" t="s">
        <v>5624</v>
      </c>
      <c r="B5801" s="6" t="str">
        <f ca="1">IFERROR(__xludf.DUMMYFUNCTION("GOOGLETRANSLATE(A5801,""bn"",""en"")"),"He joined the Manchester United club as a junior player")</f>
        <v>He joined the Manchester United club as a junior player</v>
      </c>
      <c r="C5801" s="8" t="s">
        <v>13</v>
      </c>
      <c r="D5801" s="8" t="s">
        <v>14</v>
      </c>
      <c r="E5801" s="8">
        <v>1</v>
      </c>
    </row>
    <row r="5802" spans="1:5" ht="15.75" customHeight="1" x14ac:dyDescent="0.25">
      <c r="A5802" s="6" t="s">
        <v>5625</v>
      </c>
      <c r="B5802" s="6" t="str">
        <f ca="1">IFERROR(__xludf.DUMMYFUNCTION("GOOGLETRANSLATE(A5802,""bn"",""en"")"),"The next day when the car stopped at Howrah, Upendra asked where are you going")</f>
        <v>The next day when the car stopped at Howrah, Upendra asked where are you going</v>
      </c>
      <c r="C5802" s="7" t="s">
        <v>6</v>
      </c>
      <c r="D5802" s="7" t="s">
        <v>7</v>
      </c>
      <c r="E5802" s="7">
        <v>0</v>
      </c>
    </row>
    <row r="5803" spans="1:5" ht="15.75" customHeight="1" x14ac:dyDescent="0.25">
      <c r="A5803" s="6" t="s">
        <v>5626</v>
      </c>
      <c r="B5803" s="6" t="str">
        <f ca="1">IFERROR(__xludf.DUMMYFUNCTION("GOOGLETRANSLATE(A5803,""bn"",""en"")"),"As Upendra bowed, he wept loudly")</f>
        <v>As Upendra bowed, he wept loudly</v>
      </c>
      <c r="C5803" s="7" t="s">
        <v>6</v>
      </c>
      <c r="D5803" s="7" t="s">
        <v>7</v>
      </c>
      <c r="E5803" s="7">
        <v>0</v>
      </c>
    </row>
    <row r="5804" spans="1:5" ht="15.75" customHeight="1" x14ac:dyDescent="0.25">
      <c r="A5804" s="6" t="s">
        <v>5627</v>
      </c>
      <c r="B5804" s="6" t="str">
        <f ca="1">IFERROR(__xludf.DUMMYFUNCTION("GOOGLETRANSLATE(A5804,""bn"",""en"")"),"Sharif will spend the rest of his life in comfort")</f>
        <v>Sharif will spend the rest of his life in comfort</v>
      </c>
      <c r="C5804" s="7" t="s">
        <v>6</v>
      </c>
      <c r="D5804" s="7" t="s">
        <v>7</v>
      </c>
      <c r="E5804" s="7">
        <v>0</v>
      </c>
    </row>
    <row r="5805" spans="1:5" ht="15.75" customHeight="1" x14ac:dyDescent="0.25">
      <c r="A5805" s="6" t="s">
        <v>5628</v>
      </c>
      <c r="B5805" s="6" t="str">
        <f ca="1">IFERROR(__xludf.DUMMYFUNCTION("GOOGLETRANSLATE(A5805,""bn"",""en"")"),"He gave me an unexpected gift")</f>
        <v>He gave me an unexpected gift</v>
      </c>
      <c r="C5805" s="7" t="s">
        <v>6</v>
      </c>
      <c r="D5805" s="7" t="s">
        <v>7</v>
      </c>
      <c r="E5805" s="7">
        <v>0</v>
      </c>
    </row>
    <row r="5806" spans="1:5" ht="15.75" customHeight="1" x14ac:dyDescent="0.25">
      <c r="A5806" s="6" t="s">
        <v>5629</v>
      </c>
      <c r="B5806" s="6" t="str">
        <f ca="1">IFERROR(__xludf.DUMMYFUNCTION("GOOGLETRANSLATE(A5806,""bn"",""en"")"),"By this time, everyone came out and stood on one side of the road")</f>
        <v>By this time, everyone came out and stood on one side of the road</v>
      </c>
      <c r="C5806" s="7" t="s">
        <v>6</v>
      </c>
      <c r="D5806" s="7" t="s">
        <v>7</v>
      </c>
      <c r="E5806" s="7">
        <v>0</v>
      </c>
    </row>
    <row r="5807" spans="1:5" ht="15.75" customHeight="1" x14ac:dyDescent="0.25">
      <c r="A5807" s="6" t="s">
        <v>5630</v>
      </c>
      <c r="B5807" s="6" t="str">
        <f ca="1">IFERROR(__xludf.DUMMYFUNCTION("GOOGLETRANSLATE(A5807,""bn"",""en"")"),"This is a great achievement for any poet")</f>
        <v>This is a great achievement for any poet</v>
      </c>
      <c r="C5807" s="8" t="s">
        <v>13</v>
      </c>
      <c r="D5807" s="8" t="s">
        <v>14</v>
      </c>
      <c r="E5807" s="8">
        <v>1</v>
      </c>
    </row>
    <row r="5808" spans="1:5" ht="15.75" customHeight="1" x14ac:dyDescent="0.25">
      <c r="A5808" s="6" t="s">
        <v>5631</v>
      </c>
      <c r="B5808" s="6" t="str">
        <f ca="1">IFERROR(__xludf.DUMMYFUNCTION("GOOGLETRANSLATE(A5808,""bn"",""en"")"),"Dad decided to take us out on vacation")</f>
        <v>Dad decided to take us out on vacation</v>
      </c>
      <c r="C5808" s="8" t="s">
        <v>13</v>
      </c>
      <c r="D5808" s="8" t="s">
        <v>14</v>
      </c>
      <c r="E5808" s="8">
        <v>1</v>
      </c>
    </row>
    <row r="5809" spans="1:5" ht="15.75" customHeight="1" x14ac:dyDescent="0.25">
      <c r="A5809" s="6" t="s">
        <v>5632</v>
      </c>
      <c r="B5809" s="6" t="str">
        <f ca="1">IFERROR(__xludf.DUMMYFUNCTION("GOOGLETRANSLATE(A5809,""bn"",""en"")"),"He has overcome adversity in life and achieved success")</f>
        <v>He has overcome adversity in life and achieved success</v>
      </c>
      <c r="C5809" s="8" t="s">
        <v>13</v>
      </c>
      <c r="D5809" s="8" t="s">
        <v>14</v>
      </c>
      <c r="E5809" s="8">
        <v>1</v>
      </c>
    </row>
    <row r="5810" spans="1:5" ht="15.75" customHeight="1" x14ac:dyDescent="0.25">
      <c r="A5810" s="6" t="s">
        <v>5633</v>
      </c>
      <c r="B5810" s="6" t="str">
        <f ca="1">IFERROR(__xludf.DUMMYFUNCTION("GOOGLETRANSLATE(A5810,""bn"",""en"")"),"Choose age-appropriate exercises")</f>
        <v>Choose age-appropriate exercises</v>
      </c>
      <c r="C5810" s="8" t="s">
        <v>13</v>
      </c>
      <c r="D5810" s="8" t="s">
        <v>14</v>
      </c>
      <c r="E5810" s="8">
        <v>1</v>
      </c>
    </row>
    <row r="5811" spans="1:5" ht="15.75" customHeight="1" x14ac:dyDescent="0.25">
      <c r="A5811" s="6" t="s">
        <v>5634</v>
      </c>
      <c r="B5811" s="6" t="str">
        <f ca="1">IFERROR(__xludf.DUMMYFUNCTION("GOOGLETRANSLATE(A5811,""bn"",""en"")"),"A discrepancy was found in the transaction history")</f>
        <v>A discrepancy was found in the transaction history</v>
      </c>
      <c r="C5811" s="8" t="s">
        <v>13</v>
      </c>
      <c r="D5811" s="8" t="s">
        <v>14</v>
      </c>
      <c r="E5811" s="8">
        <v>1</v>
      </c>
    </row>
    <row r="5812" spans="1:5" ht="15.75" customHeight="1" x14ac:dyDescent="0.25">
      <c r="A5812" s="6" t="s">
        <v>5635</v>
      </c>
      <c r="B5812" s="6" t="str">
        <f ca="1">IFERROR(__xludf.DUMMYFUNCTION("GOOGLETRANSLATE(A5812,""bn"",""en"")"),"He was not an honest boy and he did not have too much shame")</f>
        <v>He was not an honest boy and he did not have too much shame</v>
      </c>
      <c r="C5812" s="7" t="s">
        <v>6</v>
      </c>
      <c r="D5812" s="7" t="s">
        <v>7</v>
      </c>
      <c r="E5812" s="7">
        <v>0</v>
      </c>
    </row>
    <row r="5813" spans="1:5" ht="15.75" customHeight="1" x14ac:dyDescent="0.25">
      <c r="A5813" s="6" t="s">
        <v>2818</v>
      </c>
      <c r="B5813" s="6" t="str">
        <f ca="1">IFERROR(__xludf.DUMMYFUNCTION("GOOGLETRANSLATE(A5813,""bn"",""en"")"),"I was satisfied that the young man must have thought that I can kill a tiger if I am a gentleman.")</f>
        <v>I was satisfied that the young man must have thought that I can kill a tiger if I am a gentleman.</v>
      </c>
      <c r="C5813" s="7" t="s">
        <v>6</v>
      </c>
      <c r="D5813" s="7" t="s">
        <v>7</v>
      </c>
      <c r="E5813" s="7">
        <v>0</v>
      </c>
    </row>
    <row r="5814" spans="1:5" ht="15.75" customHeight="1" x14ac:dyDescent="0.25">
      <c r="A5814" s="6" t="s">
        <v>5636</v>
      </c>
      <c r="B5814" s="6" t="str">
        <f ca="1">IFERROR(__xludf.DUMMYFUNCTION("GOOGLETRANSLATE(A5814,""bn"",""en"")"),"Why do you want to argue?")</f>
        <v>Why do you want to argue?</v>
      </c>
      <c r="C5814" s="7" t="s">
        <v>6</v>
      </c>
      <c r="D5814" s="7" t="s">
        <v>7</v>
      </c>
      <c r="E5814" s="7">
        <v>0</v>
      </c>
    </row>
    <row r="5815" spans="1:5" ht="15.75" customHeight="1" x14ac:dyDescent="0.25">
      <c r="A5815" s="6" t="s">
        <v>5637</v>
      </c>
      <c r="B5815" s="6" t="str">
        <f ca="1">IFERROR(__xludf.DUMMYFUNCTION("GOOGLETRANSLATE(A5815,""bn"",""en"")"),"We were playing better than them")</f>
        <v>We were playing better than them</v>
      </c>
      <c r="C5815" s="7" t="s">
        <v>6</v>
      </c>
      <c r="D5815" s="7" t="s">
        <v>7</v>
      </c>
      <c r="E5815" s="7">
        <v>0</v>
      </c>
    </row>
    <row r="5816" spans="1:5" ht="15.75" customHeight="1" x14ac:dyDescent="0.25">
      <c r="A5816" s="6" t="s">
        <v>5638</v>
      </c>
      <c r="B5816" s="6" t="str">
        <f ca="1">IFERROR(__xludf.DUMMYFUNCTION("GOOGLETRANSLATE(A5816,""bn"",""en"")"),"I took off my shoes and started walking barefoot")</f>
        <v>I took off my shoes and started walking barefoot</v>
      </c>
      <c r="C5816" s="7" t="s">
        <v>6</v>
      </c>
      <c r="D5816" s="7" t="s">
        <v>7</v>
      </c>
      <c r="E5816" s="7">
        <v>0</v>
      </c>
    </row>
    <row r="5817" spans="1:5" ht="15.75" customHeight="1" x14ac:dyDescent="0.25">
      <c r="A5817" s="6" t="s">
        <v>5639</v>
      </c>
      <c r="B5817" s="6" t="str">
        <f ca="1">IFERROR(__xludf.DUMMYFUNCTION("GOOGLETRANSLATE(A5817,""bn"",""en"")"),"My daughter has gone to school")</f>
        <v>My daughter has gone to school</v>
      </c>
      <c r="C5817" s="8" t="s">
        <v>13</v>
      </c>
      <c r="D5817" s="8" t="s">
        <v>14</v>
      </c>
      <c r="E5817" s="8">
        <v>1</v>
      </c>
    </row>
    <row r="5818" spans="1:5" ht="15.75" customHeight="1" x14ac:dyDescent="0.25">
      <c r="A5818" s="6" t="s">
        <v>5640</v>
      </c>
      <c r="B5818" s="6" t="str">
        <f ca="1">IFERROR(__xludf.DUMMYFUNCTION("GOOGLETRANSLATE(A5818,""bn"",""en"")"),"His patriotic songs are still popular today")</f>
        <v>His patriotic songs are still popular today</v>
      </c>
      <c r="C5818" s="8" t="s">
        <v>13</v>
      </c>
      <c r="D5818" s="8" t="s">
        <v>14</v>
      </c>
      <c r="E5818" s="8">
        <v>1</v>
      </c>
    </row>
    <row r="5819" spans="1:5" ht="15.75" customHeight="1" x14ac:dyDescent="0.25">
      <c r="A5819" s="6" t="s">
        <v>5641</v>
      </c>
      <c r="B5819" s="6" t="str">
        <f ca="1">IFERROR(__xludf.DUMMYFUNCTION("GOOGLETRANSLATE(A5819,""bn"",""en"")"),"A family picnic is a perfect way to spend a sunny day")</f>
        <v>A family picnic is a perfect way to spend a sunny day</v>
      </c>
      <c r="C5819" s="8" t="s">
        <v>13</v>
      </c>
      <c r="D5819" s="8" t="s">
        <v>14</v>
      </c>
      <c r="E5819" s="8">
        <v>1</v>
      </c>
    </row>
    <row r="5820" spans="1:5" ht="15.75" customHeight="1" x14ac:dyDescent="0.25">
      <c r="A5820" s="6" t="s">
        <v>5642</v>
      </c>
      <c r="B5820" s="6" t="str">
        <f ca="1">IFERROR(__xludf.DUMMYFUNCTION("GOOGLETRANSLATE(A5820,""bn"",""en"")"),"Glomerulonephritis is an inflammation of the kidney's tiny filters that affects its ability to remove excess fluid and waste from the blood.")</f>
        <v>Glomerulonephritis is an inflammation of the kidney's tiny filters that affects its ability to remove excess fluid and waste from the blood.</v>
      </c>
      <c r="C5820" s="8" t="s">
        <v>13</v>
      </c>
      <c r="D5820" s="8" t="s">
        <v>14</v>
      </c>
      <c r="E5820" s="8">
        <v>1</v>
      </c>
    </row>
    <row r="5821" spans="1:5" ht="15.75" customHeight="1" x14ac:dyDescent="0.25">
      <c r="A5821" s="6" t="s">
        <v>5643</v>
      </c>
      <c r="B5821" s="6" t="str">
        <f ca="1">IFERROR(__xludf.DUMMYFUNCTION("GOOGLETRANSLATE(A5821,""bn"",""en"")"),"We all depended on the black letters of the Dinamani newspaper")</f>
        <v>We all depended on the black letters of the Dinamani newspaper</v>
      </c>
      <c r="C5821" s="8" t="s">
        <v>13</v>
      </c>
      <c r="D5821" s="8" t="s">
        <v>14</v>
      </c>
      <c r="E5821" s="8">
        <v>1</v>
      </c>
    </row>
    <row r="5822" spans="1:5" ht="15.75" customHeight="1" x14ac:dyDescent="0.25">
      <c r="A5822" s="6" t="s">
        <v>5644</v>
      </c>
      <c r="B5822" s="6" t="str">
        <f ca="1">IFERROR(__xludf.DUMMYFUNCTION("GOOGLETRANSLATE(A5822,""bn"",""en"")"),"It seemed as if he had taken on a serious task")</f>
        <v>It seemed as if he had taken on a serious task</v>
      </c>
      <c r="C5822" s="7" t="s">
        <v>6</v>
      </c>
      <c r="D5822" s="7" t="s">
        <v>7</v>
      </c>
      <c r="E5822" s="7">
        <v>0</v>
      </c>
    </row>
    <row r="5823" spans="1:5" ht="15.75" customHeight="1" x14ac:dyDescent="0.25">
      <c r="A5823" s="6" t="s">
        <v>5645</v>
      </c>
      <c r="B5823" s="6" t="str">
        <f ca="1">IFERROR(__xludf.DUMMYFUNCTION("GOOGLETRANSLATE(A5823,""bn"",""en"")"),"Rishi is just a migrant abandoned householder")</f>
        <v>Rishi is just a migrant abandoned householder</v>
      </c>
      <c r="C5823" s="7" t="s">
        <v>6</v>
      </c>
      <c r="D5823" s="7" t="s">
        <v>7</v>
      </c>
      <c r="E5823" s="7">
        <v>0</v>
      </c>
    </row>
    <row r="5824" spans="1:5" ht="15.75" customHeight="1" x14ac:dyDescent="0.25">
      <c r="A5824" s="6" t="s">
        <v>5646</v>
      </c>
      <c r="B5824" s="6" t="str">
        <f ca="1">IFERROR(__xludf.DUMMYFUNCTION("GOOGLETRANSLATE(A5824,""bn"",""en"")"),"I went there and could not hear anything")</f>
        <v>I went there and could not hear anything</v>
      </c>
      <c r="C5824" s="7" t="s">
        <v>6</v>
      </c>
      <c r="D5824" s="7" t="s">
        <v>7</v>
      </c>
      <c r="E5824" s="7">
        <v>0</v>
      </c>
    </row>
    <row r="5825" spans="1:5" ht="15.75" customHeight="1" x14ac:dyDescent="0.25">
      <c r="A5825" s="6" t="s">
        <v>5647</v>
      </c>
      <c r="B5825" s="6" t="str">
        <f ca="1">IFERROR(__xludf.DUMMYFUNCTION("GOOGLETRANSLATE(A5825,""bn"",""en"")"),"Yesterday there were many clouds in the sky and then it rained")</f>
        <v>Yesterday there were many clouds in the sky and then it rained</v>
      </c>
      <c r="C5825" s="7" t="s">
        <v>6</v>
      </c>
      <c r="D5825" s="7" t="s">
        <v>7</v>
      </c>
      <c r="E5825" s="7">
        <v>0</v>
      </c>
    </row>
    <row r="5826" spans="1:5" ht="15.75" customHeight="1" x14ac:dyDescent="0.25">
      <c r="A5826" s="6" t="s">
        <v>5648</v>
      </c>
      <c r="B5826" s="6" t="str">
        <f ca="1">IFERROR(__xludf.DUMMYFUNCTION("GOOGLETRANSLATE(A5826,""bn"",""en"")"),"I think there was a faint hope in his mind that Dadababu would come back and he could not get away from that bond.")</f>
        <v>I think there was a faint hope in his mind that Dadababu would come back and he could not get away from that bond.</v>
      </c>
      <c r="C5826" s="7" t="s">
        <v>6</v>
      </c>
      <c r="D5826" s="7" t="s">
        <v>7</v>
      </c>
      <c r="E5826" s="7">
        <v>0</v>
      </c>
    </row>
    <row r="5827" spans="1:5" ht="15.75" customHeight="1" x14ac:dyDescent="0.25">
      <c r="A5827" s="6" t="s">
        <v>5649</v>
      </c>
      <c r="B5827" s="6" t="str">
        <f ca="1">IFERROR(__xludf.DUMMYFUNCTION("GOOGLETRANSLATE(A5827,""bn"",""en"")"),"The swan is in great pain")</f>
        <v>The swan is in great pain</v>
      </c>
      <c r="C5827" s="8" t="s">
        <v>13</v>
      </c>
      <c r="D5827" s="8" t="s">
        <v>14</v>
      </c>
      <c r="E5827" s="8">
        <v>1</v>
      </c>
    </row>
    <row r="5828" spans="1:5" ht="15.75" customHeight="1" x14ac:dyDescent="0.25">
      <c r="A5828" s="6" t="s">
        <v>5650</v>
      </c>
      <c r="B5828" s="6" t="str">
        <f ca="1">IFERROR(__xludf.DUMMYFUNCTION("GOOGLETRANSLATE(A5828,""bn"",""en"")"),"I remembered you")</f>
        <v>I remembered you</v>
      </c>
      <c r="C5828" s="8" t="s">
        <v>13</v>
      </c>
      <c r="D5828" s="8" t="s">
        <v>14</v>
      </c>
      <c r="E5828" s="8">
        <v>1</v>
      </c>
    </row>
    <row r="5829" spans="1:5" ht="15.75" customHeight="1" x14ac:dyDescent="0.25">
      <c r="A5829" s="6" t="s">
        <v>5651</v>
      </c>
      <c r="B5829" s="6" t="str">
        <f ca="1">IFERROR(__xludf.DUMMYFUNCTION("GOOGLETRANSLATE(A5829,""bn"",""en"")"),"This magazine won the Bar Pulitzer Prize")</f>
        <v>This magazine won the Bar Pulitzer Prize</v>
      </c>
      <c r="C5829" s="8" t="s">
        <v>13</v>
      </c>
      <c r="D5829" s="8" t="s">
        <v>14</v>
      </c>
      <c r="E5829" s="8">
        <v>1</v>
      </c>
    </row>
    <row r="5830" spans="1:5" ht="15.75" customHeight="1" x14ac:dyDescent="0.25">
      <c r="A5830" s="6" t="s">
        <v>5652</v>
      </c>
      <c r="B5830" s="6" t="str">
        <f ca="1">IFERROR(__xludf.DUMMYFUNCTION("GOOGLETRANSLATE(A5830,""bn"",""en"")"),"Balance exercises prevent falls")</f>
        <v>Balance exercises prevent falls</v>
      </c>
      <c r="C5830" s="8" t="s">
        <v>13</v>
      </c>
      <c r="D5830" s="8" t="s">
        <v>14</v>
      </c>
      <c r="E5830" s="8">
        <v>1</v>
      </c>
    </row>
    <row r="5831" spans="1:5" ht="15.75" customHeight="1" x14ac:dyDescent="0.25">
      <c r="A5831" s="6" t="s">
        <v>5653</v>
      </c>
      <c r="B5831" s="6" t="str">
        <f ca="1">IFERROR(__xludf.DUMMYFUNCTION("GOOGLETRANSLATE(A5831,""bn"",""en"")"),"For many years, Shahed could not sleep without lying on Irtajuddin's chest")</f>
        <v>For many years, Shahed could not sleep without lying on Irtajuddin's chest</v>
      </c>
      <c r="C5831" s="8" t="s">
        <v>13</v>
      </c>
      <c r="D5831" s="8" t="s">
        <v>14</v>
      </c>
      <c r="E5831" s="8">
        <v>1</v>
      </c>
    </row>
    <row r="5832" spans="1:5" ht="15.75" customHeight="1" x14ac:dyDescent="0.25">
      <c r="A5832" s="6" t="s">
        <v>5654</v>
      </c>
      <c r="B5832" s="6" t="str">
        <f ca="1">IFERROR(__xludf.DUMMYFUNCTION("GOOGLETRANSLATE(A5832,""bn"",""en"")"),"I taught him to read")</f>
        <v>I taught him to read</v>
      </c>
      <c r="C5832" s="7" t="s">
        <v>6</v>
      </c>
      <c r="D5832" s="7" t="s">
        <v>7</v>
      </c>
      <c r="E5832" s="7">
        <v>0</v>
      </c>
    </row>
    <row r="5833" spans="1:5" ht="15.75" customHeight="1" x14ac:dyDescent="0.25">
      <c r="A5833" s="6" t="s">
        <v>5655</v>
      </c>
      <c r="B5833" s="6" t="str">
        <f ca="1">IFERROR(__xludf.DUMMYFUNCTION("GOOGLETRANSLATE(A5833,""bn"",""en"")"),"Subh asked me to go with the book")</f>
        <v>Subh asked me to go with the book</v>
      </c>
      <c r="C5833" s="7" t="s">
        <v>6</v>
      </c>
      <c r="D5833" s="7" t="s">
        <v>7</v>
      </c>
      <c r="E5833" s="7">
        <v>0</v>
      </c>
    </row>
    <row r="5834" spans="1:5" ht="15.75" customHeight="1" x14ac:dyDescent="0.25">
      <c r="A5834" s="6" t="s">
        <v>5656</v>
      </c>
      <c r="B5834" s="6" t="str">
        <f ca="1">IFERROR(__xludf.DUMMYFUNCTION("GOOGLETRANSLATE(A5834,""bn"",""en"")"),"The monk was baking thick bread in the fire")</f>
        <v>The monk was baking thick bread in the fire</v>
      </c>
      <c r="C5834" s="7" t="s">
        <v>6</v>
      </c>
      <c r="D5834" s="7" t="s">
        <v>7</v>
      </c>
      <c r="E5834" s="7">
        <v>0</v>
      </c>
    </row>
    <row r="5835" spans="1:5" ht="15.75" customHeight="1" x14ac:dyDescent="0.25">
      <c r="A5835" s="6" t="s">
        <v>5657</v>
      </c>
      <c r="B5835" s="6" t="str">
        <f ca="1">IFERROR(__xludf.DUMMYFUNCTION("GOOGLETRANSLATE(A5835,""bn"",""en"")"),"It does not evoke affection, its companionship is not particularly desirable")</f>
        <v>It does not evoke affection, its companionship is not particularly desirable</v>
      </c>
      <c r="C5835" s="7" t="s">
        <v>6</v>
      </c>
      <c r="D5835" s="7" t="s">
        <v>7</v>
      </c>
      <c r="E5835" s="7">
        <v>0</v>
      </c>
    </row>
    <row r="5836" spans="1:5" ht="15.75" customHeight="1" x14ac:dyDescent="0.25">
      <c r="A5836" s="6" t="s">
        <v>5658</v>
      </c>
      <c r="B5836" s="6" t="str">
        <f ca="1">IFERROR(__xludf.DUMMYFUNCTION("GOOGLETRANSLATE(A5836,""bn"",""en"")"),"It can't be done like that")</f>
        <v>It can't be done like that</v>
      </c>
      <c r="C5836" s="7" t="s">
        <v>6</v>
      </c>
      <c r="D5836" s="7" t="s">
        <v>7</v>
      </c>
      <c r="E5836" s="7">
        <v>0</v>
      </c>
    </row>
    <row r="5837" spans="1:5" ht="15.75" customHeight="1" x14ac:dyDescent="0.25">
      <c r="A5837" s="6" t="s">
        <v>5659</v>
      </c>
      <c r="B5837" s="6" t="str">
        <f ca="1">IFERROR(__xludf.DUMMYFUNCTION("GOOGLETRANSLATE(A5837,""bn"",""en"")"),"They won t major awards")</f>
        <v>They won t major awards</v>
      </c>
      <c r="C5837" s="8" t="s">
        <v>13</v>
      </c>
      <c r="D5837" s="8" t="s">
        <v>14</v>
      </c>
      <c r="E5837" s="8">
        <v>1</v>
      </c>
    </row>
    <row r="5838" spans="1:5" ht="15.75" customHeight="1" x14ac:dyDescent="0.25">
      <c r="A5838" s="6" t="s">
        <v>5660</v>
      </c>
      <c r="B5838" s="6" t="str">
        <f ca="1">IFERROR(__xludf.DUMMYFUNCTION("GOOGLETRANSLATE(A5838,""bn"",""en"")"),"He was kept in various prisons in Egypt")</f>
        <v>He was kept in various prisons in Egypt</v>
      </c>
      <c r="C5838" s="8" t="s">
        <v>13</v>
      </c>
      <c r="D5838" s="8" t="s">
        <v>14</v>
      </c>
      <c r="E5838" s="8">
        <v>1</v>
      </c>
    </row>
    <row r="5839" spans="1:5" ht="15.75" customHeight="1" x14ac:dyDescent="0.25">
      <c r="A5839" s="6" t="s">
        <v>5661</v>
      </c>
      <c r="B5839" s="6" t="str">
        <f ca="1">IFERROR(__xludf.DUMMYFUNCTION("GOOGLETRANSLATE(A5839,""bn"",""en"")"),"Their wait was not in vain")</f>
        <v>Their wait was not in vain</v>
      </c>
      <c r="C5839" s="8" t="s">
        <v>13</v>
      </c>
      <c r="D5839" s="8" t="s">
        <v>14</v>
      </c>
      <c r="E5839" s="8">
        <v>1</v>
      </c>
    </row>
    <row r="5840" spans="1:5" ht="15.75" customHeight="1" x14ac:dyDescent="0.25">
      <c r="A5840" s="6" t="s">
        <v>5662</v>
      </c>
      <c r="B5840" s="6" t="str">
        <f ca="1">IFERROR(__xludf.DUMMYFUNCTION("GOOGLETRANSLATE(A5840,""bn"",""en"")"),"Stay active age")</f>
        <v>Stay active age</v>
      </c>
      <c r="C5840" s="8" t="s">
        <v>13</v>
      </c>
      <c r="D5840" s="8" t="s">
        <v>14</v>
      </c>
      <c r="E5840" s="8">
        <v>1</v>
      </c>
    </row>
    <row r="5841" spans="1:5" ht="15.75" customHeight="1" x14ac:dyDescent="0.25">
      <c r="A5841" s="6" t="s">
        <v>5663</v>
      </c>
      <c r="B5841" s="6" t="str">
        <f ca="1">IFERROR(__xludf.DUMMYFUNCTION("GOOGLETRANSLATE(A5841,""bn"",""en"")"),"By all accounts his children's literature has gained the most popularity")</f>
        <v>By all accounts his children's literature has gained the most popularity</v>
      </c>
      <c r="C5841" s="8" t="s">
        <v>13</v>
      </c>
      <c r="D5841" s="8" t="s">
        <v>14</v>
      </c>
      <c r="E5841" s="8">
        <v>1</v>
      </c>
    </row>
    <row r="5842" spans="1:5" ht="15.75" customHeight="1" x14ac:dyDescent="0.25">
      <c r="A5842" s="6" t="s">
        <v>5664</v>
      </c>
      <c r="B5842" s="6" t="str">
        <f ca="1">IFERROR(__xludf.DUMMYFUNCTION("GOOGLETRANSLATE(A5842,""bn"",""en"")"),"Says my wife pushed me, my father killed me with my wife")</f>
        <v>Says my wife pushed me, my father killed me with my wife</v>
      </c>
      <c r="C5842" s="7" t="s">
        <v>6</v>
      </c>
      <c r="D5842" s="7" t="s">
        <v>7</v>
      </c>
      <c r="E5842" s="7">
        <v>0</v>
      </c>
    </row>
    <row r="5843" spans="1:5" ht="15.75" customHeight="1" x14ac:dyDescent="0.25">
      <c r="A5843" s="6" t="s">
        <v>5665</v>
      </c>
      <c r="B5843" s="6" t="str">
        <f ca="1">IFERROR(__xludf.DUMMYFUNCTION("GOOGLETRANSLATE(A5843,""bn"",""en"")"),"It was too late and many patients were waiting for the way")</f>
        <v>It was too late and many patients were waiting for the way</v>
      </c>
      <c r="C5843" s="7" t="s">
        <v>6</v>
      </c>
      <c r="D5843" s="7" t="s">
        <v>7</v>
      </c>
      <c r="E5843" s="7">
        <v>0</v>
      </c>
    </row>
    <row r="5844" spans="1:5" ht="15.75" customHeight="1" x14ac:dyDescent="0.25">
      <c r="A5844" s="6" t="s">
        <v>5666</v>
      </c>
      <c r="B5844" s="6" t="str">
        <f ca="1">IFERROR(__xludf.DUMMYFUNCTION("GOOGLETRANSLATE(A5844,""bn"",""en"")"),"There is still a drop of sweat on the forehead")</f>
        <v>There is still a drop of sweat on the forehead</v>
      </c>
      <c r="C5844" s="7" t="s">
        <v>6</v>
      </c>
      <c r="D5844" s="7" t="s">
        <v>7</v>
      </c>
      <c r="E5844" s="7">
        <v>0</v>
      </c>
    </row>
    <row r="5845" spans="1:5" ht="15.75" customHeight="1" x14ac:dyDescent="0.25">
      <c r="A5845" s="6" t="s">
        <v>5667</v>
      </c>
      <c r="B5845" s="6" t="str">
        <f ca="1">IFERROR(__xludf.DUMMYFUNCTION("GOOGLETRANSLATE(A5845,""bn"",""en"")"),"A buffalo raises its face and gazes at the palanquin")</f>
        <v>A buffalo raises its face and gazes at the palanquin</v>
      </c>
      <c r="C5845" s="7" t="s">
        <v>6</v>
      </c>
      <c r="D5845" s="7" t="s">
        <v>7</v>
      </c>
      <c r="E5845" s="7">
        <v>0</v>
      </c>
    </row>
    <row r="5846" spans="1:5" ht="15.75" customHeight="1" x14ac:dyDescent="0.25">
      <c r="A5846" s="6" t="s">
        <v>5668</v>
      </c>
      <c r="B5846" s="6" t="str">
        <f ca="1">IFERROR(__xludf.DUMMYFUNCTION("GOOGLETRANSLATE(A5846,""bn"",""en"")"),"So the villagers dig small ditches in the form of patkuars at one place or another")</f>
        <v>So the villagers dig small ditches in the form of patkuars at one place or another</v>
      </c>
      <c r="C5846" s="7" t="s">
        <v>6</v>
      </c>
      <c r="D5846" s="7" t="s">
        <v>7</v>
      </c>
      <c r="E5846" s="7">
        <v>0</v>
      </c>
    </row>
    <row r="5847" spans="1:5" ht="15.75" customHeight="1" x14ac:dyDescent="0.25">
      <c r="A5847" s="6" t="s">
        <v>5669</v>
      </c>
      <c r="B5847" s="6" t="str">
        <f ca="1">IFERROR(__xludf.DUMMYFUNCTION("GOOGLETRANSLATE(A5847,""bn"",""en"")"),"These twenty-four hours were spent on his way")</f>
        <v>These twenty-four hours were spent on his way</v>
      </c>
      <c r="C5847" s="8" t="s">
        <v>13</v>
      </c>
      <c r="D5847" s="8" t="s">
        <v>14</v>
      </c>
      <c r="E5847" s="8">
        <v>1</v>
      </c>
    </row>
    <row r="5848" spans="1:5" ht="15.75" customHeight="1" x14ac:dyDescent="0.25">
      <c r="A5848" s="6" t="s">
        <v>5670</v>
      </c>
      <c r="B5848" s="6" t="str">
        <f ca="1">IFERROR(__xludf.DUMMYFUNCTION("GOOGLETRANSLATE(A5848,""bn"",""en"")"),"He received the OV Award again in")</f>
        <v>He received the OV Award again in</v>
      </c>
      <c r="C5848" s="8" t="s">
        <v>13</v>
      </c>
      <c r="D5848" s="8" t="s">
        <v>14</v>
      </c>
      <c r="E5848" s="8">
        <v>1</v>
      </c>
    </row>
    <row r="5849" spans="1:5" ht="15.75" customHeight="1" x14ac:dyDescent="0.25">
      <c r="A5849" s="6" t="s">
        <v>5671</v>
      </c>
      <c r="B5849" s="6" t="str">
        <f ca="1">IFERROR(__xludf.DUMMYFUNCTION("GOOGLETRANSLATE(A5849,""bn"",""en"")"),"Investing in low-cost index funds is a popular strategy for long-term investors")</f>
        <v>Investing in low-cost index funds is a popular strategy for long-term investors</v>
      </c>
      <c r="C5849" s="8" t="s">
        <v>13</v>
      </c>
      <c r="D5849" s="8" t="s">
        <v>14</v>
      </c>
      <c r="E5849" s="8">
        <v>1</v>
      </c>
    </row>
    <row r="5850" spans="1:5" ht="15.75" customHeight="1" x14ac:dyDescent="0.25">
      <c r="A5850" s="6" t="s">
        <v>5672</v>
      </c>
      <c r="B5850" s="6" t="str">
        <f ca="1">IFERROR(__xludf.DUMMYFUNCTION("GOOGLETRANSLATE(A5850,""bn"",""en"")"),"Criminal records can have lasting consequences for individuals")</f>
        <v>Criminal records can have lasting consequences for individuals</v>
      </c>
      <c r="C5850" s="8" t="s">
        <v>13</v>
      </c>
      <c r="D5850" s="8" t="s">
        <v>14</v>
      </c>
      <c r="E5850" s="8">
        <v>1</v>
      </c>
    </row>
    <row r="5851" spans="1:5" ht="15.75" customHeight="1" x14ac:dyDescent="0.25">
      <c r="A5851" s="6" t="s">
        <v>5673</v>
      </c>
      <c r="B5851" s="6" t="str">
        <f ca="1">IFERROR(__xludf.DUMMYFUNCTION("GOOGLETRANSLATE(A5851,""bn"",""en"")"),"will you come to me")</f>
        <v>will you come to me</v>
      </c>
      <c r="C5851" s="8" t="s">
        <v>13</v>
      </c>
      <c r="D5851" s="8" t="s">
        <v>14</v>
      </c>
      <c r="E5851" s="8">
        <v>1</v>
      </c>
    </row>
    <row r="5852" spans="1:5" ht="15.75" customHeight="1" x14ac:dyDescent="0.25">
      <c r="A5852" s="6" t="s">
        <v>3496</v>
      </c>
      <c r="B5852" s="6" t="str">
        <f ca="1">IFERROR(__xludf.DUMMYFUNCTION("GOOGLETRANSLATE(A5852,""bn"",""en"")"),"Instead of the satanari dhukdhuki of the girl in everyone's throat, there is a single round arsi")</f>
        <v>Instead of the satanari dhukdhuki of the girl in everyone's throat, there is a single round arsi</v>
      </c>
      <c r="C5852" s="7" t="s">
        <v>6</v>
      </c>
      <c r="D5852" s="7" t="s">
        <v>7</v>
      </c>
      <c r="E5852" s="7">
        <v>0</v>
      </c>
    </row>
    <row r="5853" spans="1:5" ht="15.75" customHeight="1" x14ac:dyDescent="0.25">
      <c r="A5853" s="6" t="s">
        <v>5674</v>
      </c>
      <c r="B5853" s="6" t="str">
        <f ca="1">IFERROR(__xludf.DUMMYFUNCTION("GOOGLETRANSLATE(A5853,""bn"",""en"")"),"I decided that this person, whoever he is, has insulted me")</f>
        <v>I decided that this person, whoever he is, has insulted me</v>
      </c>
      <c r="C5853" s="7" t="s">
        <v>6</v>
      </c>
      <c r="D5853" s="7" t="s">
        <v>7</v>
      </c>
      <c r="E5853" s="7">
        <v>0</v>
      </c>
    </row>
    <row r="5854" spans="1:5" ht="15.75" customHeight="1" x14ac:dyDescent="0.25">
      <c r="A5854" s="6" t="s">
        <v>5675</v>
      </c>
      <c r="B5854" s="6" t="str">
        <f ca="1">IFERROR(__xludf.DUMMYFUNCTION("GOOGLETRANSLATE(A5854,""bn"",""en"")"),"I have a kind of relationship with him")</f>
        <v>I have a kind of relationship with him</v>
      </c>
      <c r="C5854" s="7" t="s">
        <v>6</v>
      </c>
      <c r="D5854" s="7" t="s">
        <v>7</v>
      </c>
      <c r="E5854" s="7">
        <v>0</v>
      </c>
    </row>
    <row r="5855" spans="1:5" ht="15.75" customHeight="1" x14ac:dyDescent="0.25">
      <c r="A5855" s="6" t="s">
        <v>5676</v>
      </c>
      <c r="B5855" s="6" t="str">
        <f ca="1">IFERROR(__xludf.DUMMYFUNCTION("GOOGLETRANSLATE(A5855,""bn"",""en"")"),"It is very little for Bengalis")</f>
        <v>It is very little for Bengalis</v>
      </c>
      <c r="C5855" s="7" t="s">
        <v>6</v>
      </c>
      <c r="D5855" s="7" t="s">
        <v>7</v>
      </c>
      <c r="E5855" s="7">
        <v>0</v>
      </c>
    </row>
    <row r="5856" spans="1:5" ht="15.75" customHeight="1" x14ac:dyDescent="0.25">
      <c r="A5856" s="6" t="s">
        <v>5677</v>
      </c>
      <c r="B5856" s="6" t="str">
        <f ca="1">IFERROR(__xludf.DUMMYFUNCTION("GOOGLETRANSLATE(A5856,""bn"",""en"")"),"Sarojini was overjoyed at the offer to sing")</f>
        <v>Sarojini was overjoyed at the offer to sing</v>
      </c>
      <c r="C5856" s="7" t="s">
        <v>6</v>
      </c>
      <c r="D5856" s="7" t="s">
        <v>7</v>
      </c>
      <c r="E5856" s="7">
        <v>0</v>
      </c>
    </row>
    <row r="5857" spans="1:5" ht="15.75" customHeight="1" x14ac:dyDescent="0.25">
      <c r="A5857" s="6" t="s">
        <v>5678</v>
      </c>
      <c r="B5857" s="6" t="str">
        <f ca="1">IFERROR(__xludf.DUMMYFUNCTION("GOOGLETRANSLATE(A5857,""bn"",""en"")"),"I can't count on them coming")</f>
        <v>I can't count on them coming</v>
      </c>
      <c r="C5857" s="8" t="s">
        <v>13</v>
      </c>
      <c r="D5857" s="8" t="s">
        <v>14</v>
      </c>
      <c r="E5857" s="8">
        <v>1</v>
      </c>
    </row>
    <row r="5858" spans="1:5" ht="15.75" customHeight="1" x14ac:dyDescent="0.25">
      <c r="A5858" s="6" t="s">
        <v>567</v>
      </c>
      <c r="B5858" s="6" t="str">
        <f ca="1">IFERROR(__xludf.DUMMYFUNCTION("GOOGLETRANSLATE(A5858,""bn"",""en"")"),"He looked at me intensely and said it was unbelievable")</f>
        <v>He looked at me intensely and said it was unbelievable</v>
      </c>
      <c r="C5858" s="8" t="s">
        <v>13</v>
      </c>
      <c r="D5858" s="8" t="s">
        <v>14</v>
      </c>
      <c r="E5858" s="8">
        <v>1</v>
      </c>
    </row>
    <row r="5859" spans="1:5" ht="15.75" customHeight="1" x14ac:dyDescent="0.25">
      <c r="A5859" s="6" t="s">
        <v>5679</v>
      </c>
      <c r="B5859" s="6" t="str">
        <f ca="1">IFERROR(__xludf.DUMMYFUNCTION("GOOGLETRANSLATE(A5859,""bn"",""en"")"),"Exercise is a lifestyle necessity")</f>
        <v>Exercise is a lifestyle necessity</v>
      </c>
      <c r="C5859" s="8" t="s">
        <v>13</v>
      </c>
      <c r="D5859" s="8" t="s">
        <v>14</v>
      </c>
      <c r="E5859" s="8">
        <v>1</v>
      </c>
    </row>
    <row r="5860" spans="1:5" ht="15.75" customHeight="1" x14ac:dyDescent="0.25">
      <c r="A5860" s="6" t="s">
        <v>5680</v>
      </c>
      <c r="B5860" s="6" t="str">
        <f ca="1">IFERROR(__xludf.DUMMYFUNCTION("GOOGLETRANSLATE(A5860,""bn"",""en"")"),"He is also looking at the duck with curious eyes")</f>
        <v>He is also looking at the duck with curious eyes</v>
      </c>
      <c r="C5860" s="8" t="s">
        <v>13</v>
      </c>
      <c r="D5860" s="8" t="s">
        <v>14</v>
      </c>
      <c r="E5860" s="8">
        <v>1</v>
      </c>
    </row>
    <row r="5861" spans="1:5" ht="15.75" customHeight="1" x14ac:dyDescent="0.25">
      <c r="A5861" s="6" t="s">
        <v>5681</v>
      </c>
      <c r="B5861" s="6" t="str">
        <f ca="1">IFERROR(__xludf.DUMMYFUNCTION("GOOGLETRANSLATE(A5861,""bn"",""en"")"),"Rajni's younger brother Janakikanth also died of hydrophobia")</f>
        <v>Rajni's younger brother Janakikanth also died of hydrophobia</v>
      </c>
      <c r="C5861" s="8" t="s">
        <v>13</v>
      </c>
      <c r="D5861" s="8" t="s">
        <v>14</v>
      </c>
      <c r="E5861" s="8">
        <v>1</v>
      </c>
    </row>
    <row r="5862" spans="1:5" ht="15.75" customHeight="1" x14ac:dyDescent="0.25">
      <c r="A5862" s="6" t="s">
        <v>5682</v>
      </c>
      <c r="B5862" s="6" t="str">
        <f ca="1">IFERROR(__xludf.DUMMYFUNCTION("GOOGLETRANSLATE(A5862,""bn"",""en"")"),"Seeing me, they all moved forward")</f>
        <v>Seeing me, they all moved forward</v>
      </c>
      <c r="C5862" s="7" t="s">
        <v>6</v>
      </c>
      <c r="D5862" s="7" t="s">
        <v>7</v>
      </c>
      <c r="E5862" s="7">
        <v>0</v>
      </c>
    </row>
    <row r="5863" spans="1:5" ht="15.75" customHeight="1" x14ac:dyDescent="0.25">
      <c r="A5863" s="6" t="s">
        <v>5001</v>
      </c>
      <c r="B5863" s="6" t="str">
        <f ca="1">IFERROR(__xludf.DUMMYFUNCTION("GOOGLETRANSLATE(A5863,""bn"",""en"")"),"I am Bengali so what will I feel differently")</f>
        <v>I am Bengali so what will I feel differently</v>
      </c>
      <c r="C5863" s="7" t="s">
        <v>6</v>
      </c>
      <c r="D5863" s="7" t="s">
        <v>7</v>
      </c>
      <c r="E5863" s="7">
        <v>0</v>
      </c>
    </row>
    <row r="5864" spans="1:5" ht="15.75" customHeight="1" x14ac:dyDescent="0.25">
      <c r="A5864" s="6" t="s">
        <v>5683</v>
      </c>
      <c r="B5864" s="6" t="str">
        <f ca="1">IFERROR(__xludf.DUMMYFUNCTION("GOOGLETRANSLATE(A5864,""bn"",""en"")"),"No sooner had the powder turned aside than the butter fell to the ground with its solemnity and glory.")</f>
        <v>No sooner had the powder turned aside than the butter fell to the ground with its solemnity and glory.</v>
      </c>
      <c r="C5864" s="7" t="s">
        <v>6</v>
      </c>
      <c r="D5864" s="7" t="s">
        <v>7</v>
      </c>
      <c r="E5864" s="7">
        <v>0</v>
      </c>
    </row>
    <row r="5865" spans="1:5" ht="15.75" customHeight="1" x14ac:dyDescent="0.25">
      <c r="A5865" s="6" t="s">
        <v>5684</v>
      </c>
      <c r="B5865" s="6" t="str">
        <f ca="1">IFERROR(__xludf.DUMMYFUNCTION("GOOGLETRANSLATE(A5865,""bn"",""en"")"),"I have heard his name and I have heard enough of his fame")</f>
        <v>I have heard his name and I have heard enough of his fame</v>
      </c>
      <c r="C5865" s="7" t="s">
        <v>6</v>
      </c>
      <c r="D5865" s="7" t="s">
        <v>7</v>
      </c>
      <c r="E5865" s="7">
        <v>0</v>
      </c>
    </row>
    <row r="5866" spans="1:5" ht="15.75" customHeight="1" x14ac:dyDescent="0.25">
      <c r="A5866" s="6" t="s">
        <v>5685</v>
      </c>
      <c r="B5866" s="6" t="str">
        <f ca="1">IFERROR(__xludf.DUMMYFUNCTION("GOOGLETRANSLATE(A5866,""bn"",""en"")"),"That's why he had to push a little harder")</f>
        <v>That's why he had to push a little harder</v>
      </c>
      <c r="C5866" s="7" t="s">
        <v>6</v>
      </c>
      <c r="D5866" s="7" t="s">
        <v>7</v>
      </c>
      <c r="E5866" s="7">
        <v>0</v>
      </c>
    </row>
    <row r="5867" spans="1:5" ht="15.75" customHeight="1" x14ac:dyDescent="0.25">
      <c r="A5867" s="6" t="s">
        <v>5686</v>
      </c>
      <c r="B5867" s="6" t="str">
        <f ca="1">IFERROR(__xludf.DUMMYFUNCTION("GOOGLETRANSLATE(A5867,""bn"",""en"")"),"He gained fame mainly for this role")</f>
        <v>He gained fame mainly for this role</v>
      </c>
      <c r="C5867" s="8" t="s">
        <v>13</v>
      </c>
      <c r="D5867" s="8" t="s">
        <v>14</v>
      </c>
      <c r="E5867" s="8">
        <v>1</v>
      </c>
    </row>
    <row r="5868" spans="1:5" ht="15.75" customHeight="1" x14ac:dyDescent="0.25">
      <c r="A5868" s="6" t="s">
        <v>5687</v>
      </c>
      <c r="B5868" s="6" t="str">
        <f ca="1">IFERROR(__xludf.DUMMYFUNCTION("GOOGLETRANSLATE(A5868,""bn"",""en"")"),"A helpless child was crying on the side of the road")</f>
        <v>A helpless child was crying on the side of the road</v>
      </c>
      <c r="C5868" s="8" t="s">
        <v>13</v>
      </c>
      <c r="D5868" s="8" t="s">
        <v>14</v>
      </c>
      <c r="E5868" s="8">
        <v>1</v>
      </c>
    </row>
    <row r="5869" spans="1:5" ht="15.75" customHeight="1" x14ac:dyDescent="0.25">
      <c r="A5869" s="6" t="s">
        <v>5688</v>
      </c>
      <c r="B5869" s="6" t="str">
        <f ca="1">IFERROR(__xludf.DUMMYFUNCTION("GOOGLETRANSLATE(A5869,""bn"",""en"")"),"Set meaningful goals and create an action plan to achieve them")</f>
        <v>Set meaningful goals and create an action plan to achieve them</v>
      </c>
      <c r="C5869" s="8" t="s">
        <v>13</v>
      </c>
      <c r="D5869" s="8" t="s">
        <v>14</v>
      </c>
      <c r="E5869" s="8">
        <v>1</v>
      </c>
    </row>
    <row r="5870" spans="1:5" ht="15.75" customHeight="1" x14ac:dyDescent="0.25">
      <c r="A5870" s="6" t="s">
        <v>5689</v>
      </c>
      <c r="B5870" s="6" t="str">
        <f ca="1">IFERROR(__xludf.DUMMYFUNCTION("GOOGLETRANSLATE(A5870,""bn"",""en"")"),"Home cannot be found")</f>
        <v>Home cannot be found</v>
      </c>
      <c r="C5870" s="8" t="s">
        <v>13</v>
      </c>
      <c r="D5870" s="8" t="s">
        <v>14</v>
      </c>
      <c r="E5870" s="8">
        <v>1</v>
      </c>
    </row>
    <row r="5871" spans="1:5" ht="15.75" customHeight="1" x14ac:dyDescent="0.25">
      <c r="A5871" s="6" t="s">
        <v>5690</v>
      </c>
      <c r="B5871" s="6" t="str">
        <f ca="1">IFERROR(__xludf.DUMMYFUNCTION("GOOGLETRANSLATE(A5871,""bn"",""en"")"),"A mortar shell hit his bunker and he died later")</f>
        <v>A mortar shell hit his bunker and he died later</v>
      </c>
      <c r="C5871" s="8" t="s">
        <v>13</v>
      </c>
      <c r="D5871" s="8" t="s">
        <v>14</v>
      </c>
      <c r="E5871" s="8">
        <v>1</v>
      </c>
    </row>
    <row r="5872" spans="1:5" ht="15.75" customHeight="1" x14ac:dyDescent="0.25">
      <c r="A5872" s="6" t="s">
        <v>5691</v>
      </c>
      <c r="B5872" s="6" t="str">
        <f ca="1">IFERROR(__xludf.DUMMYFUNCTION("GOOGLETRANSLATE(A5872,""bn"",""en"")"),"did you sleep")</f>
        <v>did you sleep</v>
      </c>
      <c r="C5872" s="7" t="s">
        <v>6</v>
      </c>
      <c r="D5872" s="7" t="s">
        <v>7</v>
      </c>
      <c r="E5872" s="7">
        <v>0</v>
      </c>
    </row>
    <row r="5873" spans="1:5" ht="15.75" customHeight="1" x14ac:dyDescent="0.25">
      <c r="A5873" s="6" t="s">
        <v>5692</v>
      </c>
      <c r="B5873" s="6" t="str">
        <f ca="1">IFERROR(__xludf.DUMMYFUNCTION("GOOGLETRANSLATE(A5873,""bn"",""en"")"),"In this way Kumar Kumari's eloquence takes place every night")</f>
        <v>In this way Kumar Kumari's eloquence takes place every night</v>
      </c>
      <c r="C5873" s="7" t="s">
        <v>6</v>
      </c>
      <c r="D5873" s="7" t="s">
        <v>7</v>
      </c>
      <c r="E5873" s="7">
        <v>0</v>
      </c>
    </row>
    <row r="5874" spans="1:5" ht="15.75" customHeight="1" x14ac:dyDescent="0.25">
      <c r="A5874" s="6" t="s">
        <v>5693</v>
      </c>
      <c r="B5874" s="6" t="str">
        <f ca="1">IFERROR(__xludf.DUMMYFUNCTION("GOOGLETRANSLATE(A5874,""bn"",""en"")"),"A beautiful rose bloomed in my garden")</f>
        <v>A beautiful rose bloomed in my garden</v>
      </c>
      <c r="C5874" s="7" t="s">
        <v>6</v>
      </c>
      <c r="D5874" s="7" t="s">
        <v>7</v>
      </c>
      <c r="E5874" s="7">
        <v>0</v>
      </c>
    </row>
    <row r="5875" spans="1:5" ht="15.75" customHeight="1" x14ac:dyDescent="0.25">
      <c r="A5875" s="6" t="s">
        <v>5694</v>
      </c>
      <c r="B5875" s="6" t="str">
        <f ca="1">IFERROR(__xludf.DUMMYFUNCTION("GOOGLETRANSLATE(A5875,""bn"",""en"")"),"I wanted to do your job")</f>
        <v>I wanted to do your job</v>
      </c>
      <c r="C5875" s="7" t="s">
        <v>6</v>
      </c>
      <c r="D5875" s="7" t="s">
        <v>7</v>
      </c>
      <c r="E5875" s="7">
        <v>0</v>
      </c>
    </row>
    <row r="5876" spans="1:5" ht="15.75" customHeight="1" x14ac:dyDescent="0.25">
      <c r="A5876" s="6" t="s">
        <v>5695</v>
      </c>
      <c r="B5876" s="6" t="str">
        <f ca="1">IFERROR(__xludf.DUMMYFUNCTION("GOOGLETRANSLATE(A5876,""bn"",""en"")"),"Biswambhar restrained his grief with great difficulty.")</f>
        <v>Biswambhar restrained his grief with great difficulty.</v>
      </c>
      <c r="C5876" s="7" t="s">
        <v>6</v>
      </c>
      <c r="D5876" s="7" t="s">
        <v>7</v>
      </c>
      <c r="E5876" s="7">
        <v>0</v>
      </c>
    </row>
    <row r="5877" spans="1:5" ht="15.75" customHeight="1" x14ac:dyDescent="0.25">
      <c r="A5877" s="6" t="s">
        <v>5696</v>
      </c>
      <c r="B5877" s="6" t="str">
        <f ca="1">IFERROR(__xludf.DUMMYFUNCTION("GOOGLETRANSLATE(A5877,""bn"",""en"")"),"Rice will be eaten before going to school")</f>
        <v>Rice will be eaten before going to school</v>
      </c>
      <c r="C5877" s="8" t="s">
        <v>13</v>
      </c>
      <c r="D5877" s="8" t="s">
        <v>14</v>
      </c>
      <c r="E5877" s="8">
        <v>1</v>
      </c>
    </row>
    <row r="5878" spans="1:5" ht="15.75" customHeight="1" x14ac:dyDescent="0.25">
      <c r="A5878" s="6" t="s">
        <v>5697</v>
      </c>
      <c r="B5878" s="6" t="str">
        <f ca="1">IFERROR(__xludf.DUMMYFUNCTION("GOOGLETRANSLATE(A5878,""bn"",""en"")"),"Set achievable fitness goals regularly")</f>
        <v>Set achievable fitness goals regularly</v>
      </c>
      <c r="C5878" s="8" t="s">
        <v>13</v>
      </c>
      <c r="D5878" s="8" t="s">
        <v>14</v>
      </c>
      <c r="E5878" s="8">
        <v>1</v>
      </c>
    </row>
    <row r="5879" spans="1:5" ht="15.75" customHeight="1" x14ac:dyDescent="0.25">
      <c r="A5879" s="6" t="s">
        <v>5698</v>
      </c>
      <c r="B5879" s="6" t="str">
        <f ca="1">IFERROR(__xludf.DUMMYFUNCTION("GOOGLETRANSLATE(A5879,""bn"",""en"")"),"Due to his efforts, many demons died")</f>
        <v>Due to his efforts, many demons died</v>
      </c>
      <c r="C5879" s="8" t="s">
        <v>13</v>
      </c>
      <c r="D5879" s="8" t="s">
        <v>14</v>
      </c>
      <c r="E5879" s="8">
        <v>1</v>
      </c>
    </row>
    <row r="5880" spans="1:5" ht="15.75" customHeight="1" x14ac:dyDescent="0.25">
      <c r="A5880" s="6" t="s">
        <v>5699</v>
      </c>
      <c r="B5880" s="6" t="str">
        <f ca="1">IFERROR(__xludf.DUMMYFUNCTION("GOOGLETRANSLATE(A5880,""bn"",""en"")"),"Unfortunately he died before the completion of this epic")</f>
        <v>Unfortunately he died before the completion of this epic</v>
      </c>
      <c r="C5880" s="8" t="s">
        <v>13</v>
      </c>
      <c r="D5880" s="8" t="s">
        <v>14</v>
      </c>
      <c r="E5880" s="8">
        <v>1</v>
      </c>
    </row>
    <row r="5881" spans="1:5" ht="15.75" customHeight="1" x14ac:dyDescent="0.25">
      <c r="A5881" s="6" t="s">
        <v>5700</v>
      </c>
      <c r="B5881" s="6" t="str">
        <f ca="1">IFERROR(__xludf.DUMMYFUNCTION("GOOGLETRANSLATE(A5881,""bn"",""en"")"),"His sense of humor is outstanding")</f>
        <v>His sense of humor is outstanding</v>
      </c>
      <c r="C5881" s="8" t="s">
        <v>13</v>
      </c>
      <c r="D5881" s="8" t="s">
        <v>14</v>
      </c>
      <c r="E5881" s="8">
        <v>1</v>
      </c>
    </row>
    <row r="5882" spans="1:5" ht="15.75" customHeight="1" x14ac:dyDescent="0.25">
      <c r="A5882" s="6" t="s">
        <v>5701</v>
      </c>
      <c r="B5882" s="6" t="str">
        <f ca="1">IFERROR(__xludf.DUMMYFUNCTION("GOOGLETRANSLATE(A5882,""bn"",""en"")"),"No happy memory of any age has not been felt at first nor has the mind gone towards it")</f>
        <v>No happy memory of any age has not been felt at first nor has the mind gone towards it</v>
      </c>
      <c r="C5882" s="7" t="s">
        <v>6</v>
      </c>
      <c r="D5882" s="7" t="s">
        <v>7</v>
      </c>
      <c r="E5882" s="7">
        <v>0</v>
      </c>
    </row>
    <row r="5883" spans="1:5" ht="15.75" customHeight="1" x14ac:dyDescent="0.25">
      <c r="A5883" s="6" t="s">
        <v>5702</v>
      </c>
      <c r="B5883" s="6" t="str">
        <f ca="1">IFERROR(__xludf.DUMMYFUNCTION("GOOGLETRANSLATE(A5883,""bn"",""en"")"),"Something may be suspected about the Kols")</f>
        <v>Something may be suspected about the Kols</v>
      </c>
      <c r="C5883" s="7" t="s">
        <v>6</v>
      </c>
      <c r="D5883" s="7" t="s">
        <v>7</v>
      </c>
      <c r="E5883" s="7">
        <v>0</v>
      </c>
    </row>
    <row r="5884" spans="1:5" ht="15.75" customHeight="1" x14ac:dyDescent="0.25">
      <c r="A5884" s="6" t="s">
        <v>5703</v>
      </c>
      <c r="B5884" s="6" t="str">
        <f ca="1">IFERROR(__xludf.DUMMYFUNCTION("GOOGLETRANSLATE(A5884,""bn"",""en"")"),"Women live forever because of labor")</f>
        <v>Women live forever because of labor</v>
      </c>
      <c r="C5884" s="7" t="s">
        <v>6</v>
      </c>
      <c r="D5884" s="7" t="s">
        <v>7</v>
      </c>
      <c r="E5884" s="7">
        <v>0</v>
      </c>
    </row>
    <row r="5885" spans="1:5" ht="15.75" customHeight="1" x14ac:dyDescent="0.25">
      <c r="A5885" s="6" t="s">
        <v>5704</v>
      </c>
      <c r="B5885" s="6" t="str">
        <f ca="1">IFERROR(__xludf.DUMMYFUNCTION("GOOGLETRANSLATE(A5885,""bn"",""en"")"),"Reading books increases knowledge")</f>
        <v>Reading books increases knowledge</v>
      </c>
      <c r="C5885" s="7" t="s">
        <v>6</v>
      </c>
      <c r="D5885" s="7" t="s">
        <v>7</v>
      </c>
      <c r="E5885" s="7">
        <v>0</v>
      </c>
    </row>
    <row r="5886" spans="1:5" ht="15.75" customHeight="1" x14ac:dyDescent="0.25">
      <c r="A5886" s="6" t="s">
        <v>5705</v>
      </c>
      <c r="B5886" s="6" t="str">
        <f ca="1">IFERROR(__xludf.DUMMYFUNCTION("GOOGLETRANSLATE(A5886,""bn"",""en"")"),"Even wife's food is not taken care of")</f>
        <v>Even wife's food is not taken care of</v>
      </c>
      <c r="C5886" s="7" t="s">
        <v>6</v>
      </c>
      <c r="D5886" s="7" t="s">
        <v>7</v>
      </c>
      <c r="E5886" s="7">
        <v>0</v>
      </c>
    </row>
    <row r="5887" spans="1:5" ht="15.75" customHeight="1" x14ac:dyDescent="0.25">
      <c r="A5887" s="6" t="s">
        <v>5706</v>
      </c>
      <c r="B5887" s="6" t="str">
        <f ca="1">IFERROR(__xludf.DUMMYFUNCTION("GOOGLETRANSLATE(A5887,""bn"",""en"")"),"After praying Fajr in a mosque near the station, he went out to find the martyrs")</f>
        <v>After praying Fajr in a mosque near the station, he went out to find the martyrs</v>
      </c>
      <c r="C5887" s="8" t="s">
        <v>13</v>
      </c>
      <c r="D5887" s="8" t="s">
        <v>14</v>
      </c>
      <c r="E5887" s="8">
        <v>1</v>
      </c>
    </row>
    <row r="5888" spans="1:5" ht="15.75" customHeight="1" x14ac:dyDescent="0.25">
      <c r="A5888" s="6" t="s">
        <v>5707</v>
      </c>
      <c r="B5888" s="6" t="str">
        <f ca="1">IFERROR(__xludf.DUMMYFUNCTION("GOOGLETRANSLATE(A5888,""bn"",""en"")"),"The quality of the ingredients used in this dish was top notch")</f>
        <v>The quality of the ingredients used in this dish was top notch</v>
      </c>
      <c r="C5888" s="8" t="s">
        <v>13</v>
      </c>
      <c r="D5888" s="8" t="s">
        <v>14</v>
      </c>
      <c r="E5888" s="8">
        <v>1</v>
      </c>
    </row>
    <row r="5889" spans="1:5" ht="15.75" customHeight="1" x14ac:dyDescent="0.25">
      <c r="A5889" s="6" t="s">
        <v>5708</v>
      </c>
      <c r="B5889" s="6" t="str">
        <f ca="1">IFERROR(__xludf.DUMMYFUNCTION("GOOGLETRANSLATE(A5889,""bn"",""en"")"),"Subscribe to our podcast")</f>
        <v>Subscribe to our podcast</v>
      </c>
      <c r="C5889" s="8" t="s">
        <v>13</v>
      </c>
      <c r="D5889" s="8" t="s">
        <v>14</v>
      </c>
      <c r="E5889" s="8">
        <v>1</v>
      </c>
    </row>
    <row r="5890" spans="1:5" ht="15.75" customHeight="1" x14ac:dyDescent="0.25">
      <c r="A5890" s="6" t="s">
        <v>5709</v>
      </c>
      <c r="B5890" s="6" t="str">
        <f ca="1">IFERROR(__xludf.DUMMYFUNCTION("GOOGLETRANSLATE(A5890,""bn"",""en"")"),"This is not the end of my work")</f>
        <v>This is not the end of my work</v>
      </c>
      <c r="C5890" s="8" t="s">
        <v>13</v>
      </c>
      <c r="D5890" s="8" t="s">
        <v>14</v>
      </c>
      <c r="E5890" s="8">
        <v>1</v>
      </c>
    </row>
    <row r="5891" spans="1:5" ht="15.75" customHeight="1" x14ac:dyDescent="0.25">
      <c r="A5891" s="6" t="s">
        <v>2260</v>
      </c>
      <c r="B5891" s="6" t="str">
        <f ca="1">IFERROR(__xludf.DUMMYFUNCTION("GOOGLETRANSLATE(A5891,""bn"",""en"")"),"I gave him a complete tour of my new home")</f>
        <v>I gave him a complete tour of my new home</v>
      </c>
      <c r="C5891" s="8" t="s">
        <v>13</v>
      </c>
      <c r="D5891" s="8" t="s">
        <v>14</v>
      </c>
      <c r="E5891" s="8">
        <v>1</v>
      </c>
    </row>
    <row r="5892" spans="1:5" ht="15.75" customHeight="1" x14ac:dyDescent="0.25">
      <c r="A5892" s="6" t="s">
        <v>4765</v>
      </c>
      <c r="B5892" s="6" t="str">
        <f ca="1">IFERROR(__xludf.DUMMYFUNCTION("GOOGLETRANSLATE(A5892,""bn"",""en"")"),"For physical reasons, the familiar verses of the ancestors have come to her voice")</f>
        <v>For physical reasons, the familiar verses of the ancestors have come to her voice</v>
      </c>
      <c r="C5892" s="7" t="s">
        <v>6</v>
      </c>
      <c r="D5892" s="7" t="s">
        <v>7</v>
      </c>
      <c r="E5892" s="7">
        <v>0</v>
      </c>
    </row>
    <row r="5893" spans="1:5" ht="15.75" customHeight="1" x14ac:dyDescent="0.25">
      <c r="A5893" s="6" t="s">
        <v>5710</v>
      </c>
      <c r="B5893" s="6" t="str">
        <f ca="1">IFERROR(__xludf.DUMMYFUNCTION("GOOGLETRANSLATE(A5893,""bn"",""en"")"),"Bamboo was cut from Rasik Babu's garden and the loft was built")</f>
        <v>Bamboo was cut from Rasik Babu's garden and the loft was built</v>
      </c>
      <c r="C5893" s="7" t="s">
        <v>6</v>
      </c>
      <c r="D5893" s="7" t="s">
        <v>7</v>
      </c>
      <c r="E5893" s="7">
        <v>0</v>
      </c>
    </row>
    <row r="5894" spans="1:5" ht="15.75" customHeight="1" x14ac:dyDescent="0.25">
      <c r="A5894" s="6" t="s">
        <v>5711</v>
      </c>
      <c r="B5894" s="6" t="str">
        <f ca="1">IFERROR(__xludf.DUMMYFUNCTION("GOOGLETRANSLATE(A5894,""bn"",""en"")"),"Hearing his angry voice, the girl trembled with fear")</f>
        <v>Hearing his angry voice, the girl trembled with fear</v>
      </c>
      <c r="C5894" s="7" t="s">
        <v>6</v>
      </c>
      <c r="D5894" s="7" t="s">
        <v>7</v>
      </c>
      <c r="E5894" s="7">
        <v>0</v>
      </c>
    </row>
    <row r="5895" spans="1:5" ht="15.75" customHeight="1" x14ac:dyDescent="0.25">
      <c r="A5895" s="6" t="s">
        <v>5712</v>
      </c>
      <c r="B5895" s="6" t="str">
        <f ca="1">IFERROR(__xludf.DUMMYFUNCTION("GOOGLETRANSLATE(A5895,""bn"",""en"")"),"Father asked me to go to school")</f>
        <v>Father asked me to go to school</v>
      </c>
      <c r="C5895" s="7" t="s">
        <v>6</v>
      </c>
      <c r="D5895" s="7" t="s">
        <v>7</v>
      </c>
      <c r="E5895" s="7">
        <v>0</v>
      </c>
    </row>
    <row r="5896" spans="1:5" ht="15.75" customHeight="1" x14ac:dyDescent="0.25">
      <c r="A5896" s="6" t="s">
        <v>5713</v>
      </c>
      <c r="B5896" s="6" t="str">
        <f ca="1">IFERROR(__xludf.DUMMYFUNCTION("GOOGLETRANSLATE(A5896,""bn"",""en"")"),"Their knees are almost intact")</f>
        <v>Their knees are almost intact</v>
      </c>
      <c r="C5896" s="7" t="s">
        <v>6</v>
      </c>
      <c r="D5896" s="7" t="s">
        <v>7</v>
      </c>
      <c r="E5896" s="7">
        <v>0</v>
      </c>
    </row>
    <row r="5897" spans="1:5" ht="15.75" customHeight="1" x14ac:dyDescent="0.25">
      <c r="A5897" s="6" t="s">
        <v>5714</v>
      </c>
      <c r="B5897" s="6" t="str">
        <f ca="1">IFERROR(__xludf.DUMMYFUNCTION("GOOGLETRANSLATE(A5897,""bn"",""en"")"),"Suman came to me and gave the book")</f>
        <v>Suman came to me and gave the book</v>
      </c>
      <c r="C5897" s="8" t="s">
        <v>13</v>
      </c>
      <c r="D5897" s="8" t="s">
        <v>14</v>
      </c>
      <c r="E5897" s="8">
        <v>1</v>
      </c>
    </row>
    <row r="5898" spans="1:5" ht="15.75" customHeight="1" x14ac:dyDescent="0.25">
      <c r="A5898" s="6" t="s">
        <v>2224</v>
      </c>
      <c r="B5898" s="6" t="str">
        <f ca="1">IFERROR(__xludf.DUMMYFUNCTION("GOOGLETRANSLATE(A5898,""bn"",""en"")"),"As a nation, Bengalis have a reputation for wisdom")</f>
        <v>As a nation, Bengalis have a reputation for wisdom</v>
      </c>
      <c r="C5898" s="8" t="s">
        <v>13</v>
      </c>
      <c r="D5898" s="8" t="s">
        <v>14</v>
      </c>
      <c r="E5898" s="8">
        <v>1</v>
      </c>
    </row>
    <row r="5899" spans="1:5" ht="15.75" customHeight="1" x14ac:dyDescent="0.25">
      <c r="A5899" s="6" t="s">
        <v>5715</v>
      </c>
      <c r="B5899" s="6" t="str">
        <f ca="1">IFERROR(__xludf.DUMMYFUNCTION("GOOGLETRANSLATE(A5899,""bn"",""en"")"),"He is one of the best central defenders of his era")</f>
        <v>He is one of the best central defenders of his era</v>
      </c>
      <c r="C5899" s="8" t="s">
        <v>13</v>
      </c>
      <c r="D5899" s="8" t="s">
        <v>14</v>
      </c>
      <c r="E5899" s="8">
        <v>1</v>
      </c>
    </row>
    <row r="5900" spans="1:5" ht="15.75" customHeight="1" x14ac:dyDescent="0.25">
      <c r="A5900" s="6" t="s">
        <v>5716</v>
      </c>
      <c r="B5900" s="6" t="str">
        <f ca="1">IFERROR(__xludf.DUMMYFUNCTION("GOOGLETRANSLATE(A5900,""bn"",""en"")"),"Transaction completed by credit card")</f>
        <v>Transaction completed by credit card</v>
      </c>
      <c r="C5900" s="8" t="s">
        <v>13</v>
      </c>
      <c r="D5900" s="8" t="s">
        <v>14</v>
      </c>
      <c r="E5900" s="8">
        <v>1</v>
      </c>
    </row>
    <row r="5901" spans="1:5" ht="15.75" customHeight="1" x14ac:dyDescent="0.25">
      <c r="A5901" s="6" t="s">
        <v>5717</v>
      </c>
      <c r="B5901" s="6" t="str">
        <f ca="1">IFERROR(__xludf.DUMMYFUNCTION("GOOGLETRANSLATE(A5901,""bn"",""en"")"),"We all greeted them")</f>
        <v>We all greeted them</v>
      </c>
      <c r="C5901" s="8" t="s">
        <v>13</v>
      </c>
      <c r="D5901" s="8" t="s">
        <v>14</v>
      </c>
      <c r="E5901" s="8">
        <v>1</v>
      </c>
    </row>
    <row r="5902" spans="1:5" ht="15.75" customHeight="1" x14ac:dyDescent="0.25">
      <c r="A5902" s="6" t="s">
        <v>5718</v>
      </c>
      <c r="B5902" s="6" t="str">
        <f ca="1">IFERROR(__xludf.DUMMYFUNCTION("GOOGLETRANSLATE(A5902,""bn"",""en"")"),"I used to observe all their eating habits and they did not hide anything from me.")</f>
        <v>I used to observe all their eating habits and they did not hide anything from me.</v>
      </c>
      <c r="C5902" s="7" t="s">
        <v>6</v>
      </c>
      <c r="D5902" s="7" t="s">
        <v>7</v>
      </c>
      <c r="E5902" s="7">
        <v>0</v>
      </c>
    </row>
    <row r="5903" spans="1:5" ht="15.75" customHeight="1" x14ac:dyDescent="0.25">
      <c r="A5903" s="6" t="s">
        <v>5719</v>
      </c>
      <c r="B5903" s="6" t="str">
        <f ca="1">IFERROR(__xludf.DUMMYFUNCTION("GOOGLETRANSLATE(A5903,""bn"",""en"")"),"You are laughing and joking with me here")</f>
        <v>You are laughing and joking with me here</v>
      </c>
      <c r="C5903" s="7" t="s">
        <v>6</v>
      </c>
      <c r="D5903" s="7" t="s">
        <v>7</v>
      </c>
      <c r="E5903" s="7">
        <v>0</v>
      </c>
    </row>
    <row r="5904" spans="1:5" ht="15.75" customHeight="1" x14ac:dyDescent="0.25">
      <c r="A5904" s="6" t="s">
        <v>5720</v>
      </c>
      <c r="B5904" s="6" t="str">
        <f ca="1">IFERROR(__xludf.DUMMYFUNCTION("GOOGLETRANSLATE(A5904,""bn"",""en"")"),"Every day he finishes school before going to school")</f>
        <v>Every day he finishes school before going to school</v>
      </c>
      <c r="C5904" s="7" t="s">
        <v>6</v>
      </c>
      <c r="D5904" s="7" t="s">
        <v>7</v>
      </c>
      <c r="E5904" s="7">
        <v>0</v>
      </c>
    </row>
    <row r="5905" spans="1:5" ht="15.75" customHeight="1" x14ac:dyDescent="0.25">
      <c r="A5905" s="6" t="s">
        <v>5721</v>
      </c>
      <c r="B5905" s="6" t="str">
        <f ca="1">IFERROR(__xludf.DUMMYFUNCTION("GOOGLETRANSLATE(A5905,""bn"",""en"")"),"It doesn't make sense so keep it that way")</f>
        <v>It doesn't make sense so keep it that way</v>
      </c>
      <c r="C5905" s="7" t="s">
        <v>6</v>
      </c>
      <c r="D5905" s="7" t="s">
        <v>7</v>
      </c>
      <c r="E5905" s="7">
        <v>0</v>
      </c>
    </row>
    <row r="5906" spans="1:5" ht="15.75" customHeight="1" x14ac:dyDescent="0.25">
      <c r="A5906" s="6" t="s">
        <v>5722</v>
      </c>
      <c r="B5906" s="6" t="str">
        <f ca="1">IFERROR(__xludf.DUMMYFUNCTION("GOOGLETRANSLATE(A5906,""bn"",""en"")"),"When it was stirred from outside, the fire smothered in ashes re-ignited")</f>
        <v>When it was stirred from outside, the fire smothered in ashes re-ignited</v>
      </c>
      <c r="C5906" s="7" t="s">
        <v>6</v>
      </c>
      <c r="D5906" s="7" t="s">
        <v>7</v>
      </c>
      <c r="E5906" s="7">
        <v>0</v>
      </c>
    </row>
    <row r="5907" spans="1:5" ht="15.75" customHeight="1" x14ac:dyDescent="0.25">
      <c r="A5907" s="6" t="s">
        <v>5723</v>
      </c>
      <c r="B5907" s="6" t="str">
        <f ca="1">IFERROR(__xludf.DUMMYFUNCTION("GOOGLETRANSLATE(A5907,""bn"",""en"")"),"The counselor's enthusiasm did not diminish")</f>
        <v>The counselor's enthusiasm did not diminish</v>
      </c>
      <c r="C5907" s="8" t="s">
        <v>13</v>
      </c>
      <c r="D5907" s="8" t="s">
        <v>14</v>
      </c>
      <c r="E5907" s="8">
        <v>1</v>
      </c>
    </row>
    <row r="5908" spans="1:5" ht="15.75" customHeight="1" x14ac:dyDescent="0.25">
      <c r="A5908" s="6" t="s">
        <v>5724</v>
      </c>
      <c r="B5908" s="6" t="str">
        <f ca="1">IFERROR(__xludf.DUMMYFUNCTION("GOOGLETRANSLATE(A5908,""bn"",""en"")"),"Participated in World War II")</f>
        <v>Participated in World War II</v>
      </c>
      <c r="C5908" s="8" t="s">
        <v>13</v>
      </c>
      <c r="D5908" s="8" t="s">
        <v>14</v>
      </c>
      <c r="E5908" s="8">
        <v>1</v>
      </c>
    </row>
    <row r="5909" spans="1:5" ht="15.75" customHeight="1" x14ac:dyDescent="0.25">
      <c r="A5909" s="6" t="s">
        <v>5725</v>
      </c>
      <c r="B5909" s="6" t="str">
        <f ca="1">IFERROR(__xludf.DUMMYFUNCTION("GOOGLETRANSLATE(A5909,""bn"",""en"")"),"Rumi wanted to play chess")</f>
        <v>Rumi wanted to play chess</v>
      </c>
      <c r="C5909" s="8" t="s">
        <v>13</v>
      </c>
      <c r="D5909" s="8" t="s">
        <v>14</v>
      </c>
      <c r="E5909" s="8">
        <v>1</v>
      </c>
    </row>
    <row r="5910" spans="1:5" ht="15.75" customHeight="1" x14ac:dyDescent="0.25">
      <c r="A5910" s="6" t="s">
        <v>5726</v>
      </c>
      <c r="B5910" s="6" t="str">
        <f ca="1">IFERROR(__xludf.DUMMYFUNCTION("GOOGLETRANSLATE(A5910,""bn"",""en"")"),"The transaction was completed smoothly and efficiently")</f>
        <v>The transaction was completed smoothly and efficiently</v>
      </c>
      <c r="C5910" s="8" t="s">
        <v>13</v>
      </c>
      <c r="D5910" s="8" t="s">
        <v>14</v>
      </c>
      <c r="E5910" s="8">
        <v>1</v>
      </c>
    </row>
    <row r="5911" spans="1:5" ht="15.75" customHeight="1" x14ac:dyDescent="0.25">
      <c r="A5911" s="6" t="s">
        <v>5727</v>
      </c>
      <c r="B5911" s="6" t="str">
        <f ca="1">IFERROR(__xludf.DUMMYFUNCTION("GOOGLETRANSLATE(A5911,""bn"",""en"")"),"A star chef is Tommy Mia")</f>
        <v>A star chef is Tommy Mia</v>
      </c>
      <c r="C5911" s="8" t="s">
        <v>13</v>
      </c>
      <c r="D5911" s="8" t="s">
        <v>14</v>
      </c>
      <c r="E5911" s="8">
        <v>1</v>
      </c>
    </row>
    <row r="5912" spans="1:5" ht="15.75" customHeight="1" x14ac:dyDescent="0.25">
      <c r="A5912" s="6" t="s">
        <v>5728</v>
      </c>
      <c r="B5912" s="6" t="str">
        <f ca="1">IFERROR(__xludf.DUMMYFUNCTION("GOOGLETRANSLATE(A5912,""bn"",""en"")"),"No one in the mood can find his whereabouts")</f>
        <v>No one in the mood can find his whereabouts</v>
      </c>
      <c r="C5912" s="7" t="s">
        <v>6</v>
      </c>
      <c r="D5912" s="7" t="s">
        <v>7</v>
      </c>
      <c r="E5912" s="7">
        <v>0</v>
      </c>
    </row>
    <row r="5913" spans="1:5" ht="15.75" customHeight="1" x14ac:dyDescent="0.25">
      <c r="A5913" s="6" t="s">
        <v>5729</v>
      </c>
      <c r="B5913" s="6" t="str">
        <f ca="1">IFERROR(__xludf.DUMMYFUNCTION("GOOGLETRANSLATE(A5913,""bn"",""en"")"),"That's where I learned to recite the Qur'an")</f>
        <v>That's where I learned to recite the Qur'an</v>
      </c>
      <c r="C5913" s="7" t="s">
        <v>6</v>
      </c>
      <c r="D5913" s="7" t="s">
        <v>7</v>
      </c>
      <c r="E5913" s="7">
        <v>0</v>
      </c>
    </row>
    <row r="5914" spans="1:5" ht="15.75" customHeight="1" x14ac:dyDescent="0.25">
      <c r="A5914" s="6" t="s">
        <v>5730</v>
      </c>
      <c r="B5914" s="6" t="str">
        <f ca="1">IFERROR(__xludf.DUMMYFUNCTION("GOOGLETRANSLATE(A5914,""bn"",""en"")"),"My five-year-old daughter Mini can't go without saying a word")</f>
        <v>My five-year-old daughter Mini can't go without saying a word</v>
      </c>
      <c r="C5914" s="7" t="s">
        <v>6</v>
      </c>
      <c r="D5914" s="7" t="s">
        <v>7</v>
      </c>
      <c r="E5914" s="7">
        <v>0</v>
      </c>
    </row>
    <row r="5915" spans="1:5" ht="15.75" customHeight="1" x14ac:dyDescent="0.25">
      <c r="A5915" s="6" t="s">
        <v>5731</v>
      </c>
      <c r="B5915" s="6" t="str">
        <f ca="1">IFERROR(__xludf.DUMMYFUNCTION("GOOGLETRANSLATE(A5915,""bn"",""en"")"),"I could clearly see that the mountain was very close and it would not take me five minutes to reach it")</f>
        <v>I could clearly see that the mountain was very close and it would not take me five minutes to reach it</v>
      </c>
      <c r="C5915" s="7" t="s">
        <v>6</v>
      </c>
      <c r="D5915" s="7" t="s">
        <v>7</v>
      </c>
      <c r="E5915" s="7">
        <v>0</v>
      </c>
    </row>
    <row r="5916" spans="1:5" ht="15.75" customHeight="1" x14ac:dyDescent="0.25">
      <c r="A5916" s="6" t="s">
        <v>5732</v>
      </c>
      <c r="B5916" s="6" t="str">
        <f ca="1">IFERROR(__xludf.DUMMYFUNCTION("GOOGLETRANSLATE(A5916,""bn"",""en"")"),"In the past, he has done something wrong, it is mixed with the true and false sins of the past")</f>
        <v>In the past, he has done something wrong, it is mixed with the true and false sins of the past</v>
      </c>
      <c r="C5916" s="7" t="s">
        <v>6</v>
      </c>
      <c r="D5916" s="7" t="s">
        <v>7</v>
      </c>
      <c r="E5916" s="7">
        <v>0</v>
      </c>
    </row>
    <row r="5917" spans="1:5" ht="15.75" customHeight="1" x14ac:dyDescent="0.25">
      <c r="A5917" s="6" t="s">
        <v>5733</v>
      </c>
      <c r="B5917" s="6" t="str">
        <f ca="1">IFERROR(__xludf.DUMMYFUNCTION("GOOGLETRANSLATE(A5917,""bn"",""en"")"),"I told him my life story")</f>
        <v>I told him my life story</v>
      </c>
      <c r="C5917" s="8" t="s">
        <v>13</v>
      </c>
      <c r="D5917" s="8" t="s">
        <v>14</v>
      </c>
      <c r="E5917" s="8">
        <v>1</v>
      </c>
    </row>
    <row r="5918" spans="1:5" ht="15.75" customHeight="1" x14ac:dyDescent="0.25">
      <c r="A5918" s="6" t="s">
        <v>5734</v>
      </c>
      <c r="B5918" s="6" t="str">
        <f ca="1">IFERROR(__xludf.DUMMYFUNCTION("GOOGLETRANSLATE(A5918,""bn"",""en"")"),"She loved Leonardo very much")</f>
        <v>She loved Leonardo very much</v>
      </c>
      <c r="C5918" s="8" t="s">
        <v>13</v>
      </c>
      <c r="D5918" s="8" t="s">
        <v>14</v>
      </c>
      <c r="E5918" s="8">
        <v>1</v>
      </c>
    </row>
    <row r="5919" spans="1:5" ht="15.75" customHeight="1" x14ac:dyDescent="0.25">
      <c r="A5919" s="6" t="s">
        <v>5735</v>
      </c>
      <c r="B5919" s="6" t="str">
        <f ca="1">IFERROR(__xludf.DUMMYFUNCTION("GOOGLETRANSLATE(A5919,""bn"",""en"")"),"I installed a bike rack in my car for weekend adventures")</f>
        <v>I installed a bike rack in my car for weekend adventures</v>
      </c>
      <c r="C5919" s="8" t="s">
        <v>13</v>
      </c>
      <c r="D5919" s="8" t="s">
        <v>14</v>
      </c>
      <c r="E5919" s="8">
        <v>1</v>
      </c>
    </row>
    <row r="5920" spans="1:5" ht="15.75" customHeight="1" x14ac:dyDescent="0.25">
      <c r="A5920" s="6" t="s">
        <v>5736</v>
      </c>
      <c r="B5920" s="6" t="str">
        <f ca="1">IFERROR(__xludf.DUMMYFUNCTION("GOOGLETRANSLATE(A5920,""bn"",""en"")"),"Every morning a large pile of newspapers reaches me")</f>
        <v>Every morning a large pile of newspapers reaches me</v>
      </c>
      <c r="C5920" s="8" t="s">
        <v>13</v>
      </c>
      <c r="D5920" s="8" t="s">
        <v>14</v>
      </c>
      <c r="E5920" s="8">
        <v>1</v>
      </c>
    </row>
    <row r="5921" spans="1:5" ht="15.75" customHeight="1" x14ac:dyDescent="0.25">
      <c r="A5921" s="6" t="s">
        <v>5737</v>
      </c>
      <c r="B5921" s="6" t="str">
        <f ca="1">IFERROR(__xludf.DUMMYFUNCTION("GOOGLETRANSLATE(A5921,""bn"",""en"")"),"Follow us for behind the scenes")</f>
        <v>Follow us for behind the scenes</v>
      </c>
      <c r="C5921" s="8" t="s">
        <v>13</v>
      </c>
      <c r="D5921" s="8" t="s">
        <v>14</v>
      </c>
      <c r="E5921" s="8">
        <v>1</v>
      </c>
    </row>
    <row r="5922" spans="1:5" ht="15.75" customHeight="1" x14ac:dyDescent="0.25">
      <c r="A5922" s="6" t="s">
        <v>5738</v>
      </c>
      <c r="B5922" s="6" t="str">
        <f ca="1">IFERROR(__xludf.DUMMYFUNCTION("GOOGLETRANSLATE(A5922,""bn"",""en"")"),"Opened the cover of the cage and saw that the bird was dead")</f>
        <v>Opened the cover of the cage and saw that the bird was dead</v>
      </c>
      <c r="C5922" s="7" t="s">
        <v>6</v>
      </c>
      <c r="D5922" s="7" t="s">
        <v>7</v>
      </c>
      <c r="E5922" s="7">
        <v>0</v>
      </c>
    </row>
    <row r="5923" spans="1:5" ht="15.75" customHeight="1" x14ac:dyDescent="0.25">
      <c r="A5923" s="6" t="s">
        <v>5739</v>
      </c>
      <c r="B5923" s="6" t="str">
        <f ca="1">IFERROR(__xludf.DUMMYFUNCTION("GOOGLETRANSLATE(A5923,""bn"",""en"")"),"The condition of the friend's face is even more deplorable")</f>
        <v>The condition of the friend's face is even more deplorable</v>
      </c>
      <c r="C5923" s="7" t="s">
        <v>6</v>
      </c>
      <c r="D5923" s="7" t="s">
        <v>7</v>
      </c>
      <c r="E5923" s="7">
        <v>0</v>
      </c>
    </row>
    <row r="5924" spans="1:5" ht="15.75" customHeight="1" x14ac:dyDescent="0.25">
      <c r="A5924" s="6" t="s">
        <v>5740</v>
      </c>
      <c r="B5924" s="6" t="str">
        <f ca="1">IFERROR(__xludf.DUMMYFUNCTION("GOOGLETRANSLATE(A5924,""bn"",""en"")"),"After a moment of silence he asked me do you believe in miracles")</f>
        <v>After a moment of silence he asked me do you believe in miracles</v>
      </c>
      <c r="C5924" s="7" t="s">
        <v>6</v>
      </c>
      <c r="D5924" s="7" t="s">
        <v>7</v>
      </c>
      <c r="E5924" s="7">
        <v>0</v>
      </c>
    </row>
    <row r="5925" spans="1:5" ht="15.75" customHeight="1" x14ac:dyDescent="0.25">
      <c r="A5925" s="6" t="s">
        <v>5741</v>
      </c>
      <c r="B5925" s="6" t="str">
        <f ca="1">IFERROR(__xludf.DUMMYFUNCTION("GOOGLETRANSLATE(A5925,""bn"",""en"")"),"No one called me men")</f>
        <v>No one called me men</v>
      </c>
      <c r="C5925" s="7" t="s">
        <v>6</v>
      </c>
      <c r="D5925" s="7" t="s">
        <v>7</v>
      </c>
      <c r="E5925" s="7">
        <v>0</v>
      </c>
    </row>
    <row r="5926" spans="1:5" ht="15.75" customHeight="1" x14ac:dyDescent="0.25">
      <c r="A5926" s="6" t="s">
        <v>2581</v>
      </c>
      <c r="B5926" s="6" t="str">
        <f ca="1">IFERROR(__xludf.DUMMYFUNCTION("GOOGLETRANSLATE(A5926,""bn"",""en"")"),"What is the life of a working man?")</f>
        <v>What is the life of a working man?</v>
      </c>
      <c r="C5926" s="7" t="s">
        <v>6</v>
      </c>
      <c r="D5926" s="7" t="s">
        <v>7</v>
      </c>
      <c r="E5926" s="7">
        <v>0</v>
      </c>
    </row>
    <row r="5927" spans="1:5" ht="15.75" customHeight="1" x14ac:dyDescent="0.25">
      <c r="A5927" s="6" t="s">
        <v>5742</v>
      </c>
      <c r="B5927" s="6" t="str">
        <f ca="1">IFERROR(__xludf.DUMMYFUNCTION("GOOGLETRANSLATE(A5927,""bn"",""en"")"),"There Macduff discovers the king's body")</f>
        <v>There Macduff discovers the king's body</v>
      </c>
      <c r="C5927" s="8" t="s">
        <v>13</v>
      </c>
      <c r="D5927" s="8" t="s">
        <v>14</v>
      </c>
      <c r="E5927" s="8">
        <v>1</v>
      </c>
    </row>
    <row r="5928" spans="1:5" ht="15.75" customHeight="1" x14ac:dyDescent="0.25">
      <c r="A5928" s="6" t="s">
        <v>5743</v>
      </c>
      <c r="B5928" s="6" t="str">
        <f ca="1">IFERROR(__xludf.DUMMYFUNCTION("GOOGLETRANSLATE(A5928,""bn"",""en"")"),"I sat with him and talked for a while")</f>
        <v>I sat with him and talked for a while</v>
      </c>
      <c r="C5928" s="8" t="s">
        <v>13</v>
      </c>
      <c r="D5928" s="8" t="s">
        <v>14</v>
      </c>
      <c r="E5928" s="8">
        <v>1</v>
      </c>
    </row>
    <row r="5929" spans="1:5" ht="15.75" customHeight="1" x14ac:dyDescent="0.25">
      <c r="A5929" s="6" t="s">
        <v>5744</v>
      </c>
      <c r="B5929" s="6" t="str">
        <f ca="1">IFERROR(__xludf.DUMMYFUNCTION("GOOGLETRANSLATE(A5929,""bn"",""en"")"),"City won their first major honor in April")</f>
        <v>City won their first major honor in April</v>
      </c>
      <c r="C5929" s="8" t="s">
        <v>13</v>
      </c>
      <c r="D5929" s="8" t="s">
        <v>14</v>
      </c>
      <c r="E5929" s="8">
        <v>1</v>
      </c>
    </row>
    <row r="5930" spans="1:5" ht="15.75" customHeight="1" x14ac:dyDescent="0.25">
      <c r="A5930" s="6" t="s">
        <v>1697</v>
      </c>
      <c r="B5930" s="6" t="str">
        <f ca="1">IFERROR(__xludf.DUMMYFUNCTION("GOOGLETRANSLATE(A5930,""bn"",""en"")"),"The Mughal Empire was influenced by Persian language art culture")</f>
        <v>The Mughal Empire was influenced by Persian language art culture</v>
      </c>
      <c r="C5930" s="8" t="s">
        <v>13</v>
      </c>
      <c r="D5930" s="8" t="s">
        <v>14</v>
      </c>
      <c r="E5930" s="8">
        <v>1</v>
      </c>
    </row>
    <row r="5931" spans="1:5" ht="15.75" customHeight="1" x14ac:dyDescent="0.25">
      <c r="A5931" s="6" t="s">
        <v>5745</v>
      </c>
      <c r="B5931" s="6" t="str">
        <f ca="1">IFERROR(__xludf.DUMMYFUNCTION("GOOGLETRANSLATE(A5931,""bn"",""en"")"),"Subscribe for daily updates")</f>
        <v>Subscribe for daily updates</v>
      </c>
      <c r="C5931" s="8" t="s">
        <v>13</v>
      </c>
      <c r="D5931" s="8" t="s">
        <v>14</v>
      </c>
      <c r="E5931" s="8">
        <v>1</v>
      </c>
    </row>
    <row r="5932" spans="1:5" ht="15.75" customHeight="1" x14ac:dyDescent="0.25">
      <c r="A5932" s="6" t="s">
        <v>5746</v>
      </c>
      <c r="B5932" s="6" t="str">
        <f ca="1">IFERROR(__xludf.DUMMYFUNCTION("GOOGLETRANSLATE(A5932,""bn"",""en"")"),"I used to come from Lossington Lodge to Gajendragaman—there were no railways then")</f>
        <v>I used to come from Lossington Lodge to Gajendragaman—there were no railways then</v>
      </c>
      <c r="C5932" s="7" t="s">
        <v>6</v>
      </c>
      <c r="D5932" s="7" t="s">
        <v>7</v>
      </c>
      <c r="E5932" s="7">
        <v>0</v>
      </c>
    </row>
    <row r="5933" spans="1:5" ht="15.75" customHeight="1" x14ac:dyDescent="0.25">
      <c r="A5933" s="6" t="s">
        <v>2298</v>
      </c>
      <c r="B5933" s="6" t="str">
        <f ca="1">IFERROR(__xludf.DUMMYFUNCTION("GOOGLETRANSLATE(A5933,""bn"",""en"")"),"It is a great pleasure to tell old stories, and a special pleasure is that I have an audience")</f>
        <v>It is a great pleasure to tell old stories, and a special pleasure is that I have an audience</v>
      </c>
      <c r="C5933" s="7" t="s">
        <v>6</v>
      </c>
      <c r="D5933" s="7" t="s">
        <v>7</v>
      </c>
      <c r="E5933" s="7">
        <v>0</v>
      </c>
    </row>
    <row r="5934" spans="1:5" ht="15.75" customHeight="1" x14ac:dyDescent="0.25">
      <c r="A5934" s="6" t="s">
        <v>5747</v>
      </c>
      <c r="B5934" s="6" t="str">
        <f ca="1">IFERROR(__xludf.DUMMYFUNCTION("GOOGLETRANSLATE(A5934,""bn"",""en"")"),"Even Behari could not think and fix it")</f>
        <v>Even Behari could not think and fix it</v>
      </c>
      <c r="C5934" s="7" t="s">
        <v>6</v>
      </c>
      <c r="D5934" s="7" t="s">
        <v>7</v>
      </c>
      <c r="E5934" s="7">
        <v>0</v>
      </c>
    </row>
    <row r="5935" spans="1:5" ht="15.75" customHeight="1" x14ac:dyDescent="0.25">
      <c r="A5935" s="6" t="s">
        <v>5748</v>
      </c>
      <c r="B5935" s="6" t="str">
        <f ca="1">IFERROR(__xludf.DUMMYFUNCTION("GOOGLETRANSLATE(A5935,""bn"",""en"")"),"Kabuli took out a raisin gourd from the jar and went to give it to him.")</f>
        <v>Kabuli took out a raisin gourd from the jar and went to give it to him.</v>
      </c>
      <c r="C5935" s="7" t="s">
        <v>6</v>
      </c>
      <c r="D5935" s="7" t="s">
        <v>7</v>
      </c>
      <c r="E5935" s="7">
        <v>0</v>
      </c>
    </row>
    <row r="5936" spans="1:5" ht="15.75" customHeight="1" x14ac:dyDescent="0.25">
      <c r="A5936" s="6" t="s">
        <v>5749</v>
      </c>
      <c r="B5936" s="6" t="str">
        <f ca="1">IFERROR(__xludf.DUMMYFUNCTION("GOOGLETRANSLATE(A5936,""bn"",""en"")"),"What is the wonder that the snake has a hood bigger than the mountain on which Kaliya has risen for the purpose of suppressing Kaliya?")</f>
        <v>What is the wonder that the snake has a hood bigger than the mountain on which Kaliya has risen for the purpose of suppressing Kaliya?</v>
      </c>
      <c r="C5936" s="7" t="s">
        <v>6</v>
      </c>
      <c r="D5936" s="7" t="s">
        <v>7</v>
      </c>
      <c r="E5936" s="7">
        <v>0</v>
      </c>
    </row>
    <row r="5937" spans="1:5" ht="15.75" customHeight="1" x14ac:dyDescent="0.25">
      <c r="A5937" s="6" t="s">
        <v>5750</v>
      </c>
      <c r="B5937" s="6" t="str">
        <f ca="1">IFERROR(__xludf.DUMMYFUNCTION("GOOGLETRANSLATE(A5937,""bn"",""en"")"),"Raju will not go to school today")</f>
        <v>Raju will not go to school today</v>
      </c>
      <c r="C5937" s="8" t="s">
        <v>13</v>
      </c>
      <c r="D5937" s="8" t="s">
        <v>14</v>
      </c>
      <c r="E5937" s="8">
        <v>1</v>
      </c>
    </row>
    <row r="5938" spans="1:5" ht="15.75" customHeight="1" x14ac:dyDescent="0.25">
      <c r="A5938" s="6" t="s">
        <v>5751</v>
      </c>
      <c r="B5938" s="6" t="str">
        <f ca="1">IFERROR(__xludf.DUMMYFUNCTION("GOOGLETRANSLATE(A5938,""bn"",""en"")"),"Freedom fighter Rashid was given the responsibility of the second team")</f>
        <v>Freedom fighter Rashid was given the responsibility of the second team</v>
      </c>
      <c r="C5938" s="8" t="s">
        <v>13</v>
      </c>
      <c r="D5938" s="8" t="s">
        <v>14</v>
      </c>
      <c r="E5938" s="8">
        <v>1</v>
      </c>
    </row>
    <row r="5939" spans="1:5" ht="15.75" customHeight="1" x14ac:dyDescent="0.25">
      <c r="A5939" s="6" t="s">
        <v>5752</v>
      </c>
      <c r="B5939" s="6" t="str">
        <f ca="1">IFERROR(__xludf.DUMMYFUNCTION("GOOGLETRANSLATE(A5939,""bn"",""en"")"),"Osteoporotic fractures occur when weak bones break easily, often with osteoporosis")</f>
        <v>Osteoporotic fractures occur when weak bones break easily, often with osteoporosis</v>
      </c>
      <c r="C5939" s="8" t="s">
        <v>13</v>
      </c>
      <c r="D5939" s="8" t="s">
        <v>14</v>
      </c>
      <c r="E5939" s="8">
        <v>1</v>
      </c>
    </row>
    <row r="5940" spans="1:5" ht="15.75" customHeight="1" x14ac:dyDescent="0.25">
      <c r="A5940" s="6" t="s">
        <v>5753</v>
      </c>
      <c r="B5940" s="6" t="str">
        <f ca="1">IFERROR(__xludf.DUMMYFUNCTION("GOOGLETRANSLATE(A5940,""bn"",""en"")"),"Border novel trilogy written in the nineties is his best work")</f>
        <v>Border novel trilogy written in the nineties is his best work</v>
      </c>
      <c r="C5940" s="8" t="s">
        <v>13</v>
      </c>
      <c r="D5940" s="8" t="s">
        <v>14</v>
      </c>
      <c r="E5940" s="8">
        <v>1</v>
      </c>
    </row>
    <row r="5941" spans="1:5" ht="15.75" customHeight="1" x14ac:dyDescent="0.25">
      <c r="A5941" s="6" t="s">
        <v>5754</v>
      </c>
      <c r="B5941" s="6" t="str">
        <f ca="1">IFERROR(__xludf.DUMMYFUNCTION("GOOGLETRANSLATE(A5941,""bn"",""en"")"),"Its entire contribution is made by the women of the house")</f>
        <v>Its entire contribution is made by the women of the house</v>
      </c>
      <c r="C5941" s="8" t="s">
        <v>13</v>
      </c>
      <c r="D5941" s="8" t="s">
        <v>14</v>
      </c>
      <c r="E5941" s="8">
        <v>1</v>
      </c>
    </row>
    <row r="5942" spans="1:5" ht="15.75" customHeight="1" x14ac:dyDescent="0.25">
      <c r="A5942" s="6" t="s">
        <v>5755</v>
      </c>
      <c r="B5942" s="6" t="str">
        <f ca="1">IFERROR(__xludf.DUMMYFUNCTION("GOOGLETRANSLATE(A5942,""bn"",""en"")"),"They don't seem to let me off the hook that easily")</f>
        <v>They don't seem to let me off the hook that easily</v>
      </c>
      <c r="C5942" s="7" t="s">
        <v>6</v>
      </c>
      <c r="D5942" s="7" t="s">
        <v>7</v>
      </c>
      <c r="E5942" s="7">
        <v>0</v>
      </c>
    </row>
    <row r="5943" spans="1:5" ht="15.75" customHeight="1" x14ac:dyDescent="0.25">
      <c r="A5943" s="6" t="s">
        <v>5756</v>
      </c>
      <c r="B5943" s="6" t="str">
        <f ca="1">IFERROR(__xludf.DUMMYFUNCTION("GOOGLETRANSLATE(A5943,""bn"",""en"")"),"Rumi will come to play in our field")</f>
        <v>Rumi will come to play in our field</v>
      </c>
      <c r="C5943" s="7" t="s">
        <v>6</v>
      </c>
      <c r="D5943" s="7" t="s">
        <v>7</v>
      </c>
      <c r="E5943" s="7">
        <v>0</v>
      </c>
    </row>
    <row r="5944" spans="1:5" ht="15.75" customHeight="1" x14ac:dyDescent="0.25">
      <c r="A5944" s="6" t="s">
        <v>5757</v>
      </c>
      <c r="B5944" s="6" t="str">
        <f ca="1">IFERROR(__xludf.DUMMYFUNCTION("GOOGLETRANSLATE(A5944,""bn"",""en"")"),"Sufal will come after praying and eat rice")</f>
        <v>Sufal will come after praying and eat rice</v>
      </c>
      <c r="C5944" s="7" t="s">
        <v>6</v>
      </c>
      <c r="D5944" s="7" t="s">
        <v>7</v>
      </c>
      <c r="E5944" s="7">
        <v>0</v>
      </c>
    </row>
    <row r="5945" spans="1:5" ht="15.75" customHeight="1" x14ac:dyDescent="0.25">
      <c r="A5945" s="6" t="s">
        <v>5758</v>
      </c>
      <c r="B5945" s="6" t="str">
        <f ca="1">IFERROR(__xludf.DUMMYFUNCTION("GOOGLETRANSLATE(A5945,""bn"",""en"")"),"Noor was listening to me")</f>
        <v>Noor was listening to me</v>
      </c>
      <c r="C5945" s="7" t="s">
        <v>6</v>
      </c>
      <c r="D5945" s="7" t="s">
        <v>7</v>
      </c>
      <c r="E5945" s="7">
        <v>0</v>
      </c>
    </row>
    <row r="5946" spans="1:5" ht="15.75" customHeight="1" x14ac:dyDescent="0.25">
      <c r="A5946" s="6" t="s">
        <v>5759</v>
      </c>
      <c r="B5946" s="6" t="str">
        <f ca="1">IFERROR(__xludf.DUMMYFUNCTION("GOOGLETRANSLATE(A5946,""bn"",""en"")"),"He who can do that is the poet")</f>
        <v>He who can do that is the poet</v>
      </c>
      <c r="C5946" s="7" t="s">
        <v>6</v>
      </c>
      <c r="D5946" s="7" t="s">
        <v>7</v>
      </c>
      <c r="E5946" s="7">
        <v>0</v>
      </c>
    </row>
    <row r="5947" spans="1:5" ht="15.75" customHeight="1" x14ac:dyDescent="0.25">
      <c r="A5947" s="6" t="s">
        <v>5760</v>
      </c>
      <c r="B5947" s="6" t="str">
        <f ca="1">IFERROR(__xludf.DUMMYFUNCTION("GOOGLETRANSLATE(A5947,""bn"",""en"")"),"Project management methods streamline complex tasks")</f>
        <v>Project management methods streamline complex tasks</v>
      </c>
      <c r="C5947" s="8" t="s">
        <v>13</v>
      </c>
      <c r="D5947" s="8" t="s">
        <v>14</v>
      </c>
      <c r="E5947" s="8">
        <v>1</v>
      </c>
    </row>
    <row r="5948" spans="1:5" ht="15.75" customHeight="1" x14ac:dyDescent="0.25">
      <c r="A5948" s="6" t="s">
        <v>5761</v>
      </c>
      <c r="B5948" s="6" t="str">
        <f ca="1">IFERROR(__xludf.DUMMYFUNCTION("GOOGLETRANSLATE(A5948,""bn"",""en"")"),"Electrician repairs faulty wiring in residential house")</f>
        <v>Electrician repairs faulty wiring in residential house</v>
      </c>
      <c r="C5948" s="8" t="s">
        <v>13</v>
      </c>
      <c r="D5948" s="8" t="s">
        <v>14</v>
      </c>
      <c r="E5948" s="8">
        <v>1</v>
      </c>
    </row>
    <row r="5949" spans="1:5" ht="15.75" customHeight="1" x14ac:dyDescent="0.25">
      <c r="A5949" s="6" t="s">
        <v>5762</v>
      </c>
      <c r="B5949" s="6" t="str">
        <f ca="1">IFERROR(__xludf.DUMMYFUNCTION("GOOGLETRANSLATE(A5949,""bn"",""en"")"),"Netaji Jayanti is celebrated on January every year")</f>
        <v>Netaji Jayanti is celebrated on January every year</v>
      </c>
      <c r="C5949" s="8" t="s">
        <v>13</v>
      </c>
      <c r="D5949" s="8" t="s">
        <v>14</v>
      </c>
      <c r="E5949" s="8">
        <v>1</v>
      </c>
    </row>
    <row r="5950" spans="1:5" ht="15.75" customHeight="1" x14ac:dyDescent="0.25">
      <c r="A5950" s="6" t="s">
        <v>5763</v>
      </c>
      <c r="B5950" s="6" t="str">
        <f ca="1">IFERROR(__xludf.DUMMYFUNCTION("GOOGLETRANSLATE(A5950,""bn"",""en"")"),"He won the Anand Sangeet Award in AD")</f>
        <v>He won the Anand Sangeet Award in AD</v>
      </c>
      <c r="C5950" s="8" t="s">
        <v>13</v>
      </c>
      <c r="D5950" s="8" t="s">
        <v>14</v>
      </c>
      <c r="E5950" s="8">
        <v>1</v>
      </c>
    </row>
    <row r="5951" spans="1:5" ht="15.75" customHeight="1" x14ac:dyDescent="0.25">
      <c r="A5951" s="6" t="s">
        <v>5764</v>
      </c>
      <c r="B5951" s="6" t="str">
        <f ca="1">IFERROR(__xludf.DUMMYFUNCTION("GOOGLETRANSLATE(A5951,""bn"",""en"")"),"Follow us to get health tips")</f>
        <v>Follow us to get health tips</v>
      </c>
      <c r="C5951" s="8" t="s">
        <v>13</v>
      </c>
      <c r="D5951" s="8" t="s">
        <v>14</v>
      </c>
      <c r="E5951" s="8">
        <v>1</v>
      </c>
    </row>
    <row r="5952" spans="1:5" ht="15.75" customHeight="1" x14ac:dyDescent="0.25">
      <c r="A5952" s="6" t="s">
        <v>5765</v>
      </c>
      <c r="B5952" s="6" t="str">
        <f ca="1">IFERROR(__xludf.DUMMYFUNCTION("GOOGLETRANSLATE(A5952,""bn"",""en"")"),"Coming to the root of Kumari, I saw a bird like a harial dove moving its head towards the other one and moving forward in this rhythm.")</f>
        <v>Coming to the root of Kumari, I saw a bird like a harial dove moving its head towards the other one and moving forward in this rhythm.</v>
      </c>
      <c r="C5952" s="7" t="s">
        <v>6</v>
      </c>
      <c r="D5952" s="7" t="s">
        <v>7</v>
      </c>
      <c r="E5952" s="7">
        <v>0</v>
      </c>
    </row>
    <row r="5953" spans="1:5" ht="15.75" customHeight="1" x14ac:dyDescent="0.25">
      <c r="A5953" s="6" t="s">
        <v>5766</v>
      </c>
      <c r="B5953" s="6" t="str">
        <f ca="1">IFERROR(__xludf.DUMMYFUNCTION("GOOGLETRANSLATE(A5953,""bn"",""en"")"),"No one could hold him within the confines of that marriage.")</f>
        <v>No one could hold him within the confines of that marriage.</v>
      </c>
      <c r="C5953" s="7" t="s">
        <v>6</v>
      </c>
      <c r="D5953" s="7" t="s">
        <v>7</v>
      </c>
      <c r="E5953" s="7">
        <v>0</v>
      </c>
    </row>
    <row r="5954" spans="1:5" ht="15.75" customHeight="1" x14ac:dyDescent="0.25">
      <c r="A5954" s="6" t="s">
        <v>5767</v>
      </c>
      <c r="B5954" s="6" t="str">
        <f ca="1">IFERROR(__xludf.DUMMYFUNCTION("GOOGLETRANSLATE(A5954,""bn"",""en"")"),"Then I felt as if I had a cloud over me")</f>
        <v>Then I felt as if I had a cloud over me</v>
      </c>
      <c r="C5954" s="7" t="s">
        <v>6</v>
      </c>
      <c r="D5954" s="7" t="s">
        <v>7</v>
      </c>
      <c r="E5954" s="7">
        <v>0</v>
      </c>
    </row>
    <row r="5955" spans="1:5" ht="15.75" customHeight="1" x14ac:dyDescent="0.25">
      <c r="A5955" s="6" t="s">
        <v>5768</v>
      </c>
      <c r="B5955" s="6" t="str">
        <f ca="1">IFERROR(__xludf.DUMMYFUNCTION("GOOGLETRANSLATE(A5955,""bn"",""en"")"),"In the end, you will have to fall into the hands of a drunken white man")</f>
        <v>In the end, you will have to fall into the hands of a drunken white man</v>
      </c>
      <c r="C5955" s="7" t="s">
        <v>6</v>
      </c>
      <c r="D5955" s="7" t="s">
        <v>7</v>
      </c>
      <c r="E5955" s="7">
        <v>0</v>
      </c>
    </row>
    <row r="5956" spans="1:5" ht="15.75" customHeight="1" x14ac:dyDescent="0.25">
      <c r="A5956" s="6" t="s">
        <v>5769</v>
      </c>
      <c r="B5956" s="6" t="str">
        <f ca="1">IFERROR(__xludf.DUMMYFUNCTION("GOOGLETRANSLATE(A5956,""bn"",""en"")"),"I am an innocent Bengali sitting wearing a dhoti chadar.")</f>
        <v>I am an innocent Bengali sitting wearing a dhoti chadar.</v>
      </c>
      <c r="C5956" s="7" t="s">
        <v>6</v>
      </c>
      <c r="D5956" s="7" t="s">
        <v>7</v>
      </c>
      <c r="E5956" s="7">
        <v>0</v>
      </c>
    </row>
    <row r="5957" spans="1:5" ht="15.75" customHeight="1" x14ac:dyDescent="0.25">
      <c r="A5957" s="6" t="s">
        <v>5770</v>
      </c>
      <c r="B5957" s="6" t="str">
        <f ca="1">IFERROR(__xludf.DUMMYFUNCTION("GOOGLETRANSLATE(A5957,""bn"",""en"")"),"One day Rashed Bhai of Sabujpatar suddenly got a call")</f>
        <v>One day Rashed Bhai of Sabujpatar suddenly got a call</v>
      </c>
      <c r="C5957" s="8" t="s">
        <v>13</v>
      </c>
      <c r="D5957" s="8" t="s">
        <v>14</v>
      </c>
      <c r="E5957" s="8">
        <v>1</v>
      </c>
    </row>
    <row r="5958" spans="1:5" ht="15.75" customHeight="1" x14ac:dyDescent="0.25">
      <c r="A5958" s="6" t="s">
        <v>5771</v>
      </c>
      <c r="B5958" s="6" t="str">
        <f ca="1">IFERROR(__xludf.DUMMYFUNCTION("GOOGLETRANSLATE(A5958,""bn"",""en"")"),"His body is sweating in the heat")</f>
        <v>His body is sweating in the heat</v>
      </c>
      <c r="C5958" s="8" t="s">
        <v>13</v>
      </c>
      <c r="D5958" s="8" t="s">
        <v>14</v>
      </c>
      <c r="E5958" s="8">
        <v>1</v>
      </c>
    </row>
    <row r="5959" spans="1:5" ht="15.75" customHeight="1" x14ac:dyDescent="0.25">
      <c r="A5959" s="6" t="s">
        <v>5772</v>
      </c>
      <c r="B5959" s="6" t="str">
        <f ca="1">IFERROR(__xludf.DUMMYFUNCTION("GOOGLETRANSLATE(A5959,""bn"",""en"")"),"Soil compaction can reduce crop yields if managed with proper tillage practices")</f>
        <v>Soil compaction can reduce crop yields if managed with proper tillage practices</v>
      </c>
      <c r="C5959" s="8" t="s">
        <v>13</v>
      </c>
      <c r="D5959" s="8" t="s">
        <v>14</v>
      </c>
      <c r="E5959" s="8">
        <v>1</v>
      </c>
    </row>
    <row r="5960" spans="1:5" ht="15.75" customHeight="1" x14ac:dyDescent="0.25">
      <c r="A5960" s="6" t="s">
        <v>5773</v>
      </c>
      <c r="B5960" s="6" t="str">
        <f ca="1">IFERROR(__xludf.DUMMYFUNCTION("GOOGLETRANSLATE(A5960,""bn"",""en"")"),"He actively participated in legislative matters")</f>
        <v>He actively participated in legislative matters</v>
      </c>
      <c r="C5960" s="8" t="s">
        <v>13</v>
      </c>
      <c r="D5960" s="8" t="s">
        <v>14</v>
      </c>
      <c r="E5960" s="8">
        <v>1</v>
      </c>
    </row>
    <row r="5961" spans="1:5" ht="15.75" customHeight="1" x14ac:dyDescent="0.25">
      <c r="A5961" s="6" t="s">
        <v>5774</v>
      </c>
      <c r="B5961" s="6" t="str">
        <f ca="1">IFERROR(__xludf.DUMMYFUNCTION("GOOGLETRANSLATE(A5961,""bn"",""en"")"),"Second strikers are usually positioned behind the main strikers")</f>
        <v>Second strikers are usually positioned behind the main strikers</v>
      </c>
      <c r="C5961" s="8" t="s">
        <v>13</v>
      </c>
      <c r="D5961" s="8" t="s">
        <v>14</v>
      </c>
      <c r="E5961" s="8">
        <v>1</v>
      </c>
    </row>
    <row r="5962" spans="1:5" ht="15.75" customHeight="1" x14ac:dyDescent="0.25">
      <c r="A5962" s="6" t="s">
        <v>5775</v>
      </c>
      <c r="B5962" s="6" t="str">
        <f ca="1">IFERROR(__xludf.DUMMYFUNCTION("GOOGLETRANSLATE(A5962,""bn"",""en"")"),"After about a half hour the young man came and said very cheerfully that he had found it. Come quickly, the tiger is sleeping.")</f>
        <v>After about a half hour the young man came and said very cheerfully that he had found it. Come quickly, the tiger is sleeping.</v>
      </c>
      <c r="C5962" s="7" t="s">
        <v>6</v>
      </c>
      <c r="D5962" s="7" t="s">
        <v>7</v>
      </c>
      <c r="E5962" s="7">
        <v>0</v>
      </c>
    </row>
    <row r="5963" spans="1:5" ht="15.75" customHeight="1" x14ac:dyDescent="0.25">
      <c r="A5963" s="6" t="s">
        <v>5776</v>
      </c>
      <c r="B5963" s="6" t="str">
        <f ca="1">IFERROR(__xludf.DUMMYFUNCTION("GOOGLETRANSLATE(A5963,""bn"",""en"")"),"I trusted him too much")</f>
        <v>I trusted him too much</v>
      </c>
      <c r="C5963" s="7" t="s">
        <v>6</v>
      </c>
      <c r="D5963" s="7" t="s">
        <v>7</v>
      </c>
      <c r="E5963" s="7">
        <v>0</v>
      </c>
    </row>
    <row r="5964" spans="1:5" ht="15.75" customHeight="1" x14ac:dyDescent="0.25">
      <c r="A5964" s="6" t="s">
        <v>5777</v>
      </c>
      <c r="B5964" s="6" t="str">
        <f ca="1">IFERROR(__xludf.DUMMYFUNCTION("GOOGLETRANSLATE(A5964,""bn"",""en"")"),"The young women I have seen in the village are also dressed in the same way as if they had come and sat.")</f>
        <v>The young women I have seen in the village are also dressed in the same way as if they had come and sat.</v>
      </c>
      <c r="C5964" s="7" t="s">
        <v>6</v>
      </c>
      <c r="D5964" s="7" t="s">
        <v>7</v>
      </c>
      <c r="E5964" s="7">
        <v>0</v>
      </c>
    </row>
    <row r="5965" spans="1:5" ht="15.75" customHeight="1" x14ac:dyDescent="0.25">
      <c r="A5965" s="6" t="s">
        <v>5778</v>
      </c>
      <c r="B5965" s="6" t="str">
        <f ca="1">IFERROR(__xludf.DUMMYFUNCTION("GOOGLETRANSLATE(A5965,""bn"",""en"")"),"Unfortunately, sailors are not skilled")</f>
        <v>Unfortunately, sailors are not skilled</v>
      </c>
      <c r="C5965" s="7" t="s">
        <v>6</v>
      </c>
      <c r="D5965" s="7" t="s">
        <v>7</v>
      </c>
      <c r="E5965" s="7">
        <v>0</v>
      </c>
    </row>
    <row r="5966" spans="1:5" ht="15.75" customHeight="1" x14ac:dyDescent="0.25">
      <c r="A5966" s="6" t="s">
        <v>5779</v>
      </c>
      <c r="B5966" s="6" t="str">
        <f ca="1">IFERROR(__xludf.DUMMYFUNCTION("GOOGLETRANSLATE(A5966,""bn"",""en"")"),"He benefited a lot from reading the book")</f>
        <v>He benefited a lot from reading the book</v>
      </c>
      <c r="C5966" s="7" t="s">
        <v>6</v>
      </c>
      <c r="D5966" s="7" t="s">
        <v>7</v>
      </c>
      <c r="E5966" s="7">
        <v>0</v>
      </c>
    </row>
    <row r="5967" spans="1:5" ht="15.75" customHeight="1" x14ac:dyDescent="0.25">
      <c r="A5967" s="6" t="s">
        <v>5780</v>
      </c>
      <c r="B5967" s="6" t="str">
        <f ca="1">IFERROR(__xludf.DUMMYFUNCTION("GOOGLETRANSLATE(A5967,""bn"",""en"")"),"Adonis was killed in a hunting accident soon after")</f>
        <v>Adonis was killed in a hunting accident soon after</v>
      </c>
      <c r="C5967" s="8" t="s">
        <v>13</v>
      </c>
      <c r="D5967" s="8" t="s">
        <v>14</v>
      </c>
      <c r="E5967" s="8">
        <v>1</v>
      </c>
    </row>
    <row r="5968" spans="1:5" ht="15.75" customHeight="1" x14ac:dyDescent="0.25">
      <c r="A5968" s="6" t="s">
        <v>5781</v>
      </c>
      <c r="B5968" s="6" t="str">
        <f ca="1">IFERROR(__xludf.DUMMYFUNCTION("GOOGLETRANSLATE(A5968,""bn"",""en"")"),"Like say goodbye mom")</f>
        <v>Like say goodbye mom</v>
      </c>
      <c r="C5968" s="8" t="s">
        <v>13</v>
      </c>
      <c r="D5968" s="8" t="s">
        <v>14</v>
      </c>
      <c r="E5968" s="8">
        <v>1</v>
      </c>
    </row>
    <row r="5969" spans="1:5" ht="15.75" customHeight="1" x14ac:dyDescent="0.25">
      <c r="A5969" s="6" t="s">
        <v>5782</v>
      </c>
      <c r="B5969" s="6" t="str">
        <f ca="1">IFERROR(__xludf.DUMMYFUNCTION("GOOGLETRANSLATE(A5969,""bn"",""en"")"),"The old man was sitting on the side of the road with the stick in his hand")</f>
        <v>The old man was sitting on the side of the road with the stick in his hand</v>
      </c>
      <c r="C5969" s="8" t="s">
        <v>13</v>
      </c>
      <c r="D5969" s="8" t="s">
        <v>14</v>
      </c>
      <c r="E5969" s="8">
        <v>1</v>
      </c>
    </row>
    <row r="5970" spans="1:5" ht="15.75" customHeight="1" x14ac:dyDescent="0.25">
      <c r="A5970" s="6" t="s">
        <v>5783</v>
      </c>
      <c r="B5970" s="6" t="str">
        <f ca="1">IFERROR(__xludf.DUMMYFUNCTION("GOOGLETRANSLATE(A5970,""bn"",""en"")"),"The transaction is encrypted for security purposes")</f>
        <v>The transaction is encrypted for security purposes</v>
      </c>
      <c r="C5970" s="8" t="s">
        <v>13</v>
      </c>
      <c r="D5970" s="8" t="s">
        <v>14</v>
      </c>
      <c r="E5970" s="8">
        <v>1</v>
      </c>
    </row>
    <row r="5971" spans="1:5" ht="15.75" customHeight="1" x14ac:dyDescent="0.25">
      <c r="A5971" s="6" t="s">
        <v>5784</v>
      </c>
      <c r="B5971" s="6" t="str">
        <f ca="1">IFERROR(__xludf.DUMMYFUNCTION("GOOGLETRANSLATE(A5971,""bn"",""en"")"),"Adventure can provide a break from routine boredom")</f>
        <v>Adventure can provide a break from routine boredom</v>
      </c>
      <c r="C5971" s="8" t="s">
        <v>13</v>
      </c>
      <c r="D5971" s="8" t="s">
        <v>14</v>
      </c>
      <c r="E5971" s="8">
        <v>1</v>
      </c>
    </row>
    <row r="5972" spans="1:5" ht="15.75" customHeight="1" x14ac:dyDescent="0.25">
      <c r="A5972" s="6" t="s">
        <v>5785</v>
      </c>
      <c r="B5972" s="6" t="str">
        <f ca="1">IFERROR(__xludf.DUMMYFUNCTION("GOOGLETRANSLATE(A5972,""bn"",""en"")"),"He said in a scolding tone, I am in the middle of danger")</f>
        <v>He said in a scolding tone, I am in the middle of danger</v>
      </c>
      <c r="C5972" s="7" t="s">
        <v>6</v>
      </c>
      <c r="D5972" s="7" t="s">
        <v>7</v>
      </c>
      <c r="E5972" s="7">
        <v>0</v>
      </c>
    </row>
    <row r="5973" spans="1:5" ht="15.75" customHeight="1" x14ac:dyDescent="0.25">
      <c r="A5973" s="6" t="s">
        <v>5786</v>
      </c>
      <c r="B5973" s="6" t="str">
        <f ca="1">IFERROR(__xludf.DUMMYFUNCTION("GOOGLETRANSLATE(A5973,""bn"",""en"")"),"Pride can be the cause of destruction")</f>
        <v>Pride can be the cause of destruction</v>
      </c>
      <c r="C5973" s="7" t="s">
        <v>6</v>
      </c>
      <c r="D5973" s="7" t="s">
        <v>7</v>
      </c>
      <c r="E5973" s="7">
        <v>0</v>
      </c>
    </row>
    <row r="5974" spans="1:5" ht="15.75" customHeight="1" x14ac:dyDescent="0.25">
      <c r="A5974" s="6" t="s">
        <v>5787</v>
      </c>
      <c r="B5974" s="6" t="str">
        <f ca="1">IFERROR(__xludf.DUMMYFUNCTION("GOOGLETRANSLATE(A5974,""bn"",""en"")"),"After that, after going some distance, he said to me in a soft voice that you should open your shoes")</f>
        <v>After that, after going some distance, he said to me in a soft voice that you should open your shoes</v>
      </c>
      <c r="C5974" s="7" t="s">
        <v>6</v>
      </c>
      <c r="D5974" s="7" t="s">
        <v>7</v>
      </c>
      <c r="E5974" s="7">
        <v>0</v>
      </c>
    </row>
    <row r="5975" spans="1:5" ht="15.75" customHeight="1" x14ac:dyDescent="0.25">
      <c r="A5975" s="6" t="s">
        <v>3874</v>
      </c>
      <c r="B5975" s="6" t="str">
        <f ca="1">IFERROR(__xludf.DUMMYFUNCTION("GOOGLETRANSLATE(A5975,""bn"",""en"")"),"When he asked his mother for money, he handed over a hundred taka note")</f>
        <v>When he asked his mother for money, he handed over a hundred taka note</v>
      </c>
      <c r="C5975" s="7" t="s">
        <v>6</v>
      </c>
      <c r="D5975" s="7" t="s">
        <v>7</v>
      </c>
      <c r="E5975" s="7">
        <v>0</v>
      </c>
    </row>
    <row r="5976" spans="1:5" ht="15.75" customHeight="1" x14ac:dyDescent="0.25">
      <c r="A5976" s="6" t="s">
        <v>5788</v>
      </c>
      <c r="B5976" s="6" t="str">
        <f ca="1">IFERROR(__xludf.DUMMYFUNCTION("GOOGLETRANSLATE(A5976,""bn"",""en"")"),"The question of belief or disbelief depends on the happiness of the people")</f>
        <v>The question of belief or disbelief depends on the happiness of the people</v>
      </c>
      <c r="C5976" s="7" t="s">
        <v>6</v>
      </c>
      <c r="D5976" s="7" t="s">
        <v>7</v>
      </c>
      <c r="E5976" s="7">
        <v>0</v>
      </c>
    </row>
    <row r="5977" spans="1:5" ht="15.75" customHeight="1" x14ac:dyDescent="0.25">
      <c r="A5977" s="6" t="s">
        <v>5789</v>
      </c>
      <c r="B5977" s="6" t="str">
        <f ca="1">IFERROR(__xludf.DUMMYFUNCTION("GOOGLETRANSLATE(A5977,""bn"",""en"")"),"Customer relationship management increases client retention")</f>
        <v>Customer relationship management increases client retention</v>
      </c>
      <c r="C5977" s="8" t="s">
        <v>13</v>
      </c>
      <c r="D5977" s="8" t="s">
        <v>14</v>
      </c>
      <c r="E5977" s="8">
        <v>1</v>
      </c>
    </row>
    <row r="5978" spans="1:5" ht="15.75" customHeight="1" x14ac:dyDescent="0.25">
      <c r="A5978" s="6" t="s">
        <v>5790</v>
      </c>
      <c r="B5978" s="6" t="str">
        <f ca="1">IFERROR(__xludf.DUMMYFUNCTION("GOOGLETRANSLATE(A5978,""bn"",""en"")"),"The kitchen should always be kept clean")</f>
        <v>The kitchen should always be kept clean</v>
      </c>
      <c r="C5978" s="8" t="s">
        <v>13</v>
      </c>
      <c r="D5978" s="8" t="s">
        <v>14</v>
      </c>
      <c r="E5978" s="8">
        <v>1</v>
      </c>
    </row>
    <row r="5979" spans="1:5" ht="15.75" customHeight="1" x14ac:dyDescent="0.25">
      <c r="A5979" s="6" t="s">
        <v>5791</v>
      </c>
      <c r="B5979" s="6" t="str">
        <f ca="1">IFERROR(__xludf.DUMMYFUNCTION("GOOGLETRANSLATE(A5979,""bn"",""en"")"),"He grew up in extreme poverty from birth")</f>
        <v>He grew up in extreme poverty from birth</v>
      </c>
      <c r="C5979" s="8" t="s">
        <v>13</v>
      </c>
      <c r="D5979" s="8" t="s">
        <v>14</v>
      </c>
      <c r="E5979" s="8">
        <v>1</v>
      </c>
    </row>
    <row r="5980" spans="1:5" ht="15.75" customHeight="1" x14ac:dyDescent="0.25">
      <c r="A5980" s="6" t="s">
        <v>5792</v>
      </c>
      <c r="B5980" s="6" t="str">
        <f ca="1">IFERROR(__xludf.DUMMYFUNCTION("GOOGLETRANSLATE(A5980,""bn"",""en"")"),"Their adventure was a testament to their love for exploring adventure")</f>
        <v>Their adventure was a testament to their love for exploring adventure</v>
      </c>
      <c r="C5980" s="8" t="s">
        <v>13</v>
      </c>
      <c r="D5980" s="8" t="s">
        <v>14</v>
      </c>
      <c r="E5980" s="8">
        <v>1</v>
      </c>
    </row>
    <row r="5981" spans="1:5" ht="15.75" customHeight="1" x14ac:dyDescent="0.25">
      <c r="A5981" s="6" t="s">
        <v>5793</v>
      </c>
      <c r="B5981" s="6" t="str">
        <f ca="1">IFERROR(__xludf.DUMMYFUNCTION("GOOGLETRANSLATE(A5981,""bn"",""en"")"),"He died in 14th AD")</f>
        <v>He died in 14th AD</v>
      </c>
      <c r="C5981" s="8" t="s">
        <v>13</v>
      </c>
      <c r="D5981" s="8" t="s">
        <v>14</v>
      </c>
      <c r="E5981" s="8">
        <v>1</v>
      </c>
    </row>
    <row r="5982" spans="1:5" ht="15.75" customHeight="1" x14ac:dyDescent="0.25">
      <c r="A5982" s="6" t="s">
        <v>5794</v>
      </c>
      <c r="B5982" s="6" t="str">
        <f ca="1">IFERROR(__xludf.DUMMYFUNCTION("GOOGLETRANSLATE(A5982,""bn"",""en"")"),"What are you doing sitting here?")</f>
        <v>What are you doing sitting here?</v>
      </c>
      <c r="C5982" s="7" t="s">
        <v>6</v>
      </c>
      <c r="D5982" s="7" t="s">
        <v>7</v>
      </c>
      <c r="E5982" s="7">
        <v>0</v>
      </c>
    </row>
    <row r="5983" spans="1:5" ht="15.75" customHeight="1" x14ac:dyDescent="0.25">
      <c r="A5983" s="6" t="s">
        <v>5795</v>
      </c>
      <c r="B5983" s="6" t="str">
        <f ca="1">IFERROR(__xludf.DUMMYFUNCTION("GOOGLETRANSLATE(A5983,""bn"",""en"")"),"I was a little nervous and said, ""Come on, I'm going with you.""")</f>
        <v>I was a little nervous and said, "Come on, I'm going with you."</v>
      </c>
      <c r="C5983" s="7" t="s">
        <v>6</v>
      </c>
      <c r="D5983" s="7" t="s">
        <v>7</v>
      </c>
      <c r="E5983" s="7">
        <v>0</v>
      </c>
    </row>
    <row r="5984" spans="1:5" ht="15.75" customHeight="1" x14ac:dyDescent="0.25">
      <c r="A5984" s="6" t="s">
        <v>5796</v>
      </c>
      <c r="B5984" s="6" t="str">
        <f ca="1">IFERROR(__xludf.DUMMYFUNCTION("GOOGLETRANSLATE(A5984,""bn"",""en"")"),"The beggar was sitting on the side of the road with empty hands")</f>
        <v>The beggar was sitting on the side of the road with empty hands</v>
      </c>
      <c r="C5984" s="7" t="s">
        <v>6</v>
      </c>
      <c r="D5984" s="7" t="s">
        <v>7</v>
      </c>
      <c r="E5984" s="7">
        <v>0</v>
      </c>
    </row>
    <row r="5985" spans="1:5" ht="15.75" customHeight="1" x14ac:dyDescent="0.25">
      <c r="A5985" s="6" t="s">
        <v>5797</v>
      </c>
      <c r="B5985" s="6" t="str">
        <f ca="1">IFERROR(__xludf.DUMMYFUNCTION("GOOGLETRANSLATE(A5985,""bn"",""en"")"),"Then I realized my delusion and came back to the car")</f>
        <v>Then I realized my delusion and came back to the car</v>
      </c>
      <c r="C5985" s="7" t="s">
        <v>6</v>
      </c>
      <c r="D5985" s="7" t="s">
        <v>7</v>
      </c>
      <c r="E5985" s="7">
        <v>0</v>
      </c>
    </row>
    <row r="5986" spans="1:5" ht="15.75" customHeight="1" x14ac:dyDescent="0.25">
      <c r="A5986" s="6" t="s">
        <v>5798</v>
      </c>
      <c r="B5986" s="6" t="str">
        <f ca="1">IFERROR(__xludf.DUMMYFUNCTION("GOOGLETRANSLATE(A5986,""bn"",""en"")"),"Hear how many patients are seeking your way")</f>
        <v>Hear how many patients are seeking your way</v>
      </c>
      <c r="C5986" s="7" t="s">
        <v>6</v>
      </c>
      <c r="D5986" s="7" t="s">
        <v>7</v>
      </c>
      <c r="E5986" s="7">
        <v>0</v>
      </c>
    </row>
    <row r="5987" spans="1:5" ht="15.75" customHeight="1" x14ac:dyDescent="0.25">
      <c r="A5987" s="6" t="s">
        <v>5799</v>
      </c>
      <c r="B5987" s="6" t="str">
        <f ca="1">IFERROR(__xludf.DUMMYFUNCTION("GOOGLETRANSLATE(A5987,""bn"",""en"")"),"I only remember that there is a Chatim tree next to the house")</f>
        <v>I only remember that there is a Chatim tree next to the house</v>
      </c>
      <c r="C5987" s="8" t="s">
        <v>13</v>
      </c>
      <c r="D5987" s="8" t="s">
        <v>14</v>
      </c>
      <c r="E5987" s="8">
        <v>1</v>
      </c>
    </row>
    <row r="5988" spans="1:5" ht="15.75" customHeight="1" x14ac:dyDescent="0.25">
      <c r="A5988" s="6" t="s">
        <v>1945</v>
      </c>
      <c r="B5988" s="6" t="str">
        <f ca="1">IFERROR(__xludf.DUMMYFUNCTION("GOOGLETRANSLATE(A5988,""bn"",""en"")"),"I don't know why it seems that closed doors will open again")</f>
        <v>I don't know why it seems that closed doors will open again</v>
      </c>
      <c r="C5988" s="8" t="s">
        <v>13</v>
      </c>
      <c r="D5988" s="8" t="s">
        <v>14</v>
      </c>
      <c r="E5988" s="8">
        <v>1</v>
      </c>
    </row>
    <row r="5989" spans="1:5" ht="15.75" customHeight="1" x14ac:dyDescent="0.25">
      <c r="A5989" s="6" t="s">
        <v>5800</v>
      </c>
      <c r="B5989" s="6" t="str">
        <f ca="1">IFERROR(__xludf.DUMMYFUNCTION("GOOGLETRANSLATE(A5989,""bn"",""en"")"),"The teacher explains the lesson in an engaging way")</f>
        <v>The teacher explains the lesson in an engaging way</v>
      </c>
      <c r="C5989" s="8" t="s">
        <v>13</v>
      </c>
      <c r="D5989" s="8" t="s">
        <v>14</v>
      </c>
      <c r="E5989" s="8">
        <v>1</v>
      </c>
    </row>
    <row r="5990" spans="1:5" ht="15.75" customHeight="1" x14ac:dyDescent="0.25">
      <c r="A5990" s="6" t="s">
        <v>5801</v>
      </c>
      <c r="B5990" s="6" t="str">
        <f ca="1">IFERROR(__xludf.DUMMYFUNCTION("GOOGLETRANSLATE(A5990,""bn"",""en"")"),"He took the newspaper from the table and went to the outer room")</f>
        <v>He took the newspaper from the table and went to the outer room</v>
      </c>
      <c r="C5990" s="8" t="s">
        <v>13</v>
      </c>
      <c r="D5990" s="8" t="s">
        <v>14</v>
      </c>
      <c r="E5990" s="8">
        <v>1</v>
      </c>
    </row>
    <row r="5991" spans="1:5" ht="15.75" customHeight="1" x14ac:dyDescent="0.25">
      <c r="A5991" s="6" t="s">
        <v>5802</v>
      </c>
      <c r="B5991" s="6" t="str">
        <f ca="1">IFERROR(__xludf.DUMMYFUNCTION("GOOGLETRANSLATE(A5991,""bn"",""en"")"),"Sweet savory flavors mingle")</f>
        <v>Sweet savory flavors mingle</v>
      </c>
      <c r="C5991" s="8" t="s">
        <v>13</v>
      </c>
      <c r="D5991" s="8" t="s">
        <v>14</v>
      </c>
      <c r="E5991" s="8">
        <v>1</v>
      </c>
    </row>
    <row r="5992" spans="1:5" ht="15.75" customHeight="1" x14ac:dyDescent="0.25">
      <c r="A5992" s="6" t="s">
        <v>5803</v>
      </c>
      <c r="B5992" s="6" t="str">
        <f ca="1">IFERROR(__xludf.DUMMYFUNCTION("GOOGLETRANSLATE(A5992,""bn"",""en"")"),"are you going to sleep")</f>
        <v>are you going to sleep</v>
      </c>
      <c r="C5992" s="7" t="s">
        <v>6</v>
      </c>
      <c r="D5992" s="7" t="s">
        <v>7</v>
      </c>
      <c r="E5992" s="7">
        <v>0</v>
      </c>
    </row>
    <row r="5993" spans="1:5" ht="15.75" customHeight="1" x14ac:dyDescent="0.25">
      <c r="A5993" s="6" t="s">
        <v>5669</v>
      </c>
      <c r="B5993" s="6" t="str">
        <f ca="1">IFERROR(__xludf.DUMMYFUNCTION("GOOGLETRANSLATE(A5993,""bn"",""en"")"),"These twenty-four hours were spent on his way")</f>
        <v>These twenty-four hours were spent on his way</v>
      </c>
      <c r="C5993" s="7" t="s">
        <v>6</v>
      </c>
      <c r="D5993" s="7" t="s">
        <v>7</v>
      </c>
      <c r="E5993" s="7">
        <v>0</v>
      </c>
    </row>
    <row r="5994" spans="1:5" ht="15.75" customHeight="1" x14ac:dyDescent="0.25">
      <c r="A5994" s="6" t="s">
        <v>5804</v>
      </c>
      <c r="B5994" s="6" t="str">
        <f ca="1">IFERROR(__xludf.DUMMYFUNCTION("GOOGLETRANSLATE(A5994,""bn"",""en"")"),"The king asked the queen to do this")</f>
        <v>The king asked the queen to do this</v>
      </c>
      <c r="C5994" s="7" t="s">
        <v>6</v>
      </c>
      <c r="D5994" s="7" t="s">
        <v>7</v>
      </c>
      <c r="E5994" s="7">
        <v>0</v>
      </c>
    </row>
    <row r="5995" spans="1:5" ht="15.75" customHeight="1" x14ac:dyDescent="0.25">
      <c r="A5995" s="6" t="s">
        <v>5805</v>
      </c>
      <c r="B5995" s="6" t="str">
        <f ca="1">IFERROR(__xludf.DUMMYFUNCTION("GOOGLETRANSLATE(A5995,""bn"",""en"")"),"There will be no meeting with whom there will be no story")</f>
        <v>There will be no meeting with whom there will be no story</v>
      </c>
      <c r="C5995" s="7" t="s">
        <v>6</v>
      </c>
      <c r="D5995" s="7" t="s">
        <v>7</v>
      </c>
      <c r="E5995" s="7">
        <v>0</v>
      </c>
    </row>
    <row r="5996" spans="1:5" ht="15.75" customHeight="1" x14ac:dyDescent="0.25">
      <c r="A5996" s="6" t="s">
        <v>735</v>
      </c>
      <c r="B5996" s="6" t="str">
        <f ca="1">IFERROR(__xludf.DUMMYFUNCTION("GOOGLETRANSLATE(A5996,""bn"",""en"")"),"What he said has stuck in my mind")</f>
        <v>What he said has stuck in my mind</v>
      </c>
      <c r="C5996" s="7" t="s">
        <v>6</v>
      </c>
      <c r="D5996" s="7" t="s">
        <v>7</v>
      </c>
      <c r="E5996" s="7">
        <v>0</v>
      </c>
    </row>
    <row r="5997" spans="1:5" ht="15.75" customHeight="1" x14ac:dyDescent="0.25">
      <c r="A5997" s="6" t="s">
        <v>5806</v>
      </c>
      <c r="B5997" s="6" t="str">
        <f ca="1">IFERROR(__xludf.DUMMYFUNCTION("GOOGLETRANSLATE(A5997,""bn"",""en"")"),"I admire my parents' strength and resilience")</f>
        <v>I admire my parents' strength and resilience</v>
      </c>
      <c r="C5997" s="8" t="s">
        <v>13</v>
      </c>
      <c r="D5997" s="8" t="s">
        <v>14</v>
      </c>
      <c r="E5997" s="8">
        <v>1</v>
      </c>
    </row>
    <row r="5998" spans="1:5" ht="15.75" customHeight="1" x14ac:dyDescent="0.25">
      <c r="A5998" s="6" t="s">
        <v>5807</v>
      </c>
      <c r="B5998" s="6" t="str">
        <f ca="1">IFERROR(__xludf.DUMMYFUNCTION("GOOGLETRANSLATE(A5998,""bn"",""en"")"),"It is usually used during entertainment")</f>
        <v>It is usually used during entertainment</v>
      </c>
      <c r="C5998" s="8" t="s">
        <v>13</v>
      </c>
      <c r="D5998" s="8" t="s">
        <v>14</v>
      </c>
      <c r="E5998" s="8">
        <v>1</v>
      </c>
    </row>
    <row r="5999" spans="1:5" ht="15.75" customHeight="1" x14ac:dyDescent="0.25">
      <c r="A5999" s="6" t="s">
        <v>5808</v>
      </c>
      <c r="B5999" s="6" t="str">
        <f ca="1">IFERROR(__xludf.DUMMYFUNCTION("GOOGLETRANSLATE(A5999,""bn"",""en"")"),"Scaling towering icy peaks, they braved the bone-chilling Arctic cold with determination.")</f>
        <v>Scaling towering icy peaks, they braved the bone-chilling Arctic cold with determination.</v>
      </c>
      <c r="C5999" s="8" t="s">
        <v>13</v>
      </c>
      <c r="D5999" s="8" t="s">
        <v>14</v>
      </c>
      <c r="E5999" s="8">
        <v>1</v>
      </c>
    </row>
    <row r="6000" spans="1:5" ht="15.75" customHeight="1" x14ac:dyDescent="0.25">
      <c r="A6000" s="6" t="s">
        <v>5809</v>
      </c>
      <c r="B6000" s="6" t="str">
        <f ca="1">IFERROR(__xludf.DUMMYFUNCTION("GOOGLETRANSLATE(A6000,""bn"",""en"")"),"He also handles law enforcement security")</f>
        <v>He also handles law enforcement security</v>
      </c>
      <c r="C6000" s="8" t="s">
        <v>13</v>
      </c>
      <c r="D6000" s="8" t="s">
        <v>14</v>
      </c>
      <c r="E6000" s="8">
        <v>1</v>
      </c>
    </row>
    <row r="6001" spans="1:5" ht="15.75" customHeight="1" x14ac:dyDescent="0.25">
      <c r="A6001" s="6" t="s">
        <v>5810</v>
      </c>
      <c r="B6001" s="6" t="str">
        <f ca="1">IFERROR(__xludf.DUMMYFUNCTION("GOOGLETRANSLATE(A6001,""bn"",""en"")"),"The customer feedback process drives product service improvement")</f>
        <v>The customer feedback process drives product service improvement</v>
      </c>
      <c r="C6001" s="8" t="s">
        <v>13</v>
      </c>
      <c r="D6001" s="8" t="s">
        <v>14</v>
      </c>
      <c r="E6001" s="8">
        <v>1</v>
      </c>
    </row>
    <row r="6002" spans="1:5" ht="15.75" customHeight="1" x14ac:dyDescent="0.25">
      <c r="A6002" s="6" t="s">
        <v>5811</v>
      </c>
      <c r="B6002" s="6" t="str">
        <f ca="1">IFERROR(__xludf.DUMMYFUNCTION("GOOGLETRANSLATE(A6002,""bn"",""en"")"),"It has only been raining since yesterday evening")</f>
        <v>It has only been raining since yesterday evening</v>
      </c>
      <c r="C6002" s="7" t="s">
        <v>6</v>
      </c>
      <c r="D6002" s="7" t="s">
        <v>7</v>
      </c>
      <c r="E6002" s="7">
        <v>0</v>
      </c>
    </row>
    <row r="6003" spans="1:5" ht="15.75" customHeight="1" x14ac:dyDescent="0.25">
      <c r="A6003" s="6" t="s">
        <v>5812</v>
      </c>
      <c r="B6003" s="6" t="str">
        <f ca="1">IFERROR(__xludf.DUMMYFUNCTION("GOOGLETRANSLATE(A6003,""bn"",""en"")"),"Needless to say, the state my hair was in")</f>
        <v>Needless to say, the state my hair was in</v>
      </c>
      <c r="C6003" s="7" t="s">
        <v>6</v>
      </c>
      <c r="D6003" s="7" t="s">
        <v>7</v>
      </c>
      <c r="E6003" s="7">
        <v>0</v>
      </c>
    </row>
    <row r="6004" spans="1:5" ht="15.75" customHeight="1" x14ac:dyDescent="0.25">
      <c r="A6004" s="6" t="s">
        <v>5813</v>
      </c>
      <c r="B6004" s="6" t="str">
        <f ca="1">IFERROR(__xludf.DUMMYFUNCTION("GOOGLETRANSLATE(A6004,""bn"",""en"")"),"Hearing this, Biswambhar proposed that he would take Phatik to Calcutta and keep him with him and teach him")</f>
        <v>Hearing this, Biswambhar proposed that he would take Phatik to Calcutta and keep him with him and teach him</v>
      </c>
      <c r="C6004" s="7" t="s">
        <v>6</v>
      </c>
      <c r="D6004" s="7" t="s">
        <v>7</v>
      </c>
      <c r="E6004" s="7">
        <v>0</v>
      </c>
    </row>
    <row r="6005" spans="1:5" ht="15.75" customHeight="1" x14ac:dyDescent="0.25">
      <c r="A6005" s="6" t="s">
        <v>5814</v>
      </c>
      <c r="B6005" s="6" t="str">
        <f ca="1">IFERROR(__xludf.DUMMYFUNCTION("GOOGLETRANSLATE(A6005,""bn"",""en"")"),"They are the ones who are responding to life on the deserted road")</f>
        <v>They are the ones who are responding to life on the deserted road</v>
      </c>
      <c r="C6005" s="7" t="s">
        <v>6</v>
      </c>
      <c r="D6005" s="7" t="s">
        <v>7</v>
      </c>
      <c r="E6005" s="7">
        <v>0</v>
      </c>
    </row>
    <row r="6006" spans="1:5" ht="15.75" customHeight="1" x14ac:dyDescent="0.25">
      <c r="A6006" s="6" t="s">
        <v>5391</v>
      </c>
      <c r="B6006" s="6" t="str">
        <f ca="1">IFERROR(__xludf.DUMMYFUNCTION("GOOGLETRANSLATE(A6006,""bn"",""en"")"),"That's what I heard Radhe Manyung")</f>
        <v>That's what I heard Radhe Manyung</v>
      </c>
      <c r="C6006" s="7" t="s">
        <v>6</v>
      </c>
      <c r="D6006" s="7" t="s">
        <v>7</v>
      </c>
      <c r="E6006" s="7">
        <v>0</v>
      </c>
    </row>
    <row r="6007" spans="1:5" ht="15.75" customHeight="1" x14ac:dyDescent="0.25">
      <c r="A6007" s="6" t="s">
        <v>5815</v>
      </c>
      <c r="B6007" s="6" t="str">
        <f ca="1">IFERROR(__xludf.DUMMYFUNCTION("GOOGLETRANSLATE(A6007,""bn"",""en"")"),"Mr. Suman was going to sleep at night")</f>
        <v>Mr. Suman was going to sleep at night</v>
      </c>
      <c r="C6007" s="8" t="s">
        <v>13</v>
      </c>
      <c r="D6007" s="8" t="s">
        <v>14</v>
      </c>
      <c r="E6007" s="8">
        <v>1</v>
      </c>
    </row>
    <row r="6008" spans="1:5" ht="15.75" customHeight="1" x14ac:dyDescent="0.25">
      <c r="A6008" s="6" t="s">
        <v>5816</v>
      </c>
      <c r="B6008" s="6" t="str">
        <f ca="1">IFERROR(__xludf.DUMMYFUNCTION("GOOGLETRANSLATE(A6008,""bn"",""en"")"),"We were five siblings in our family")</f>
        <v>We were five siblings in our family</v>
      </c>
      <c r="C6008" s="8" t="s">
        <v>13</v>
      </c>
      <c r="D6008" s="8" t="s">
        <v>14</v>
      </c>
      <c r="E6008" s="8">
        <v>1</v>
      </c>
    </row>
    <row r="6009" spans="1:5" ht="15.75" customHeight="1" x14ac:dyDescent="0.25">
      <c r="A6009" s="6" t="s">
        <v>5817</v>
      </c>
      <c r="B6009" s="6" t="str">
        <f ca="1">IFERROR(__xludf.DUMMYFUNCTION("GOOGLETRANSLATE(A6009,""bn"",""en"")"),"After work I was very hungry")</f>
        <v>After work I was very hungry</v>
      </c>
      <c r="C6009" s="8" t="s">
        <v>13</v>
      </c>
      <c r="D6009" s="8" t="s">
        <v>14</v>
      </c>
      <c r="E6009" s="8">
        <v>1</v>
      </c>
    </row>
    <row r="6010" spans="1:5" ht="15.75" customHeight="1" x14ac:dyDescent="0.25">
      <c r="A6010" s="6" t="s">
        <v>5818</v>
      </c>
      <c r="B6010" s="6" t="str">
        <f ca="1">IFERROR(__xludf.DUMMYFUNCTION("GOOGLETRANSLATE(A6010,""bn"",""en"")"),"That is, I used to divide according to which newspaper would reach which house")</f>
        <v>That is, I used to divide according to which newspaper would reach which house</v>
      </c>
      <c r="C6010" s="8" t="s">
        <v>13</v>
      </c>
      <c r="D6010" s="8" t="s">
        <v>14</v>
      </c>
      <c r="E6010" s="8">
        <v>1</v>
      </c>
    </row>
    <row r="6011" spans="1:5" ht="15.75" customHeight="1" x14ac:dyDescent="0.25">
      <c r="A6011" s="6" t="s">
        <v>5819</v>
      </c>
      <c r="B6011" s="6" t="str">
        <f ca="1">IFERROR(__xludf.DUMMYFUNCTION("GOOGLETRANSLATE(A6011,""bn"",""en"")"),"I am currently trying to learn something new")</f>
        <v>I am currently trying to learn something new</v>
      </c>
      <c r="C6011" s="8" t="s">
        <v>13</v>
      </c>
      <c r="D6011" s="8" t="s">
        <v>14</v>
      </c>
      <c r="E6011" s="8">
        <v>1</v>
      </c>
    </row>
    <row r="6012" spans="1:5" ht="15.75" customHeight="1" x14ac:dyDescent="0.25">
      <c r="A6012" s="6" t="s">
        <v>5820</v>
      </c>
      <c r="B6012" s="6" t="str">
        <f ca="1">IFERROR(__xludf.DUMMYFUNCTION("GOOGLETRANSLATE(A6012,""bn"",""en"")"),"Keep going Govardhan")</f>
        <v>Keep going Govardhan</v>
      </c>
      <c r="C6012" s="7" t="s">
        <v>6</v>
      </c>
      <c r="D6012" s="7" t="s">
        <v>7</v>
      </c>
      <c r="E6012" s="7">
        <v>0</v>
      </c>
    </row>
    <row r="6013" spans="1:5" ht="15.75" customHeight="1" x14ac:dyDescent="0.25">
      <c r="A6013" s="6" t="s">
        <v>5821</v>
      </c>
      <c r="B6013" s="6" t="str">
        <f ca="1">IFERROR(__xludf.DUMMYFUNCTION("GOOGLETRANSLATE(A6013,""bn"",""en"")"),"I also used to go back to see the colors of the world")</f>
        <v>I also used to go back to see the colors of the world</v>
      </c>
      <c r="C6013" s="7" t="s">
        <v>6</v>
      </c>
      <c r="D6013" s="7" t="s">
        <v>7</v>
      </c>
      <c r="E6013" s="7">
        <v>0</v>
      </c>
    </row>
    <row r="6014" spans="1:5" ht="15.75" customHeight="1" x14ac:dyDescent="0.25">
      <c r="A6014" s="6" t="s">
        <v>5822</v>
      </c>
      <c r="B6014" s="6" t="str">
        <f ca="1">IFERROR(__xludf.DUMMYFUNCTION("GOOGLETRANSLATE(A6014,""bn"",""en"")"),"Saju traveled a lot to Rajshahi")</f>
        <v>Saju traveled a lot to Rajshahi</v>
      </c>
      <c r="C6014" s="7" t="s">
        <v>6</v>
      </c>
      <c r="D6014" s="7" t="s">
        <v>7</v>
      </c>
      <c r="E6014" s="7">
        <v>0</v>
      </c>
    </row>
    <row r="6015" spans="1:5" ht="15.75" customHeight="1" x14ac:dyDescent="0.25">
      <c r="A6015" s="6" t="s">
        <v>5823</v>
      </c>
      <c r="B6015" s="6" t="str">
        <f ca="1">IFERROR(__xludf.DUMMYFUNCTION("GOOGLETRANSLATE(A6015,""bn"",""en"")"),"Rafiq is calling me to play")</f>
        <v>Rafiq is calling me to play</v>
      </c>
      <c r="C6015" s="7" t="s">
        <v>6</v>
      </c>
      <c r="D6015" s="7" t="s">
        <v>7</v>
      </c>
      <c r="E6015" s="7">
        <v>0</v>
      </c>
    </row>
    <row r="6016" spans="1:5" ht="15.75" customHeight="1" x14ac:dyDescent="0.25">
      <c r="A6016" s="6" t="s">
        <v>5824</v>
      </c>
      <c r="B6016" s="6" t="str">
        <f ca="1">IFERROR(__xludf.DUMMYFUNCTION("GOOGLETRANSLATE(A6016,""bn"",""en"")"),"The girl gave a small nod to Vinay while leaving the car")</f>
        <v>The girl gave a small nod to Vinay while leaving the car</v>
      </c>
      <c r="C6016" s="7" t="s">
        <v>6</v>
      </c>
      <c r="D6016" s="7" t="s">
        <v>7</v>
      </c>
      <c r="E6016" s="7">
        <v>0</v>
      </c>
    </row>
    <row r="6017" spans="1:5" ht="15.75" customHeight="1" x14ac:dyDescent="0.25">
      <c r="A6017" s="6" t="s">
        <v>5825</v>
      </c>
      <c r="B6017" s="6" t="str">
        <f ca="1">IFERROR(__xludf.DUMMYFUNCTION("GOOGLETRANSLATE(A6017,""bn"",""en"")"),"He came out of the street and the rain stopped")</f>
        <v>He came out of the street and the rain stopped</v>
      </c>
      <c r="C6017" s="8" t="s">
        <v>13</v>
      </c>
      <c r="D6017" s="8" t="s">
        <v>14</v>
      </c>
      <c r="E6017" s="8">
        <v>1</v>
      </c>
    </row>
    <row r="6018" spans="1:5" ht="15.75" customHeight="1" x14ac:dyDescent="0.25">
      <c r="A6018" s="6" t="s">
        <v>5826</v>
      </c>
      <c r="B6018" s="6" t="str">
        <f ca="1">IFERROR(__xludf.DUMMYFUNCTION("GOOGLETRANSLATE(A6018,""bn"",""en"")"),"The sense of accomplishment after completing an adventure is rewarding")</f>
        <v>The sense of accomplishment after completing an adventure is rewarding</v>
      </c>
      <c r="C6018" s="8" t="s">
        <v>13</v>
      </c>
      <c r="D6018" s="8" t="s">
        <v>14</v>
      </c>
      <c r="E6018" s="8">
        <v>1</v>
      </c>
    </row>
    <row r="6019" spans="1:5" ht="15.75" customHeight="1" x14ac:dyDescent="0.25">
      <c r="A6019" s="6" t="s">
        <v>5827</v>
      </c>
      <c r="B6019" s="6" t="str">
        <f ca="1">IFERROR(__xludf.DUMMYFUNCTION("GOOGLETRANSLATE(A6019,""bn"",""en"")"),"Karim Sahib ordered to do this")</f>
        <v>Karim Sahib ordered to do this</v>
      </c>
      <c r="C6019" s="8" t="s">
        <v>13</v>
      </c>
      <c r="D6019" s="8" t="s">
        <v>14</v>
      </c>
      <c r="E6019" s="8">
        <v>1</v>
      </c>
    </row>
    <row r="6020" spans="1:5" ht="15.75" customHeight="1" x14ac:dyDescent="0.25">
      <c r="A6020" s="6" t="s">
        <v>5828</v>
      </c>
      <c r="B6020" s="6" t="str">
        <f ca="1">IFERROR(__xludf.DUMMYFUNCTION("GOOGLETRANSLATE(A6020,""bn"",""en"")"),"That afternoon we were drenched in rain")</f>
        <v>That afternoon we were drenched in rain</v>
      </c>
      <c r="C6020" s="8" t="s">
        <v>13</v>
      </c>
      <c r="D6020" s="8" t="s">
        <v>14</v>
      </c>
      <c r="E6020" s="8">
        <v>1</v>
      </c>
    </row>
    <row r="6021" spans="1:5" ht="15.75" customHeight="1" x14ac:dyDescent="0.25">
      <c r="A6021" s="6" t="s">
        <v>5829</v>
      </c>
      <c r="B6021" s="6" t="str">
        <f ca="1">IFERROR(__xludf.DUMMYFUNCTION("GOOGLETRANSLATE(A6021,""bn"",""en"")"),"For eight days of the twenty-one days of fever, Irtazuddin sat with his brother in his lap")</f>
        <v>For eight days of the twenty-one days of fever, Irtazuddin sat with his brother in his lap</v>
      </c>
      <c r="C6021" s="8" t="s">
        <v>13</v>
      </c>
      <c r="D6021" s="8" t="s">
        <v>14</v>
      </c>
      <c r="E6021" s="8">
        <v>1</v>
      </c>
    </row>
    <row r="6022" spans="1:5" ht="15.75" customHeight="1" x14ac:dyDescent="0.25">
      <c r="A6022" s="6" t="s">
        <v>5830</v>
      </c>
      <c r="B6022" s="6" t="str">
        <f ca="1">IFERROR(__xludf.DUMMYFUNCTION("GOOGLETRANSLATE(A6022,""bn"",""en"")"),"You don't have to think I'm fine")</f>
        <v>You don't have to think I'm fine</v>
      </c>
      <c r="C6022" s="7" t="s">
        <v>6</v>
      </c>
      <c r="D6022" s="7" t="s">
        <v>7</v>
      </c>
      <c r="E6022" s="7">
        <v>0</v>
      </c>
    </row>
    <row r="6023" spans="1:5" ht="15.75" customHeight="1" x14ac:dyDescent="0.25">
      <c r="A6023" s="6" t="s">
        <v>2716</v>
      </c>
      <c r="B6023" s="6" t="str">
        <f ca="1">IFERROR(__xludf.DUMMYFUNCTION("GOOGLETRANSLATE(A6023,""bn"",""en"")"),"That's the end of Latehar Hill")</f>
        <v>That's the end of Latehar Hill</v>
      </c>
      <c r="C6023" s="7" t="s">
        <v>6</v>
      </c>
      <c r="D6023" s="7" t="s">
        <v>7</v>
      </c>
      <c r="E6023" s="7">
        <v>0</v>
      </c>
    </row>
    <row r="6024" spans="1:5" ht="15.75" customHeight="1" x14ac:dyDescent="0.25">
      <c r="A6024" s="6" t="s">
        <v>5831</v>
      </c>
      <c r="B6024" s="6" t="str">
        <f ca="1">IFERROR(__xludf.DUMMYFUNCTION("GOOGLETRANSLATE(A6024,""bn"",""en"")"),"He once took it off the skandha and tested it for sharpness")</f>
        <v>He once took it off the skandha and tested it for sharpness</v>
      </c>
      <c r="C6024" s="7" t="s">
        <v>6</v>
      </c>
      <c r="D6024" s="7" t="s">
        <v>7</v>
      </c>
      <c r="E6024" s="7">
        <v>0</v>
      </c>
    </row>
    <row r="6025" spans="1:5" ht="15.75" customHeight="1" x14ac:dyDescent="0.25">
      <c r="A6025" s="6" t="s">
        <v>5832</v>
      </c>
      <c r="B6025" s="6" t="str">
        <f ca="1">IFERROR(__xludf.DUMMYFUNCTION("GOOGLETRANSLATE(A6025,""bn"",""en"")"),"I asked him about his test results")</f>
        <v>I asked him about his test results</v>
      </c>
      <c r="C6025" s="7" t="s">
        <v>6</v>
      </c>
      <c r="D6025" s="7" t="s">
        <v>7</v>
      </c>
      <c r="E6025" s="7">
        <v>0</v>
      </c>
    </row>
    <row r="6026" spans="1:5" ht="15.75" customHeight="1" x14ac:dyDescent="0.25">
      <c r="A6026" s="6" t="s">
        <v>5833</v>
      </c>
      <c r="B6026" s="6" t="str">
        <f ca="1">IFERROR(__xludf.DUMMYFUNCTION("GOOGLETRANSLATE(A6026,""bn"",""en"")"),"Who did you see?")</f>
        <v>Who did you see?</v>
      </c>
      <c r="C6026" s="7" t="s">
        <v>6</v>
      </c>
      <c r="D6026" s="7" t="s">
        <v>7</v>
      </c>
      <c r="E6026" s="7">
        <v>0</v>
      </c>
    </row>
    <row r="6027" spans="1:5" ht="15.75" customHeight="1" x14ac:dyDescent="0.25">
      <c r="A6027" s="6" t="s">
        <v>5834</v>
      </c>
      <c r="B6027" s="6" t="str">
        <f ca="1">IFERROR(__xludf.DUMMYFUNCTION("GOOGLETRANSLATE(A6027,""bn"",""en"")"),"Pharmacists fill prescriptions for patients at the pharmacy")</f>
        <v>Pharmacists fill prescriptions for patients at the pharmacy</v>
      </c>
      <c r="C6027" s="8" t="s">
        <v>13</v>
      </c>
      <c r="D6027" s="8" t="s">
        <v>14</v>
      </c>
      <c r="E6027" s="8">
        <v>1</v>
      </c>
    </row>
    <row r="6028" spans="1:5" ht="15.75" customHeight="1" x14ac:dyDescent="0.25">
      <c r="A6028" s="6" t="s">
        <v>5835</v>
      </c>
      <c r="B6028" s="6" t="str">
        <f ca="1">IFERROR(__xludf.DUMMYFUNCTION("GOOGLETRANSLATE(A6028,""bn"",""en"")"),"As a result, the acceptance of the party among the voters decreases")</f>
        <v>As a result, the acceptance of the party among the voters decreases</v>
      </c>
      <c r="C6028" s="8" t="s">
        <v>13</v>
      </c>
      <c r="D6028" s="8" t="s">
        <v>14</v>
      </c>
      <c r="E6028" s="8">
        <v>1</v>
      </c>
    </row>
    <row r="6029" spans="1:5" ht="15.75" customHeight="1" x14ac:dyDescent="0.25">
      <c r="A6029" s="6" t="s">
        <v>5836</v>
      </c>
      <c r="B6029" s="6" t="str">
        <f ca="1">IFERROR(__xludf.DUMMYFUNCTION("GOOGLETRANSLATE(A6029,""bn"",""en"")"),"Nothing was eaten in the evening")</f>
        <v>Nothing was eaten in the evening</v>
      </c>
      <c r="C6029" s="8" t="s">
        <v>13</v>
      </c>
      <c r="D6029" s="8" t="s">
        <v>14</v>
      </c>
      <c r="E6029" s="8">
        <v>1</v>
      </c>
    </row>
    <row r="6030" spans="1:5" ht="15.75" customHeight="1" x14ac:dyDescent="0.25">
      <c r="A6030" s="6" t="s">
        <v>5837</v>
      </c>
      <c r="B6030" s="6" t="str">
        <f ca="1">IFERROR(__xludf.DUMMYFUNCTION("GOOGLETRANSLATE(A6030,""bn"",""en"")"),"The crowd is waiting with curiosity")</f>
        <v>The crowd is waiting with curiosity</v>
      </c>
      <c r="C6030" s="8" t="s">
        <v>13</v>
      </c>
      <c r="D6030" s="8" t="s">
        <v>14</v>
      </c>
      <c r="E6030" s="8">
        <v>1</v>
      </c>
    </row>
    <row r="6031" spans="1:5" ht="15.75" customHeight="1" x14ac:dyDescent="0.25">
      <c r="A6031" s="6" t="s">
        <v>5838</v>
      </c>
      <c r="B6031" s="6" t="str">
        <f ca="1">IFERROR(__xludf.DUMMYFUNCTION("GOOGLETRANSLATE(A6031,""bn"",""en"")"),"Weather forecasts in newspapers help me plan my outdoor activities")</f>
        <v>Weather forecasts in newspapers help me plan my outdoor activities</v>
      </c>
      <c r="C6031" s="8" t="s">
        <v>13</v>
      </c>
      <c r="D6031" s="8" t="s">
        <v>14</v>
      </c>
      <c r="E6031" s="8">
        <v>1</v>
      </c>
    </row>
    <row r="6032" spans="1:5" ht="15.75" customHeight="1" x14ac:dyDescent="0.25">
      <c r="A6032" s="6" t="s">
        <v>5839</v>
      </c>
      <c r="B6032" s="6" t="str">
        <f ca="1">IFERROR(__xludf.DUMMYFUNCTION("GOOGLETRANSLATE(A6032,""bn"",""en"")"),"Here the village is frozen")</f>
        <v>Here the village is frozen</v>
      </c>
      <c r="C6032" s="7" t="s">
        <v>6</v>
      </c>
      <c r="D6032" s="7" t="s">
        <v>7</v>
      </c>
      <c r="E6032" s="7">
        <v>0</v>
      </c>
    </row>
    <row r="6033" spans="1:5" ht="15.75" customHeight="1" x14ac:dyDescent="0.25">
      <c r="A6033" s="6" t="s">
        <v>5840</v>
      </c>
      <c r="B6033" s="6" t="str">
        <f ca="1">IFERROR(__xludf.DUMMYFUNCTION("GOOGLETRANSLATE(A6033,""bn"",""en"")"),"I can't think of anyone but this friend")</f>
        <v>I can't think of anyone but this friend</v>
      </c>
      <c r="C6033" s="7" t="s">
        <v>6</v>
      </c>
      <c r="D6033" s="7" t="s">
        <v>7</v>
      </c>
      <c r="E6033" s="7">
        <v>0</v>
      </c>
    </row>
    <row r="6034" spans="1:5" ht="15.75" customHeight="1" x14ac:dyDescent="0.25">
      <c r="A6034" s="6" t="s">
        <v>2833</v>
      </c>
      <c r="B6034" s="6" t="str">
        <f ca="1">IFERROR(__xludf.DUMMYFUNCTION("GOOGLETRANSLATE(A6034,""bn"",""en"")"),"Their wages are paid only if they get these flowers instead of money")</f>
        <v>Their wages are paid only if they get these flowers instead of money</v>
      </c>
      <c r="C6034" s="7" t="s">
        <v>6</v>
      </c>
      <c r="D6034" s="7" t="s">
        <v>7</v>
      </c>
      <c r="E6034" s="7">
        <v>0</v>
      </c>
    </row>
    <row r="6035" spans="1:5" ht="15.75" customHeight="1" x14ac:dyDescent="0.25">
      <c r="A6035" s="6" t="s">
        <v>5841</v>
      </c>
      <c r="B6035" s="6" t="str">
        <f ca="1">IFERROR(__xludf.DUMMYFUNCTION("GOOGLETRANSLATE(A6035,""bn"",""en"")"),"Twenty minutes later, when he got out of the car, he entered the small alley")</f>
        <v>Twenty minutes later, when he got out of the car, he entered the small alley</v>
      </c>
      <c r="C6035" s="7" t="s">
        <v>6</v>
      </c>
      <c r="D6035" s="7" t="s">
        <v>7</v>
      </c>
      <c r="E6035" s="7">
        <v>0</v>
      </c>
    </row>
    <row r="6036" spans="1:5" ht="15.75" customHeight="1" x14ac:dyDescent="0.25">
      <c r="A6036" s="6" t="s">
        <v>5842</v>
      </c>
      <c r="B6036" s="6" t="str">
        <f ca="1">IFERROR(__xludf.DUMMYFUNCTION("GOOGLETRANSLATE(A6036,""bn"",""en"")"),"What could be more surprising than this?")</f>
        <v>What could be more surprising than this?</v>
      </c>
      <c r="C6036" s="7" t="s">
        <v>6</v>
      </c>
      <c r="D6036" s="7" t="s">
        <v>7</v>
      </c>
      <c r="E6036" s="7">
        <v>0</v>
      </c>
    </row>
    <row r="6037" spans="1:5" ht="15.75" customHeight="1" x14ac:dyDescent="0.25">
      <c r="A6037" s="6" t="s">
        <v>5843</v>
      </c>
      <c r="B6037" s="6" t="str">
        <f ca="1">IFERROR(__xludf.DUMMYFUNCTION("GOOGLETRANSLATE(A6037,""bn"",""en"")"),"Recently, he has been in controversy for making racist comments")</f>
        <v>Recently, he has been in controversy for making racist comments</v>
      </c>
      <c r="C6037" s="8" t="s">
        <v>13</v>
      </c>
      <c r="D6037" s="8" t="s">
        <v>14</v>
      </c>
      <c r="E6037" s="8">
        <v>1</v>
      </c>
    </row>
    <row r="6038" spans="1:5" ht="15.75" customHeight="1" x14ac:dyDescent="0.25">
      <c r="A6038" s="6" t="s">
        <v>5844</v>
      </c>
      <c r="B6038" s="6" t="str">
        <f ca="1">IFERROR(__xludf.DUMMYFUNCTION("GOOGLETRANSLATE(A6038,""bn"",""en"")"),"Criminal behavior can be influenced by socioeconomic psychological factors")</f>
        <v>Criminal behavior can be influenced by socioeconomic psychological factors</v>
      </c>
      <c r="C6038" s="8" t="s">
        <v>13</v>
      </c>
      <c r="D6038" s="8" t="s">
        <v>14</v>
      </c>
      <c r="E6038" s="8">
        <v>1</v>
      </c>
    </row>
    <row r="6039" spans="1:5" ht="15.75" customHeight="1" x14ac:dyDescent="0.25">
      <c r="A6039" s="6" t="s">
        <v>5845</v>
      </c>
      <c r="B6039" s="6" t="str">
        <f ca="1">IFERROR(__xludf.DUMMYFUNCTION("GOOGLETRANSLATE(A6039,""bn"",""en"")"),"Real estate agents show potential buyers around various properties")</f>
        <v>Real estate agents show potential buyers around various properties</v>
      </c>
      <c r="C6039" s="8" t="s">
        <v>13</v>
      </c>
      <c r="D6039" s="8" t="s">
        <v>14</v>
      </c>
      <c r="E6039" s="8">
        <v>1</v>
      </c>
    </row>
    <row r="6040" spans="1:5" ht="15.75" customHeight="1" x14ac:dyDescent="0.25">
      <c r="A6040" s="6" t="s">
        <v>5846</v>
      </c>
      <c r="B6040" s="6" t="str">
        <f ca="1">IFERROR(__xludf.DUMMYFUNCTION("GOOGLETRANSLATE(A6040,""bn"",""en"")"),"I got motivational support from my teachers")</f>
        <v>I got motivational support from my teachers</v>
      </c>
      <c r="C6040" s="8" t="s">
        <v>13</v>
      </c>
      <c r="D6040" s="8" t="s">
        <v>14</v>
      </c>
      <c r="E6040" s="8">
        <v>1</v>
      </c>
    </row>
    <row r="6041" spans="1:5" ht="15.75" customHeight="1" x14ac:dyDescent="0.25">
      <c r="A6041" s="6" t="s">
        <v>5847</v>
      </c>
      <c r="B6041" s="6" t="str">
        <f ca="1">IFERROR(__xludf.DUMMYFUNCTION("GOOGLETRANSLATE(A6041,""bn"",""en"")"),"I finished my studies before going to school")</f>
        <v>I finished my studies before going to school</v>
      </c>
      <c r="C6041" s="8" t="s">
        <v>13</v>
      </c>
      <c r="D6041" s="8" t="s">
        <v>14</v>
      </c>
      <c r="E6041" s="8">
        <v>1</v>
      </c>
    </row>
    <row r="6042" spans="1:5" ht="15.75" customHeight="1" x14ac:dyDescent="0.25">
      <c r="A6042" s="6" t="s">
        <v>4343</v>
      </c>
      <c r="B6042" s="6" t="str">
        <f ca="1">IFERROR(__xludf.DUMMYFUNCTION("GOOGLETRANSLATE(A6042,""bn"",""en"")"),"Tell me, you listen to me and bind me forever")</f>
        <v>Tell me, you listen to me and bind me forever</v>
      </c>
      <c r="C6042" s="7" t="s">
        <v>6</v>
      </c>
      <c r="D6042" s="7" t="s">
        <v>7</v>
      </c>
      <c r="E6042" s="7">
        <v>0</v>
      </c>
    </row>
    <row r="6043" spans="1:5" ht="15.75" customHeight="1" x14ac:dyDescent="0.25">
      <c r="A6043" s="6" t="s">
        <v>5848</v>
      </c>
      <c r="B6043" s="6" t="str">
        <f ca="1">IFERROR(__xludf.DUMMYFUNCTION("GOOGLETRANSLATE(A6043,""bn"",""en"")"),"Ruma shows Suma that it shrinks")</f>
        <v>Ruma shows Suma that it shrinks</v>
      </c>
      <c r="C6043" s="7" t="s">
        <v>6</v>
      </c>
      <c r="D6043" s="7" t="s">
        <v>7</v>
      </c>
      <c r="E6043" s="7">
        <v>0</v>
      </c>
    </row>
    <row r="6044" spans="1:5" ht="15.75" customHeight="1" x14ac:dyDescent="0.25">
      <c r="A6044" s="6" t="s">
        <v>2988</v>
      </c>
      <c r="B6044" s="6" t="str">
        <f ca="1">IFERROR(__xludf.DUMMYFUNCTION("GOOGLETRANSLATE(A6044,""bn"",""en"")"),"On asking about the story, the young man said, ""I am going to kill a tiger. My cow has just been killed by a tiger.""")</f>
        <v>On asking about the story, the young man said, "I am going to kill a tiger. My cow has just been killed by a tiger."</v>
      </c>
      <c r="C6044" s="7" t="s">
        <v>6</v>
      </c>
      <c r="D6044" s="7" t="s">
        <v>7</v>
      </c>
      <c r="E6044" s="7">
        <v>0</v>
      </c>
    </row>
    <row r="6045" spans="1:5" ht="15.75" customHeight="1" x14ac:dyDescent="0.25">
      <c r="A6045" s="6" t="s">
        <v>5849</v>
      </c>
      <c r="B6045" s="6" t="str">
        <f ca="1">IFERROR(__xludf.DUMMYFUNCTION("GOOGLETRANSLATE(A6045,""bn"",""en"")"),"So I was very surprised to hear the rhythm in the mouth of the wild bird")</f>
        <v>So I was very surprised to hear the rhythm in the mouth of the wild bird</v>
      </c>
      <c r="C6045" s="7" t="s">
        <v>6</v>
      </c>
      <c r="D6045" s="7" t="s">
        <v>7</v>
      </c>
      <c r="E6045" s="7">
        <v>0</v>
      </c>
    </row>
    <row r="6046" spans="1:5" ht="15.75" customHeight="1" x14ac:dyDescent="0.25">
      <c r="A6046" s="6" t="s">
        <v>5850</v>
      </c>
      <c r="B6046" s="6" t="str">
        <f ca="1">IFERROR(__xludf.DUMMYFUNCTION("GOOGLETRANSLATE(A6046,""bn"",""en"")"),"Annabhava in the forest is similar to the boat sinking in the Apar river")</f>
        <v>Annabhava in the forest is similar to the boat sinking in the Apar river</v>
      </c>
      <c r="C6046" s="7" t="s">
        <v>6</v>
      </c>
      <c r="D6046" s="7" t="s">
        <v>7</v>
      </c>
      <c r="E6046" s="7">
        <v>0</v>
      </c>
    </row>
    <row r="6047" spans="1:5" ht="15.75" customHeight="1" x14ac:dyDescent="0.25">
      <c r="A6047" s="6" t="s">
        <v>5851</v>
      </c>
      <c r="B6047" s="6" t="str">
        <f ca="1">IFERROR(__xludf.DUMMYFUNCTION("GOOGLETRANSLATE(A6047,""bn"",""en"")"),"I need to change the tin of my house")</f>
        <v>I need to change the tin of my house</v>
      </c>
      <c r="C6047" s="8" t="s">
        <v>13</v>
      </c>
      <c r="D6047" s="8" t="s">
        <v>14</v>
      </c>
      <c r="E6047" s="8">
        <v>1</v>
      </c>
    </row>
    <row r="6048" spans="1:5" ht="15.75" customHeight="1" x14ac:dyDescent="0.25">
      <c r="A6048" s="6" t="s">
        <v>5852</v>
      </c>
      <c r="B6048" s="6" t="str">
        <f ca="1">IFERROR(__xludf.DUMMYFUNCTION("GOOGLETRANSLATE(A6048,""bn"",""en"")"),"As their name suggests they play in the middle of the field")</f>
        <v>As their name suggests they play in the middle of the field</v>
      </c>
      <c r="C6048" s="8" t="s">
        <v>13</v>
      </c>
      <c r="D6048" s="8" t="s">
        <v>14</v>
      </c>
      <c r="E6048" s="8">
        <v>1</v>
      </c>
    </row>
    <row r="6049" spans="1:5" ht="15.75" customHeight="1" x14ac:dyDescent="0.25">
      <c r="A6049" s="6" t="s">
        <v>5853</v>
      </c>
      <c r="B6049" s="6" t="str">
        <f ca="1">IFERROR(__xludf.DUMMYFUNCTION("GOOGLETRANSLATE(A6049,""bn"",""en"")"),"Annaprashan is a special festival of Hindu community")</f>
        <v>Annaprashan is a special festival of Hindu community</v>
      </c>
      <c r="C6049" s="8" t="s">
        <v>13</v>
      </c>
      <c r="D6049" s="8" t="s">
        <v>14</v>
      </c>
      <c r="E6049" s="8">
        <v>1</v>
      </c>
    </row>
    <row r="6050" spans="1:5" ht="15.75" customHeight="1" x14ac:dyDescent="0.25">
      <c r="A6050" s="6" t="s">
        <v>5854</v>
      </c>
      <c r="B6050" s="6" t="str">
        <f ca="1">IFERROR(__xludf.DUMMYFUNCTION("GOOGLETRANSLATE(A6050,""bn"",""en"")"),"Bursting with sweet berry flavor")</f>
        <v>Bursting with sweet berry flavor</v>
      </c>
      <c r="C6050" s="8" t="s">
        <v>13</v>
      </c>
      <c r="D6050" s="8" t="s">
        <v>14</v>
      </c>
      <c r="E6050" s="8">
        <v>1</v>
      </c>
    </row>
    <row r="6051" spans="1:5" ht="15.75" customHeight="1" x14ac:dyDescent="0.25">
      <c r="A6051" s="6" t="s">
        <v>5432</v>
      </c>
      <c r="B6051" s="6" t="str">
        <f ca="1">IFERROR(__xludf.DUMMYFUNCTION("GOOGLETRANSLATE(A6051,""bn"",""en"")"),"Another torch procession on the main road")</f>
        <v>Another torch procession on the main road</v>
      </c>
      <c r="C6051" s="8" t="s">
        <v>13</v>
      </c>
      <c r="D6051" s="8" t="s">
        <v>14</v>
      </c>
      <c r="E6051" s="8">
        <v>1</v>
      </c>
    </row>
    <row r="6052" spans="1:5" ht="15.75" customHeight="1" x14ac:dyDescent="0.25">
      <c r="A6052" s="6" t="s">
        <v>5855</v>
      </c>
      <c r="B6052" s="6" t="str">
        <f ca="1">IFERROR(__xludf.DUMMYFUNCTION("GOOGLETRANSLATE(A6052,""bn"",""en"")"),"Minnie's mother is very alarmed when she hears a noise in the street and thinks that all the drunks in the world are rushing to our house in particular.")</f>
        <v>Minnie's mother is very alarmed when she hears a noise in the street and thinks that all the drunks in the world are rushing to our house in particular.</v>
      </c>
      <c r="C6052" s="7" t="s">
        <v>6</v>
      </c>
      <c r="D6052" s="7" t="s">
        <v>7</v>
      </c>
      <c r="E6052" s="7">
        <v>0</v>
      </c>
    </row>
    <row r="6053" spans="1:5" ht="15.75" customHeight="1" x14ac:dyDescent="0.25">
      <c r="A6053" s="6" t="s">
        <v>5856</v>
      </c>
      <c r="B6053" s="6" t="str">
        <f ca="1">IFERROR(__xludf.DUMMYFUNCTION("GOOGLETRANSLATE(A6053,""bn"",""en"")"),"However, his mother did not mind sending Fatik away because she always had fears in her mind")</f>
        <v>However, his mother did not mind sending Fatik away because she always had fears in her mind</v>
      </c>
      <c r="C6053" s="7" t="s">
        <v>6</v>
      </c>
      <c r="D6053" s="7" t="s">
        <v>7</v>
      </c>
      <c r="E6053" s="7">
        <v>0</v>
      </c>
    </row>
    <row r="6054" spans="1:5" ht="15.75" customHeight="1" x14ac:dyDescent="0.25">
      <c r="A6054" s="6" t="s">
        <v>5857</v>
      </c>
      <c r="B6054" s="6" t="str">
        <f ca="1">IFERROR(__xludf.DUMMYFUNCTION("GOOGLETRANSLATE(A6054,""bn"",""en"")"),"I saw you there")</f>
        <v>I saw you there</v>
      </c>
      <c r="C6054" s="7" t="s">
        <v>6</v>
      </c>
      <c r="D6054" s="7" t="s">
        <v>7</v>
      </c>
      <c r="E6054" s="7">
        <v>0</v>
      </c>
    </row>
    <row r="6055" spans="1:5" ht="15.75" customHeight="1" x14ac:dyDescent="0.25">
      <c r="A6055" s="6" t="s">
        <v>5858</v>
      </c>
      <c r="B6055" s="6" t="str">
        <f ca="1">IFERROR(__xludf.DUMMYFUNCTION("GOOGLETRANSLATE(A6055,""bn"",""en"")"),"My daughter has gone to school")</f>
        <v>My daughter has gone to school</v>
      </c>
      <c r="C6055" s="7" t="s">
        <v>6</v>
      </c>
      <c r="D6055" s="7" t="s">
        <v>7</v>
      </c>
      <c r="E6055" s="7">
        <v>0</v>
      </c>
    </row>
    <row r="6056" spans="1:5" ht="15.75" customHeight="1" x14ac:dyDescent="0.25">
      <c r="A6056" s="6" t="s">
        <v>5859</v>
      </c>
      <c r="B6056" s="6" t="str">
        <f ca="1">IFERROR(__xludf.DUMMYFUNCTION("GOOGLETRANSLATE(A6056,""bn"",""en"")"),"Rahim had gone to madrasa earlier today")</f>
        <v>Rahim had gone to madrasa earlier today</v>
      </c>
      <c r="C6056" s="7" t="s">
        <v>6</v>
      </c>
      <c r="D6056" s="7" t="s">
        <v>7</v>
      </c>
      <c r="E6056" s="7">
        <v>0</v>
      </c>
    </row>
    <row r="6057" spans="1:5" ht="15.75" customHeight="1" x14ac:dyDescent="0.25">
      <c r="A6057" s="6" t="s">
        <v>5860</v>
      </c>
      <c r="B6057" s="6" t="str">
        <f ca="1">IFERROR(__xludf.DUMMYFUNCTION("GOOGLETRANSLATE(A6057,""bn"",""en"")"),"He put the bathroom faucet by himself")</f>
        <v>He put the bathroom faucet by himself</v>
      </c>
      <c r="C6057" s="8" t="s">
        <v>13</v>
      </c>
      <c r="D6057" s="8" t="s">
        <v>14</v>
      </c>
      <c r="E6057" s="8">
        <v>1</v>
      </c>
    </row>
    <row r="6058" spans="1:5" ht="15.75" customHeight="1" x14ac:dyDescent="0.25">
      <c r="A6058" s="6" t="s">
        <v>5861</v>
      </c>
      <c r="B6058" s="6" t="str">
        <f ca="1">IFERROR(__xludf.DUMMYFUNCTION("GOOGLETRANSLATE(A6058,""bn"",""en"")"),"The spirit of adventure led them to explore unknown territories")</f>
        <v>The spirit of adventure led them to explore unknown territories</v>
      </c>
      <c r="C6058" s="8" t="s">
        <v>13</v>
      </c>
      <c r="D6058" s="8" t="s">
        <v>14</v>
      </c>
      <c r="E6058" s="8">
        <v>1</v>
      </c>
    </row>
    <row r="6059" spans="1:5" ht="15.75" customHeight="1" x14ac:dyDescent="0.25">
      <c r="A6059" s="6" t="s">
        <v>5862</v>
      </c>
      <c r="B6059" s="6" t="str">
        <f ca="1">IFERROR(__xludf.DUMMYFUNCTION("GOOGLETRANSLATE(A6059,""bn"",""en"")"),"He joined the revolutionary political party Yugantar")</f>
        <v>He joined the revolutionary political party Yugantar</v>
      </c>
      <c r="C6059" s="8" t="s">
        <v>13</v>
      </c>
      <c r="D6059" s="8" t="s">
        <v>14</v>
      </c>
      <c r="E6059" s="8">
        <v>1</v>
      </c>
    </row>
    <row r="6060" spans="1:5" ht="15.75" customHeight="1" x14ac:dyDescent="0.25">
      <c r="A6060" s="6" t="s">
        <v>5863</v>
      </c>
      <c r="B6060" s="6" t="str">
        <f ca="1">IFERROR(__xludf.DUMMYFUNCTION("GOOGLETRANSLATE(A6060,""bn"",""en"")"),"Rameswaram was a great city then")</f>
        <v>Rameswaram was a great city then</v>
      </c>
      <c r="C6060" s="8" t="s">
        <v>13</v>
      </c>
      <c r="D6060" s="8" t="s">
        <v>14</v>
      </c>
      <c r="E6060" s="8">
        <v>1</v>
      </c>
    </row>
    <row r="6061" spans="1:5" ht="15.75" customHeight="1" x14ac:dyDescent="0.25">
      <c r="A6061" s="6" t="s">
        <v>5864</v>
      </c>
      <c r="B6061" s="6" t="str">
        <f ca="1">IFERROR(__xludf.DUMMYFUNCTION("GOOGLETRANSLATE(A6061,""bn"",""en"")"),"Syphilus' opinion: Honesty in word and deed is justice")</f>
        <v>Syphilus' opinion: Honesty in word and deed is justice</v>
      </c>
      <c r="C6061" s="8" t="s">
        <v>13</v>
      </c>
      <c r="D6061" s="8" t="s">
        <v>14</v>
      </c>
      <c r="E6061" s="8">
        <v>1</v>
      </c>
    </row>
    <row r="6062" spans="1:5" ht="15.75" customHeight="1" x14ac:dyDescent="0.25">
      <c r="A6062" s="6" t="s">
        <v>2797</v>
      </c>
      <c r="B6062" s="6" t="str">
        <f ca="1">IFERROR(__xludf.DUMMYFUNCTION("GOOGLETRANSLATE(A6062,""bn"",""en"")"),"The gap between is very small")</f>
        <v>The gap between is very small</v>
      </c>
      <c r="C6062" s="7" t="s">
        <v>6</v>
      </c>
      <c r="D6062" s="7" t="s">
        <v>7</v>
      </c>
      <c r="E6062" s="7">
        <v>0</v>
      </c>
    </row>
    <row r="6063" spans="1:5" ht="15.75" customHeight="1" x14ac:dyDescent="0.25">
      <c r="A6063" s="6" t="s">
        <v>5865</v>
      </c>
      <c r="B6063" s="6" t="str">
        <f ca="1">IFERROR(__xludf.DUMMYFUNCTION("GOOGLETRANSLATE(A6063,""bn"",""en"")"),"He sat up with folded hands and said no way")</f>
        <v>He sat up with folded hands and said no way</v>
      </c>
      <c r="C6063" s="7" t="s">
        <v>6</v>
      </c>
      <c r="D6063" s="7" t="s">
        <v>7</v>
      </c>
      <c r="E6063" s="7">
        <v>0</v>
      </c>
    </row>
    <row r="6064" spans="1:5" ht="15.75" customHeight="1" x14ac:dyDescent="0.25">
      <c r="A6064" s="6" t="s">
        <v>4791</v>
      </c>
      <c r="B6064" s="6" t="str">
        <f ca="1">IFERROR(__xludf.DUMMYFUNCTION("GOOGLETRANSLATE(A6064,""bn"",""en"")"),"There is not a single large tree in the shal, but all are like our native kadamba trees, but some large ones.")</f>
        <v>There is not a single large tree in the shal, but all are like our native kadamba trees, but some large ones.</v>
      </c>
      <c r="C6064" s="7" t="s">
        <v>6</v>
      </c>
      <c r="D6064" s="7" t="s">
        <v>7</v>
      </c>
      <c r="E6064" s="7">
        <v>0</v>
      </c>
    </row>
    <row r="6065" spans="1:5" ht="15.75" customHeight="1" x14ac:dyDescent="0.25">
      <c r="A6065" s="6" t="s">
        <v>5196</v>
      </c>
      <c r="B6065" s="6" t="str">
        <f ca="1">IFERROR(__xludf.DUMMYFUNCTION("GOOGLETRANSLATE(A6065,""bn"",""en"")"),"After another two or three steps, the dark forest was visible in all directions.")</f>
        <v>After another two or three steps, the dark forest was visible in all directions.</v>
      </c>
      <c r="C6065" s="7" t="s">
        <v>6</v>
      </c>
      <c r="D6065" s="7" t="s">
        <v>7</v>
      </c>
      <c r="E6065" s="7">
        <v>0</v>
      </c>
    </row>
    <row r="6066" spans="1:5" ht="15.75" customHeight="1" x14ac:dyDescent="0.25">
      <c r="A6066" s="6" t="s">
        <v>5866</v>
      </c>
      <c r="B6066" s="6" t="str">
        <f ca="1">IFERROR(__xludf.DUMMYFUNCTION("GOOGLETRANSLATE(A6066,""bn"",""en"")"),"We heard that when Maharaj Hindu Churamani came, we saw palandu in front of your pakshala.")</f>
        <v>We heard that when Maharaj Hindu Churamani came, we saw palandu in front of your pakshala.</v>
      </c>
      <c r="C6066" s="7" t="s">
        <v>6</v>
      </c>
      <c r="D6066" s="7" t="s">
        <v>7</v>
      </c>
      <c r="E6066" s="7">
        <v>0</v>
      </c>
    </row>
    <row r="6067" spans="1:5" ht="15.75" customHeight="1" x14ac:dyDescent="0.25">
      <c r="A6067" s="6" t="s">
        <v>5867</v>
      </c>
      <c r="B6067" s="6" t="str">
        <f ca="1">IFERROR(__xludf.DUMMYFUNCTION("GOOGLETRANSLATE(A6067,""bn"",""en"")"),"Raju Saju went to play")</f>
        <v>Raju Saju went to play</v>
      </c>
      <c r="C6067" s="8" t="s">
        <v>13</v>
      </c>
      <c r="D6067" s="8" t="s">
        <v>14</v>
      </c>
      <c r="E6067" s="8">
        <v>1</v>
      </c>
    </row>
    <row r="6068" spans="1:5" ht="15.75" customHeight="1" x14ac:dyDescent="0.25">
      <c r="A6068" s="6" t="s">
        <v>5868</v>
      </c>
      <c r="B6068" s="6" t="str">
        <f ca="1">IFERROR(__xludf.DUMMYFUNCTION("GOOGLETRANSLATE(A6068,""bn"",""en"")"),"Always include dynamic stretching")</f>
        <v>Always include dynamic stretching</v>
      </c>
      <c r="C6068" s="8" t="s">
        <v>13</v>
      </c>
      <c r="D6068" s="8" t="s">
        <v>14</v>
      </c>
      <c r="E6068" s="8">
        <v>1</v>
      </c>
    </row>
    <row r="6069" spans="1:5" ht="15.75" customHeight="1" x14ac:dyDescent="0.25">
      <c r="A6069" s="6" t="s">
        <v>5869</v>
      </c>
      <c r="B6069" s="6" t="str">
        <f ca="1">IFERROR(__xludf.DUMMYFUNCTION("GOOGLETRANSLATE(A6069,""bn"",""en"")"),"He who is full of all evils is pure")</f>
        <v>He who is full of all evils is pure</v>
      </c>
      <c r="C6069" s="8" t="s">
        <v>13</v>
      </c>
      <c r="D6069" s="8" t="s">
        <v>14</v>
      </c>
      <c r="E6069" s="8">
        <v>1</v>
      </c>
    </row>
    <row r="6070" spans="1:5" ht="15.75" customHeight="1" x14ac:dyDescent="0.25">
      <c r="A6070" s="6" t="s">
        <v>5870</v>
      </c>
      <c r="B6070" s="6" t="str">
        <f ca="1">IFERROR(__xludf.DUMMYFUNCTION("GOOGLETRANSLATE(A6070,""bn"",""en"")"),"He was very religious in appearance and intelligence")</f>
        <v>He was very religious in appearance and intelligence</v>
      </c>
      <c r="C6070" s="8" t="s">
        <v>13</v>
      </c>
      <c r="D6070" s="8" t="s">
        <v>14</v>
      </c>
      <c r="E6070" s="8">
        <v>1</v>
      </c>
    </row>
    <row r="6071" spans="1:5" ht="15.75" customHeight="1" x14ac:dyDescent="0.25">
      <c r="A6071" s="6" t="s">
        <v>5871</v>
      </c>
      <c r="B6071" s="6" t="str">
        <f ca="1">IFERROR(__xludf.DUMMYFUNCTION("GOOGLETRANSLATE(A6071,""bn"",""en"")"),"Nourishing soup provides comfort during sickness")</f>
        <v>Nourishing soup provides comfort during sickness</v>
      </c>
      <c r="C6071" s="8" t="s">
        <v>13</v>
      </c>
      <c r="D6071" s="8" t="s">
        <v>14</v>
      </c>
      <c r="E6071" s="8">
        <v>1</v>
      </c>
    </row>
    <row r="6072" spans="1:5" ht="15.75" customHeight="1" x14ac:dyDescent="0.25">
      <c r="A6072" s="6" t="s">
        <v>5872</v>
      </c>
      <c r="B6072" s="6" t="str">
        <f ca="1">IFERROR(__xludf.DUMMYFUNCTION("GOOGLETRANSLATE(A6072,""bn"",""en"")"),"I also care about it")</f>
        <v>I also care about it</v>
      </c>
      <c r="C6072" s="7" t="s">
        <v>6</v>
      </c>
      <c r="D6072" s="7" t="s">
        <v>7</v>
      </c>
      <c r="E6072" s="7">
        <v>0</v>
      </c>
    </row>
    <row r="6073" spans="1:5" ht="15.75" customHeight="1" x14ac:dyDescent="0.25">
      <c r="A6073" s="6" t="s">
        <v>5873</v>
      </c>
      <c r="B6073" s="6" t="str">
        <f ca="1">IFERROR(__xludf.DUMMYFUNCTION("GOOGLETRANSLATE(A6073,""bn"",""en"")"),"The flowers of the mulberry fall like a saffron and almost cover the tree floor")</f>
        <v>The flowers of the mulberry fall like a saffron and almost cover the tree floor</v>
      </c>
      <c r="C6073" s="7" t="s">
        <v>6</v>
      </c>
      <c r="D6073" s="7" t="s">
        <v>7</v>
      </c>
      <c r="E6073" s="7">
        <v>0</v>
      </c>
    </row>
    <row r="6074" spans="1:5" ht="15.75" customHeight="1" x14ac:dyDescent="0.25">
      <c r="A6074" s="6" t="s">
        <v>5874</v>
      </c>
      <c r="B6074" s="6" t="str">
        <f ca="1">IFERROR(__xludf.DUMMYFUNCTION("GOOGLETRANSLATE(A6074,""bn"",""en"")"),"As if something really went wrong between us")</f>
        <v>As if something really went wrong between us</v>
      </c>
      <c r="C6074" s="7" t="s">
        <v>6</v>
      </c>
      <c r="D6074" s="7" t="s">
        <v>7</v>
      </c>
      <c r="E6074" s="7">
        <v>0</v>
      </c>
    </row>
    <row r="6075" spans="1:5" ht="15.75" customHeight="1" x14ac:dyDescent="0.25">
      <c r="A6075" s="6" t="s">
        <v>5875</v>
      </c>
      <c r="B6075" s="6" t="str">
        <f ca="1">IFERROR(__xludf.DUMMYFUNCTION("GOOGLETRANSLATE(A6075,""bn"",""en"")"),"After emptying the cupboard, Surbala sat down and decorated the tower")</f>
        <v>After emptying the cupboard, Surbala sat down and decorated the tower</v>
      </c>
      <c r="C6075" s="7" t="s">
        <v>6</v>
      </c>
      <c r="D6075" s="7" t="s">
        <v>7</v>
      </c>
      <c r="E6075" s="7">
        <v>0</v>
      </c>
    </row>
    <row r="6076" spans="1:5" ht="15.75" customHeight="1" x14ac:dyDescent="0.25">
      <c r="A6076" s="6" t="s">
        <v>5876</v>
      </c>
      <c r="B6076" s="6" t="str">
        <f ca="1">IFERROR(__xludf.DUMMYFUNCTION("GOOGLETRANSLATE(A6076,""bn"",""en"")"),"Remember everything from the beginning to the end")</f>
        <v>Remember everything from the beginning to the end</v>
      </c>
      <c r="C6076" s="7" t="s">
        <v>6</v>
      </c>
      <c r="D6076" s="7" t="s">
        <v>7</v>
      </c>
      <c r="E6076" s="7">
        <v>0</v>
      </c>
    </row>
    <row r="6077" spans="1:5" ht="15.75" customHeight="1" x14ac:dyDescent="0.25">
      <c r="A6077" s="6" t="s">
        <v>5877</v>
      </c>
      <c r="B6077" s="6" t="str">
        <f ca="1">IFERROR(__xludf.DUMMYFUNCTION("GOOGLETRANSLATE(A6077,""bn"",""en"")"),"In no time their bus had left the city and was on the main road")</f>
        <v>In no time their bus had left the city and was on the main road</v>
      </c>
      <c r="C6077" s="8" t="s">
        <v>13</v>
      </c>
      <c r="D6077" s="8" t="s">
        <v>14</v>
      </c>
      <c r="E6077" s="8">
        <v>1</v>
      </c>
    </row>
    <row r="6078" spans="1:5" ht="15.75" customHeight="1" x14ac:dyDescent="0.25">
      <c r="A6078" s="6" t="s">
        <v>5878</v>
      </c>
      <c r="B6078" s="6" t="str">
        <f ca="1">IFERROR(__xludf.DUMMYFUNCTION("GOOGLETRANSLATE(A6078,""bn"",""en"")"),"The book is very good they said")</f>
        <v>The book is very good they said</v>
      </c>
      <c r="C6078" s="8" t="s">
        <v>13</v>
      </c>
      <c r="D6078" s="8" t="s">
        <v>14</v>
      </c>
      <c r="E6078" s="8">
        <v>1</v>
      </c>
    </row>
    <row r="6079" spans="1:5" ht="15.75" customHeight="1" x14ac:dyDescent="0.25">
      <c r="A6079" s="6" t="s">
        <v>5879</v>
      </c>
      <c r="B6079" s="6" t="str">
        <f ca="1">IFERROR(__xludf.DUMMYFUNCTION("GOOGLETRANSLATE(A6079,""bn"",""en"")"),"Newsrooms are hubs of activity where journalists work against tight deadlines")</f>
        <v>Newsrooms are hubs of activity where journalists work against tight deadlines</v>
      </c>
      <c r="C6079" s="8" t="s">
        <v>13</v>
      </c>
      <c r="D6079" s="8" t="s">
        <v>14</v>
      </c>
      <c r="E6079" s="8">
        <v>1</v>
      </c>
    </row>
    <row r="6080" spans="1:5" ht="15.75" customHeight="1" x14ac:dyDescent="0.25">
      <c r="A6080" s="6" t="s">
        <v>5880</v>
      </c>
      <c r="B6080" s="6" t="str">
        <f ca="1">IFERROR(__xludf.DUMMYFUNCTION("GOOGLETRANSLATE(A6080,""bn"",""en"")"),"Feeling uncertain about the future brings anxiety")</f>
        <v>Feeling uncertain about the future brings anxiety</v>
      </c>
      <c r="C6080" s="8" t="s">
        <v>13</v>
      </c>
      <c r="D6080" s="8" t="s">
        <v>14</v>
      </c>
      <c r="E6080" s="8">
        <v>1</v>
      </c>
    </row>
    <row r="6081" spans="1:5" ht="15.75" customHeight="1" x14ac:dyDescent="0.25">
      <c r="A6081" s="6" t="s">
        <v>5881</v>
      </c>
      <c r="B6081" s="6" t="str">
        <f ca="1">IFERROR(__xludf.DUMMYFUNCTION("GOOGLETRANSLATE(A6081,""bn"",""en"")"),"Father asked me to go to Bogra today")</f>
        <v>Father asked me to go to Bogra today</v>
      </c>
      <c r="C6081" s="8" t="s">
        <v>13</v>
      </c>
      <c r="D6081" s="8" t="s">
        <v>14</v>
      </c>
      <c r="E6081" s="8">
        <v>1</v>
      </c>
    </row>
    <row r="6082" spans="1:5" ht="15.75" customHeight="1" x14ac:dyDescent="0.25">
      <c r="A6082" s="6" t="s">
        <v>5882</v>
      </c>
      <c r="B6082" s="6" t="str">
        <f ca="1">IFERROR(__xludf.DUMMYFUNCTION("GOOGLETRANSLATE(A6082,""bn"",""en"")"),"I went to travel to Bogra")</f>
        <v>I went to travel to Bogra</v>
      </c>
      <c r="C6082" s="7" t="s">
        <v>6</v>
      </c>
      <c r="D6082" s="7" t="s">
        <v>7</v>
      </c>
      <c r="E6082" s="7">
        <v>0</v>
      </c>
    </row>
    <row r="6083" spans="1:5" ht="15.75" customHeight="1" x14ac:dyDescent="0.25">
      <c r="A6083" s="6" t="s">
        <v>4492</v>
      </c>
      <c r="B6083" s="6" t="str">
        <f ca="1">IFERROR(__xludf.DUMMYFUNCTION("GOOGLETRANSLATE(A6083,""bn"",""en"")"),"I didn't notice it before because it happened later")</f>
        <v>I didn't notice it before because it happened later</v>
      </c>
      <c r="C6083" s="7" t="s">
        <v>6</v>
      </c>
      <c r="D6083" s="7" t="s">
        <v>7</v>
      </c>
      <c r="E6083" s="7">
        <v>0</v>
      </c>
    </row>
    <row r="6084" spans="1:5" ht="15.75" customHeight="1" x14ac:dyDescent="0.25">
      <c r="A6084" s="6" t="s">
        <v>5883</v>
      </c>
      <c r="B6084" s="6" t="str">
        <f ca="1">IFERROR(__xludf.DUMMYFUNCTION("GOOGLETRANSLATE(A6084,""bn"",""en"")"),"Every moment a new photo is being photographed in our hearts")</f>
        <v>Every moment a new photo is being photographed in our hearts</v>
      </c>
      <c r="C6084" s="7" t="s">
        <v>6</v>
      </c>
      <c r="D6084" s="7" t="s">
        <v>7</v>
      </c>
      <c r="E6084" s="7">
        <v>0</v>
      </c>
    </row>
    <row r="6085" spans="1:5" ht="15.75" customHeight="1" x14ac:dyDescent="0.25">
      <c r="A6085" s="6" t="s">
        <v>5884</v>
      </c>
      <c r="B6085" s="6" t="str">
        <f ca="1">IFERROR(__xludf.DUMMYFUNCTION("GOOGLETRANSLATE(A6085,""bn"",""en"")"),"After lighting the lamp, he opened the box and gave a pair of thick silver anklets in Jhi's hand and said, ""Let your daughter wear it, Jhi.""")</f>
        <v>After lighting the lamp, he opened the box and gave a pair of thick silver anklets in Jhi's hand and said, "Let your daughter wear it, Jhi."</v>
      </c>
      <c r="C6085" s="7" t="s">
        <v>6</v>
      </c>
      <c r="D6085" s="7" t="s">
        <v>7</v>
      </c>
      <c r="E6085" s="7">
        <v>0</v>
      </c>
    </row>
    <row r="6086" spans="1:5" ht="15.75" customHeight="1" x14ac:dyDescent="0.25">
      <c r="A6086" s="6" t="s">
        <v>5885</v>
      </c>
      <c r="B6086" s="6" t="str">
        <f ca="1">IFERROR(__xludf.DUMMYFUNCTION("GOOGLETRANSLATE(A6086,""bn"",""en"")"),"Sarojini's own eyes began to water")</f>
        <v>Sarojini's own eyes began to water</v>
      </c>
      <c r="C6086" s="7" t="s">
        <v>6</v>
      </c>
      <c r="D6086" s="7" t="s">
        <v>7</v>
      </c>
      <c r="E6086" s="7">
        <v>0</v>
      </c>
    </row>
    <row r="6087" spans="1:5" ht="15.75" customHeight="1" x14ac:dyDescent="0.25">
      <c r="A6087" s="6" t="s">
        <v>5886</v>
      </c>
      <c r="B6087" s="6" t="str">
        <f ca="1">IFERROR(__xludf.DUMMYFUNCTION("GOOGLETRANSLATE(A6087,""bn"",""en"")"),"The smell of salt hung heavy in the air, carried on the breeze from the nearby ocean")</f>
        <v>The smell of salt hung heavy in the air, carried on the breeze from the nearby ocean</v>
      </c>
      <c r="C6087" s="8" t="s">
        <v>13</v>
      </c>
      <c r="D6087" s="8" t="s">
        <v>14</v>
      </c>
      <c r="E6087" s="8">
        <v>1</v>
      </c>
    </row>
    <row r="6088" spans="1:5" ht="15.75" customHeight="1" x14ac:dyDescent="0.25">
      <c r="A6088" s="6" t="s">
        <v>5887</v>
      </c>
      <c r="B6088" s="6" t="str">
        <f ca="1">IFERROR(__xludf.DUMMYFUNCTION("GOOGLETRANSLATE(A6088,""bn"",""en"")"),"The king told them to do it")</f>
        <v>The king told them to do it</v>
      </c>
      <c r="C6088" s="8" t="s">
        <v>13</v>
      </c>
      <c r="D6088" s="8" t="s">
        <v>14</v>
      </c>
      <c r="E6088" s="8">
        <v>1</v>
      </c>
    </row>
    <row r="6089" spans="1:5" ht="15.75" customHeight="1" x14ac:dyDescent="0.25">
      <c r="A6089" s="6" t="s">
        <v>5888</v>
      </c>
      <c r="B6089" s="6" t="str">
        <f ca="1">IFERROR(__xludf.DUMMYFUNCTION("GOOGLETRANSLATE(A6089,""bn"",""en"")"),"Sujan prayed in her room")</f>
        <v>Sujan prayed in her room</v>
      </c>
      <c r="C6089" s="8" t="s">
        <v>13</v>
      </c>
      <c r="D6089" s="8" t="s">
        <v>14</v>
      </c>
      <c r="E6089" s="8">
        <v>1</v>
      </c>
    </row>
    <row r="6090" spans="1:5" ht="15.75" customHeight="1" x14ac:dyDescent="0.25">
      <c r="A6090" s="6" t="s">
        <v>5889</v>
      </c>
      <c r="B6090" s="6" t="str">
        <f ca="1">IFERROR(__xludf.DUMMYFUNCTION("GOOGLETRANSLATE(A6090,""bn"",""en"")"),"Facing rejection made me doubt my self-worth")</f>
        <v>Facing rejection made me doubt my self-worth</v>
      </c>
      <c r="C6090" s="8" t="s">
        <v>13</v>
      </c>
      <c r="D6090" s="8" t="s">
        <v>14</v>
      </c>
      <c r="E6090" s="8">
        <v>1</v>
      </c>
    </row>
    <row r="6091" spans="1:5" ht="15.75" customHeight="1" x14ac:dyDescent="0.25">
      <c r="A6091" s="6" t="s">
        <v>5890</v>
      </c>
      <c r="B6091" s="6" t="str">
        <f ca="1">IFERROR(__xludf.DUMMYFUNCTION("GOOGLETRANSLATE(A6091,""bn"",""en"")"),"Explanation of the word Jarigan The word Jari means lamentation or lamentation")</f>
        <v>Explanation of the word Jarigan The word Jari means lamentation or lamentation</v>
      </c>
      <c r="C6091" s="8" t="s">
        <v>13</v>
      </c>
      <c r="D6091" s="8" t="s">
        <v>14</v>
      </c>
      <c r="E6091" s="8">
        <v>1</v>
      </c>
    </row>
    <row r="6092" spans="1:5" ht="15.75" customHeight="1" x14ac:dyDescent="0.25">
      <c r="A6092" s="6" t="s">
        <v>5891</v>
      </c>
      <c r="B6092" s="6" t="str">
        <f ca="1">IFERROR(__xludf.DUMMYFUNCTION("GOOGLETRANSLATE(A6092,""bn"",""en"")"),"When the arrangement is complete, the maiden gets up and goes alone to fetch water with the garri")</f>
        <v>When the arrangement is complete, the maiden gets up and goes alone to fetch water with the garri</v>
      </c>
      <c r="C6092" s="7" t="s">
        <v>6</v>
      </c>
      <c r="D6092" s="7" t="s">
        <v>7</v>
      </c>
      <c r="E6092" s="7">
        <v>0</v>
      </c>
    </row>
    <row r="6093" spans="1:5" ht="15.75" customHeight="1" x14ac:dyDescent="0.25">
      <c r="A6093" s="6" t="s">
        <v>5892</v>
      </c>
      <c r="B6093" s="6" t="str">
        <f ca="1">IFERROR(__xludf.DUMMYFUNCTION("GOOGLETRANSLATE(A6093,""bn"",""en"")"),"He came to the outer living room and entered")</f>
        <v>He came to the outer living room and entered</v>
      </c>
      <c r="C6093" s="7" t="s">
        <v>6</v>
      </c>
      <c r="D6093" s="7" t="s">
        <v>7</v>
      </c>
      <c r="E6093" s="7">
        <v>0</v>
      </c>
    </row>
    <row r="6094" spans="1:5" ht="15.75" customHeight="1" x14ac:dyDescent="0.25">
      <c r="A6094" s="6" t="s">
        <v>5893</v>
      </c>
      <c r="B6094" s="6" t="str">
        <f ca="1">IFERROR(__xludf.DUMMYFUNCTION("GOOGLETRANSLATE(A6094,""bn"",""en"")"),"He has done a lot for you")</f>
        <v>He has done a lot for you</v>
      </c>
      <c r="C6094" s="7" t="s">
        <v>6</v>
      </c>
      <c r="D6094" s="7" t="s">
        <v>7</v>
      </c>
      <c r="E6094" s="7">
        <v>0</v>
      </c>
    </row>
    <row r="6095" spans="1:5" ht="15.75" customHeight="1" x14ac:dyDescent="0.25">
      <c r="A6095" s="6" t="s">
        <v>5894</v>
      </c>
      <c r="B6095" s="6" t="str">
        <f ca="1">IFERROR(__xludf.DUMMYFUNCTION("GOOGLETRANSLATE(A6095,""bn"",""en"")"),"That day, I woke up without knowing how")</f>
        <v>That day, I woke up without knowing how</v>
      </c>
      <c r="C6095" s="7" t="s">
        <v>6</v>
      </c>
      <c r="D6095" s="7" t="s">
        <v>7</v>
      </c>
      <c r="E6095" s="7">
        <v>0</v>
      </c>
    </row>
    <row r="6096" spans="1:5" ht="15.75" customHeight="1" x14ac:dyDescent="0.25">
      <c r="A6096" s="6" t="s">
        <v>5895</v>
      </c>
      <c r="B6096" s="6" t="str">
        <f ca="1">IFERROR(__xludf.DUMMYFUNCTION("GOOGLETRANSLATE(A6096,""bn"",""en"")"),"The unsettled fickle horse is just kicking")</f>
        <v>The unsettled fickle horse is just kicking</v>
      </c>
      <c r="C6096" s="7" t="s">
        <v>6</v>
      </c>
      <c r="D6096" s="7" t="s">
        <v>7</v>
      </c>
      <c r="E6096" s="7">
        <v>0</v>
      </c>
    </row>
    <row r="6097" spans="1:5" ht="15.75" customHeight="1" x14ac:dyDescent="0.25">
      <c r="A6097" s="6" t="s">
        <v>5896</v>
      </c>
      <c r="B6097" s="6" t="str">
        <f ca="1">IFERROR(__xludf.DUMMYFUNCTION("GOOGLETRANSLATE(A6097,""bn"",""en"")"),"Drawing expresses my creativity")</f>
        <v>Drawing expresses my creativity</v>
      </c>
      <c r="C6097" s="8" t="s">
        <v>13</v>
      </c>
      <c r="D6097" s="8" t="s">
        <v>14</v>
      </c>
      <c r="E6097" s="8">
        <v>1</v>
      </c>
    </row>
    <row r="6098" spans="1:5" ht="15.75" customHeight="1" x14ac:dyDescent="0.25">
      <c r="A6098" s="6" t="s">
        <v>5897</v>
      </c>
      <c r="B6098" s="6" t="str">
        <f ca="1">IFERROR(__xludf.DUMMYFUNCTION("GOOGLETRANSLATE(A6098,""bn"",""en"")"),"The interest to do something new is created from that")</f>
        <v>The interest to do something new is created from that</v>
      </c>
      <c r="C6098" s="8" t="s">
        <v>13</v>
      </c>
      <c r="D6098" s="8" t="s">
        <v>14</v>
      </c>
      <c r="E6098" s="8">
        <v>1</v>
      </c>
    </row>
    <row r="6099" spans="1:5" ht="15.75" customHeight="1" x14ac:dyDescent="0.25">
      <c r="A6099" s="6" t="s">
        <v>5898</v>
      </c>
      <c r="B6099" s="6" t="str">
        <f ca="1">IFERROR(__xludf.DUMMYFUNCTION("GOOGLETRANSLATE(A6099,""bn"",""en"")"),"Time management skills optimize workflow")</f>
        <v>Time management skills optimize workflow</v>
      </c>
      <c r="C6099" s="8" t="s">
        <v>13</v>
      </c>
      <c r="D6099" s="8" t="s">
        <v>14</v>
      </c>
      <c r="E6099" s="8">
        <v>1</v>
      </c>
    </row>
    <row r="6100" spans="1:5" ht="15.75" customHeight="1" x14ac:dyDescent="0.25">
      <c r="A6100" s="6" t="s">
        <v>5899</v>
      </c>
      <c r="B6100" s="6" t="str">
        <f ca="1">IFERROR(__xludf.DUMMYFUNCTION("GOOGLETRANSLATE(A6100,""bn"",""en"")"),"It is a ground attack bomber")</f>
        <v>It is a ground attack bomber</v>
      </c>
      <c r="C6100" s="8" t="s">
        <v>13</v>
      </c>
      <c r="D6100" s="8" t="s">
        <v>14</v>
      </c>
      <c r="E6100" s="8">
        <v>1</v>
      </c>
    </row>
    <row r="6101" spans="1:5" ht="15.75" customHeight="1" x14ac:dyDescent="0.25">
      <c r="A6101" s="6" t="s">
        <v>5900</v>
      </c>
      <c r="B6101" s="6" t="str">
        <f ca="1">IFERROR(__xludf.DUMMYFUNCTION("GOOGLETRANSLATE(A6101,""bn"",""en"")"),"Irtajuddin almost jumped up saying Bap Ray")</f>
        <v>Irtajuddin almost jumped up saying Bap Ray</v>
      </c>
      <c r="C6101" s="8" t="s">
        <v>13</v>
      </c>
      <c r="D6101" s="8" t="s">
        <v>14</v>
      </c>
      <c r="E6101" s="8">
        <v>1</v>
      </c>
    </row>
    <row r="6102" spans="1:5" ht="15.75" customHeight="1" x14ac:dyDescent="0.25">
      <c r="A6102" s="6" t="s">
        <v>5901</v>
      </c>
      <c r="B6102" s="6" t="str">
        <f ca="1">IFERROR(__xludf.DUMMYFUNCTION("GOOGLETRANSLATE(A6102,""bn"",""en"")"),"In the mountain forest, he makes the sound even more soothing")</f>
        <v>In the mountain forest, he makes the sound even more soothing</v>
      </c>
      <c r="C6102" s="7" t="s">
        <v>6</v>
      </c>
      <c r="D6102" s="7" t="s">
        <v>7</v>
      </c>
      <c r="E6102" s="7">
        <v>0</v>
      </c>
    </row>
    <row r="6103" spans="1:5" ht="15.75" customHeight="1" x14ac:dyDescent="0.25">
      <c r="A6103" s="6" t="s">
        <v>5902</v>
      </c>
      <c r="B6103" s="6" t="str">
        <f ca="1">IFERROR(__xludf.DUMMYFUNCTION("GOOGLETRANSLATE(A6103,""bn"",""en"")"),"Touching Govardhan is more insulting to the corpse than that")</f>
        <v>Touching Govardhan is more insulting to the corpse than that</v>
      </c>
      <c r="C6103" s="7" t="s">
        <v>6</v>
      </c>
      <c r="D6103" s="7" t="s">
        <v>7</v>
      </c>
      <c r="E6103" s="7">
        <v>0</v>
      </c>
    </row>
    <row r="6104" spans="1:5" ht="15.75" customHeight="1" x14ac:dyDescent="0.25">
      <c r="A6104" s="6" t="s">
        <v>5903</v>
      </c>
      <c r="B6104" s="6" t="str">
        <f ca="1">IFERROR(__xludf.DUMMYFUNCTION("GOOGLETRANSLATE(A6104,""bn"",""en"")"),"Will go for a ride in the car tomorrow morning")</f>
        <v>Will go for a ride in the car tomorrow morning</v>
      </c>
      <c r="C6104" s="7" t="s">
        <v>6</v>
      </c>
      <c r="D6104" s="7" t="s">
        <v>7</v>
      </c>
      <c r="E6104" s="7">
        <v>0</v>
      </c>
    </row>
    <row r="6105" spans="1:5" ht="15.75" customHeight="1" x14ac:dyDescent="0.25">
      <c r="A6105" s="6" t="s">
        <v>5904</v>
      </c>
      <c r="B6105" s="6" t="str">
        <f ca="1">IFERROR(__xludf.DUMMYFUNCTION("GOOGLETRANSLATE(A6105,""bn"",""en"")"),"As if they themselves had come and sat down, the young women were touching the ground with both hands and holding a bowl of salpatra in both hands and drinking alcohol.")</f>
        <v>As if they themselves had come and sat down, the young women were touching the ground with both hands and holding a bowl of salpatra in both hands and drinking alcohol.</v>
      </c>
      <c r="C6105" s="7" t="s">
        <v>6</v>
      </c>
      <c r="D6105" s="7" t="s">
        <v>7</v>
      </c>
      <c r="E6105" s="7">
        <v>0</v>
      </c>
    </row>
    <row r="6106" spans="1:5" ht="15.75" customHeight="1" x14ac:dyDescent="0.25">
      <c r="A6106" s="6" t="s">
        <v>5905</v>
      </c>
      <c r="B6106" s="6" t="str">
        <f ca="1">IFERROR(__xludf.DUMMYFUNCTION("GOOGLETRANSLATE(A6106,""bn"",""en"")"),"At the other end of the bedroom, the doctor is sitting on a chair with a medical book open on a small table.")</f>
        <v>At the other end of the bedroom, the doctor is sitting on a chair with a medical book open on a small table.</v>
      </c>
      <c r="C6106" s="7" t="s">
        <v>6</v>
      </c>
      <c r="D6106" s="7" t="s">
        <v>7</v>
      </c>
      <c r="E6106" s="7">
        <v>0</v>
      </c>
    </row>
    <row r="6107" spans="1:5" ht="15.75" customHeight="1" x14ac:dyDescent="0.25">
      <c r="A6107" s="6" t="s">
        <v>832</v>
      </c>
      <c r="B6107" s="6" t="str">
        <f ca="1">IFERROR(__xludf.DUMMYFUNCTION("GOOGLETRANSLATE(A6107,""bn"",""en"")"),"Many people used to wait for me when I would take the newspaper")</f>
        <v>Many people used to wait for me when I would take the newspaper</v>
      </c>
      <c r="C6107" s="8" t="s">
        <v>13</v>
      </c>
      <c r="D6107" s="8" t="s">
        <v>14</v>
      </c>
      <c r="E6107" s="8">
        <v>1</v>
      </c>
    </row>
    <row r="6108" spans="1:5" ht="15.75" customHeight="1" x14ac:dyDescent="0.25">
      <c r="A6108" s="6" t="s">
        <v>5906</v>
      </c>
      <c r="B6108" s="6" t="str">
        <f ca="1">IFERROR(__xludf.DUMMYFUNCTION("GOOGLETRANSLATE(A6108,""bn"",""en"")"),"Classroom management techniques facilitate a conducive learning environment")</f>
        <v>Classroom management techniques facilitate a conducive learning environment</v>
      </c>
      <c r="C6108" s="8" t="s">
        <v>13</v>
      </c>
      <c r="D6108" s="8" t="s">
        <v>14</v>
      </c>
      <c r="E6108" s="8">
        <v>1</v>
      </c>
    </row>
    <row r="6109" spans="1:5" ht="15.75" customHeight="1" x14ac:dyDescent="0.25">
      <c r="A6109" s="6" t="s">
        <v>5907</v>
      </c>
      <c r="B6109" s="6" t="str">
        <f ca="1">IFERROR(__xludf.DUMMYFUNCTION("GOOGLETRANSLATE(A6109,""bn"",""en"")"),"Magic skills add excitement")</f>
        <v>Magic skills add excitement</v>
      </c>
      <c r="C6109" s="8" t="s">
        <v>13</v>
      </c>
      <c r="D6109" s="8" t="s">
        <v>14</v>
      </c>
      <c r="E6109" s="8">
        <v>1</v>
      </c>
    </row>
    <row r="6110" spans="1:5" ht="15.75" customHeight="1" x14ac:dyDescent="0.25">
      <c r="A6110" s="6" t="s">
        <v>5908</v>
      </c>
      <c r="B6110" s="6" t="str">
        <f ca="1">IFERROR(__xludf.DUMMYFUNCTION("GOOGLETRANSLATE(A6110,""bn"",""en"")"),"Subh called me to his room")</f>
        <v>Subh called me to his room</v>
      </c>
      <c r="C6110" s="8" t="s">
        <v>13</v>
      </c>
      <c r="D6110" s="8" t="s">
        <v>14</v>
      </c>
      <c r="E6110" s="8">
        <v>1</v>
      </c>
    </row>
    <row r="6111" spans="1:5" ht="15.75" customHeight="1" x14ac:dyDescent="0.25">
      <c r="A6111" s="6" t="s">
        <v>5909</v>
      </c>
      <c r="B6111" s="6" t="str">
        <f ca="1">IFERROR(__xludf.DUMMYFUNCTION("GOOGLETRANSLATE(A6111,""bn"",""en"")"),"Setting up automatic contributions to your retirement account can help you save consistently over time")</f>
        <v>Setting up automatic contributions to your retirement account can help you save consistently over time</v>
      </c>
      <c r="C6111" s="8" t="s">
        <v>13</v>
      </c>
      <c r="D6111" s="8" t="s">
        <v>14</v>
      </c>
      <c r="E6111" s="8">
        <v>1</v>
      </c>
    </row>
    <row r="6112" spans="1:5" ht="15.75" customHeight="1" x14ac:dyDescent="0.25">
      <c r="A6112" s="6" t="s">
        <v>5910</v>
      </c>
      <c r="B6112" s="6" t="str">
        <f ca="1">IFERROR(__xludf.DUMMYFUNCTION("GOOGLETRANSLATE(A6112,""bn"",""en"")"),"Don't trouble yourself too much by thinking about the sand in my eyes")</f>
        <v>Don't trouble yourself too much by thinking about the sand in my eyes</v>
      </c>
      <c r="C6112" s="7" t="s">
        <v>6</v>
      </c>
      <c r="D6112" s="7" t="s">
        <v>7</v>
      </c>
      <c r="E6112" s="7">
        <v>0</v>
      </c>
    </row>
    <row r="6113" spans="1:5" ht="15.75" customHeight="1" x14ac:dyDescent="0.25">
      <c r="A6113" s="6" t="s">
        <v>4740</v>
      </c>
      <c r="B6113" s="6" t="str">
        <f ca="1">IFERROR(__xludf.DUMMYFUNCTION("GOOGLETRANSLATE(A6113,""bn"",""en"")"),"I shouted again, the sound echoed from above and below the mountain")</f>
        <v>I shouted again, the sound echoed from above and below the mountain</v>
      </c>
      <c r="C6113" s="7" t="s">
        <v>6</v>
      </c>
      <c r="D6113" s="7" t="s">
        <v>7</v>
      </c>
      <c r="E6113" s="7">
        <v>0</v>
      </c>
    </row>
    <row r="6114" spans="1:5" ht="15.75" customHeight="1" x14ac:dyDescent="0.25">
      <c r="A6114" s="6" t="s">
        <v>5911</v>
      </c>
      <c r="B6114" s="6" t="str">
        <f ca="1">IFERROR(__xludf.DUMMYFUNCTION("GOOGLETRANSLATE(A6114,""bn"",""en"")"),"Everyone's body is fragile due to age")</f>
        <v>Everyone's body is fragile due to age</v>
      </c>
      <c r="C6114" s="7" t="s">
        <v>6</v>
      </c>
      <c r="D6114" s="7" t="s">
        <v>7</v>
      </c>
      <c r="E6114" s="7">
        <v>0</v>
      </c>
    </row>
    <row r="6115" spans="1:5" ht="15.75" customHeight="1" x14ac:dyDescent="0.25">
      <c r="A6115" s="6" t="s">
        <v>5912</v>
      </c>
      <c r="B6115" s="6" t="str">
        <f ca="1">IFERROR(__xludf.DUMMYFUNCTION("GOOGLETRANSLATE(A6115,""bn"",""en"")"),"During the day they repair the rice of the householder and at night, if they get a chance, they water the house")</f>
        <v>During the day they repair the rice of the householder and at night, if they get a chance, they water the house</v>
      </c>
      <c r="C6115" s="7" t="s">
        <v>6</v>
      </c>
      <c r="D6115" s="7" t="s">
        <v>7</v>
      </c>
      <c r="E6115" s="7">
        <v>0</v>
      </c>
    </row>
    <row r="6116" spans="1:5" ht="15.75" customHeight="1" x14ac:dyDescent="0.25">
      <c r="A6116" s="6" t="s">
        <v>5913</v>
      </c>
      <c r="B6116" s="6" t="str">
        <f ca="1">IFERROR(__xludf.DUMMYFUNCTION("GOOGLETRANSLATE(A6116,""bn"",""en"")"),"We have declared ourselves civilized")</f>
        <v>We have declared ourselves civilized</v>
      </c>
      <c r="C6116" s="7" t="s">
        <v>6</v>
      </c>
      <c r="D6116" s="7" t="s">
        <v>7</v>
      </c>
      <c r="E6116" s="7">
        <v>0</v>
      </c>
    </row>
    <row r="6117" spans="1:5" ht="15.75" customHeight="1" x14ac:dyDescent="0.25">
      <c r="A6117" s="6" t="s">
        <v>5914</v>
      </c>
      <c r="B6117" s="6" t="str">
        <f ca="1">IFERROR(__xludf.DUMMYFUNCTION("GOOGLETRANSLATE(A6117,""bn"",""en"")"),"Tourism Cape Town is famous for its natural beauty and harbor")</f>
        <v>Tourism Cape Town is famous for its natural beauty and harbor</v>
      </c>
      <c r="C6117" s="8" t="s">
        <v>13</v>
      </c>
      <c r="D6117" s="8" t="s">
        <v>14</v>
      </c>
      <c r="E6117" s="8">
        <v>1</v>
      </c>
    </row>
    <row r="6118" spans="1:5" ht="15.75" customHeight="1" x14ac:dyDescent="0.25">
      <c r="A6118" s="6" t="s">
        <v>5915</v>
      </c>
      <c r="B6118" s="6" t="str">
        <f ca="1">IFERROR(__xludf.DUMMYFUNCTION("GOOGLETRANSLATE(A6118,""bn"",""en"")"),"I can do it well")</f>
        <v>I can do it well</v>
      </c>
      <c r="C6118" s="8" t="s">
        <v>13</v>
      </c>
      <c r="D6118" s="8" t="s">
        <v>14</v>
      </c>
      <c r="E6118" s="8">
        <v>1</v>
      </c>
    </row>
    <row r="6119" spans="1:5" ht="15.75" customHeight="1" x14ac:dyDescent="0.25">
      <c r="A6119" s="6" t="s">
        <v>5916</v>
      </c>
      <c r="B6119" s="6" t="str">
        <f ca="1">IFERROR(__xludf.DUMMYFUNCTION("GOOGLETRANSLATE(A6119,""bn"",""en"")"),"May Allah destroy them, they are going in the wrong direction")</f>
        <v>May Allah destroy them, they are going in the wrong direction</v>
      </c>
      <c r="C6119" s="8" t="s">
        <v>13</v>
      </c>
      <c r="D6119" s="8" t="s">
        <v>14</v>
      </c>
      <c r="E6119" s="8">
        <v>1</v>
      </c>
    </row>
    <row r="6120" spans="1:5" ht="15.75" customHeight="1" x14ac:dyDescent="0.25">
      <c r="A6120" s="6" t="s">
        <v>5917</v>
      </c>
      <c r="B6120" s="6" t="str">
        <f ca="1">IFERROR(__xludf.DUMMYFUNCTION("GOOGLETRANSLATE(A6120,""bn"",""en"")"),"My brother asked me to go to the village")</f>
        <v>My brother asked me to go to the village</v>
      </c>
      <c r="C6120" s="8" t="s">
        <v>13</v>
      </c>
      <c r="D6120" s="8" t="s">
        <v>14</v>
      </c>
      <c r="E6120" s="8">
        <v>1</v>
      </c>
    </row>
    <row r="6121" spans="1:5" ht="15.75" customHeight="1" x14ac:dyDescent="0.25">
      <c r="A6121" s="6" t="s">
        <v>5918</v>
      </c>
      <c r="B6121" s="6" t="str">
        <f ca="1">IFERROR(__xludf.DUMMYFUNCTION("GOOGLETRANSLATE(A6121,""bn"",""en"")"),"I will pray for you")</f>
        <v>I will pray for you</v>
      </c>
      <c r="C6121" s="8" t="s">
        <v>13</v>
      </c>
      <c r="D6121" s="8" t="s">
        <v>14</v>
      </c>
      <c r="E6121" s="8">
        <v>1</v>
      </c>
    </row>
    <row r="6122" spans="1:5" ht="15.75" customHeight="1" x14ac:dyDescent="0.25">
      <c r="A6122" s="6" t="s">
        <v>5919</v>
      </c>
      <c r="B6122" s="6" t="str">
        <f ca="1">IFERROR(__xludf.DUMMYFUNCTION("GOOGLETRANSLATE(A6122,""bn"",""en"")"),"The doctor frowned")</f>
        <v>The doctor frowned</v>
      </c>
      <c r="C6122" s="7" t="s">
        <v>6</v>
      </c>
      <c r="D6122" s="7" t="s">
        <v>7</v>
      </c>
      <c r="E6122" s="7">
        <v>0</v>
      </c>
    </row>
    <row r="6123" spans="1:5" ht="15.75" customHeight="1" x14ac:dyDescent="0.25">
      <c r="A6123" s="6" t="s">
        <v>5920</v>
      </c>
      <c r="B6123" s="6" t="str">
        <f ca="1">IFERROR(__xludf.DUMMYFUNCTION("GOOGLETRANSLATE(A6123,""bn"",""en"")"),"Upendra was satisfied with his haste and said it was good")</f>
        <v>Upendra was satisfied with his haste and said it was good</v>
      </c>
      <c r="C6123" s="7" t="s">
        <v>6</v>
      </c>
      <c r="D6123" s="7" t="s">
        <v>7</v>
      </c>
      <c r="E6123" s="7">
        <v>0</v>
      </c>
    </row>
    <row r="6124" spans="1:5" ht="15.75" customHeight="1" x14ac:dyDescent="0.25">
      <c r="A6124" s="6" t="s">
        <v>5921</v>
      </c>
      <c r="B6124" s="6" t="str">
        <f ca="1">IFERROR(__xludf.DUMMYFUNCTION("GOOGLETRANSLATE(A6124,""bn"",""en"")"),"Let's visit Dum Dum's garden next Sunday")</f>
        <v>Let's visit Dum Dum's garden next Sunday</v>
      </c>
      <c r="C6124" s="7" t="s">
        <v>6</v>
      </c>
      <c r="D6124" s="7" t="s">
        <v>7</v>
      </c>
      <c r="E6124" s="7">
        <v>0</v>
      </c>
    </row>
    <row r="6125" spans="1:5" ht="15.75" customHeight="1" x14ac:dyDescent="0.25">
      <c r="A6125" s="6" t="s">
        <v>5922</v>
      </c>
      <c r="B6125" s="6" t="str">
        <f ca="1">IFERROR(__xludf.DUMMYFUNCTION("GOOGLETRANSLATE(A6125,""bn"",""en"")"),"One winter afternoon, while the Guru was resting with his devotees, a tired Sachish for some reason entered his bedroom untimely and stood startled at the door.")</f>
        <v>One winter afternoon, while the Guru was resting with his devotees, a tired Sachish for some reason entered his bedroom untimely and stood startled at the door.</v>
      </c>
      <c r="C6125" s="7" t="s">
        <v>6</v>
      </c>
      <c r="D6125" s="7" t="s">
        <v>7</v>
      </c>
      <c r="E6125" s="7">
        <v>0</v>
      </c>
    </row>
    <row r="6126" spans="1:5" ht="15.75" customHeight="1" x14ac:dyDescent="0.25">
      <c r="A6126" s="6" t="s">
        <v>353</v>
      </c>
      <c r="B6126" s="6" t="str">
        <f ca="1">IFERROR(__xludf.DUMMYFUNCTION("GOOGLETRANSLATE(A6126,""bn"",""en"")"),"Some are lying on the back of a buffalo, some are sitting on the back of a buffalo, some are dancing.")</f>
        <v>Some are lying on the back of a buffalo, some are sitting on the back of a buffalo, some are dancing.</v>
      </c>
      <c r="C6126" s="7" t="s">
        <v>6</v>
      </c>
      <c r="D6126" s="7" t="s">
        <v>7</v>
      </c>
      <c r="E6126" s="7">
        <v>0</v>
      </c>
    </row>
    <row r="6127" spans="1:5" ht="15.75" customHeight="1" x14ac:dyDescent="0.25">
      <c r="A6127" s="6" t="s">
        <v>5923</v>
      </c>
      <c r="B6127" s="6" t="str">
        <f ca="1">IFERROR(__xludf.DUMMYFUNCTION("GOOGLETRANSLATE(A6127,""bn"",""en"")"),"The Nobel Committee asked the organization to award the Nobel Prize")</f>
        <v>The Nobel Committee asked the organization to award the Nobel Prize</v>
      </c>
      <c r="C6127" s="8" t="s">
        <v>13</v>
      </c>
      <c r="D6127" s="8" t="s">
        <v>14</v>
      </c>
      <c r="E6127" s="8">
        <v>1</v>
      </c>
    </row>
    <row r="6128" spans="1:5" ht="15.75" customHeight="1" x14ac:dyDescent="0.25">
      <c r="A6128" s="6" t="s">
        <v>5924</v>
      </c>
      <c r="B6128" s="6" t="str">
        <f ca="1">IFERROR(__xludf.DUMMYFUNCTION("GOOGLETRANSLATE(A6128,""bn"",""en"")"),"Both the teams were quite strong till the year")</f>
        <v>Both the teams were quite strong till the year</v>
      </c>
      <c r="C6128" s="8" t="s">
        <v>13</v>
      </c>
      <c r="D6128" s="8" t="s">
        <v>14</v>
      </c>
      <c r="E6128" s="8">
        <v>1</v>
      </c>
    </row>
    <row r="6129" spans="1:5" ht="15.75" customHeight="1" x14ac:dyDescent="0.25">
      <c r="A6129" s="6" t="s">
        <v>5562</v>
      </c>
      <c r="B6129" s="6" t="str">
        <f ca="1">IFERROR(__xludf.DUMMYFUNCTION("GOOGLETRANSLATE(A6129,""bn"",""en"")"),"The sprinkler has fallen open")</f>
        <v>The sprinkler has fallen open</v>
      </c>
      <c r="C6129" s="8" t="s">
        <v>13</v>
      </c>
      <c r="D6129" s="8" t="s">
        <v>14</v>
      </c>
      <c r="E6129" s="8">
        <v>1</v>
      </c>
    </row>
    <row r="6130" spans="1:5" ht="15.75" customHeight="1" x14ac:dyDescent="0.25">
      <c r="A6130" s="6" t="s">
        <v>5925</v>
      </c>
      <c r="B6130" s="6" t="str">
        <f ca="1">IFERROR(__xludf.DUMMYFUNCTION("GOOGLETRANSLATE(A6130,""bn"",""en"")"),"Choose activities that are age appropriate")</f>
        <v>Choose activities that are age appropriate</v>
      </c>
      <c r="C6130" s="8" t="s">
        <v>13</v>
      </c>
      <c r="D6130" s="8" t="s">
        <v>14</v>
      </c>
      <c r="E6130" s="8">
        <v>1</v>
      </c>
    </row>
    <row r="6131" spans="1:5" ht="15.75" customHeight="1" x14ac:dyDescent="0.25">
      <c r="A6131" s="6" t="s">
        <v>5926</v>
      </c>
      <c r="B6131" s="6" t="str">
        <f ca="1">IFERROR(__xludf.DUMMYFUNCTION("GOOGLETRANSLATE(A6131,""bn"",""en"")"),"Estate planning is important to ensure that your assets are distributed according to your wishes")</f>
        <v>Estate planning is important to ensure that your assets are distributed according to your wishes</v>
      </c>
      <c r="C6131" s="8" t="s">
        <v>13</v>
      </c>
      <c r="D6131" s="8" t="s">
        <v>14</v>
      </c>
      <c r="E6131" s="8">
        <v>1</v>
      </c>
    </row>
    <row r="6132" spans="1:5" ht="15.75" customHeight="1" x14ac:dyDescent="0.25">
      <c r="A6132" s="6" t="s">
        <v>5927</v>
      </c>
      <c r="B6132" s="6" t="str">
        <f ca="1">IFERROR(__xludf.DUMMYFUNCTION("GOOGLETRANSLATE(A6132,""bn"",""en"")"),"Today I hope to become a calligrapher in your own hands")</f>
        <v>Today I hope to become a calligrapher in your own hands</v>
      </c>
      <c r="C6132" s="7" t="s">
        <v>6</v>
      </c>
      <c r="D6132" s="7" t="s">
        <v>7</v>
      </c>
      <c r="E6132" s="7">
        <v>0</v>
      </c>
    </row>
    <row r="6133" spans="1:5" ht="15.75" customHeight="1" x14ac:dyDescent="0.25">
      <c r="A6133" s="6" t="s">
        <v>5928</v>
      </c>
      <c r="B6133" s="6" t="str">
        <f ca="1">IFERROR(__xludf.DUMMYFUNCTION("GOOGLETRANSLATE(A6133,""bn"",""en"")"),"I bought a chocolate for the girl")</f>
        <v>I bought a chocolate for the girl</v>
      </c>
      <c r="C6133" s="7" t="s">
        <v>6</v>
      </c>
      <c r="D6133" s="7" t="s">
        <v>7</v>
      </c>
      <c r="E6133" s="7">
        <v>0</v>
      </c>
    </row>
    <row r="6134" spans="1:5" ht="15.75" customHeight="1" x14ac:dyDescent="0.25">
      <c r="A6134" s="6" t="s">
        <v>5929</v>
      </c>
      <c r="B6134" s="6" t="str">
        <f ca="1">IFERROR(__xludf.DUMMYFUNCTION("GOOGLETRANSLATE(A6134,""bn"",""en"")"),"Rana will go to the market with his father")</f>
        <v>Rana will go to the market with his father</v>
      </c>
      <c r="C6134" s="7" t="s">
        <v>6</v>
      </c>
      <c r="D6134" s="7" t="s">
        <v>7</v>
      </c>
      <c r="E6134" s="7">
        <v>0</v>
      </c>
    </row>
    <row r="6135" spans="1:5" ht="15.75" customHeight="1" x14ac:dyDescent="0.25">
      <c r="A6135" s="6" t="s">
        <v>5930</v>
      </c>
      <c r="B6135" s="6" t="str">
        <f ca="1">IFERROR(__xludf.DUMMYFUNCTION("GOOGLETRANSLATE(A6135,""bn"",""en"")"),"He went to play in the field in the afternoon.")</f>
        <v>He went to play in the field in the afternoon.</v>
      </c>
      <c r="C6135" s="7" t="s">
        <v>6</v>
      </c>
      <c r="D6135" s="7" t="s">
        <v>7</v>
      </c>
      <c r="E6135" s="7">
        <v>0</v>
      </c>
    </row>
    <row r="6136" spans="1:5" ht="15.75" customHeight="1" x14ac:dyDescent="0.25">
      <c r="A6136" s="6" t="s">
        <v>5931</v>
      </c>
      <c r="B6136" s="6" t="str">
        <f ca="1">IFERROR(__xludf.DUMMYFUNCTION("GOOGLETRANSLATE(A6136,""bn"",""en"")"),"So there is no dearth of examples of opposites like morning and afternoon, elder brother and younger brother in opposite worlds")</f>
        <v>So there is no dearth of examples of opposites like morning and afternoon, elder brother and younger brother in opposite worlds</v>
      </c>
      <c r="C6136" s="7" t="s">
        <v>6</v>
      </c>
      <c r="D6136" s="7" t="s">
        <v>7</v>
      </c>
      <c r="E6136" s="7">
        <v>0</v>
      </c>
    </row>
    <row r="6137" spans="1:5" ht="15.75" customHeight="1" x14ac:dyDescent="0.25">
      <c r="A6137" s="6" t="s">
        <v>5932</v>
      </c>
      <c r="B6137" s="6" t="str">
        <f ca="1">IFERROR(__xludf.DUMMYFUNCTION("GOOGLETRANSLATE(A6137,""bn"",""en"")"),"Saju now wanted to go to the market")</f>
        <v>Saju now wanted to go to the market</v>
      </c>
      <c r="C6137" s="8" t="s">
        <v>13</v>
      </c>
      <c r="D6137" s="8" t="s">
        <v>14</v>
      </c>
      <c r="E6137" s="8">
        <v>1</v>
      </c>
    </row>
    <row r="6138" spans="1:5" ht="15.75" customHeight="1" x14ac:dyDescent="0.25">
      <c r="A6138" s="6" t="s">
        <v>5933</v>
      </c>
      <c r="B6138" s="6" t="str">
        <f ca="1">IFERROR(__xludf.DUMMYFUNCTION("GOOGLETRANSLATE(A6138,""bn"",""en"")"),"His son, Kai Zigban, won the Nobel Prize in Physics in 2008")</f>
        <v>His son, Kai Zigban, won the Nobel Prize in Physics in 2008</v>
      </c>
      <c r="C6138" s="8" t="s">
        <v>13</v>
      </c>
      <c r="D6138" s="8" t="s">
        <v>14</v>
      </c>
      <c r="E6138" s="8">
        <v>1</v>
      </c>
    </row>
    <row r="6139" spans="1:5" ht="15.75" customHeight="1" x14ac:dyDescent="0.25">
      <c r="A6139" s="6" t="s">
        <v>5934</v>
      </c>
      <c r="B6139" s="6" t="str">
        <f ca="1">IFERROR(__xludf.DUMMYFUNCTION("GOOGLETRANSLATE(A6139,""bn"",""en"")"),"The goal of the criminal justice system is to uphold the rule of law")</f>
        <v>The goal of the criminal justice system is to uphold the rule of law</v>
      </c>
      <c r="C6139" s="8" t="s">
        <v>13</v>
      </c>
      <c r="D6139" s="8" t="s">
        <v>14</v>
      </c>
      <c r="E6139" s="8">
        <v>1</v>
      </c>
    </row>
    <row r="6140" spans="1:5" ht="15.75" customHeight="1" x14ac:dyDescent="0.25">
      <c r="A6140" s="6" t="s">
        <v>5935</v>
      </c>
      <c r="B6140" s="6" t="str">
        <f ca="1">IFERROR(__xludf.DUMMYFUNCTION("GOOGLETRANSLATE(A6140,""bn"",""en"")"),"He was worried about where he would stay in an unfamiliar city.")</f>
        <v>He was worried about where he would stay in an unfamiliar city.</v>
      </c>
      <c r="C6140" s="8" t="s">
        <v>13</v>
      </c>
      <c r="D6140" s="8" t="s">
        <v>14</v>
      </c>
      <c r="E6140" s="8">
        <v>1</v>
      </c>
    </row>
    <row r="6141" spans="1:5" ht="15.75" customHeight="1" x14ac:dyDescent="0.25">
      <c r="A6141" s="6" t="s">
        <v>5936</v>
      </c>
      <c r="B6141" s="6" t="str">
        <f ca="1">IFERROR(__xludf.DUMMYFUNCTION("GOOGLETRANSLATE(A6141,""bn"",""en"")"),"A hearty stew warms up on a winter evening")</f>
        <v>A hearty stew warms up on a winter evening</v>
      </c>
      <c r="C6141" s="8" t="s">
        <v>13</v>
      </c>
      <c r="D6141" s="8" t="s">
        <v>14</v>
      </c>
      <c r="E6141" s="8">
        <v>1</v>
      </c>
    </row>
    <row r="6142" spans="1:5" ht="15.75" customHeight="1" x14ac:dyDescent="0.25">
      <c r="A6142" s="6" t="s">
        <v>5937</v>
      </c>
      <c r="B6142" s="6" t="str">
        <f ca="1">IFERROR(__xludf.DUMMYFUNCTION("GOOGLETRANSLATE(A6142,""bn"",""en"")"),"At one time the Jewish moneylenders did much mischief by introducing the civilized law of money-lending into the barbarous.")</f>
        <v>At one time the Jewish moneylenders did much mischief by introducing the civilized law of money-lending into the barbarous.</v>
      </c>
      <c r="C6142" s="7" t="s">
        <v>6</v>
      </c>
      <c r="D6142" s="7" t="s">
        <v>7</v>
      </c>
      <c r="E6142" s="7">
        <v>0</v>
      </c>
    </row>
    <row r="6143" spans="1:5" ht="15.75" customHeight="1" x14ac:dyDescent="0.25">
      <c r="A6143" s="6" t="s">
        <v>5938</v>
      </c>
      <c r="B6143" s="6" t="str">
        <f ca="1">IFERROR(__xludf.DUMMYFUNCTION("GOOGLETRANSLATE(A6143,""bn"",""en"")"),"In particular, I once saw a limestone hillock in a barren arena and felt the shape of a mountain.")</f>
        <v>In particular, I once saw a limestone hillock in a barren arena and felt the shape of a mountain.</v>
      </c>
      <c r="C6143" s="7" t="s">
        <v>6</v>
      </c>
      <c r="D6143" s="7" t="s">
        <v>7</v>
      </c>
      <c r="E6143" s="7">
        <v>0</v>
      </c>
    </row>
    <row r="6144" spans="1:5" ht="15.75" customHeight="1" x14ac:dyDescent="0.25">
      <c r="A6144" s="6" t="s">
        <v>5939</v>
      </c>
      <c r="B6144" s="6" t="str">
        <f ca="1">IFERROR(__xludf.DUMMYFUNCTION("GOOGLETRANSLATE(A6144,""bn"",""en"")"),"You have come home to fish curry at home")</f>
        <v>You have come home to fish curry at home</v>
      </c>
      <c r="C6144" s="7" t="s">
        <v>6</v>
      </c>
      <c r="D6144" s="7" t="s">
        <v>7</v>
      </c>
      <c r="E6144" s="7">
        <v>0</v>
      </c>
    </row>
    <row r="6145" spans="1:5" ht="15.75" customHeight="1" x14ac:dyDescent="0.25">
      <c r="A6145" s="6" t="s">
        <v>5940</v>
      </c>
      <c r="B6145" s="6" t="str">
        <f ca="1">IFERROR(__xludf.DUMMYFUNCTION("GOOGLETRANSLATE(A6145,""bn"",""en"")"),"He could not attend school tomorrow due to illness")</f>
        <v>He could not attend school tomorrow due to illness</v>
      </c>
      <c r="C6145" s="7" t="s">
        <v>6</v>
      </c>
      <c r="D6145" s="7" t="s">
        <v>7</v>
      </c>
      <c r="E6145" s="7">
        <v>0</v>
      </c>
    </row>
    <row r="6146" spans="1:5" ht="15.75" customHeight="1" x14ac:dyDescent="0.25">
      <c r="A6146" s="6" t="s">
        <v>5941</v>
      </c>
      <c r="B6146" s="6" t="str">
        <f ca="1">IFERROR(__xludf.DUMMYFUNCTION("GOOGLETRANSLATE(A6146,""bn"",""en"")"),"Bishvambharbabu sat on the bed in the dim light and waited for Phatik's mother every moment.")</f>
        <v>Bishvambharbabu sat on the bed in the dim light and waited for Phatik's mother every moment.</v>
      </c>
      <c r="C6146" s="7" t="s">
        <v>6</v>
      </c>
      <c r="D6146" s="7" t="s">
        <v>7</v>
      </c>
      <c r="E6146" s="7">
        <v>0</v>
      </c>
    </row>
    <row r="6147" spans="1:5" ht="15.75" customHeight="1" x14ac:dyDescent="0.25">
      <c r="A6147" s="6" t="s">
        <v>5942</v>
      </c>
      <c r="B6147" s="6" t="str">
        <f ca="1">IFERROR(__xludf.DUMMYFUNCTION("GOOGLETRANSLATE(A6147,""bn"",""en"")"),"Drug trafficking is a major concern in terms of criminal activity")</f>
        <v>Drug trafficking is a major concern in terms of criminal activity</v>
      </c>
      <c r="C6147" s="8" t="s">
        <v>13</v>
      </c>
      <c r="D6147" s="8" t="s">
        <v>14</v>
      </c>
      <c r="E6147" s="8">
        <v>1</v>
      </c>
    </row>
    <row r="6148" spans="1:5" ht="15.75" customHeight="1" x14ac:dyDescent="0.25">
      <c r="A6148" s="6" t="s">
        <v>110</v>
      </c>
      <c r="B6148" s="6" t="str">
        <f ca="1">IFERROR(__xludf.DUMMYFUNCTION("GOOGLETRANSLATE(A6148,""bn"",""en"")"),"He asked me to solve a question")</f>
        <v>He asked me to solve a question</v>
      </c>
      <c r="C6148" s="8" t="s">
        <v>13</v>
      </c>
      <c r="D6148" s="8" t="s">
        <v>14</v>
      </c>
      <c r="E6148" s="8">
        <v>1</v>
      </c>
    </row>
    <row r="6149" spans="1:5" ht="15.75" customHeight="1" x14ac:dyDescent="0.25">
      <c r="A6149" s="6" t="s">
        <v>5943</v>
      </c>
      <c r="B6149" s="6" t="str">
        <f ca="1">IFERROR(__xludf.DUMMYFUNCTION("GOOGLETRANSLATE(A6149,""bn"",""en"")"),"Student engagement is crucial for effective learning outcomes")</f>
        <v>Student engagement is crucial for effective learning outcomes</v>
      </c>
      <c r="C6149" s="8" t="s">
        <v>13</v>
      </c>
      <c r="D6149" s="8" t="s">
        <v>14</v>
      </c>
      <c r="E6149" s="8">
        <v>1</v>
      </c>
    </row>
    <row r="6150" spans="1:5" ht="15.75" customHeight="1" x14ac:dyDescent="0.25">
      <c r="A6150" s="6" t="s">
        <v>5944</v>
      </c>
      <c r="B6150" s="6" t="str">
        <f ca="1">IFERROR(__xludf.DUMMYFUNCTION("GOOGLETRANSLATE(A6150,""bn"",""en"")"),"Embrace failure as a natural part of the learning process See it as an opportunity to grow and improve")</f>
        <v>Embrace failure as a natural part of the learning process See it as an opportunity to grow and improve</v>
      </c>
      <c r="C6150" s="8" t="s">
        <v>13</v>
      </c>
      <c r="D6150" s="8" t="s">
        <v>14</v>
      </c>
      <c r="E6150" s="8">
        <v>1</v>
      </c>
    </row>
    <row r="6151" spans="1:5" ht="15.75" customHeight="1" x14ac:dyDescent="0.25">
      <c r="A6151" s="6" t="s">
        <v>5945</v>
      </c>
      <c r="B6151" s="6" t="str">
        <f ca="1">IFERROR(__xludf.DUMMYFUNCTION("GOOGLETRANSLATE(A6151,""bn"",""en"")"),"Develop healthy habits that support your well-being")</f>
        <v>Develop healthy habits that support your well-being</v>
      </c>
      <c r="C6151" s="8" t="s">
        <v>13</v>
      </c>
      <c r="D6151" s="8" t="s">
        <v>14</v>
      </c>
      <c r="E6151" s="8">
        <v>1</v>
      </c>
    </row>
    <row r="6152" spans="1:5" ht="15.75" customHeight="1" x14ac:dyDescent="0.25">
      <c r="A6152" s="6" t="s">
        <v>5946</v>
      </c>
      <c r="B6152" s="6" t="str">
        <f ca="1">IFERROR(__xludf.DUMMYFUNCTION("GOOGLETRANSLATE(A6152,""bn"",""en"")"),"Roni saw Rumi and went there")</f>
        <v>Roni saw Rumi and went there</v>
      </c>
      <c r="C6152" s="7" t="s">
        <v>6</v>
      </c>
      <c r="D6152" s="7" t="s">
        <v>7</v>
      </c>
      <c r="E6152" s="7">
        <v>0</v>
      </c>
    </row>
    <row r="6153" spans="1:5" ht="15.75" customHeight="1" x14ac:dyDescent="0.25">
      <c r="A6153" s="6" t="s">
        <v>5947</v>
      </c>
      <c r="B6153" s="6" t="str">
        <f ca="1">IFERROR(__xludf.DUMMYFUNCTION("GOOGLETRANSLATE(A6153,""bn"",""en"")"),"They called me with a smile")</f>
        <v>They called me with a smile</v>
      </c>
      <c r="C6153" s="7" t="s">
        <v>6</v>
      </c>
      <c r="D6153" s="7" t="s">
        <v>7</v>
      </c>
      <c r="E6153" s="7">
        <v>0</v>
      </c>
    </row>
    <row r="6154" spans="1:5" ht="15.75" customHeight="1" x14ac:dyDescent="0.25">
      <c r="A6154" s="6" t="s">
        <v>5948</v>
      </c>
      <c r="B6154" s="6" t="str">
        <f ca="1">IFERROR(__xludf.DUMMYFUNCTION("GOOGLETRANSLATE(A6154,""bn"",""en"")"),"Rumi gave me his book")</f>
        <v>Rumi gave me his book</v>
      </c>
      <c r="C6154" s="7" t="s">
        <v>6</v>
      </c>
      <c r="D6154" s="7" t="s">
        <v>7</v>
      </c>
      <c r="E6154" s="7">
        <v>0</v>
      </c>
    </row>
    <row r="6155" spans="1:5" ht="15.75" customHeight="1" x14ac:dyDescent="0.25">
      <c r="A6155" s="6" t="s">
        <v>5949</v>
      </c>
      <c r="B6155" s="6" t="str">
        <f ca="1">IFERROR(__xludf.DUMMYFUNCTION("GOOGLETRANSLATE(A6155,""bn"",""en"")"),"Sajeev is walking on the street with me")</f>
        <v>Sajeev is walking on the street with me</v>
      </c>
      <c r="C6155" s="7" t="s">
        <v>6</v>
      </c>
      <c r="D6155" s="7" t="s">
        <v>7</v>
      </c>
      <c r="E6155" s="7">
        <v>0</v>
      </c>
    </row>
    <row r="6156" spans="1:5" ht="15.75" customHeight="1" x14ac:dyDescent="0.25">
      <c r="A6156" s="6" t="s">
        <v>5950</v>
      </c>
      <c r="B6156" s="6" t="str">
        <f ca="1">IFERROR(__xludf.DUMMYFUNCTION("GOOGLETRANSLATE(A6156,""bn"",""en"")"),"He stood there dumbfounded for a while")</f>
        <v>He stood there dumbfounded for a while</v>
      </c>
      <c r="C6156" s="7" t="s">
        <v>6</v>
      </c>
      <c r="D6156" s="7" t="s">
        <v>7</v>
      </c>
      <c r="E6156" s="7">
        <v>0</v>
      </c>
    </row>
    <row r="6157" spans="1:5" ht="15.75" customHeight="1" x14ac:dyDescent="0.25">
      <c r="A6157" s="6" t="s">
        <v>5951</v>
      </c>
      <c r="B6157" s="6" t="str">
        <f ca="1">IFERROR(__xludf.DUMMYFUNCTION("GOOGLETRANSLATE(A6157,""bn"",""en"")"),"Specially effective in ringworm, ringworm, eczema")</f>
        <v>Specially effective in ringworm, ringworm, eczema</v>
      </c>
      <c r="C6157" s="8" t="s">
        <v>13</v>
      </c>
      <c r="D6157" s="8" t="s">
        <v>14</v>
      </c>
      <c r="E6157" s="8">
        <v>1</v>
      </c>
    </row>
    <row r="6158" spans="1:5" ht="15.75" customHeight="1" x14ac:dyDescent="0.25">
      <c r="A6158" s="6" t="s">
        <v>5952</v>
      </c>
      <c r="B6158" s="6" t="str">
        <f ca="1">IFERROR(__xludf.DUMMYFUNCTION("GOOGLETRANSLATE(A6158,""bn"",""en"")"),"Rahim asked Karim to go")</f>
        <v>Rahim asked Karim to go</v>
      </c>
      <c r="C6158" s="8" t="s">
        <v>13</v>
      </c>
      <c r="D6158" s="8" t="s">
        <v>14</v>
      </c>
      <c r="E6158" s="8">
        <v>1</v>
      </c>
    </row>
    <row r="6159" spans="1:5" ht="15.75" customHeight="1" x14ac:dyDescent="0.25">
      <c r="A6159" s="6" t="s">
        <v>5953</v>
      </c>
      <c r="B6159" s="6" t="str">
        <f ca="1">IFERROR(__xludf.DUMMYFUNCTION("GOOGLETRANSLATE(A6159,""bn"",""en"")"),"Warm apple pie brightens autumn evenings")</f>
        <v>Warm apple pie brightens autumn evenings</v>
      </c>
      <c r="C6159" s="8" t="s">
        <v>13</v>
      </c>
      <c r="D6159" s="8" t="s">
        <v>14</v>
      </c>
      <c r="E6159" s="8">
        <v>1</v>
      </c>
    </row>
    <row r="6160" spans="1:5" ht="15.75" customHeight="1" x14ac:dyDescent="0.25">
      <c r="A6160" s="6" t="s">
        <v>5954</v>
      </c>
      <c r="B6160" s="6" t="str">
        <f ca="1">IFERROR(__xludf.DUMMYFUNCTION("GOOGLETRANSLATE(A6160,""bn"",""en"")"),"The number three hand was useful at times")</f>
        <v>The number three hand was useful at times</v>
      </c>
      <c r="C6160" s="8" t="s">
        <v>13</v>
      </c>
      <c r="D6160" s="8" t="s">
        <v>14</v>
      </c>
      <c r="E6160" s="8">
        <v>1</v>
      </c>
    </row>
    <row r="6161" spans="1:5" ht="15.75" customHeight="1" x14ac:dyDescent="0.25">
      <c r="A6161" s="6" t="s">
        <v>5955</v>
      </c>
      <c r="B6161" s="6" t="str">
        <f ca="1">IFERROR(__xludf.DUMMYFUNCTION("GOOGLETRANSLATE(A6161,""bn"",""en"")"),"Ronnie took my book")</f>
        <v>Ronnie took my book</v>
      </c>
      <c r="C6161" s="8" t="s">
        <v>13</v>
      </c>
      <c r="D6161" s="8" t="s">
        <v>14</v>
      </c>
      <c r="E6161" s="8">
        <v>1</v>
      </c>
    </row>
    <row r="6162" spans="1:5" ht="15.75" customHeight="1" x14ac:dyDescent="0.25">
      <c r="A6162" s="6" t="s">
        <v>5956</v>
      </c>
      <c r="B6162" s="6" t="str">
        <f ca="1">IFERROR(__xludf.DUMMYFUNCTION("GOOGLETRANSLATE(A6162,""bn"",""en"")"),"Last holiday he went for a walk in the hills")</f>
        <v>Last holiday he went for a walk in the hills</v>
      </c>
      <c r="C6162" s="7" t="s">
        <v>6</v>
      </c>
      <c r="D6162" s="7" t="s">
        <v>7</v>
      </c>
      <c r="E6162" s="7">
        <v>0</v>
      </c>
    </row>
    <row r="6163" spans="1:5" ht="15.75" customHeight="1" x14ac:dyDescent="0.25">
      <c r="A6163" s="6" t="s">
        <v>5957</v>
      </c>
      <c r="B6163" s="6" t="str">
        <f ca="1">IFERROR(__xludf.DUMMYFUNCTION("GOOGLETRANSLATE(A6163,""bn"",""en"")"),"He talked a lot about a new doctor coming to town")</f>
        <v>He talked a lot about a new doctor coming to town</v>
      </c>
      <c r="C6163" s="7" t="s">
        <v>6</v>
      </c>
      <c r="D6163" s="7" t="s">
        <v>7</v>
      </c>
      <c r="E6163" s="7">
        <v>0</v>
      </c>
    </row>
    <row r="6164" spans="1:5" ht="15.75" customHeight="1" x14ac:dyDescent="0.25">
      <c r="A6164" s="6" t="s">
        <v>5958</v>
      </c>
      <c r="B6164" s="6" t="str">
        <f ca="1">IFERROR(__xludf.DUMMYFUNCTION("GOOGLETRANSLATE(A6164,""bn"",""en"")"),"He actually thought that learning education was not easy for him due to various reasons")</f>
        <v>He actually thought that learning education was not easy for him due to various reasons</v>
      </c>
      <c r="C6164" s="7" t="s">
        <v>6</v>
      </c>
      <c r="D6164" s="7" t="s">
        <v>7</v>
      </c>
      <c r="E6164" s="7">
        <v>0</v>
      </c>
    </row>
    <row r="6165" spans="1:5" ht="15.75" customHeight="1" x14ac:dyDescent="0.25">
      <c r="A6165" s="6" t="s">
        <v>5959</v>
      </c>
      <c r="B6165" s="6" t="str">
        <f ca="1">IFERROR(__xludf.DUMMYFUNCTION("GOOGLETRANSLATE(A6165,""bn"",""en"")"),"I cannot agree with him")</f>
        <v>I cannot agree with him</v>
      </c>
      <c r="C6165" s="7" t="s">
        <v>6</v>
      </c>
      <c r="D6165" s="7" t="s">
        <v>7</v>
      </c>
      <c r="E6165" s="7">
        <v>0</v>
      </c>
    </row>
    <row r="6166" spans="1:5" ht="15.75" customHeight="1" x14ac:dyDescent="0.25">
      <c r="A6166" s="6" t="s">
        <v>5960</v>
      </c>
      <c r="B6166" s="6" t="str">
        <f ca="1">IFERROR(__xludf.DUMMYFUNCTION("GOOGLETRANSLATE(A6166,""bn"",""en"")"),"No matter how many times I say it, there is no insult to a girl like me")</f>
        <v>No matter how many times I say it, there is no insult to a girl like me</v>
      </c>
      <c r="C6166" s="7" t="s">
        <v>6</v>
      </c>
      <c r="D6166" s="7" t="s">
        <v>7</v>
      </c>
      <c r="E6166" s="7">
        <v>0</v>
      </c>
    </row>
    <row r="6167" spans="1:5" ht="15.75" customHeight="1" x14ac:dyDescent="0.25">
      <c r="A6167" s="6" t="s">
        <v>5961</v>
      </c>
      <c r="B6167" s="6" t="str">
        <f ca="1">IFERROR(__xludf.DUMMYFUNCTION("GOOGLETRANSLATE(A6167,""bn"",""en"")"),"This thirteenth house is the next one hundred and eleven")</f>
        <v>This thirteenth house is the next one hundred and eleven</v>
      </c>
      <c r="C6167" s="8" t="s">
        <v>13</v>
      </c>
      <c r="D6167" s="8" t="s">
        <v>14</v>
      </c>
      <c r="E6167" s="8">
        <v>1</v>
      </c>
    </row>
    <row r="6168" spans="1:5" ht="15.75" customHeight="1" x14ac:dyDescent="0.25">
      <c r="A6168" s="6" t="s">
        <v>5962</v>
      </c>
      <c r="B6168" s="6" t="str">
        <f ca="1">IFERROR(__xludf.DUMMYFUNCTION("GOOGLETRANSLATE(A6168,""bn"",""en"")"),"Surround yourself with positivity motivation Find people who uplift and motivate you")</f>
        <v>Surround yourself with positivity motivation Find people who uplift and motivate you</v>
      </c>
      <c r="C6168" s="8" t="s">
        <v>13</v>
      </c>
      <c r="D6168" s="8" t="s">
        <v>14</v>
      </c>
      <c r="E6168" s="8">
        <v>1</v>
      </c>
    </row>
    <row r="6169" spans="1:5" ht="15.75" customHeight="1" x14ac:dyDescent="0.25">
      <c r="A6169" s="6" t="s">
        <v>5963</v>
      </c>
      <c r="B6169" s="6" t="str">
        <f ca="1">IFERROR(__xludf.DUMMYFUNCTION("GOOGLETRANSLATE(A6169,""bn"",""en"")"),"He is the first lyricist in the world to be awarded the Nobel Prize")</f>
        <v>He is the first lyricist in the world to be awarded the Nobel Prize</v>
      </c>
      <c r="C6169" s="8" t="s">
        <v>13</v>
      </c>
      <c r="D6169" s="8" t="s">
        <v>14</v>
      </c>
      <c r="E6169" s="8">
        <v>1</v>
      </c>
    </row>
    <row r="6170" spans="1:5" ht="15.75" customHeight="1" x14ac:dyDescent="0.25">
      <c r="A6170" s="6" t="s">
        <v>5964</v>
      </c>
      <c r="B6170" s="6" t="str">
        <f ca="1">IFERROR(__xludf.DUMMYFUNCTION("GOOGLETRANSLATE(A6170,""bn"",""en"")"),"Professional development empowers educators to improve their practice")</f>
        <v>Professional development empowers educators to improve their practice</v>
      </c>
      <c r="C6170" s="8" t="s">
        <v>13</v>
      </c>
      <c r="D6170" s="8" t="s">
        <v>14</v>
      </c>
      <c r="E6170" s="8">
        <v>1</v>
      </c>
    </row>
    <row r="6171" spans="1:5" ht="15.75" customHeight="1" x14ac:dyDescent="0.25">
      <c r="A6171" s="6" t="s">
        <v>5965</v>
      </c>
      <c r="B6171" s="6" t="str">
        <f ca="1">IFERROR(__xludf.DUMMYFUNCTION("GOOGLETRANSLATE(A6171,""bn"",""en"")"),"He gave me a good advice")</f>
        <v>He gave me a good advice</v>
      </c>
      <c r="C6171" s="8" t="s">
        <v>13</v>
      </c>
      <c r="D6171" s="8" t="s">
        <v>14</v>
      </c>
      <c r="E6171" s="8">
        <v>1</v>
      </c>
    </row>
    <row r="6172" spans="1:5" ht="15.75" customHeight="1" x14ac:dyDescent="0.25">
      <c r="A6172" s="6" t="s">
        <v>5966</v>
      </c>
      <c r="B6172" s="6" t="str">
        <f ca="1">IFERROR(__xludf.DUMMYFUNCTION("GOOGLETRANSLATE(A6172,""bn"",""en"")"),"The aunts and uncles of Barkanya of Hindustan region are united in various ways")</f>
        <v>The aunts and uncles of Barkanya of Hindustan region are united in various ways</v>
      </c>
      <c r="C6172" s="7" t="s">
        <v>6</v>
      </c>
      <c r="D6172" s="7" t="s">
        <v>7</v>
      </c>
      <c r="E6172" s="7">
        <v>0</v>
      </c>
    </row>
    <row r="6173" spans="1:5" ht="15.75" customHeight="1" x14ac:dyDescent="0.25">
      <c r="A6173" s="6" t="s">
        <v>5967</v>
      </c>
      <c r="B6173" s="6" t="str">
        <f ca="1">IFERROR(__xludf.DUMMYFUNCTION("GOOGLETRANSLATE(A6173,""bn"",""en"")"),"Bengali is learning English and getting a title")</f>
        <v>Bengali is learning English and getting a title</v>
      </c>
      <c r="C6173" s="7" t="s">
        <v>6</v>
      </c>
      <c r="D6173" s="7" t="s">
        <v>7</v>
      </c>
      <c r="E6173" s="7">
        <v>0</v>
      </c>
    </row>
    <row r="6174" spans="1:5" ht="15.75" customHeight="1" x14ac:dyDescent="0.25">
      <c r="A6174" s="6" t="s">
        <v>5968</v>
      </c>
      <c r="B6174" s="6" t="str">
        <f ca="1">IFERROR(__xludf.DUMMYFUNCTION("GOOGLETRANSLATE(A6174,""bn"",""en"")"),"He bathed and dressed in linen, entered his mother's kitchen and made curries in a pot with bare hands.")</f>
        <v>He bathed and dressed in linen, entered his mother's kitchen and made curries in a pot with bare hands.</v>
      </c>
      <c r="C6174" s="7" t="s">
        <v>6</v>
      </c>
      <c r="D6174" s="7" t="s">
        <v>7</v>
      </c>
      <c r="E6174" s="7">
        <v>0</v>
      </c>
    </row>
    <row r="6175" spans="1:5" ht="15.75" customHeight="1" x14ac:dyDescent="0.25">
      <c r="A6175" s="6" t="s">
        <v>5969</v>
      </c>
      <c r="B6175" s="6" t="str">
        <f ca="1">IFERROR(__xludf.DUMMYFUNCTION("GOOGLETRANSLATE(A6175,""bn"",""en"")"),"The postmaster took the card from his hand and asked, ""Well, Ratan, do you remember your mother?""")</f>
        <v>The postmaster took the card from his hand and asked, "Well, Ratan, do you remember your mother?"</v>
      </c>
      <c r="C6175" s="7" t="s">
        <v>6</v>
      </c>
      <c r="D6175" s="7" t="s">
        <v>7</v>
      </c>
      <c r="E6175" s="7">
        <v>0</v>
      </c>
    </row>
    <row r="6176" spans="1:5" ht="15.75" customHeight="1" x14ac:dyDescent="0.25">
      <c r="A6176" s="6" t="s">
        <v>5970</v>
      </c>
      <c r="B6176" s="6" t="str">
        <f ca="1">IFERROR(__xludf.DUMMYFUNCTION("GOOGLETRANSLATE(A6176,""bn"",""en"")"),"All can be felt by appearance, smell, touch")</f>
        <v>All can be felt by appearance, smell, touch</v>
      </c>
      <c r="C6176" s="7" t="s">
        <v>6</v>
      </c>
      <c r="D6176" s="7" t="s">
        <v>7</v>
      </c>
      <c r="E6176" s="7">
        <v>0</v>
      </c>
    </row>
    <row r="6177" spans="1:5" ht="15.75" customHeight="1" x14ac:dyDescent="0.25">
      <c r="A6177" s="6" t="s">
        <v>5971</v>
      </c>
      <c r="B6177" s="6" t="str">
        <f ca="1">IFERROR(__xludf.DUMMYFUNCTION("GOOGLETRANSLATE(A6177,""bn"",""en"")"),"That day he was lying on the bed like Nirjib")</f>
        <v>That day he was lying on the bed like Nirjib</v>
      </c>
      <c r="C6177" s="8" t="s">
        <v>13</v>
      </c>
      <c r="D6177" s="8" t="s">
        <v>14</v>
      </c>
      <c r="E6177" s="8">
        <v>1</v>
      </c>
    </row>
    <row r="6178" spans="1:5" ht="15.75" customHeight="1" x14ac:dyDescent="0.25">
      <c r="A6178" s="6" t="s">
        <v>5972</v>
      </c>
      <c r="B6178" s="6" t="str">
        <f ca="1">IFERROR(__xludf.DUMMYFUNCTION("GOOGLETRANSLATE(A6178,""bn"",""en"")"),"Inflation reduces the purchasing power of money over time so it is important to invest wisely")</f>
        <v>Inflation reduces the purchasing power of money over time so it is important to invest wisely</v>
      </c>
      <c r="C6178" s="8" t="s">
        <v>13</v>
      </c>
      <c r="D6178" s="8" t="s">
        <v>14</v>
      </c>
      <c r="E6178" s="8">
        <v>1</v>
      </c>
    </row>
    <row r="6179" spans="1:5" ht="15.75" customHeight="1" x14ac:dyDescent="0.25">
      <c r="A6179" s="6" t="s">
        <v>5973</v>
      </c>
      <c r="B6179" s="6" t="str">
        <f ca="1">IFERROR(__xludf.DUMMYFUNCTION("GOOGLETRANSLATE(A6179,""bn"",""en"")"),"I like bird watching very much")</f>
        <v>I like bird watching very much</v>
      </c>
      <c r="C6179" s="8" t="s">
        <v>13</v>
      </c>
      <c r="D6179" s="8" t="s">
        <v>14</v>
      </c>
      <c r="E6179" s="8">
        <v>1</v>
      </c>
    </row>
    <row r="6180" spans="1:5" ht="15.75" customHeight="1" x14ac:dyDescent="0.25">
      <c r="A6180" s="6" t="s">
        <v>5587</v>
      </c>
      <c r="B6180" s="6" t="str">
        <f ca="1">IFERROR(__xludf.DUMMYFUNCTION("GOOGLETRANSLATE(A6180,""bn"",""en"")"),"did you give me my book")</f>
        <v>did you give me my book</v>
      </c>
      <c r="C6180" s="8" t="s">
        <v>13</v>
      </c>
      <c r="D6180" s="8" t="s">
        <v>14</v>
      </c>
      <c r="E6180" s="8">
        <v>1</v>
      </c>
    </row>
    <row r="6181" spans="1:5" ht="15.75" customHeight="1" x14ac:dyDescent="0.25">
      <c r="A6181" s="6" t="s">
        <v>5974</v>
      </c>
      <c r="B6181" s="6" t="str">
        <f ca="1">IFERROR(__xludf.DUMMYFUNCTION("GOOGLETRANSLATE(A6181,""bn"",""en"")"),"Make a lifelong commitment to fitness")</f>
        <v>Make a lifelong commitment to fitness</v>
      </c>
      <c r="C6181" s="8" t="s">
        <v>13</v>
      </c>
      <c r="D6181" s="8" t="s">
        <v>14</v>
      </c>
      <c r="E6181" s="8">
        <v>1</v>
      </c>
    </row>
    <row r="6182" spans="1:5" ht="15.75" customHeight="1" x14ac:dyDescent="0.25">
      <c r="A6182" s="6" t="s">
        <v>5975</v>
      </c>
      <c r="B6182" s="6" t="str">
        <f ca="1">IFERROR(__xludf.DUMMYFUNCTION("GOOGLETRANSLATE(A6182,""bn"",""en"")"),"The extinction of primitive peoples in India has been going on for a long time")</f>
        <v>The extinction of primitive peoples in India has been going on for a long time</v>
      </c>
      <c r="C6182" s="7" t="s">
        <v>6</v>
      </c>
      <c r="D6182" s="7" t="s">
        <v>7</v>
      </c>
      <c r="E6182" s="7">
        <v>0</v>
      </c>
    </row>
    <row r="6183" spans="1:5" ht="15.75" customHeight="1" x14ac:dyDescent="0.25">
      <c r="A6183" s="6" t="s">
        <v>5976</v>
      </c>
      <c r="B6183" s="6" t="str">
        <f ca="1">IFERROR(__xludf.DUMMYFUNCTION("GOOGLETRANSLATE(A6183,""bn"",""en"")"),"Rahim Karim entered together")</f>
        <v>Rahim Karim entered together</v>
      </c>
      <c r="C6183" s="7" t="s">
        <v>6</v>
      </c>
      <c r="D6183" s="7" t="s">
        <v>7</v>
      </c>
      <c r="E6183" s="7">
        <v>0</v>
      </c>
    </row>
    <row r="6184" spans="1:5" ht="15.75" customHeight="1" x14ac:dyDescent="0.25">
      <c r="A6184" s="6" t="s">
        <v>5703</v>
      </c>
      <c r="B6184" s="6" t="str">
        <f ca="1">IFERROR(__xludf.DUMMYFUNCTION("GOOGLETRANSLATE(A6184,""bn"",""en"")"),"Women live forever because of labor")</f>
        <v>Women live forever because of labor</v>
      </c>
      <c r="C6184" s="7" t="s">
        <v>6</v>
      </c>
      <c r="D6184" s="7" t="s">
        <v>7</v>
      </c>
      <c r="E6184" s="7">
        <v>0</v>
      </c>
    </row>
    <row r="6185" spans="1:5" ht="15.75" customHeight="1" x14ac:dyDescent="0.25">
      <c r="A6185" s="6" t="s">
        <v>5977</v>
      </c>
      <c r="B6185" s="6" t="str">
        <f ca="1">IFERROR(__xludf.DUMMYFUNCTION("GOOGLETRANSLATE(A6185,""bn"",""en"")"),"No one dares to caress her because it is considered indulgence in general")</f>
        <v>No one dares to caress her because it is considered indulgence in general</v>
      </c>
      <c r="C6185" s="7" t="s">
        <v>6</v>
      </c>
      <c r="D6185" s="7" t="s">
        <v>7</v>
      </c>
      <c r="E6185" s="7">
        <v>0</v>
      </c>
    </row>
    <row r="6186" spans="1:5" ht="15.75" customHeight="1" x14ac:dyDescent="0.25">
      <c r="A6186" s="6" t="s">
        <v>5978</v>
      </c>
      <c r="B6186" s="6" t="str">
        <f ca="1">IFERROR(__xludf.DUMMYFUNCTION("GOOGLETRANSLATE(A6186,""bn"",""en"")"),"He repeatedly requested me to pay special attention to him")</f>
        <v>He repeatedly requested me to pay special attention to him</v>
      </c>
      <c r="C6186" s="7" t="s">
        <v>6</v>
      </c>
      <c r="D6186" s="7" t="s">
        <v>7</v>
      </c>
      <c r="E6186" s="7">
        <v>0</v>
      </c>
    </row>
    <row r="6187" spans="1:5" ht="15.75" customHeight="1" x14ac:dyDescent="0.25">
      <c r="A6187" s="6" t="s">
        <v>5979</v>
      </c>
      <c r="B6187" s="6" t="str">
        <f ca="1">IFERROR(__xludf.DUMMYFUNCTION("GOOGLETRANSLATE(A6187,""bn"",""en"")"),"The architect has designed a modern innovative building")</f>
        <v>The architect has designed a modern innovative building</v>
      </c>
      <c r="C6187" s="8" t="s">
        <v>13</v>
      </c>
      <c r="D6187" s="8" t="s">
        <v>14</v>
      </c>
      <c r="E6187" s="8">
        <v>1</v>
      </c>
    </row>
    <row r="6188" spans="1:5" ht="15.75" customHeight="1" x14ac:dyDescent="0.25">
      <c r="A6188" s="6" t="s">
        <v>5980</v>
      </c>
      <c r="B6188" s="6" t="str">
        <f ca="1">IFERROR(__xludf.DUMMYFUNCTION("GOOGLETRANSLATE(A6188,""bn"",""en"")"),"The distance between them is very big")</f>
        <v>The distance between them is very big</v>
      </c>
      <c r="C6188" s="8" t="s">
        <v>13</v>
      </c>
      <c r="D6188" s="8" t="s">
        <v>14</v>
      </c>
      <c r="E6188" s="8">
        <v>1</v>
      </c>
    </row>
    <row r="6189" spans="1:5" ht="15.75" customHeight="1" x14ac:dyDescent="0.25">
      <c r="A6189" s="6" t="s">
        <v>5981</v>
      </c>
      <c r="B6189" s="6" t="str">
        <f ca="1">IFERROR(__xludf.DUMMYFUNCTION("GOOGLETRANSLATE(A6189,""bn"",""en"")"),"Therefore, special care must be taken in its mixed cultivation")</f>
        <v>Therefore, special care must be taken in its mixed cultivation</v>
      </c>
      <c r="C6189" s="8" t="s">
        <v>13</v>
      </c>
      <c r="D6189" s="8" t="s">
        <v>14</v>
      </c>
      <c r="E6189" s="8">
        <v>1</v>
      </c>
    </row>
    <row r="6190" spans="1:5" ht="15.75" customHeight="1" x14ac:dyDescent="0.25">
      <c r="A6190" s="6" t="s">
        <v>5982</v>
      </c>
      <c r="B6190" s="6" t="str">
        <f ca="1">IFERROR(__xludf.DUMMYFUNCTION("GOOGLETRANSLATE(A6190,""bn"",""en"")"),"His father died six months before his birth")</f>
        <v>His father died six months before his birth</v>
      </c>
      <c r="C6190" s="8" t="s">
        <v>13</v>
      </c>
      <c r="D6190" s="8" t="s">
        <v>14</v>
      </c>
      <c r="E6190" s="8">
        <v>1</v>
      </c>
    </row>
    <row r="6191" spans="1:5" ht="15.75" customHeight="1" x14ac:dyDescent="0.25">
      <c r="A6191" s="6" t="s">
        <v>5983</v>
      </c>
      <c r="B6191" s="6" t="str">
        <f ca="1">IFERROR(__xludf.DUMMYFUNCTION("GOOGLETRANSLATE(A6191,""bn"",""en"")"),"About three million people died in the famine")</f>
        <v>About three million people died in the famine</v>
      </c>
      <c r="C6191" s="8" t="s">
        <v>13</v>
      </c>
      <c r="D6191" s="8" t="s">
        <v>14</v>
      </c>
      <c r="E6191" s="8">
        <v>1</v>
      </c>
    </row>
    <row r="6192" spans="1:5" ht="15.75" customHeight="1" x14ac:dyDescent="0.25">
      <c r="A6192" s="6" t="s">
        <v>5984</v>
      </c>
      <c r="B6192" s="6" t="str">
        <f ca="1">IFERROR(__xludf.DUMMYFUNCTION("GOOGLETRANSLATE(A6192,""bn"",""en"")"),"Old discoveries are being eclipsed by new discoveries about human knowledge")</f>
        <v>Old discoveries are being eclipsed by new discoveries about human knowledge</v>
      </c>
      <c r="C6192" s="7" t="s">
        <v>6</v>
      </c>
      <c r="D6192" s="7" t="s">
        <v>7</v>
      </c>
      <c r="E6192" s="7">
        <v>0</v>
      </c>
    </row>
    <row r="6193" spans="1:5" ht="15.75" customHeight="1" x14ac:dyDescent="0.25">
      <c r="A6193" s="6" t="s">
        <v>5985</v>
      </c>
      <c r="B6193" s="6" t="str">
        <f ca="1">IFERROR(__xludf.DUMMYFUNCTION("GOOGLETRANSLATE(A6193,""bn"",""en"")"),"After the rains, this autumn's freshly washed sun is like the pure gold that melts there.")</f>
        <v>After the rains, this autumn's freshly washed sun is like the pure gold that melts there.</v>
      </c>
      <c r="C6193" s="7" t="s">
        <v>6</v>
      </c>
      <c r="D6193" s="7" t="s">
        <v>7</v>
      </c>
      <c r="E6193" s="7">
        <v>0</v>
      </c>
    </row>
    <row r="6194" spans="1:5" ht="15.75" customHeight="1" x14ac:dyDescent="0.25">
      <c r="A6194" s="6" t="s">
        <v>5986</v>
      </c>
      <c r="B6194" s="6" t="str">
        <f ca="1">IFERROR(__xludf.DUMMYFUNCTION("GOOGLETRANSLATE(A6194,""bn"",""en"")"),"Unable to contain his excitement, Ramsundar met his daughter")</f>
        <v>Unable to contain his excitement, Ramsundar met his daughter</v>
      </c>
      <c r="C6194" s="7" t="s">
        <v>6</v>
      </c>
      <c r="D6194" s="7" t="s">
        <v>7</v>
      </c>
      <c r="E6194" s="7">
        <v>0</v>
      </c>
    </row>
    <row r="6195" spans="1:5" ht="15.75" customHeight="1" x14ac:dyDescent="0.25">
      <c r="A6195" s="6" t="s">
        <v>5987</v>
      </c>
      <c r="B6195" s="6" t="str">
        <f ca="1">IFERROR(__xludf.DUMMYFUNCTION("GOOGLETRANSLATE(A6195,""bn"",""en"")"),"Elder brother Nazrul did not have the ability to carry the yoke completely, so he shared it and took it on his shoulders.")</f>
        <v>Elder brother Nazrul did not have the ability to carry the yoke completely, so he shared it and took it on his shoulders.</v>
      </c>
      <c r="C6195" s="7" t="s">
        <v>6</v>
      </c>
      <c r="D6195" s="7" t="s">
        <v>7</v>
      </c>
      <c r="E6195" s="7">
        <v>0</v>
      </c>
    </row>
    <row r="6196" spans="1:5" ht="15.75" customHeight="1" x14ac:dyDescent="0.25">
      <c r="A6196" s="6" t="s">
        <v>3813</v>
      </c>
      <c r="B6196" s="6" t="str">
        <f ca="1">IFERROR(__xludf.DUMMYFUNCTION("GOOGLETRANSLATE(A6196,""bn"",""en"")"),"Hanging from the youth's skandha, he once took it off the skandha and tested its sharpness.")</f>
        <v>Hanging from the youth's skandha, he once took it off the skandha and tested its sharpness.</v>
      </c>
      <c r="C6196" s="7" t="s">
        <v>6</v>
      </c>
      <c r="D6196" s="7" t="s">
        <v>7</v>
      </c>
      <c r="E6196" s="7">
        <v>0</v>
      </c>
    </row>
    <row r="6197" spans="1:5" ht="15.75" customHeight="1" x14ac:dyDescent="0.25">
      <c r="A6197" s="6" t="s">
        <v>5576</v>
      </c>
      <c r="B6197" s="6" t="str">
        <f ca="1">IFERROR(__xludf.DUMMYFUNCTION("GOOGLETRANSLATE(A6197,""bn"",""en"")"),"A few days ago I was talking to a friend of mine")</f>
        <v>A few days ago I was talking to a friend of mine</v>
      </c>
      <c r="C6197" s="8" t="s">
        <v>13</v>
      </c>
      <c r="D6197" s="8" t="s">
        <v>14</v>
      </c>
      <c r="E6197" s="8">
        <v>1</v>
      </c>
    </row>
    <row r="6198" spans="1:5" ht="15.75" customHeight="1" x14ac:dyDescent="0.25">
      <c r="A6198" s="6" t="s">
        <v>5988</v>
      </c>
      <c r="B6198" s="6" t="str">
        <f ca="1">IFERROR(__xludf.DUMMYFUNCTION("GOOGLETRANSLATE(A6198,""bn"",""en"")"),"I did what you told me")</f>
        <v>I did what you told me</v>
      </c>
      <c r="C6198" s="8" t="s">
        <v>13</v>
      </c>
      <c r="D6198" s="8" t="s">
        <v>14</v>
      </c>
      <c r="E6198" s="8">
        <v>1</v>
      </c>
    </row>
    <row r="6199" spans="1:5" ht="15.75" customHeight="1" x14ac:dyDescent="0.25">
      <c r="A6199" s="6" t="s">
        <v>5989</v>
      </c>
      <c r="B6199" s="6" t="str">
        <f ca="1">IFERROR(__xludf.DUMMYFUNCTION("GOOGLETRANSLATE(A6199,""bn"",""en"")"),"The moon in the evening sky looked very beautiful")</f>
        <v>The moon in the evening sky looked very beautiful</v>
      </c>
      <c r="C6199" s="8" t="s">
        <v>13</v>
      </c>
      <c r="D6199" s="8" t="s">
        <v>14</v>
      </c>
      <c r="E6199" s="8">
        <v>1</v>
      </c>
    </row>
    <row r="6200" spans="1:5" ht="15.75" customHeight="1" x14ac:dyDescent="0.25">
      <c r="A6200" s="6" t="s">
        <v>5990</v>
      </c>
      <c r="B6200" s="6" t="str">
        <f ca="1">IFERROR(__xludf.DUMMYFUNCTION("GOOGLETRANSLATE(A6200,""bn"",""en"")"),"At that time the local king had great dominance")</f>
        <v>At that time the local king had great dominance</v>
      </c>
      <c r="C6200" s="8" t="s">
        <v>13</v>
      </c>
      <c r="D6200" s="8" t="s">
        <v>14</v>
      </c>
      <c r="E6200" s="8">
        <v>1</v>
      </c>
    </row>
    <row r="6201" spans="1:5" ht="15.75" customHeight="1" x14ac:dyDescent="0.25">
      <c r="A6201" s="6" t="s">
        <v>5991</v>
      </c>
      <c r="B6201" s="6" t="str">
        <f ca="1">IFERROR(__xludf.DUMMYFUNCTION("GOOGLETRANSLATE(A6201,""bn"",""en"")"),"I feel nostalgic when I remember fond memories")</f>
        <v>I feel nostalgic when I remember fond memories</v>
      </c>
      <c r="C6201" s="8" t="s">
        <v>13</v>
      </c>
      <c r="D6201" s="8" t="s">
        <v>14</v>
      </c>
      <c r="E6201" s="8">
        <v>1</v>
      </c>
    </row>
    <row r="6202" spans="1:5" ht="15.75" customHeight="1" x14ac:dyDescent="0.25">
      <c r="A6202" s="6" t="s">
        <v>5992</v>
      </c>
      <c r="B6202" s="6" t="str">
        <f ca="1">IFERROR(__xludf.DUMMYFUNCTION("GOOGLETRANSLATE(A6202,""bn"",""en"")"),"Sujan was listening attentively to us")</f>
        <v>Sujan was listening attentively to us</v>
      </c>
      <c r="C6202" s="7" t="s">
        <v>6</v>
      </c>
      <c r="D6202" s="7" t="s">
        <v>7</v>
      </c>
      <c r="E6202" s="7">
        <v>0</v>
      </c>
    </row>
    <row r="6203" spans="1:5" ht="15.75" customHeight="1" x14ac:dyDescent="0.25">
      <c r="A6203" s="6" t="s">
        <v>5993</v>
      </c>
      <c r="B6203" s="6" t="str">
        <f ca="1">IFERROR(__xludf.DUMMYFUNCTION("GOOGLETRANSLATE(A6203,""bn"",""en"")"),"No one was allowed to collect wood from above for fear of tigers")</f>
        <v>No one was allowed to collect wood from above for fear of tigers</v>
      </c>
      <c r="C6203" s="7" t="s">
        <v>6</v>
      </c>
      <c r="D6203" s="7" t="s">
        <v>7</v>
      </c>
      <c r="E6203" s="7">
        <v>0</v>
      </c>
    </row>
    <row r="6204" spans="1:5" ht="15.75" customHeight="1" x14ac:dyDescent="0.25">
      <c r="A6204" s="6" t="s">
        <v>3160</v>
      </c>
      <c r="B6204" s="6" t="str">
        <f ca="1">IFERROR(__xludf.DUMMYFUNCTION("GOOGLETRANSLATE(A6204,""bn"",""en"")"),"Now I see that this speed is not mine alone")</f>
        <v>Now I see that this speed is not mine alone</v>
      </c>
      <c r="C6204" s="7" t="s">
        <v>6</v>
      </c>
      <c r="D6204" s="7" t="s">
        <v>7</v>
      </c>
      <c r="E6204" s="7">
        <v>0</v>
      </c>
    </row>
    <row r="6205" spans="1:5" ht="15.75" customHeight="1" x14ac:dyDescent="0.25">
      <c r="A6205" s="6" t="s">
        <v>5994</v>
      </c>
      <c r="B6205" s="6" t="str">
        <f ca="1">IFERROR(__xludf.DUMMYFUNCTION("GOOGLETRANSLATE(A6205,""bn"",""en"")"),"The doctor suppressed his pride and said, ""Move a little.""")</f>
        <v>The doctor suppressed his pride and said, "Move a little."</v>
      </c>
      <c r="C6205" s="7" t="s">
        <v>6</v>
      </c>
      <c r="D6205" s="7" t="s">
        <v>7</v>
      </c>
      <c r="E6205" s="7">
        <v>0</v>
      </c>
    </row>
    <row r="6206" spans="1:5" ht="15.75" customHeight="1" x14ac:dyDescent="0.25">
      <c r="A6206" s="6" t="s">
        <v>5995</v>
      </c>
      <c r="B6206" s="6" t="str">
        <f ca="1">IFERROR(__xludf.DUMMYFUNCTION("GOOGLETRANSLATE(A6206,""bn"",""en"")"),"He told me how far he went with Yuva")</f>
        <v>He told me how far he went with Yuva</v>
      </c>
      <c r="C6206" s="7" t="s">
        <v>6</v>
      </c>
      <c r="D6206" s="7" t="s">
        <v>7</v>
      </c>
      <c r="E6206" s="7">
        <v>0</v>
      </c>
    </row>
    <row r="6207" spans="1:5" ht="15.75" customHeight="1" x14ac:dyDescent="0.25">
      <c r="A6207" s="6" t="s">
        <v>5996</v>
      </c>
      <c r="B6207" s="6" t="str">
        <f ca="1">IFERROR(__xludf.DUMMYFUNCTION("GOOGLETRANSLATE(A6207,""bn"",""en"")"),"Regardless, I thoroughly enjoyed every moment of my job")</f>
        <v>Regardless, I thoroughly enjoyed every moment of my job</v>
      </c>
      <c r="C6207" s="8" t="s">
        <v>13</v>
      </c>
      <c r="D6207" s="8" t="s">
        <v>14</v>
      </c>
      <c r="E6207" s="8">
        <v>1</v>
      </c>
    </row>
    <row r="6208" spans="1:5" ht="15.75" customHeight="1" x14ac:dyDescent="0.25">
      <c r="A6208" s="6" t="s">
        <v>5997</v>
      </c>
      <c r="B6208" s="6" t="str">
        <f ca="1">IFERROR(__xludf.DUMMYFUNCTION("GOOGLETRANSLATE(A6208,""bn"",""en"")"),"Finding beauty in imperfections brings acceptance")</f>
        <v>Finding beauty in imperfections brings acceptance</v>
      </c>
      <c r="C6208" s="8" t="s">
        <v>13</v>
      </c>
      <c r="D6208" s="8" t="s">
        <v>14</v>
      </c>
      <c r="E6208" s="8">
        <v>1</v>
      </c>
    </row>
    <row r="6209" spans="1:5" ht="15.75" customHeight="1" x14ac:dyDescent="0.25">
      <c r="A6209" s="6" t="s">
        <v>5998</v>
      </c>
      <c r="B6209" s="6" t="str">
        <f ca="1">IFERROR(__xludf.DUMMYFUNCTION("GOOGLETRANSLATE(A6209,""bn"",""en"")"),"Electrician installs wiring for new building")</f>
        <v>Electrician installs wiring for new building</v>
      </c>
      <c r="C6209" s="8" t="s">
        <v>13</v>
      </c>
      <c r="D6209" s="8" t="s">
        <v>14</v>
      </c>
      <c r="E6209" s="8">
        <v>1</v>
      </c>
    </row>
    <row r="6210" spans="1:5" ht="15.75" customHeight="1" x14ac:dyDescent="0.25">
      <c r="A6210" s="6" t="s">
        <v>5999</v>
      </c>
      <c r="B6210" s="6" t="str">
        <f ca="1">IFERROR(__xludf.DUMMYFUNCTION("GOOGLETRANSLATE(A6210,""bn"",""en"")"),"The teacher's aide helped organize classroom materials for the upcoming lesson")</f>
        <v>The teacher's aide helped organize classroom materials for the upcoming lesson</v>
      </c>
      <c r="C6210" s="8" t="s">
        <v>13</v>
      </c>
      <c r="D6210" s="8" t="s">
        <v>14</v>
      </c>
      <c r="E6210" s="8">
        <v>1</v>
      </c>
    </row>
    <row r="6211" spans="1:5" ht="15.75" customHeight="1" x14ac:dyDescent="0.25">
      <c r="A6211" s="6" t="s">
        <v>6000</v>
      </c>
      <c r="B6211" s="6" t="str">
        <f ca="1">IFERROR(__xludf.DUMMYFUNCTION("GOOGLETRANSLATE(A6211,""bn"",""en"")"),"Detention of prisoners started in this boat")</f>
        <v>Detention of prisoners started in this boat</v>
      </c>
      <c r="C6211" s="8" t="s">
        <v>13</v>
      </c>
      <c r="D6211" s="8" t="s">
        <v>14</v>
      </c>
      <c r="E6211" s="8">
        <v>1</v>
      </c>
    </row>
    <row r="6212" spans="1:5" ht="15.75" customHeight="1" x14ac:dyDescent="0.25">
      <c r="A6212" s="6" t="s">
        <v>6001</v>
      </c>
      <c r="B6212" s="6" t="str">
        <f ca="1">IFERROR(__xludf.DUMMYFUNCTION("GOOGLETRANSLATE(A6212,""bn"",""en"")"),"Finally, during the journey, due to Anand's generosity, he was given the full right to inherit all the butter from his children.")</f>
        <v>Finally, during the journey, due to Anand's generosity, he was given the full right to inherit all the butter from his children.</v>
      </c>
      <c r="C6212" s="7" t="s">
        <v>6</v>
      </c>
      <c r="D6212" s="7" t="s">
        <v>7</v>
      </c>
      <c r="E6212" s="7">
        <v>0</v>
      </c>
    </row>
    <row r="6213" spans="1:5" ht="15.75" customHeight="1" x14ac:dyDescent="0.25">
      <c r="A6213" s="6" t="s">
        <v>6002</v>
      </c>
      <c r="B6213" s="6" t="str">
        <f ca="1">IFERROR(__xludf.DUMMYFUNCTION("GOOGLETRANSLATE(A6213,""bn"",""en"")"),"It is a sign of aging")</f>
        <v>It is a sign of aging</v>
      </c>
      <c r="C6213" s="7" t="s">
        <v>6</v>
      </c>
      <c r="D6213" s="7" t="s">
        <v>7</v>
      </c>
      <c r="E6213" s="7">
        <v>0</v>
      </c>
    </row>
    <row r="6214" spans="1:5" ht="15.75" customHeight="1" x14ac:dyDescent="0.25">
      <c r="A6214" s="6" t="s">
        <v>6003</v>
      </c>
      <c r="B6214" s="6" t="str">
        <f ca="1">IFERROR(__xludf.DUMMYFUNCTION("GOOGLETRANSLATE(A6214,""bn"",""en"")"),"Hence the origin of bells")</f>
        <v>Hence the origin of bells</v>
      </c>
      <c r="C6214" s="7" t="s">
        <v>6</v>
      </c>
      <c r="D6214" s="7" t="s">
        <v>7</v>
      </c>
      <c r="E6214" s="7">
        <v>0</v>
      </c>
    </row>
    <row r="6215" spans="1:5" ht="15.75" customHeight="1" x14ac:dyDescent="0.25">
      <c r="A6215" s="6" t="s">
        <v>6004</v>
      </c>
      <c r="B6215" s="6" t="str">
        <f ca="1">IFERROR(__xludf.DUMMYFUNCTION("GOOGLETRANSLATE(A6215,""bn"",""en"")"),"He had a feeling that he could not rule him right now if he wanted to")</f>
        <v>He had a feeling that he could not rule him right now if he wanted to</v>
      </c>
      <c r="C6215" s="7" t="s">
        <v>6</v>
      </c>
      <c r="D6215" s="7" t="s">
        <v>7</v>
      </c>
      <c r="E6215" s="7">
        <v>0</v>
      </c>
    </row>
    <row r="6216" spans="1:5" ht="15.75" customHeight="1" x14ac:dyDescent="0.25">
      <c r="A6216" s="6" t="s">
        <v>6005</v>
      </c>
      <c r="B6216" s="6" t="str">
        <f ca="1">IFERROR(__xludf.DUMMYFUNCTION("GOOGLETRANSLATE(A6216,""bn"",""en"")"),"While driving vehicles, eyes and ears should be kept open otherwise it will be a disaster")</f>
        <v>While driving vehicles, eyes and ears should be kept open otherwise it will be a disaster</v>
      </c>
      <c r="C6216" s="7" t="s">
        <v>6</v>
      </c>
      <c r="D6216" s="7" t="s">
        <v>7</v>
      </c>
      <c r="E6216" s="7">
        <v>0</v>
      </c>
    </row>
    <row r="6217" spans="1:5" ht="15.75" customHeight="1" x14ac:dyDescent="0.25">
      <c r="A6217" s="6" t="s">
        <v>6006</v>
      </c>
      <c r="B6217" s="6" t="str">
        <f ca="1">IFERROR(__xludf.DUMMYFUNCTION("GOOGLETRANSLATE(A6217,""bn"",""en"")"),"Gandamadan mountain is the highest peak of Rameswaram")</f>
        <v>Gandamadan mountain is the highest peak of Rameswaram</v>
      </c>
      <c r="C6217" s="8" t="s">
        <v>13</v>
      </c>
      <c r="D6217" s="8" t="s">
        <v>14</v>
      </c>
      <c r="E6217" s="8">
        <v>1</v>
      </c>
    </row>
    <row r="6218" spans="1:5" ht="15.75" customHeight="1" x14ac:dyDescent="0.25">
      <c r="A6218" s="6" t="s">
        <v>6007</v>
      </c>
      <c r="B6218" s="6" t="str">
        <f ca="1">IFERROR(__xludf.DUMMYFUNCTION("GOOGLETRANSLATE(A6218,""bn"",""en"")"),"Editorial cartoons in newspapers never fail to make me laugh or think")</f>
        <v>Editorial cartoons in newspapers never fail to make me laugh or think</v>
      </c>
      <c r="C6218" s="8" t="s">
        <v>13</v>
      </c>
      <c r="D6218" s="8" t="s">
        <v>14</v>
      </c>
      <c r="E6218" s="8">
        <v>1</v>
      </c>
    </row>
    <row r="6219" spans="1:5" ht="15.75" customHeight="1" x14ac:dyDescent="0.25">
      <c r="A6219" s="6" t="s">
        <v>6008</v>
      </c>
      <c r="B6219" s="6" t="str">
        <f ca="1">IFERROR(__xludf.DUMMYFUNCTION("GOOGLETRANSLATE(A6219,""bn"",""en"")"),"Subh asked Suma for the book")</f>
        <v>Subh asked Suma for the book</v>
      </c>
      <c r="C6219" s="8" t="s">
        <v>13</v>
      </c>
      <c r="D6219" s="8" t="s">
        <v>14</v>
      </c>
      <c r="E6219" s="8">
        <v>1</v>
      </c>
    </row>
    <row r="6220" spans="1:5" ht="15.75" customHeight="1" x14ac:dyDescent="0.25">
      <c r="A6220" s="6" t="s">
        <v>6009</v>
      </c>
      <c r="B6220" s="6" t="str">
        <f ca="1">IFERROR(__xludf.DUMMYFUNCTION("GOOGLETRANSLATE(A6220,""bn"",""en"")"),"Subscribe for lifestyle updates")</f>
        <v>Subscribe for lifestyle updates</v>
      </c>
      <c r="C6220" s="8" t="s">
        <v>13</v>
      </c>
      <c r="D6220" s="8" t="s">
        <v>14</v>
      </c>
      <c r="E6220" s="8">
        <v>1</v>
      </c>
    </row>
    <row r="6221" spans="1:5" ht="15.75" customHeight="1" x14ac:dyDescent="0.25">
      <c r="A6221" s="6" t="s">
        <v>6010</v>
      </c>
      <c r="B6221" s="6" t="str">
        <f ca="1">IFERROR(__xludf.DUMMYFUNCTION("GOOGLETRANSLATE(A6221,""bn"",""en"")"),"There is no dearth of knowledge providers in today's market")</f>
        <v>There is no dearth of knowledge providers in today's market</v>
      </c>
      <c r="C6221" s="8" t="s">
        <v>13</v>
      </c>
      <c r="D6221" s="8" t="s">
        <v>14</v>
      </c>
      <c r="E6221" s="8">
        <v>1</v>
      </c>
    </row>
    <row r="6222" spans="1:5" ht="15.75" customHeight="1" x14ac:dyDescent="0.25">
      <c r="A6222" s="6" t="s">
        <v>6011</v>
      </c>
      <c r="B6222" s="6" t="str">
        <f ca="1">IFERROR(__xludf.DUMMYFUNCTION("GOOGLETRANSLATE(A6222,""bn"",""en"")"),"We like it")</f>
        <v>We like it</v>
      </c>
      <c r="C6222" s="7" t="s">
        <v>6</v>
      </c>
      <c r="D6222" s="7" t="s">
        <v>7</v>
      </c>
      <c r="E6222" s="7">
        <v>0</v>
      </c>
    </row>
    <row r="6223" spans="1:5" ht="15.75" customHeight="1" x14ac:dyDescent="0.25">
      <c r="A6223" s="6" t="s">
        <v>6012</v>
      </c>
      <c r="B6223" s="6" t="str">
        <f ca="1">IFERROR(__xludf.DUMMYFUNCTION("GOOGLETRANSLATE(A6223,""bn"",""en"")"),"This time he is very busy to collect all the dues")</f>
        <v>This time he is very busy to collect all the dues</v>
      </c>
      <c r="C6223" s="7" t="s">
        <v>6</v>
      </c>
      <c r="D6223" s="7" t="s">
        <v>7</v>
      </c>
      <c r="E6223" s="7">
        <v>0</v>
      </c>
    </row>
    <row r="6224" spans="1:5" ht="15.75" customHeight="1" x14ac:dyDescent="0.25">
      <c r="A6224" s="6" t="s">
        <v>6013</v>
      </c>
      <c r="B6224" s="6" t="str">
        <f ca="1">IFERROR(__xludf.DUMMYFUNCTION("GOOGLETRANSLATE(A6224,""bn"",""en"")"),"Sohan sir asked me to go to school")</f>
        <v>Sohan sir asked me to go to school</v>
      </c>
      <c r="C6224" s="7" t="s">
        <v>6</v>
      </c>
      <c r="D6224" s="7" t="s">
        <v>7</v>
      </c>
      <c r="E6224" s="7">
        <v>0</v>
      </c>
    </row>
    <row r="6225" spans="1:5" ht="15.75" customHeight="1" x14ac:dyDescent="0.25">
      <c r="A6225" s="6" t="s">
        <v>6014</v>
      </c>
      <c r="B6225" s="6" t="str">
        <f ca="1">IFERROR(__xludf.DUMMYFUNCTION("GOOGLETRANSLATE(A6225,""bn"",""en"")"),"Is this your new job?")</f>
        <v>Is this your new job?</v>
      </c>
      <c r="C6225" s="7" t="s">
        <v>6</v>
      </c>
      <c r="D6225" s="7" t="s">
        <v>7</v>
      </c>
      <c r="E6225" s="7">
        <v>0</v>
      </c>
    </row>
    <row r="6226" spans="1:5" ht="15.75" customHeight="1" x14ac:dyDescent="0.25">
      <c r="A6226" s="6" t="s">
        <v>6015</v>
      </c>
      <c r="B6226" s="6" t="str">
        <f ca="1">IFERROR(__xludf.DUMMYFUNCTION("GOOGLETRANSLATE(A6226,""bn"",""en"")"),"Roni took my book")</f>
        <v>Roni took my book</v>
      </c>
      <c r="C6226" s="7" t="s">
        <v>6</v>
      </c>
      <c r="D6226" s="7" t="s">
        <v>7</v>
      </c>
      <c r="E6226" s="7">
        <v>0</v>
      </c>
    </row>
    <row r="6227" spans="1:5" ht="15.75" customHeight="1" x14ac:dyDescent="0.25">
      <c r="A6227" s="6" t="s">
        <v>6016</v>
      </c>
      <c r="B6227" s="6" t="str">
        <f ca="1">IFERROR(__xludf.DUMMYFUNCTION("GOOGLETRANSLATE(A6227,""bn"",""en"")"),"Sailing through treacherous seas they battled sea monster storms with unwavering determination")</f>
        <v>Sailing through treacherous seas they battled sea monster storms with unwavering determination</v>
      </c>
      <c r="C6227" s="8" t="s">
        <v>13</v>
      </c>
      <c r="D6227" s="8" t="s">
        <v>14</v>
      </c>
      <c r="E6227" s="8">
        <v>1</v>
      </c>
    </row>
    <row r="6228" spans="1:5" ht="15.75" customHeight="1" x14ac:dyDescent="0.25">
      <c r="A6228" s="6" t="s">
        <v>6017</v>
      </c>
      <c r="B6228" s="6" t="str">
        <f ca="1">IFERROR(__xludf.DUMMYFUNCTION("GOOGLETRANSLATE(A6228,""bn"",""en"")"),"This morning I sat down to read")</f>
        <v>This morning I sat down to read</v>
      </c>
      <c r="C6228" s="8" t="s">
        <v>13</v>
      </c>
      <c r="D6228" s="8" t="s">
        <v>14</v>
      </c>
      <c r="E6228" s="8">
        <v>1</v>
      </c>
    </row>
    <row r="6229" spans="1:5" ht="15.75" customHeight="1" x14ac:dyDescent="0.25">
      <c r="A6229" s="6" t="s">
        <v>6018</v>
      </c>
      <c r="B6229" s="6" t="str">
        <f ca="1">IFERROR(__xludf.DUMMYFUNCTION("GOOGLETRANSLATE(A6229,""bn"",""en"")"),"Again many books have been lost")</f>
        <v>Again many books have been lost</v>
      </c>
      <c r="C6229" s="8" t="s">
        <v>13</v>
      </c>
      <c r="D6229" s="8" t="s">
        <v>14</v>
      </c>
      <c r="E6229" s="8">
        <v>1</v>
      </c>
    </row>
    <row r="6230" spans="1:5" ht="15.75" customHeight="1" x14ac:dyDescent="0.25">
      <c r="A6230" s="6" t="s">
        <v>6019</v>
      </c>
      <c r="B6230" s="6" t="str">
        <f ca="1">IFERROR(__xludf.DUMMYFUNCTION("GOOGLETRANSLATE(A6230,""bn"",""en"")"),"He saw a beggar through the window of the train")</f>
        <v>He saw a beggar through the window of the train</v>
      </c>
      <c r="C6230" s="8" t="s">
        <v>13</v>
      </c>
      <c r="D6230" s="8" t="s">
        <v>14</v>
      </c>
      <c r="E6230" s="8">
        <v>1</v>
      </c>
    </row>
    <row r="6231" spans="1:5" ht="15.75" customHeight="1" x14ac:dyDescent="0.25">
      <c r="A6231" s="6" t="s">
        <v>6020</v>
      </c>
      <c r="B6231" s="6" t="str">
        <f ca="1">IFERROR(__xludf.DUMMYFUNCTION("GOOGLETRANSLATE(A6231,""bn"",""en"")"),"Sumi asked me to go to Sharif")</f>
        <v>Sumi asked me to go to Sharif</v>
      </c>
      <c r="C6231" s="8" t="s">
        <v>13</v>
      </c>
      <c r="D6231" s="8" t="s">
        <v>14</v>
      </c>
      <c r="E6231" s="8">
        <v>1</v>
      </c>
    </row>
    <row r="6232" spans="1:5" ht="15.75" customHeight="1" x14ac:dyDescent="0.25">
      <c r="A6232" s="6" t="s">
        <v>6021</v>
      </c>
      <c r="B6232" s="6" t="str">
        <f ca="1">IFERROR(__xludf.DUMMYFUNCTION("GOOGLETRANSLATE(A6232,""bn"",""en"")"),"In the end Karim scored better than Rahim")</f>
        <v>In the end Karim scored better than Rahim</v>
      </c>
      <c r="C6232" s="7" t="s">
        <v>6</v>
      </c>
      <c r="D6232" s="7" t="s">
        <v>7</v>
      </c>
      <c r="E6232" s="7">
        <v>0</v>
      </c>
    </row>
    <row r="6233" spans="1:5" ht="15.75" customHeight="1" x14ac:dyDescent="0.25">
      <c r="A6233" s="6" t="s">
        <v>6022</v>
      </c>
      <c r="B6233" s="6" t="str">
        <f ca="1">IFERROR(__xludf.DUMMYFUNCTION("GOOGLETRANSLATE(A6233,""bn"",""en"")"),"Ronnie can't do it")</f>
        <v>Ronnie can't do it</v>
      </c>
      <c r="C6233" s="7" t="s">
        <v>6</v>
      </c>
      <c r="D6233" s="7" t="s">
        <v>7</v>
      </c>
      <c r="E6233" s="7">
        <v>0</v>
      </c>
    </row>
    <row r="6234" spans="1:5" ht="15.75" customHeight="1" x14ac:dyDescent="0.25">
      <c r="A6234" s="6" t="s">
        <v>6023</v>
      </c>
      <c r="B6234" s="6" t="str">
        <f ca="1">IFERROR(__xludf.DUMMYFUNCTION("GOOGLETRANSLATE(A6234,""bn"",""en"")"),"Sheila was approaching Robin")</f>
        <v>Sheila was approaching Robin</v>
      </c>
      <c r="C6234" s="7" t="s">
        <v>6</v>
      </c>
      <c r="D6234" s="7" t="s">
        <v>7</v>
      </c>
      <c r="E6234" s="7">
        <v>0</v>
      </c>
    </row>
    <row r="6235" spans="1:5" ht="15.75" customHeight="1" x14ac:dyDescent="0.25">
      <c r="A6235" s="6" t="s">
        <v>6024</v>
      </c>
      <c r="B6235" s="6" t="str">
        <f ca="1">IFERROR(__xludf.DUMMYFUNCTION("GOOGLETRANSLATE(A6235,""bn"",""en"")"),"I will take a shower and eat")</f>
        <v>I will take a shower and eat</v>
      </c>
      <c r="C6235" s="7" t="s">
        <v>6</v>
      </c>
      <c r="D6235" s="7" t="s">
        <v>7</v>
      </c>
      <c r="E6235" s="7">
        <v>0</v>
      </c>
    </row>
    <row r="6236" spans="1:5" ht="15.75" customHeight="1" x14ac:dyDescent="0.25">
      <c r="A6236" s="6" t="s">
        <v>6025</v>
      </c>
      <c r="B6236" s="6" t="str">
        <f ca="1">IFERROR(__xludf.DUMMYFUNCTION("GOOGLETRANSLATE(A6236,""bn"",""en"")"),"I know you")</f>
        <v>I know you</v>
      </c>
      <c r="C6236" s="7" t="s">
        <v>6</v>
      </c>
      <c r="D6236" s="7" t="s">
        <v>7</v>
      </c>
      <c r="E6236" s="7">
        <v>0</v>
      </c>
    </row>
    <row r="6237" spans="1:5" ht="15.75" customHeight="1" x14ac:dyDescent="0.25">
      <c r="A6237" s="6" t="s">
        <v>6026</v>
      </c>
      <c r="B6237" s="6" t="str">
        <f ca="1">IFERROR(__xludf.DUMMYFUNCTION("GOOGLETRANSLATE(A6237,""bn"",""en"")"),"My cousins ​​are like my second family")</f>
        <v>My cousins ​​are like my second family</v>
      </c>
      <c r="C6237" s="8" t="s">
        <v>13</v>
      </c>
      <c r="D6237" s="8" t="s">
        <v>14</v>
      </c>
      <c r="E6237" s="8">
        <v>1</v>
      </c>
    </row>
    <row r="6238" spans="1:5" ht="15.75" customHeight="1" x14ac:dyDescent="0.25">
      <c r="A6238" s="6" t="s">
        <v>6027</v>
      </c>
      <c r="B6238" s="6" t="str">
        <f ca="1">IFERROR(__xludf.DUMMYFUNCTION("GOOGLETRANSLATE(A6238,""bn"",""en"")"),"Montenegro aspires to NATO membership")</f>
        <v>Montenegro aspires to NATO membership</v>
      </c>
      <c r="C6238" s="8" t="s">
        <v>13</v>
      </c>
      <c r="D6238" s="8" t="s">
        <v>14</v>
      </c>
      <c r="E6238" s="8">
        <v>1</v>
      </c>
    </row>
    <row r="6239" spans="1:5" ht="15.75" customHeight="1" x14ac:dyDescent="0.25">
      <c r="A6239" s="6" t="s">
        <v>6028</v>
      </c>
      <c r="B6239" s="6" t="str">
        <f ca="1">IFERROR(__xludf.DUMMYFUNCTION("GOOGLETRANSLATE(A6239,""bn"",""en"")"),"Electricity flashes")</f>
        <v>Electricity flashes</v>
      </c>
      <c r="C6239" s="8" t="s">
        <v>13</v>
      </c>
      <c r="D6239" s="8" t="s">
        <v>14</v>
      </c>
      <c r="E6239" s="8">
        <v>1</v>
      </c>
    </row>
    <row r="6240" spans="1:5" ht="15.75" customHeight="1" x14ac:dyDescent="0.25">
      <c r="A6240" s="6" t="s">
        <v>6029</v>
      </c>
      <c r="B6240" s="6" t="str">
        <f ca="1">IFERROR(__xludf.DUMMYFUNCTION("GOOGLETRANSLATE(A6240,""bn"",""en"")"),"Express gratitude to those who have supported you along the way")</f>
        <v>Express gratitude to those who have supported you along the way</v>
      </c>
      <c r="C6240" s="8" t="s">
        <v>13</v>
      </c>
      <c r="D6240" s="8" t="s">
        <v>14</v>
      </c>
      <c r="E6240" s="8">
        <v>1</v>
      </c>
    </row>
    <row r="6241" spans="1:5" ht="15.75" customHeight="1" x14ac:dyDescent="0.25">
      <c r="A6241" s="6" t="s">
        <v>6030</v>
      </c>
      <c r="B6241" s="6" t="str">
        <f ca="1">IFERROR(__xludf.DUMMYFUNCTION("GOOGLETRANSLATE(A6241,""bn"",""en"")"),"Security guards monitor for any suspicious activity")</f>
        <v>Security guards monitor for any suspicious activity</v>
      </c>
      <c r="C6241" s="8" t="s">
        <v>13</v>
      </c>
      <c r="D6241" s="8" t="s">
        <v>14</v>
      </c>
      <c r="E6241" s="8">
        <v>1</v>
      </c>
    </row>
    <row r="6242" spans="1:5" ht="15.75" customHeight="1" x14ac:dyDescent="0.25">
      <c r="A6242" s="6" t="s">
        <v>6031</v>
      </c>
      <c r="B6242" s="6" t="str">
        <f ca="1">IFERROR(__xludf.DUMMYFUNCTION("GOOGLETRANSLATE(A6242,""bn"",""en"")"),"In the meantime the bridegroom became disobedient to his paternal god")</f>
        <v>In the meantime the bridegroom became disobedient to his paternal god</v>
      </c>
      <c r="C6242" s="7" t="s">
        <v>6</v>
      </c>
      <c r="D6242" s="7" t="s">
        <v>7</v>
      </c>
      <c r="E6242" s="7">
        <v>0</v>
      </c>
    </row>
    <row r="6243" spans="1:5" ht="15.75" customHeight="1" x14ac:dyDescent="0.25">
      <c r="A6243" s="6" t="s">
        <v>6032</v>
      </c>
      <c r="B6243" s="6" t="str">
        <f ca="1">IFERROR(__xludf.DUMMYFUNCTION("GOOGLETRANSLATE(A6243,""bn"",""en"")"),"A faint streak of light crept up the path with the sound of a door opening")</f>
        <v>A faint streak of light crept up the path with the sound of a door opening</v>
      </c>
      <c r="C6243" s="7" t="s">
        <v>6</v>
      </c>
      <c r="D6243" s="7" t="s">
        <v>7</v>
      </c>
      <c r="E6243" s="7">
        <v>0</v>
      </c>
    </row>
    <row r="6244" spans="1:5" ht="15.75" customHeight="1" x14ac:dyDescent="0.25">
      <c r="A6244" s="6" t="s">
        <v>6033</v>
      </c>
      <c r="B6244" s="6" t="str">
        <f ca="1">IFERROR(__xludf.DUMMYFUNCTION("GOOGLETRANSLATE(A6244,""bn"",""en"")"),"In the end, Rahim put Karim in danger")</f>
        <v>In the end, Rahim put Karim in danger</v>
      </c>
      <c r="C6244" s="7" t="s">
        <v>6</v>
      </c>
      <c r="D6244" s="7" t="s">
        <v>7</v>
      </c>
      <c r="E6244" s="7">
        <v>0</v>
      </c>
    </row>
    <row r="6245" spans="1:5" ht="15.75" customHeight="1" x14ac:dyDescent="0.25">
      <c r="A6245" s="6" t="s">
        <v>6034</v>
      </c>
      <c r="B6245" s="6" t="str">
        <f ca="1">IFERROR(__xludf.DUMMYFUNCTION("GOOGLETRANSLATE(A6245,""bn"",""en"")"),"Mosquitoes were buzzing in the bamboo groves on both sides of the narrow path of Kayetpara")</f>
        <v>Mosquitoes were buzzing in the bamboo groves on both sides of the narrow path of Kayetpara</v>
      </c>
      <c r="C6245" s="7" t="s">
        <v>6</v>
      </c>
      <c r="D6245" s="7" t="s">
        <v>7</v>
      </c>
      <c r="E6245" s="7">
        <v>0</v>
      </c>
    </row>
    <row r="6246" spans="1:5" ht="15.75" customHeight="1" x14ac:dyDescent="0.25">
      <c r="A6246" s="6" t="s">
        <v>6035</v>
      </c>
      <c r="B6246" s="6" t="str">
        <f ca="1">IFERROR(__xludf.DUMMYFUNCTION("GOOGLETRANSLATE(A6246,""bn"",""en"")"),"For another reader it is necessary to raise the matter of that mountain forest a little")</f>
        <v>For another reader it is necessary to raise the matter of that mountain forest a little</v>
      </c>
      <c r="C6246" s="7" t="s">
        <v>6</v>
      </c>
      <c r="D6246" s="7" t="s">
        <v>7</v>
      </c>
      <c r="E6246" s="7">
        <v>0</v>
      </c>
    </row>
    <row r="6247" spans="1:5" ht="15.75" customHeight="1" x14ac:dyDescent="0.25">
      <c r="A6247" s="6" t="s">
        <v>6036</v>
      </c>
      <c r="B6247" s="6" t="str">
        <f ca="1">IFERROR(__xludf.DUMMYFUNCTION("GOOGLETRANSLATE(A6247,""bn"",""en"")"),"Everyone talked to me today")</f>
        <v>Everyone talked to me today</v>
      </c>
      <c r="C6247" s="8" t="s">
        <v>13</v>
      </c>
      <c r="D6247" s="8" t="s">
        <v>14</v>
      </c>
      <c r="E6247" s="8">
        <v>1</v>
      </c>
    </row>
    <row r="6248" spans="1:5" ht="15.75" customHeight="1" x14ac:dyDescent="0.25">
      <c r="A6248" s="6" t="s">
        <v>6037</v>
      </c>
      <c r="B6248" s="6" t="str">
        <f ca="1">IFERROR(__xludf.DUMMYFUNCTION("GOOGLETRANSLATE(A6248,""bn"",""en"")"),"The god Ullar is his stepfather")</f>
        <v>The god Ullar is his stepfather</v>
      </c>
      <c r="C6248" s="8" t="s">
        <v>13</v>
      </c>
      <c r="D6248" s="8" t="s">
        <v>14</v>
      </c>
      <c r="E6248" s="8">
        <v>1</v>
      </c>
    </row>
    <row r="6249" spans="1:5" ht="15.75" customHeight="1" x14ac:dyDescent="0.25">
      <c r="A6249" s="6" t="s">
        <v>6038</v>
      </c>
      <c r="B6249" s="6" t="str">
        <f ca="1">IFERROR(__xludf.DUMMYFUNCTION("GOOGLETRANSLATE(A6249,""bn"",""en"")"),"Whoever wins the donation restarts the game again")</f>
        <v>Whoever wins the donation restarts the game again</v>
      </c>
      <c r="C6249" s="8" t="s">
        <v>13</v>
      </c>
      <c r="D6249" s="8" t="s">
        <v>14</v>
      </c>
      <c r="E6249" s="8">
        <v>1</v>
      </c>
    </row>
    <row r="6250" spans="1:5" ht="15.75" customHeight="1" x14ac:dyDescent="0.25">
      <c r="A6250" s="6" t="s">
        <v>6039</v>
      </c>
      <c r="B6250" s="6" t="str">
        <f ca="1">IFERROR(__xludf.DUMMYFUNCTION("GOOGLETRANSLATE(A6250,""bn"",""en"")"),"The owner of the agency that used to distribute newspapers in Rameswaram was Shamsuddin")</f>
        <v>The owner of the agency that used to distribute newspapers in Rameswaram was Shamsuddin</v>
      </c>
      <c r="C6250" s="8" t="s">
        <v>13</v>
      </c>
      <c r="D6250" s="8" t="s">
        <v>14</v>
      </c>
      <c r="E6250" s="8">
        <v>1</v>
      </c>
    </row>
    <row r="6251" spans="1:5" ht="15.75" customHeight="1" x14ac:dyDescent="0.25">
      <c r="A6251" s="6" t="s">
        <v>6040</v>
      </c>
      <c r="B6251" s="6" t="str">
        <f ca="1">IFERROR(__xludf.DUMMYFUNCTION("GOOGLETRANSLATE(A6251,""bn"",""en"")"),"Conflict resolution processes facilitate productive teamwork")</f>
        <v>Conflict resolution processes facilitate productive teamwork</v>
      </c>
      <c r="C6251" s="8" t="s">
        <v>13</v>
      </c>
      <c r="D6251" s="8" t="s">
        <v>14</v>
      </c>
      <c r="E6251" s="8">
        <v>1</v>
      </c>
    </row>
    <row r="6252" spans="1:5" ht="15.75" customHeight="1" x14ac:dyDescent="0.25">
      <c r="A6252" s="6" t="s">
        <v>6041</v>
      </c>
      <c r="B6252" s="6" t="str">
        <f ca="1">IFERROR(__xludf.DUMMYFUNCTION("GOOGLETRANSLATE(A6252,""bn"",""en"")"),"He has been successful in every phase of his life")</f>
        <v>He has been successful in every phase of his life</v>
      </c>
      <c r="C6252" s="7" t="s">
        <v>6</v>
      </c>
      <c r="D6252" s="7" t="s">
        <v>7</v>
      </c>
      <c r="E6252" s="7">
        <v>0</v>
      </c>
    </row>
    <row r="6253" spans="1:5" ht="15.75" customHeight="1" x14ac:dyDescent="0.25">
      <c r="A6253" s="6" t="s">
        <v>6042</v>
      </c>
      <c r="B6253" s="6" t="str">
        <f ca="1">IFERROR(__xludf.DUMMYFUNCTION("GOOGLETRANSLATE(A6253,""bn"",""en"")"),"Once upon a time, the creeper was sitting on that creeper and got up, shaking his head and shaking his head.")</f>
        <v>Once upon a time, the creeper was sitting on that creeper and got up, shaking his head and shaking his head.</v>
      </c>
      <c r="C6253" s="7" t="s">
        <v>6</v>
      </c>
      <c r="D6253" s="7" t="s">
        <v>7</v>
      </c>
      <c r="E6253" s="7">
        <v>0</v>
      </c>
    </row>
    <row r="6254" spans="1:5" ht="15.75" customHeight="1" x14ac:dyDescent="0.25">
      <c r="A6254" s="6" t="s">
        <v>6043</v>
      </c>
      <c r="B6254" s="6" t="str">
        <f ca="1">IFERROR(__xludf.DUMMYFUNCTION("GOOGLETRANSLATE(A6254,""bn"",""en"")"),"The part of the ship where the third-class passengers were crowded together")</f>
        <v>The part of the ship where the third-class passengers were crowded together</v>
      </c>
      <c r="C6254" s="7" t="s">
        <v>6</v>
      </c>
      <c r="D6254" s="7" t="s">
        <v>7</v>
      </c>
      <c r="E6254" s="7">
        <v>0</v>
      </c>
    </row>
    <row r="6255" spans="1:5" ht="15.75" customHeight="1" x14ac:dyDescent="0.25">
      <c r="A6255" s="6" t="s">
        <v>6044</v>
      </c>
      <c r="B6255" s="6" t="str">
        <f ca="1">IFERROR(__xludf.DUMMYFUNCTION("GOOGLETRANSLATE(A6255,""bn"",""en"")"),"They used to draw water from their beards")</f>
        <v>They used to draw water from their beards</v>
      </c>
      <c r="C6255" s="7" t="s">
        <v>6</v>
      </c>
      <c r="D6255" s="7" t="s">
        <v>7</v>
      </c>
      <c r="E6255" s="7">
        <v>0</v>
      </c>
    </row>
    <row r="6256" spans="1:5" ht="15.75" customHeight="1" x14ac:dyDescent="0.25">
      <c r="A6256" s="6" t="s">
        <v>6045</v>
      </c>
      <c r="B6256" s="6" t="str">
        <f ca="1">IFERROR(__xludf.DUMMYFUNCTION("GOOGLETRANSLATE(A6256,""bn"",""en"")"),"Rahim Sahib ordered to do this")</f>
        <v>Rahim Sahib ordered to do this</v>
      </c>
      <c r="C6256" s="7" t="s">
        <v>6</v>
      </c>
      <c r="D6256" s="7" t="s">
        <v>7</v>
      </c>
      <c r="E6256" s="7">
        <v>0</v>
      </c>
    </row>
    <row r="6257" spans="1:5" ht="15.75" customHeight="1" x14ac:dyDescent="0.25">
      <c r="A6257" s="6" t="s">
        <v>6046</v>
      </c>
      <c r="B6257" s="6" t="str">
        <f ca="1">IFERROR(__xludf.DUMMYFUNCTION("GOOGLETRANSLATE(A6257,""bn"",""en"")"),"The girl has learned dancing and singing since childhood")</f>
        <v>The girl has learned dancing and singing since childhood</v>
      </c>
      <c r="C6257" s="8" t="s">
        <v>13</v>
      </c>
      <c r="D6257" s="8" t="s">
        <v>14</v>
      </c>
      <c r="E6257" s="8">
        <v>1</v>
      </c>
    </row>
    <row r="6258" spans="1:5" ht="15.75" customHeight="1" x14ac:dyDescent="0.25">
      <c r="A6258" s="6" t="s">
        <v>6047</v>
      </c>
      <c r="B6258" s="6" t="str">
        <f ca="1">IFERROR(__xludf.DUMMYFUNCTION("GOOGLETRANSLATE(A6258,""bn"",""en"")"),"For which he had to give up his dream")</f>
        <v>For which he had to give up his dream</v>
      </c>
      <c r="C6258" s="8" t="s">
        <v>13</v>
      </c>
      <c r="D6258" s="8" t="s">
        <v>14</v>
      </c>
      <c r="E6258" s="8">
        <v>1</v>
      </c>
    </row>
    <row r="6259" spans="1:5" ht="15.75" customHeight="1" x14ac:dyDescent="0.25">
      <c r="A6259" s="6" t="s">
        <v>6048</v>
      </c>
      <c r="B6259" s="6" t="str">
        <f ca="1">IFERROR(__xludf.DUMMYFUNCTION("GOOGLETRANSLATE(A6259,""bn"",""en"")"),"Be kind and empathetic to others everyone is fighting their own battles")</f>
        <v>Be kind and empathetic to others everyone is fighting their own battles</v>
      </c>
      <c r="C6259" s="8" t="s">
        <v>13</v>
      </c>
      <c r="D6259" s="8" t="s">
        <v>14</v>
      </c>
      <c r="E6259" s="8">
        <v>1</v>
      </c>
    </row>
    <row r="6260" spans="1:5" ht="15.75" customHeight="1" x14ac:dyDescent="0.25">
      <c r="A6260" s="6" t="s">
        <v>6049</v>
      </c>
      <c r="B6260" s="6" t="str">
        <f ca="1">IFERROR(__xludf.DUMMYFUNCTION("GOOGLETRANSLATE(A6260,""bn"",""en"")"),"Based on this, he was awarded the Nobel Prize")</f>
        <v>Based on this, he was awarded the Nobel Prize</v>
      </c>
      <c r="C6260" s="8" t="s">
        <v>13</v>
      </c>
      <c r="D6260" s="8" t="s">
        <v>14</v>
      </c>
      <c r="E6260" s="8">
        <v>1</v>
      </c>
    </row>
    <row r="6261" spans="1:5" ht="15.75" customHeight="1" x14ac:dyDescent="0.25">
      <c r="A6261" s="6" t="s">
        <v>6050</v>
      </c>
      <c r="B6261" s="6" t="str">
        <f ca="1">IFERROR(__xludf.DUMMYFUNCTION("GOOGLETRANSLATE(A6261,""bn"",""en"")"),"I will take a shower and go to sleep now")</f>
        <v>I will take a shower and go to sleep now</v>
      </c>
      <c r="C6261" s="8" t="s">
        <v>13</v>
      </c>
      <c r="D6261" s="8" t="s">
        <v>14</v>
      </c>
      <c r="E6261" s="8">
        <v>1</v>
      </c>
    </row>
    <row r="6262" spans="1:5" ht="15.75" customHeight="1" x14ac:dyDescent="0.25">
      <c r="A6262" s="6" t="s">
        <v>6051</v>
      </c>
      <c r="B6262" s="6" t="str">
        <f ca="1">IFERROR(__xludf.DUMMYFUNCTION("GOOGLETRANSLATE(A6262,""bn"",""en"")"),"I don't know when the wave of his mind rises towards light and when it descends towards darkness")</f>
        <v>I don't know when the wave of his mind rises towards light and when it descends towards darkness</v>
      </c>
      <c r="C6262" s="7" t="s">
        <v>6</v>
      </c>
      <c r="D6262" s="7" t="s">
        <v>7</v>
      </c>
      <c r="E6262" s="7">
        <v>0</v>
      </c>
    </row>
    <row r="6263" spans="1:5" ht="15.75" customHeight="1" x14ac:dyDescent="0.25">
      <c r="A6263" s="6" t="s">
        <v>6052</v>
      </c>
      <c r="B6263" s="6" t="str">
        <f ca="1">IFERROR(__xludf.DUMMYFUNCTION("GOOGLETRANSLATE(A6263,""bn"",""en"")"),"He will hear you whether you listen or not")</f>
        <v>He will hear you whether you listen or not</v>
      </c>
      <c r="C6263" s="7" t="s">
        <v>6</v>
      </c>
      <c r="D6263" s="7" t="s">
        <v>7</v>
      </c>
      <c r="E6263" s="7">
        <v>0</v>
      </c>
    </row>
    <row r="6264" spans="1:5" ht="15.75" customHeight="1" x14ac:dyDescent="0.25">
      <c r="A6264" s="6" t="s">
        <v>6053</v>
      </c>
      <c r="B6264" s="6" t="str">
        <f ca="1">IFERROR(__xludf.DUMMYFUNCTION("GOOGLETRANSLATE(A6264,""bn"",""en"")"),"There are many people who can see the big things roughly but their eyes do not fall at all on the subtle things")</f>
        <v>There are many people who can see the big things roughly but their eyes do not fall at all on the subtle things</v>
      </c>
      <c r="C6264" s="7" t="s">
        <v>6</v>
      </c>
      <c r="D6264" s="7" t="s">
        <v>7</v>
      </c>
      <c r="E6264" s="7">
        <v>0</v>
      </c>
    </row>
    <row r="6265" spans="1:5" ht="15.75" customHeight="1" x14ac:dyDescent="0.25">
      <c r="A6265" s="6" t="s">
        <v>6054</v>
      </c>
      <c r="B6265" s="6" t="str">
        <f ca="1">IFERROR(__xludf.DUMMYFUNCTION("GOOGLETRANSLATE(A6265,""bn"",""en"")"),"No one steps here by mistake")</f>
        <v>No one steps here by mistake</v>
      </c>
      <c r="C6265" s="7" t="s">
        <v>6</v>
      </c>
      <c r="D6265" s="7" t="s">
        <v>7</v>
      </c>
      <c r="E6265" s="7">
        <v>0</v>
      </c>
    </row>
    <row r="6266" spans="1:5" ht="15.75" customHeight="1" x14ac:dyDescent="0.25">
      <c r="A6266" s="6" t="s">
        <v>6055</v>
      </c>
      <c r="B6266" s="6" t="str">
        <f ca="1">IFERROR(__xludf.DUMMYFUNCTION("GOOGLETRANSLATE(A6266,""bn"",""en"")"),"For a short distance past the pool, only cultivated fields flanked the road")</f>
        <v>For a short distance past the pool, only cultivated fields flanked the road</v>
      </c>
      <c r="C6266" s="7" t="s">
        <v>6</v>
      </c>
      <c r="D6266" s="7" t="s">
        <v>7</v>
      </c>
      <c r="E6266" s="7">
        <v>0</v>
      </c>
    </row>
    <row r="6267" spans="1:5" ht="15.75" customHeight="1" x14ac:dyDescent="0.25">
      <c r="A6267" s="6" t="s">
        <v>6056</v>
      </c>
      <c r="B6267" s="6" t="str">
        <f ca="1">IFERROR(__xludf.DUMMYFUNCTION("GOOGLETRANSLATE(A6267,""bn"",""en"")"),"A pneumothorax is a collapsed lung that can cause chest pain and difficulty breathing")</f>
        <v>A pneumothorax is a collapsed lung that can cause chest pain and difficulty breathing</v>
      </c>
      <c r="C6267" s="8" t="s">
        <v>13</v>
      </c>
      <c r="D6267" s="8" t="s">
        <v>14</v>
      </c>
      <c r="E6267" s="8">
        <v>1</v>
      </c>
    </row>
    <row r="6268" spans="1:5" ht="15.75" customHeight="1" x14ac:dyDescent="0.25">
      <c r="A6268" s="6" t="s">
        <v>6057</v>
      </c>
      <c r="B6268" s="6" t="str">
        <f ca="1">IFERROR(__xludf.DUMMYFUNCTION("GOOGLETRANSLATE(A6268,""bn"",""en"")"),"Financial advisors offer investment advice to clients looking to grow their wealth")</f>
        <v>Financial advisors offer investment advice to clients looking to grow their wealth</v>
      </c>
      <c r="C6268" s="8" t="s">
        <v>13</v>
      </c>
      <c r="D6268" s="8" t="s">
        <v>14</v>
      </c>
      <c r="E6268" s="8">
        <v>1</v>
      </c>
    </row>
    <row r="6269" spans="1:5" ht="15.75" customHeight="1" x14ac:dyDescent="0.25">
      <c r="A6269" s="6" t="s">
        <v>6058</v>
      </c>
      <c r="B6269" s="6" t="str">
        <f ca="1">IFERROR(__xludf.DUMMYFUNCTION("GOOGLETRANSLATE(A6269,""bn"",""en"")"),"Concept of non-violence In Jain Hinduism, non-violence favors compassion")</f>
        <v>Concept of non-violence In Jain Hinduism, non-violence favors compassion</v>
      </c>
      <c r="C6269" s="8" t="s">
        <v>13</v>
      </c>
      <c r="D6269" s="8" t="s">
        <v>14</v>
      </c>
      <c r="E6269" s="8">
        <v>1</v>
      </c>
    </row>
    <row r="6270" spans="1:5" ht="15.75" customHeight="1" x14ac:dyDescent="0.25">
      <c r="A6270" s="6" t="s">
        <v>6059</v>
      </c>
      <c r="B6270" s="6" t="str">
        <f ca="1">IFERROR(__xludf.DUMMYFUNCTION("GOOGLETRANSLATE(A6270,""bn"",""en"")"),"I will go with you to the market")</f>
        <v>I will go with you to the market</v>
      </c>
      <c r="C6270" s="8" t="s">
        <v>13</v>
      </c>
      <c r="D6270" s="8" t="s">
        <v>14</v>
      </c>
      <c r="E6270" s="8">
        <v>1</v>
      </c>
    </row>
    <row r="6271" spans="1:5" ht="15.75" customHeight="1" x14ac:dyDescent="0.25">
      <c r="A6271" s="6" t="s">
        <v>6060</v>
      </c>
      <c r="B6271" s="6" t="str">
        <f ca="1">IFERROR(__xludf.DUMMYFUNCTION("GOOGLETRANSLATE(A6271,""bn"",""en"")"),"Feelings of isolation come from being misunderstood by others")</f>
        <v>Feelings of isolation come from being misunderstood by others</v>
      </c>
      <c r="C6271" s="8" t="s">
        <v>13</v>
      </c>
      <c r="D6271" s="8" t="s">
        <v>14</v>
      </c>
      <c r="E6271" s="8">
        <v>1</v>
      </c>
    </row>
    <row r="6272" spans="1:5" ht="15.75" customHeight="1" x14ac:dyDescent="0.25">
      <c r="A6272" s="6" t="s">
        <v>6061</v>
      </c>
      <c r="B6272" s="6" t="str">
        <f ca="1">IFERROR(__xludf.DUMMYFUNCTION("GOOGLETRANSLATE(A6272,""bn"",""en"")"),"The moneylenders took all that was grown in cultivation")</f>
        <v>The moneylenders took all that was grown in cultivation</v>
      </c>
      <c r="C6272" s="7" t="s">
        <v>6</v>
      </c>
      <c r="D6272" s="7" t="s">
        <v>7</v>
      </c>
      <c r="E6272" s="7">
        <v>0</v>
      </c>
    </row>
    <row r="6273" spans="1:5" ht="15.75" customHeight="1" x14ac:dyDescent="0.25">
      <c r="A6273" s="6" t="s">
        <v>6062</v>
      </c>
      <c r="B6273" s="6" t="str">
        <f ca="1">IFERROR(__xludf.DUMMYFUNCTION("GOOGLETRANSLATE(A6273,""bn"",""en"")"),"He gave me a piece of advice.")</f>
        <v>He gave me a piece of advice.</v>
      </c>
      <c r="C6273" s="7" t="s">
        <v>6</v>
      </c>
      <c r="D6273" s="7" t="s">
        <v>7</v>
      </c>
      <c r="E6273" s="7">
        <v>0</v>
      </c>
    </row>
    <row r="6274" spans="1:5" ht="15.75" customHeight="1" x14ac:dyDescent="0.25">
      <c r="A6274" s="6" t="s">
        <v>6063</v>
      </c>
      <c r="B6274" s="6" t="str">
        <f ca="1">IFERROR(__xludf.DUMMYFUNCTION("GOOGLETRANSLATE(A6274,""bn"",""en"")"),"Gardening has become his hobby")</f>
        <v>Gardening has become his hobby</v>
      </c>
      <c r="C6274" s="7" t="s">
        <v>6</v>
      </c>
      <c r="D6274" s="7" t="s">
        <v>7</v>
      </c>
      <c r="E6274" s="7">
        <v>0</v>
      </c>
    </row>
    <row r="6275" spans="1:5" ht="15.75" customHeight="1" x14ac:dyDescent="0.25">
      <c r="A6275" s="6" t="s">
        <v>6064</v>
      </c>
      <c r="B6275" s="6" t="str">
        <f ca="1">IFERROR(__xludf.DUMMYFUNCTION("GOOGLETRANSLATE(A6275,""bn"",""en"")"),"His younger brother Harimohan was Sachish's father")</f>
        <v>His younger brother Harimohan was Sachish's father</v>
      </c>
      <c r="C6275" s="7" t="s">
        <v>6</v>
      </c>
      <c r="D6275" s="7" t="s">
        <v>7</v>
      </c>
      <c r="E6275" s="7">
        <v>0</v>
      </c>
    </row>
    <row r="6276" spans="1:5" ht="15.75" customHeight="1" x14ac:dyDescent="0.25">
      <c r="A6276" s="6" t="s">
        <v>6065</v>
      </c>
      <c r="B6276" s="6" t="str">
        <f ca="1">IFERROR(__xludf.DUMMYFUNCTION("GOOGLETRANSLATE(A6276,""bn"",""en"")"),"If he didn't sleep at night after all day's work, he would be very sick")</f>
        <v>If he didn't sleep at night after all day's work, he would be very sick</v>
      </c>
      <c r="C6276" s="7" t="s">
        <v>6</v>
      </c>
      <c r="D6276" s="7" t="s">
        <v>7</v>
      </c>
      <c r="E6276" s="7">
        <v>0</v>
      </c>
    </row>
    <row r="6277" spans="1:5" ht="15.75" customHeight="1" x14ac:dyDescent="0.25">
      <c r="A6277" s="6" t="s">
        <v>6066</v>
      </c>
      <c r="B6277" s="6" t="str">
        <f ca="1">IFERROR(__xludf.DUMMYFUNCTION("GOOGLETRANSLATE(A6277,""bn"",""en"")"),"I hope I can use my time properly in the future")</f>
        <v>I hope I can use my time properly in the future</v>
      </c>
      <c r="C6277" s="8" t="s">
        <v>13</v>
      </c>
      <c r="D6277" s="8" t="s">
        <v>14</v>
      </c>
      <c r="E6277" s="8">
        <v>1</v>
      </c>
    </row>
    <row r="6278" spans="1:5" ht="15.75" customHeight="1" x14ac:dyDescent="0.25">
      <c r="A6278" s="6" t="s">
        <v>6067</v>
      </c>
      <c r="B6278" s="6" t="str">
        <f ca="1">IFERROR(__xludf.DUMMYFUNCTION("GOOGLETRANSLATE(A6278,""bn"",""en"")"),"Didn't know that along with building a career one also has to learn reality")</f>
        <v>Didn't know that along with building a career one also has to learn reality</v>
      </c>
      <c r="C6278" s="8" t="s">
        <v>13</v>
      </c>
      <c r="D6278" s="8" t="s">
        <v>14</v>
      </c>
      <c r="E6278" s="8">
        <v>1</v>
      </c>
    </row>
    <row r="6279" spans="1:5" ht="15.75" customHeight="1" x14ac:dyDescent="0.25">
      <c r="A6279" s="6" t="s">
        <v>6068</v>
      </c>
      <c r="B6279" s="6" t="str">
        <f ca="1">IFERROR(__xludf.DUMMYFUNCTION("GOOGLETRANSLATE(A6279,""bn"",""en"")"),"The war ended in")</f>
        <v>The war ended in</v>
      </c>
      <c r="C6279" s="8" t="s">
        <v>13</v>
      </c>
      <c r="D6279" s="8" t="s">
        <v>14</v>
      </c>
      <c r="E6279" s="8">
        <v>1</v>
      </c>
    </row>
    <row r="6280" spans="1:5" ht="15.75" customHeight="1" x14ac:dyDescent="0.25">
      <c r="A6280" s="6" t="s">
        <v>6069</v>
      </c>
      <c r="B6280" s="6" t="str">
        <f ca="1">IFERROR(__xludf.DUMMYFUNCTION("GOOGLETRANSLATE(A6280,""bn"",""en"")"),"The bus is late again so I can start biking to work")</f>
        <v>The bus is late again so I can start biking to work</v>
      </c>
      <c r="C6280" s="8" t="s">
        <v>13</v>
      </c>
      <c r="D6280" s="8" t="s">
        <v>14</v>
      </c>
      <c r="E6280" s="8">
        <v>1</v>
      </c>
    </row>
    <row r="6281" spans="1:5" ht="15.75" customHeight="1" x14ac:dyDescent="0.25">
      <c r="A6281" s="6" t="s">
        <v>6070</v>
      </c>
      <c r="B6281" s="6" t="str">
        <f ca="1">IFERROR(__xludf.DUMMYFUNCTION("GOOGLETRANSLATE(A6281,""bn"",""en"")"),"Open your eyes, close your eyes and smell the air in the clouds")</f>
        <v>Open your eyes, close your eyes and smell the air in the clouds</v>
      </c>
      <c r="C6281" s="8" t="s">
        <v>13</v>
      </c>
      <c r="D6281" s="8" t="s">
        <v>14</v>
      </c>
      <c r="E6281" s="8">
        <v>1</v>
      </c>
    </row>
    <row r="6282" spans="1:5" ht="15.75" customHeight="1" x14ac:dyDescent="0.25">
      <c r="A6282" s="6" t="s">
        <v>6071</v>
      </c>
      <c r="B6282" s="6" t="str">
        <f ca="1">IFERROR(__xludf.DUMMYFUNCTION("GOOGLETRANSLATE(A6282,""bn"",""en"")"),"The festival of laps is most important in weddings")</f>
        <v>The festival of laps is most important in weddings</v>
      </c>
      <c r="C6282" s="7" t="s">
        <v>6</v>
      </c>
      <c r="D6282" s="7" t="s">
        <v>7</v>
      </c>
      <c r="E6282" s="7">
        <v>0</v>
      </c>
    </row>
    <row r="6283" spans="1:5" ht="15.75" customHeight="1" x14ac:dyDescent="0.25">
      <c r="A6283" s="6" t="s">
        <v>6072</v>
      </c>
      <c r="B6283" s="6" t="str">
        <f ca="1">IFERROR(__xludf.DUMMYFUNCTION("GOOGLETRANSLATE(A6283,""bn"",""en"")"),"There is no need for moneylenders, Hindustani civilization would not have entered there")</f>
        <v>There is no need for moneylenders, Hindustani civilization would not have entered there</v>
      </c>
      <c r="C6283" s="7" t="s">
        <v>6</v>
      </c>
      <c r="D6283" s="7" t="s">
        <v>7</v>
      </c>
      <c r="E6283" s="7">
        <v>0</v>
      </c>
    </row>
    <row r="6284" spans="1:5" ht="15.75" customHeight="1" x14ac:dyDescent="0.25">
      <c r="A6284" s="6" t="s">
        <v>6073</v>
      </c>
      <c r="B6284" s="6" t="str">
        <f ca="1">IFERROR(__xludf.DUMMYFUNCTION("GOOGLETRANSLATE(A6284,""bn"",""en"")"),"He raised his face and suddenly said that is good")</f>
        <v>He raised his face and suddenly said that is good</v>
      </c>
      <c r="C6284" s="7" t="s">
        <v>6</v>
      </c>
      <c r="D6284" s="7" t="s">
        <v>7</v>
      </c>
      <c r="E6284" s="7">
        <v>0</v>
      </c>
    </row>
    <row r="6285" spans="1:5" ht="15.75" customHeight="1" x14ac:dyDescent="0.25">
      <c r="A6285" s="6" t="s">
        <v>6074</v>
      </c>
      <c r="B6285" s="6" t="str">
        <f ca="1">IFERROR(__xludf.DUMMYFUNCTION("GOOGLETRANSLATE(A6285,""bn"",""en"")"),"I came to Calcutta from Paragaon and entered the college")</f>
        <v>I came to Calcutta from Paragaon and entered the college</v>
      </c>
      <c r="C6285" s="7" t="s">
        <v>6</v>
      </c>
      <c r="D6285" s="7" t="s">
        <v>7</v>
      </c>
      <c r="E6285" s="7">
        <v>0</v>
      </c>
    </row>
    <row r="6286" spans="1:5" ht="15.75" customHeight="1" x14ac:dyDescent="0.25">
      <c r="A6286" s="6" t="s">
        <v>6075</v>
      </c>
      <c r="B6286" s="6" t="str">
        <f ca="1">IFERROR(__xludf.DUMMYFUNCTION("GOOGLETRANSLATE(A6286,""bn"",""en"")"),"Sujan is now reading the story")</f>
        <v>Sujan is now reading the story</v>
      </c>
      <c r="C6286" s="7" t="s">
        <v>6</v>
      </c>
      <c r="D6286" s="7" t="s">
        <v>7</v>
      </c>
      <c r="E6286" s="7">
        <v>0</v>
      </c>
    </row>
    <row r="6287" spans="1:5" ht="15.75" customHeight="1" x14ac:dyDescent="0.25">
      <c r="A6287" s="6" t="s">
        <v>6076</v>
      </c>
      <c r="B6287" s="6" t="str">
        <f ca="1">IFERROR(__xludf.DUMMYFUNCTION("GOOGLETRANSLATE(A6287,""bn"",""en"")"),"Recipients The Rabindra Award recipients are:")</f>
        <v>Recipients The Rabindra Award recipients are:</v>
      </c>
      <c r="C6287" s="8" t="s">
        <v>13</v>
      </c>
      <c r="D6287" s="8" t="s">
        <v>14</v>
      </c>
      <c r="E6287" s="8">
        <v>1</v>
      </c>
    </row>
    <row r="6288" spans="1:5" ht="15.75" customHeight="1" x14ac:dyDescent="0.25">
      <c r="A6288" s="6" t="s">
        <v>6077</v>
      </c>
      <c r="B6288" s="6" t="str">
        <f ca="1">IFERROR(__xludf.DUMMYFUNCTION("GOOGLETRANSLATE(A6288,""bn"",""en"")"),"Julia did not agree")</f>
        <v>Julia did not agree</v>
      </c>
      <c r="C6288" s="8" t="s">
        <v>13</v>
      </c>
      <c r="D6288" s="8" t="s">
        <v>14</v>
      </c>
      <c r="E6288" s="8">
        <v>1</v>
      </c>
    </row>
    <row r="6289" spans="1:5" ht="15.75" customHeight="1" x14ac:dyDescent="0.25">
      <c r="A6289" s="6" t="s">
        <v>6078</v>
      </c>
      <c r="B6289" s="6" t="str">
        <f ca="1">IFERROR(__xludf.DUMMYFUNCTION("GOOGLETRANSLATE(A6289,""bn"",""en"")"),"Ramadan is the ninth month of the Islamic calendar which is observed by fasting from dawn to sunset")</f>
        <v>Ramadan is the ninth month of the Islamic calendar which is observed by fasting from dawn to sunset</v>
      </c>
      <c r="C6289" s="8" t="s">
        <v>13</v>
      </c>
      <c r="D6289" s="8" t="s">
        <v>14</v>
      </c>
      <c r="E6289" s="8">
        <v>1</v>
      </c>
    </row>
    <row r="6290" spans="1:5" ht="15.75" customHeight="1" x14ac:dyDescent="0.25">
      <c r="A6290" s="6" t="s">
        <v>6079</v>
      </c>
      <c r="B6290" s="6" t="str">
        <f ca="1">IFERROR(__xludf.DUMMYFUNCTION("GOOGLETRANSLATE(A6290,""bn"",""en"")"),"My elder brother is not at home")</f>
        <v>My elder brother is not at home</v>
      </c>
      <c r="C6290" s="8" t="s">
        <v>13</v>
      </c>
      <c r="D6290" s="8" t="s">
        <v>14</v>
      </c>
      <c r="E6290" s="8">
        <v>1</v>
      </c>
    </row>
    <row r="6291" spans="1:5" ht="15.75" customHeight="1" x14ac:dyDescent="0.25">
      <c r="A6291" s="6" t="s">
        <v>6080</v>
      </c>
      <c r="B6291" s="6" t="str">
        <f ca="1">IFERROR(__xludf.DUMMYFUNCTION("GOOGLETRANSLATE(A6291,""bn"",""en"")"),"I proceeded according to their words")</f>
        <v>I proceeded according to their words</v>
      </c>
      <c r="C6291" s="8" t="s">
        <v>13</v>
      </c>
      <c r="D6291" s="8" t="s">
        <v>14</v>
      </c>
      <c r="E6291" s="8">
        <v>1</v>
      </c>
    </row>
    <row r="6292" spans="1:5" ht="15.75" customHeight="1" x14ac:dyDescent="0.25">
      <c r="A6292" s="6" t="s">
        <v>6081</v>
      </c>
      <c r="B6292" s="6" t="str">
        <f ca="1">IFERROR(__xludf.DUMMYFUNCTION("GOOGLETRANSLATE(A6292,""bn"",""en"")"),"I like to see this picture.")</f>
        <v>I like to see this picture.</v>
      </c>
      <c r="C6292" s="7" t="s">
        <v>6</v>
      </c>
      <c r="D6292" s="7" t="s">
        <v>7</v>
      </c>
      <c r="E6292" s="7">
        <v>0</v>
      </c>
    </row>
    <row r="6293" spans="1:5" ht="15.75" customHeight="1" x14ac:dyDescent="0.25">
      <c r="A6293" s="6" t="s">
        <v>6082</v>
      </c>
      <c r="B6293" s="6" t="str">
        <f ca="1">IFERROR(__xludf.DUMMYFUNCTION("GOOGLETRANSLATE(A6293,""bn"",""en"")"),"One day, in a sudden frenzy, I saw a miraculous form of Sachish, which was possible only in a special god.")</f>
        <v>One day, in a sudden frenzy, I saw a miraculous form of Sachish, which was possible only in a special god.</v>
      </c>
      <c r="C6293" s="7" t="s">
        <v>6</v>
      </c>
      <c r="D6293" s="7" t="s">
        <v>7</v>
      </c>
      <c r="E6293" s="7">
        <v>0</v>
      </c>
    </row>
    <row r="6294" spans="1:5" ht="15.75" customHeight="1" x14ac:dyDescent="0.25">
      <c r="A6294" s="6" t="s">
        <v>409</v>
      </c>
      <c r="B6294" s="6" t="str">
        <f ca="1">IFERROR(__xludf.DUMMYFUNCTION("GOOGLETRANSLATE(A6294,""bn"",""en"")"),"He was so tired that day that he fell unconscious in a deep sleep")</f>
        <v>He was so tired that day that he fell unconscious in a deep sleep</v>
      </c>
      <c r="C6294" s="7" t="s">
        <v>6</v>
      </c>
      <c r="D6294" s="7" t="s">
        <v>7</v>
      </c>
      <c r="E6294" s="7">
        <v>0</v>
      </c>
    </row>
    <row r="6295" spans="1:5" ht="15.75" customHeight="1" x14ac:dyDescent="0.25">
      <c r="A6295" s="6" t="s">
        <v>6083</v>
      </c>
      <c r="B6295" s="6" t="str">
        <f ca="1">IFERROR(__xludf.DUMMYFUNCTION("GOOGLETRANSLATE(A6295,""bn"",""en"")"),"Then tied the anchal around his waist and lifted Mokshada in his arms and brought him down to the dawa in front of the bedroom.")</f>
        <v>Then tied the anchal around his waist and lifted Mokshada in his arms and brought him down to the dawa in front of the bedroom.</v>
      </c>
      <c r="C6295" s="7" t="s">
        <v>6</v>
      </c>
      <c r="D6295" s="7" t="s">
        <v>7</v>
      </c>
      <c r="E6295" s="7">
        <v>0</v>
      </c>
    </row>
    <row r="6296" spans="1:5" ht="15.75" customHeight="1" x14ac:dyDescent="0.25">
      <c r="A6296" s="6" t="s">
        <v>3102</v>
      </c>
      <c r="B6296" s="6" t="str">
        <f ca="1">IFERROR(__xludf.DUMMYFUNCTION("GOOGLETRANSLATE(A6296,""bn"",""en"")"),"At that time it seemed that the horse-tree was drawing sap even from this dull rock.")</f>
        <v>At that time it seemed that the horse-tree was drawing sap even from this dull rock.</v>
      </c>
      <c r="C6296" s="7" t="s">
        <v>6</v>
      </c>
      <c r="D6296" s="7" t="s">
        <v>7</v>
      </c>
      <c r="E6296" s="7">
        <v>0</v>
      </c>
    </row>
    <row r="6297" spans="1:5" ht="15.75" customHeight="1" x14ac:dyDescent="0.25">
      <c r="A6297" s="6" t="s">
        <v>6084</v>
      </c>
      <c r="B6297" s="6" t="str">
        <f ca="1">IFERROR(__xludf.DUMMYFUNCTION("GOOGLETRANSLATE(A6297,""bn"",""en"")"),"Grows without care")</f>
        <v>Grows without care</v>
      </c>
      <c r="C6297" s="8" t="s">
        <v>13</v>
      </c>
      <c r="D6297" s="8" t="s">
        <v>14</v>
      </c>
      <c r="E6297" s="8">
        <v>1</v>
      </c>
    </row>
    <row r="6298" spans="1:5" ht="15.75" customHeight="1" x14ac:dyDescent="0.25">
      <c r="A6298" s="6" t="s">
        <v>6085</v>
      </c>
      <c r="B6298" s="6" t="str">
        <f ca="1">IFERROR(__xludf.DUMMYFUNCTION("GOOGLETRANSLATE(A6298,""bn"",""en"")"),"School cannot run away and become Madhusudan")</f>
        <v>School cannot run away and become Madhusudan</v>
      </c>
      <c r="C6298" s="8" t="s">
        <v>13</v>
      </c>
      <c r="D6298" s="8" t="s">
        <v>14</v>
      </c>
      <c r="E6298" s="8">
        <v>1</v>
      </c>
    </row>
    <row r="6299" spans="1:5" ht="15.75" customHeight="1" x14ac:dyDescent="0.25">
      <c r="A6299" s="6" t="s">
        <v>6086</v>
      </c>
      <c r="B6299" s="6" t="str">
        <f ca="1">IFERROR(__xludf.DUMMYFUNCTION("GOOGLETRANSLATE(A6299,""bn"",""en"")"),"The Quran is the holy book of Islam believed to be the word of God revealed to Muhammad")</f>
        <v>The Quran is the holy book of Islam believed to be the word of God revealed to Muhammad</v>
      </c>
      <c r="C6299" s="8" t="s">
        <v>13</v>
      </c>
      <c r="D6299" s="8" t="s">
        <v>14</v>
      </c>
      <c r="E6299" s="8">
        <v>1</v>
      </c>
    </row>
    <row r="6300" spans="1:5" ht="15.75" customHeight="1" x14ac:dyDescent="0.25">
      <c r="A6300" s="6" t="s">
        <v>6087</v>
      </c>
      <c r="B6300" s="6" t="str">
        <f ca="1">IFERROR(__xludf.DUMMYFUNCTION("GOOGLETRANSLATE(A6300,""bn"",""en"")"),"Roasted vegetables bring out the natural flavor")</f>
        <v>Roasted vegetables bring out the natural flavor</v>
      </c>
      <c r="C6300" s="8" t="s">
        <v>13</v>
      </c>
      <c r="D6300" s="8" t="s">
        <v>14</v>
      </c>
      <c r="E6300" s="8">
        <v>1</v>
      </c>
    </row>
    <row r="6301" spans="1:5" ht="15.75" customHeight="1" x14ac:dyDescent="0.25">
      <c r="A6301" s="6" t="s">
        <v>6088</v>
      </c>
      <c r="B6301" s="6" t="str">
        <f ca="1">IFERROR(__xludf.DUMMYFUNCTION("GOOGLETRANSLATE(A6301,""bn"",""en"")"),"Rahim went to madrasa early today")</f>
        <v>Rahim went to madrasa early today</v>
      </c>
      <c r="C6301" s="8" t="s">
        <v>13</v>
      </c>
      <c r="D6301" s="8" t="s">
        <v>14</v>
      </c>
      <c r="E6301" s="8">
        <v>1</v>
      </c>
    </row>
    <row r="6302" spans="1:5" ht="15.75" customHeight="1" x14ac:dyDescent="0.25">
      <c r="A6302" s="6" t="s">
        <v>6089</v>
      </c>
      <c r="B6302" s="6" t="str">
        <f ca="1">IFERROR(__xludf.DUMMYFUNCTION("GOOGLETRANSLATE(A6302,""bn"",""en"")"),"As he stole all my money")</f>
        <v>As he stole all my money</v>
      </c>
      <c r="C6302" s="7" t="s">
        <v>6</v>
      </c>
      <c r="D6302" s="7" t="s">
        <v>7</v>
      </c>
      <c r="E6302" s="7">
        <v>0</v>
      </c>
    </row>
    <row r="6303" spans="1:5" ht="15.75" customHeight="1" x14ac:dyDescent="0.25">
      <c r="A6303" s="6" t="s">
        <v>6090</v>
      </c>
      <c r="B6303" s="6" t="str">
        <f ca="1">IFERROR(__xludf.DUMMYFUNCTION("GOOGLETRANSLATE(A6303,""bn"",""en"")"),"The king asked them to sing")</f>
        <v>The king asked them to sing</v>
      </c>
      <c r="C6303" s="7" t="s">
        <v>6</v>
      </c>
      <c r="D6303" s="7" t="s">
        <v>7</v>
      </c>
      <c r="E6303" s="7">
        <v>0</v>
      </c>
    </row>
    <row r="6304" spans="1:5" ht="15.75" customHeight="1" x14ac:dyDescent="0.25">
      <c r="A6304" s="6" t="s">
        <v>3375</v>
      </c>
      <c r="B6304" s="6" t="str">
        <f ca="1">IFERROR(__xludf.DUMMYFUNCTION("GOOGLETRANSLATE(A6304,""bn"",""en"")"),"Some Hindus eat this flower with rice")</f>
        <v>Some Hindus eat this flower with rice</v>
      </c>
      <c r="C6304" s="7" t="s">
        <v>6</v>
      </c>
      <c r="D6304" s="7" t="s">
        <v>7</v>
      </c>
      <c r="E6304" s="7">
        <v>0</v>
      </c>
    </row>
    <row r="6305" spans="1:5" ht="15.75" customHeight="1" x14ac:dyDescent="0.25">
      <c r="A6305" s="6" t="s">
        <v>6091</v>
      </c>
      <c r="B6305" s="6" t="str">
        <f ca="1">IFERROR(__xludf.DUMMYFUNCTION("GOOGLETRANSLATE(A6305,""bn"",""en"")"),"Hearing this, he struck his forehead")</f>
        <v>Hearing this, he struck his forehead</v>
      </c>
      <c r="C6305" s="7" t="s">
        <v>6</v>
      </c>
      <c r="D6305" s="7" t="s">
        <v>7</v>
      </c>
      <c r="E6305" s="7">
        <v>0</v>
      </c>
    </row>
    <row r="6306" spans="1:5" ht="15.75" customHeight="1" x14ac:dyDescent="0.25">
      <c r="A6306" s="6" t="s">
        <v>6092</v>
      </c>
      <c r="B6306" s="6" t="str">
        <f ca="1">IFERROR(__xludf.DUMMYFUNCTION("GOOGLETRANSLATE(A6306,""bn"",""en"")"),"There was no place to breathe again after such disrespect in the house")</f>
        <v>There was no place to breathe again after such disrespect in the house</v>
      </c>
      <c r="C6306" s="7" t="s">
        <v>6</v>
      </c>
      <c r="D6306" s="7" t="s">
        <v>7</v>
      </c>
      <c r="E6306" s="7">
        <v>0</v>
      </c>
    </row>
    <row r="6307" spans="1:5" ht="15.75" customHeight="1" x14ac:dyDescent="0.25">
      <c r="A6307" s="6" t="s">
        <v>6093</v>
      </c>
      <c r="B6307" s="6" t="str">
        <f ca="1">IFERROR(__xludf.DUMMYFUNCTION("GOOGLETRANSLATE(A6307,""bn"",""en"")"),"Sujan is now reading the story")</f>
        <v>Sujan is now reading the story</v>
      </c>
      <c r="C6307" s="8" t="s">
        <v>13</v>
      </c>
      <c r="D6307" s="8" t="s">
        <v>14</v>
      </c>
      <c r="E6307" s="8">
        <v>1</v>
      </c>
    </row>
    <row r="6308" spans="1:5" ht="15.75" customHeight="1" x14ac:dyDescent="0.25">
      <c r="A6308" s="6" t="s">
        <v>6094</v>
      </c>
      <c r="B6308" s="6" t="str">
        <f ca="1">IFERROR(__xludf.DUMMYFUNCTION("GOOGLETRANSLATE(A6308,""bn"",""en"")"),"Feeling overwhelmed by choices leads to indecisiveness")</f>
        <v>Feeling overwhelmed by choices leads to indecisiveness</v>
      </c>
      <c r="C6308" s="8" t="s">
        <v>13</v>
      </c>
      <c r="D6308" s="8" t="s">
        <v>14</v>
      </c>
      <c r="E6308" s="8">
        <v>1</v>
      </c>
    </row>
    <row r="6309" spans="1:5" ht="15.75" customHeight="1" x14ac:dyDescent="0.25">
      <c r="A6309" s="6" t="s">
        <v>6095</v>
      </c>
      <c r="B6309" s="6" t="str">
        <f ca="1">IFERROR(__xludf.DUMMYFUNCTION("GOOGLETRANSLATE(A6309,""bn"",""en"")"),"Father did not answer")</f>
        <v>Father did not answer</v>
      </c>
      <c r="C6309" s="8" t="s">
        <v>13</v>
      </c>
      <c r="D6309" s="8" t="s">
        <v>14</v>
      </c>
      <c r="E6309" s="8">
        <v>1</v>
      </c>
    </row>
    <row r="6310" spans="1:5" ht="15.75" customHeight="1" x14ac:dyDescent="0.25">
      <c r="A6310" s="6" t="s">
        <v>6096</v>
      </c>
      <c r="B6310" s="6" t="str">
        <f ca="1">IFERROR(__xludf.DUMMYFUNCTION("GOOGLETRANSLATE(A6310,""bn"",""en"")"),"Something worth seeing has happened so far")</f>
        <v>Something worth seeing has happened so far</v>
      </c>
      <c r="C6310" s="8" t="s">
        <v>13</v>
      </c>
      <c r="D6310" s="8" t="s">
        <v>14</v>
      </c>
      <c r="E6310" s="8">
        <v>1</v>
      </c>
    </row>
    <row r="6311" spans="1:5" ht="15.75" customHeight="1" x14ac:dyDescent="0.25">
      <c r="A6311" s="6" t="s">
        <v>6097</v>
      </c>
      <c r="B6311" s="6" t="str">
        <f ca="1">IFERROR(__xludf.DUMMYFUNCTION("GOOGLETRANSLATE(A6311,""bn"",""en"")"),"Share your fitness journey")</f>
        <v>Share your fitness journey</v>
      </c>
      <c r="C6311" s="8" t="s">
        <v>13</v>
      </c>
      <c r="D6311" s="8" t="s">
        <v>14</v>
      </c>
      <c r="E6311" s="8">
        <v>1</v>
      </c>
    </row>
    <row r="6312" spans="1:5" ht="15.75" customHeight="1" x14ac:dyDescent="0.25">
      <c r="A6312" s="6" t="s">
        <v>6098</v>
      </c>
      <c r="B6312" s="6" t="str">
        <f ca="1">IFERROR(__xludf.DUMMYFUNCTION("GOOGLETRANSLATE(A6312,""bn"",""en"")"),"Since then you have been babbling")</f>
        <v>Since then you have been babbling</v>
      </c>
      <c r="C6312" s="7" t="s">
        <v>6</v>
      </c>
      <c r="D6312" s="7" t="s">
        <v>7</v>
      </c>
      <c r="E6312" s="7">
        <v>0</v>
      </c>
    </row>
    <row r="6313" spans="1:5" ht="15.75" customHeight="1" x14ac:dyDescent="0.25">
      <c r="A6313" s="6" t="s">
        <v>6099</v>
      </c>
      <c r="B6313" s="6" t="str">
        <f ca="1">IFERROR(__xludf.DUMMYFUNCTION("GOOGLETRANSLATE(A6313,""bn"",""en"")"),"On the night of Ambasya they all sat outside for a while")</f>
        <v>On the night of Ambasya they all sat outside for a while</v>
      </c>
      <c r="C6313" s="7" t="s">
        <v>6</v>
      </c>
      <c r="D6313" s="7" t="s">
        <v>7</v>
      </c>
      <c r="E6313" s="7">
        <v>0</v>
      </c>
    </row>
    <row r="6314" spans="1:5" ht="15.75" customHeight="1" x14ac:dyDescent="0.25">
      <c r="A6314" s="6" t="s">
        <v>6100</v>
      </c>
      <c r="B6314" s="6" t="str">
        <f ca="1">IFERROR(__xludf.DUMMYFUNCTION("GOOGLETRANSLATE(A6314,""bn"",""en"")"),"Now Hindustani moneylenders are doing the same harm to the Kols")</f>
        <v>Now Hindustani moneylenders are doing the same harm to the Kols</v>
      </c>
      <c r="C6314" s="7" t="s">
        <v>6</v>
      </c>
      <c r="D6314" s="7" t="s">
        <v>7</v>
      </c>
      <c r="E6314" s="7">
        <v>0</v>
      </c>
    </row>
    <row r="6315" spans="1:5" ht="15.75" customHeight="1" x14ac:dyDescent="0.25">
      <c r="A6315" s="6" t="s">
        <v>6101</v>
      </c>
      <c r="B6315" s="6" t="str">
        <f ca="1">IFERROR(__xludf.DUMMYFUNCTION("GOOGLETRANSLATE(A6315,""bn"",""en"")"),"Finally the war ended")</f>
        <v>Finally the war ended</v>
      </c>
      <c r="C6315" s="7" t="s">
        <v>6</v>
      </c>
      <c r="D6315" s="7" t="s">
        <v>7</v>
      </c>
      <c r="E6315" s="7">
        <v>0</v>
      </c>
    </row>
    <row r="6316" spans="1:5" ht="15.75" customHeight="1" x14ac:dyDescent="0.25">
      <c r="A6316" s="6" t="s">
        <v>6102</v>
      </c>
      <c r="B6316" s="6" t="str">
        <f ca="1">IFERROR(__xludf.DUMMYFUNCTION("GOOGLETRANSLATE(A6316,""bn"",""en"")"),"He spends more time going to the bathroom than necessary")</f>
        <v>He spends more time going to the bathroom than necessary</v>
      </c>
      <c r="C6316" s="7" t="s">
        <v>6</v>
      </c>
      <c r="D6316" s="7" t="s">
        <v>7</v>
      </c>
      <c r="E6316" s="7">
        <v>0</v>
      </c>
    </row>
    <row r="6317" spans="1:5" ht="15.75" customHeight="1" x14ac:dyDescent="0.25">
      <c r="A6317" s="6" t="s">
        <v>6103</v>
      </c>
      <c r="B6317" s="6" t="str">
        <f ca="1">IFERROR(__xludf.DUMMYFUNCTION("GOOGLETRANSLATE(A6317,""bn"",""en"")"),"Is this your older brother?")</f>
        <v>Is this your older brother?</v>
      </c>
      <c r="C6317" s="8" t="s">
        <v>13</v>
      </c>
      <c r="D6317" s="8" t="s">
        <v>14</v>
      </c>
      <c r="E6317" s="8">
        <v>1</v>
      </c>
    </row>
    <row r="6318" spans="1:5" ht="15.75" customHeight="1" x14ac:dyDescent="0.25">
      <c r="A6318" s="6" t="s">
        <v>6104</v>
      </c>
      <c r="B6318" s="6" t="str">
        <f ca="1">IFERROR(__xludf.DUMMYFUNCTION("GOOGLETRANSLATE(A6318,""bn"",""en"")"),"My brother is a truck driver he covers many miles on the highway")</f>
        <v>My brother is a truck driver he covers many miles on the highway</v>
      </c>
      <c r="C6318" s="8" t="s">
        <v>13</v>
      </c>
      <c r="D6318" s="8" t="s">
        <v>14</v>
      </c>
      <c r="E6318" s="8">
        <v>1</v>
      </c>
    </row>
    <row r="6319" spans="1:5" ht="15.75" customHeight="1" x14ac:dyDescent="0.25">
      <c r="A6319" s="6" t="s">
        <v>6105</v>
      </c>
      <c r="B6319" s="6" t="str">
        <f ca="1">IFERROR(__xludf.DUMMYFUNCTION("GOOGLETRANSLATE(A6319,""bn"",""en"")"),"Blueberry muffins bring morning joy")</f>
        <v>Blueberry muffins bring morning joy</v>
      </c>
      <c r="C6319" s="8" t="s">
        <v>13</v>
      </c>
      <c r="D6319" s="8" t="s">
        <v>14</v>
      </c>
      <c r="E6319" s="8">
        <v>1</v>
      </c>
    </row>
    <row r="6320" spans="1:5" ht="15.75" customHeight="1" x14ac:dyDescent="0.25">
      <c r="A6320" s="6" t="s">
        <v>6106</v>
      </c>
      <c r="B6320" s="6" t="str">
        <f ca="1">IFERROR(__xludf.DUMMYFUNCTION("GOOGLETRANSLATE(A6320,""bn"",""en"")"),"Babur's ancestors were more influenced by Persian culture than the earlier Mongols")</f>
        <v>Babur's ancestors were more influenced by Persian culture than the earlier Mongols</v>
      </c>
      <c r="C6320" s="8" t="s">
        <v>13</v>
      </c>
      <c r="D6320" s="8" t="s">
        <v>14</v>
      </c>
      <c r="E6320" s="8">
        <v>1</v>
      </c>
    </row>
    <row r="6321" spans="1:5" ht="15.75" customHeight="1" x14ac:dyDescent="0.25">
      <c r="A6321" s="6" t="s">
        <v>6107</v>
      </c>
      <c r="B6321" s="6" t="str">
        <f ca="1">IFERROR(__xludf.DUMMYFUNCTION("GOOGLETRANSLATE(A6321,""bn"",""en"")"),"The forest monkey ran away to save himself")</f>
        <v>The forest monkey ran away to save himself</v>
      </c>
      <c r="C6321" s="8" t="s">
        <v>13</v>
      </c>
      <c r="D6321" s="8" t="s">
        <v>14</v>
      </c>
      <c r="E6321" s="8">
        <v>1</v>
      </c>
    </row>
    <row r="6322" spans="1:5" ht="15.75" customHeight="1" x14ac:dyDescent="0.25">
      <c r="A6322" s="6" t="s">
        <v>4139</v>
      </c>
      <c r="B6322" s="6" t="str">
        <f ca="1">IFERROR(__xludf.DUMMYFUNCTION("GOOGLETRANSLATE(A6322,""bn"",""en"")"),"I have never been afraid of tigers because I am naturally very fearful")</f>
        <v>I have never been afraid of tigers because I am naturally very fearful</v>
      </c>
      <c r="C6322" s="7" t="s">
        <v>6</v>
      </c>
      <c r="D6322" s="7" t="s">
        <v>7</v>
      </c>
      <c r="E6322" s="7">
        <v>0</v>
      </c>
    </row>
    <row r="6323" spans="1:5" ht="15.75" customHeight="1" x14ac:dyDescent="0.25">
      <c r="A6323" s="6" t="s">
        <v>6108</v>
      </c>
      <c r="B6323" s="6" t="str">
        <f ca="1">IFERROR(__xludf.DUMMYFUNCTION("GOOGLETRANSLATE(A6323,""bn"",""en"")"),"I thought this was my world")</f>
        <v>I thought this was my world</v>
      </c>
      <c r="C6323" s="7" t="s">
        <v>6</v>
      </c>
      <c r="D6323" s="7" t="s">
        <v>7</v>
      </c>
      <c r="E6323" s="7">
        <v>0</v>
      </c>
    </row>
    <row r="6324" spans="1:5" ht="15.75" customHeight="1" x14ac:dyDescent="0.25">
      <c r="A6324" s="6" t="s">
        <v>6109</v>
      </c>
      <c r="B6324" s="6" t="str">
        <f ca="1">IFERROR(__xludf.DUMMYFUNCTION("GOOGLETRANSLATE(A6324,""bn"",""en"")"),"I was rather more astonished at the account of Kalakandi than the settlement of other matters which I saw.")</f>
        <v>I was rather more astonished at the account of Kalakandi than the settlement of other matters which I saw.</v>
      </c>
      <c r="C6324" s="7" t="s">
        <v>6</v>
      </c>
      <c r="D6324" s="7" t="s">
        <v>7</v>
      </c>
      <c r="E6324" s="7">
        <v>0</v>
      </c>
    </row>
    <row r="6325" spans="1:5" ht="15.75" customHeight="1" x14ac:dyDescent="0.25">
      <c r="A6325" s="6" t="s">
        <v>5047</v>
      </c>
      <c r="B6325" s="6" t="str">
        <f ca="1">IFERROR(__xludf.DUMMYFUNCTION("GOOGLETRANSLATE(A6325,""bn"",""en"")"),"Constant talking was his disease")</f>
        <v>Constant talking was his disease</v>
      </c>
      <c r="C6325" s="7" t="s">
        <v>6</v>
      </c>
      <c r="D6325" s="7" t="s">
        <v>7</v>
      </c>
      <c r="E6325" s="7">
        <v>0</v>
      </c>
    </row>
    <row r="6326" spans="1:5" ht="15.75" customHeight="1" x14ac:dyDescent="0.25">
      <c r="A6326" s="6" t="s">
        <v>6110</v>
      </c>
      <c r="B6326" s="6" t="str">
        <f ca="1">IFERROR(__xludf.DUMMYFUNCTION("GOOGLETRANSLATE(A6326,""bn"",""en"")"),"Shafiq sir asked me to read it")</f>
        <v>Shafiq sir asked me to read it</v>
      </c>
      <c r="C6326" s="7" t="s">
        <v>6</v>
      </c>
      <c r="D6326" s="7" t="s">
        <v>7</v>
      </c>
      <c r="E6326" s="7">
        <v>0</v>
      </c>
    </row>
    <row r="6327" spans="1:5" ht="15.75" customHeight="1" x14ac:dyDescent="0.25">
      <c r="A6327" s="6" t="s">
        <v>6111</v>
      </c>
      <c r="B6327" s="6" t="str">
        <f ca="1">IFERROR(__xludf.DUMMYFUNCTION("GOOGLETRANSLATE(A6327,""bn"",""en"")"),"For about a year my life went on according to this routine")</f>
        <v>For about a year my life went on according to this routine</v>
      </c>
      <c r="C6327" s="8" t="s">
        <v>13</v>
      </c>
      <c r="D6327" s="8" t="s">
        <v>14</v>
      </c>
      <c r="E6327" s="8">
        <v>1</v>
      </c>
    </row>
    <row r="6328" spans="1:5" ht="15.75" customHeight="1" x14ac:dyDescent="0.25">
      <c r="A6328" s="6" t="s">
        <v>6112</v>
      </c>
      <c r="B6328" s="6" t="str">
        <f ca="1">IFERROR(__xludf.DUMMYFUNCTION("GOOGLETRANSLATE(A6328,""bn"",""en"")"),"He also gained immense popularity there")</f>
        <v>He also gained immense popularity there</v>
      </c>
      <c r="C6328" s="8" t="s">
        <v>13</v>
      </c>
      <c r="D6328" s="8" t="s">
        <v>14</v>
      </c>
      <c r="E6328" s="8">
        <v>1</v>
      </c>
    </row>
    <row r="6329" spans="1:5" ht="15.75" customHeight="1" x14ac:dyDescent="0.25">
      <c r="A6329" s="6" t="s">
        <v>6113</v>
      </c>
      <c r="B6329" s="6" t="str">
        <f ca="1">IFERROR(__xludf.DUMMYFUNCTION("GOOGLETRANSLATE(A6329,""bn"",""en"")"),"I cannot explain to anyone the fun of earning and spending halal money")</f>
        <v>I cannot explain to anyone the fun of earning and spending halal money</v>
      </c>
      <c r="C6329" s="8" t="s">
        <v>13</v>
      </c>
      <c r="D6329" s="8" t="s">
        <v>14</v>
      </c>
      <c r="E6329" s="8">
        <v>1</v>
      </c>
    </row>
    <row r="6330" spans="1:5" ht="15.75" customHeight="1" x14ac:dyDescent="0.25">
      <c r="A6330" s="6" t="s">
        <v>6114</v>
      </c>
      <c r="B6330" s="6" t="str">
        <f ca="1">IFERROR(__xludf.DUMMYFUNCTION("GOOGLETRANSLATE(A6330,""bn"",""en"")"),"The school celebrates its foundation year in")</f>
        <v>The school celebrates its foundation year in</v>
      </c>
      <c r="C6330" s="8" t="s">
        <v>13</v>
      </c>
      <c r="D6330" s="8" t="s">
        <v>14</v>
      </c>
      <c r="E6330" s="8">
        <v>1</v>
      </c>
    </row>
    <row r="6331" spans="1:5" ht="15.75" customHeight="1" x14ac:dyDescent="0.25">
      <c r="A6331" s="6" t="s">
        <v>6115</v>
      </c>
      <c r="B6331" s="6" t="str">
        <f ca="1">IFERROR(__xludf.DUMMYFUNCTION("GOOGLETRANSLATE(A6331,""bn"",""en"")"),"Three related separate organizations jointly present the Emmy Awards")</f>
        <v>Three related separate organizations jointly present the Emmy Awards</v>
      </c>
      <c r="C6331" s="8" t="s">
        <v>13</v>
      </c>
      <c r="D6331" s="8" t="s">
        <v>14</v>
      </c>
      <c r="E6331" s="8">
        <v>1</v>
      </c>
    </row>
    <row r="6332" spans="1:5" ht="15.75" customHeight="1" x14ac:dyDescent="0.25">
      <c r="A6332" s="6" t="s">
        <v>6116</v>
      </c>
      <c r="B6332" s="6" t="str">
        <f ca="1">IFERROR(__xludf.DUMMYFUNCTION("GOOGLETRANSLATE(A6332,""bn"",""en"")"),"If you don't go, what will happen to them")</f>
        <v>If you don't go, what will happen to them</v>
      </c>
      <c r="C6332" s="7" t="s">
        <v>6</v>
      </c>
      <c r="D6332" s="7" t="s">
        <v>7</v>
      </c>
      <c r="E6332" s="7">
        <v>0</v>
      </c>
    </row>
    <row r="6333" spans="1:5" ht="15.75" customHeight="1" x14ac:dyDescent="0.25">
      <c r="A6333" s="6" t="s">
        <v>6117</v>
      </c>
      <c r="B6333" s="6" t="str">
        <f ca="1">IFERROR(__xludf.DUMMYFUNCTION("GOOGLETRANSLATE(A6333,""bn"",""en"")"),"Bamboos are being tied in the yard and the sails are being made. There is no limit to the sound of hanging trees on the balconies of the houses.")</f>
        <v>Bamboos are being tied in the yard and the sails are being made. There is no limit to the sound of hanging trees on the balconies of the houses.</v>
      </c>
      <c r="C6333" s="7" t="s">
        <v>6</v>
      </c>
      <c r="D6333" s="7" t="s">
        <v>7</v>
      </c>
      <c r="E6333" s="7">
        <v>0</v>
      </c>
    </row>
    <row r="6334" spans="1:5" ht="15.75" customHeight="1" x14ac:dyDescent="0.25">
      <c r="A6334" s="6" t="s">
        <v>6118</v>
      </c>
      <c r="B6334" s="6" t="str">
        <f ca="1">IFERROR(__xludf.DUMMYFUNCTION("GOOGLETRANSLATE(A6334,""bn"",""en"")"),"So what is the argument that we are barbarians?")</f>
        <v>So what is the argument that we are barbarians?</v>
      </c>
      <c r="C6334" s="7" t="s">
        <v>6</v>
      </c>
      <c r="D6334" s="7" t="s">
        <v>7</v>
      </c>
      <c r="E6334" s="7">
        <v>0</v>
      </c>
    </row>
    <row r="6335" spans="1:5" ht="15.75" customHeight="1" x14ac:dyDescent="0.25">
      <c r="A6335" s="6" t="s">
        <v>6119</v>
      </c>
      <c r="B6335" s="6" t="str">
        <f ca="1">IFERROR(__xludf.DUMMYFUNCTION("GOOGLETRANSLATE(A6335,""bn"",""en"")"),"I stared at him in fascination")</f>
        <v>I stared at him in fascination</v>
      </c>
      <c r="C6335" s="7" t="s">
        <v>6</v>
      </c>
      <c r="D6335" s="7" t="s">
        <v>7</v>
      </c>
      <c r="E6335" s="7">
        <v>0</v>
      </c>
    </row>
    <row r="6336" spans="1:5" ht="15.75" customHeight="1" x14ac:dyDescent="0.25">
      <c r="A6336" s="6" t="s">
        <v>6120</v>
      </c>
      <c r="B6336" s="6" t="str">
        <f ca="1">IFERROR(__xludf.DUMMYFUNCTION("GOOGLETRANSLATE(A6336,""bn"",""en"")"),"In his spare time he reads story books")</f>
        <v>In his spare time he reads story books</v>
      </c>
      <c r="C6336" s="7" t="s">
        <v>6</v>
      </c>
      <c r="D6336" s="7" t="s">
        <v>7</v>
      </c>
      <c r="E6336" s="7">
        <v>0</v>
      </c>
    </row>
    <row r="6337" spans="1:5" ht="15.75" customHeight="1" x14ac:dyDescent="0.25">
      <c r="A6337" s="6" t="s">
        <v>6121</v>
      </c>
      <c r="B6337" s="6" t="str">
        <f ca="1">IFERROR(__xludf.DUMMYFUNCTION("GOOGLETRANSLATE(A6337,""bn"",""en"")"),"Betrayal by a close friend broke my heart")</f>
        <v>Betrayal by a close friend broke my heart</v>
      </c>
      <c r="C6337" s="8" t="s">
        <v>13</v>
      </c>
      <c r="D6337" s="8" t="s">
        <v>14</v>
      </c>
      <c r="E6337" s="8">
        <v>1</v>
      </c>
    </row>
    <row r="6338" spans="1:5" ht="15.75" customHeight="1" x14ac:dyDescent="0.25">
      <c r="A6338" s="6" t="s">
        <v>6122</v>
      </c>
      <c r="B6338" s="6" t="str">
        <f ca="1">IFERROR(__xludf.DUMMYFUNCTION("GOOGLETRANSLATE(A6338,""bn"",""en"")"),"Meena Rana is reading a book together")</f>
        <v>Meena Rana is reading a book together</v>
      </c>
      <c r="C6338" s="8" t="s">
        <v>13</v>
      </c>
      <c r="D6338" s="8" t="s">
        <v>14</v>
      </c>
      <c r="E6338" s="8">
        <v>1</v>
      </c>
    </row>
    <row r="6339" spans="1:5" ht="15.75" customHeight="1" x14ac:dyDescent="0.25">
      <c r="A6339" s="6" t="s">
        <v>6123</v>
      </c>
      <c r="B6339" s="6" t="str">
        <f ca="1">IFERROR(__xludf.DUMMYFUNCTION("GOOGLETRANSLATE(A6339,""bn"",""en"")"),"In his last life, the poet faced severe financial problems")</f>
        <v>In his last life, the poet faced severe financial problems</v>
      </c>
      <c r="C6339" s="8" t="s">
        <v>13</v>
      </c>
      <c r="D6339" s="8" t="s">
        <v>14</v>
      </c>
      <c r="E6339" s="8">
        <v>1</v>
      </c>
    </row>
    <row r="6340" spans="1:5" ht="15.75" customHeight="1" x14ac:dyDescent="0.25">
      <c r="A6340" s="6" t="s">
        <v>6124</v>
      </c>
      <c r="B6340" s="6" t="str">
        <f ca="1">IFERROR(__xludf.DUMMYFUNCTION("GOOGLETRANSLATE(A6340,""bn"",""en"")"),"Ronnie can't do it")</f>
        <v>Ronnie can't do it</v>
      </c>
      <c r="C6340" s="8" t="s">
        <v>13</v>
      </c>
      <c r="D6340" s="8" t="s">
        <v>14</v>
      </c>
      <c r="E6340" s="8">
        <v>1</v>
      </c>
    </row>
    <row r="6341" spans="1:5" ht="15.75" customHeight="1" x14ac:dyDescent="0.25">
      <c r="A6341" s="6" t="s">
        <v>6125</v>
      </c>
      <c r="B6341" s="6" t="str">
        <f ca="1">IFERROR(__xludf.DUMMYFUNCTION("GOOGLETRANSLATE(A6341,""bn"",""en"")"),"He took me to a beautiful city")</f>
        <v>He took me to a beautiful city</v>
      </c>
      <c r="C6341" s="8" t="s">
        <v>13</v>
      </c>
      <c r="D6341" s="8" t="s">
        <v>14</v>
      </c>
      <c r="E6341" s="8">
        <v>1</v>
      </c>
    </row>
    <row r="6342" spans="1:5" ht="15.75" customHeight="1" x14ac:dyDescent="0.25">
      <c r="A6342" s="6" t="s">
        <v>968</v>
      </c>
      <c r="B6342" s="6" t="str">
        <f ca="1">IFERROR(__xludf.DUMMYFUNCTION("GOOGLETRANSLATE(A6342,""bn"",""en"")"),"As long as this does not come to their mind, they are brave in front of people")</f>
        <v>As long as this does not come to their mind, they are brave in front of people</v>
      </c>
      <c r="C6342" s="7" t="s">
        <v>6</v>
      </c>
      <c r="D6342" s="7" t="s">
        <v>7</v>
      </c>
      <c r="E6342" s="7">
        <v>0</v>
      </c>
    </row>
    <row r="6343" spans="1:5" ht="15.75" customHeight="1" x14ac:dyDescent="0.25">
      <c r="A6343" s="6" t="s">
        <v>6126</v>
      </c>
      <c r="B6343" s="6" t="str">
        <f ca="1">IFERROR(__xludf.DUMMYFUNCTION("GOOGLETRANSLATE(A6343,""bn"",""en"")"),"I prefer to be alone without talking to anyone")</f>
        <v>I prefer to be alone without talking to anyone</v>
      </c>
      <c r="C6343" s="7" t="s">
        <v>6</v>
      </c>
      <c r="D6343" s="7" t="s">
        <v>7</v>
      </c>
      <c r="E6343" s="7">
        <v>0</v>
      </c>
    </row>
    <row r="6344" spans="1:5" ht="15.75" customHeight="1" x14ac:dyDescent="0.25">
      <c r="A6344" s="6" t="s">
        <v>6127</v>
      </c>
      <c r="B6344" s="6" t="str">
        <f ca="1">IFERROR(__xludf.DUMMYFUNCTION("GOOGLETRANSLATE(A6344,""bn"",""en"")"),"Because then it was not possible for me to see")</f>
        <v>Because then it was not possible for me to see</v>
      </c>
      <c r="C6344" s="7" t="s">
        <v>6</v>
      </c>
      <c r="D6344" s="7" t="s">
        <v>7</v>
      </c>
      <c r="E6344" s="7">
        <v>0</v>
      </c>
    </row>
    <row r="6345" spans="1:5" ht="15.75" customHeight="1" x14ac:dyDescent="0.25">
      <c r="A6345" s="6" t="s">
        <v>6128</v>
      </c>
      <c r="B6345" s="6" t="str">
        <f ca="1">IFERROR(__xludf.DUMMYFUNCTION("GOOGLETRANSLATE(A6345,""bn"",""en"")"),"The tree has many new fruits")</f>
        <v>The tree has many new fruits</v>
      </c>
      <c r="C6345" s="7" t="s">
        <v>6</v>
      </c>
      <c r="D6345" s="7" t="s">
        <v>7</v>
      </c>
      <c r="E6345" s="7">
        <v>0</v>
      </c>
    </row>
    <row r="6346" spans="1:5" ht="15.75" customHeight="1" x14ac:dyDescent="0.25">
      <c r="A6346" s="6" t="s">
        <v>6129</v>
      </c>
      <c r="B6346" s="6" t="str">
        <f ca="1">IFERROR(__xludf.DUMMYFUNCTION("GOOGLETRANSLATE(A6346,""bn"",""en"")"),"Binodini holds her close to her chest and slowly wipes her eyes")</f>
        <v>Binodini holds her close to her chest and slowly wipes her eyes</v>
      </c>
      <c r="C6346" s="7" t="s">
        <v>6</v>
      </c>
      <c r="D6346" s="7" t="s">
        <v>7</v>
      </c>
      <c r="E6346" s="7">
        <v>0</v>
      </c>
    </row>
    <row r="6347" spans="1:5" ht="15.75" customHeight="1" x14ac:dyDescent="0.25">
      <c r="A6347" s="6" t="s">
        <v>6130</v>
      </c>
      <c r="B6347" s="6" t="str">
        <f ca="1">IFERROR(__xludf.DUMMYFUNCTION("GOOGLETRANSLATE(A6347,""bn"",""en"")"),"The personal remit of the epic poet is wider")</f>
        <v>The personal remit of the epic poet is wider</v>
      </c>
      <c r="C6347" s="8" t="s">
        <v>13</v>
      </c>
      <c r="D6347" s="8" t="s">
        <v>14</v>
      </c>
      <c r="E6347" s="8">
        <v>1</v>
      </c>
    </row>
    <row r="6348" spans="1:5" ht="15.75" customHeight="1" x14ac:dyDescent="0.25">
      <c r="A6348" s="6" t="s">
        <v>6131</v>
      </c>
      <c r="B6348" s="6" t="str">
        <f ca="1">IFERROR(__xludf.DUMMYFUNCTION("GOOGLETRANSLATE(A6348,""bn"",""en"")"),"Shahed's father became half-mad")</f>
        <v>Shahed's father became half-mad</v>
      </c>
      <c r="C6348" s="8" t="s">
        <v>13</v>
      </c>
      <c r="D6348" s="8" t="s">
        <v>14</v>
      </c>
      <c r="E6348" s="8">
        <v>1</v>
      </c>
    </row>
    <row r="6349" spans="1:5" ht="15.75" customHeight="1" x14ac:dyDescent="0.25">
      <c r="A6349" s="6" t="s">
        <v>6132</v>
      </c>
      <c r="B6349" s="6" t="str">
        <f ca="1">IFERROR(__xludf.DUMMYFUNCTION("GOOGLETRANSLATE(A6349,""bn"",""en"")"),"The way the lightning flashes makes it seem like it's going to rain")</f>
        <v>The way the lightning flashes makes it seem like it's going to rain</v>
      </c>
      <c r="C6349" s="8" t="s">
        <v>13</v>
      </c>
      <c r="D6349" s="8" t="s">
        <v>14</v>
      </c>
      <c r="E6349" s="8">
        <v>1</v>
      </c>
    </row>
    <row r="6350" spans="1:5" ht="15.75" customHeight="1" x14ac:dyDescent="0.25">
      <c r="A6350" s="6" t="s">
        <v>6133</v>
      </c>
      <c r="B6350" s="6" t="str">
        <f ca="1">IFERROR(__xludf.DUMMYFUNCTION("GOOGLETRANSLATE(A6350,""bn"",""en"")"),"A gentle breeze ruffled the surface of the pond from which a frog jumped, sending concentric circles into the ripples.")</f>
        <v>A gentle breeze ruffled the surface of the pond from which a frog jumped, sending concentric circles into the ripples.</v>
      </c>
      <c r="C6350" s="8" t="s">
        <v>13</v>
      </c>
      <c r="D6350" s="8" t="s">
        <v>14</v>
      </c>
      <c r="E6350" s="8">
        <v>1</v>
      </c>
    </row>
    <row r="6351" spans="1:5" ht="15.75" customHeight="1" x14ac:dyDescent="0.25">
      <c r="A6351" s="6" t="s">
        <v>6134</v>
      </c>
      <c r="B6351" s="6" t="str">
        <f ca="1">IFERROR(__xludf.DUMMYFUNCTION("GOOGLETRANSLATE(A6351,""bn"",""en"")"),"The essay book To Do With Freedom was published")</f>
        <v>The essay book To Do With Freedom was published</v>
      </c>
      <c r="C6351" s="8" t="s">
        <v>13</v>
      </c>
      <c r="D6351" s="8" t="s">
        <v>14</v>
      </c>
      <c r="E6351" s="8">
        <v>1</v>
      </c>
    </row>
    <row r="6352" spans="1:5" ht="15.75" customHeight="1" x14ac:dyDescent="0.25">
      <c r="A6352" s="6" t="s">
        <v>6135</v>
      </c>
      <c r="B6352" s="6" t="str">
        <f ca="1">IFERROR(__xludf.DUMMYFUNCTION("GOOGLETRANSLATE(A6352,""bn"",""en"")"),"The gardener could not bear it when they were happily picking flowers")</f>
        <v>The gardener could not bear it when they were happily picking flowers</v>
      </c>
      <c r="C6352" s="7" t="s">
        <v>6</v>
      </c>
      <c r="D6352" s="7" t="s">
        <v>7</v>
      </c>
      <c r="E6352" s="7">
        <v>0</v>
      </c>
    </row>
    <row r="6353" spans="1:5" ht="15.75" customHeight="1" x14ac:dyDescent="0.25">
      <c r="A6353" s="6" t="s">
        <v>6136</v>
      </c>
      <c r="B6353" s="6" t="str">
        <f ca="1">IFERROR(__xludf.DUMMYFUNCTION("GOOGLETRANSLATE(A6353,""bn"",""en"")"),"Leaving the straight path, he took a long way and slowly reached home after a long delay")</f>
        <v>Leaving the straight path, he took a long way and slowly reached home after a long delay</v>
      </c>
      <c r="C6353" s="7" t="s">
        <v>6</v>
      </c>
      <c r="D6353" s="7" t="s">
        <v>7</v>
      </c>
      <c r="E6353" s="7">
        <v>0</v>
      </c>
    </row>
    <row r="6354" spans="1:5" ht="15.75" customHeight="1" x14ac:dyDescent="0.25">
      <c r="A6354" s="6" t="s">
        <v>6137</v>
      </c>
      <c r="B6354" s="6" t="str">
        <f ca="1">IFERROR(__xludf.DUMMYFUNCTION("GOOGLETRANSLATE(A6354,""bn"",""en"")"),"If you want to save your neck, admit the truth")</f>
        <v>If you want to save your neck, admit the truth</v>
      </c>
      <c r="C6354" s="7" t="s">
        <v>6</v>
      </c>
      <c r="D6354" s="7" t="s">
        <v>7</v>
      </c>
      <c r="E6354" s="7">
        <v>0</v>
      </c>
    </row>
    <row r="6355" spans="1:5" ht="15.75" customHeight="1" x14ac:dyDescent="0.25">
      <c r="A6355" s="6" t="s">
        <v>6138</v>
      </c>
      <c r="B6355" s="6" t="str">
        <f ca="1">IFERROR(__xludf.DUMMYFUNCTION("GOOGLETRANSLATE(A6355,""bn"",""en"")"),"Sharif read all the books with me")</f>
        <v>Sharif read all the books with me</v>
      </c>
      <c r="C6355" s="7" t="s">
        <v>6</v>
      </c>
      <c r="D6355" s="7" t="s">
        <v>7</v>
      </c>
      <c r="E6355" s="7">
        <v>0</v>
      </c>
    </row>
    <row r="6356" spans="1:5" ht="15.75" customHeight="1" x14ac:dyDescent="0.25">
      <c r="A6356" s="6" t="s">
        <v>6139</v>
      </c>
      <c r="B6356" s="6" t="str">
        <f ca="1">IFERROR(__xludf.DUMMYFUNCTION("GOOGLETRANSLATE(A6356,""bn"",""en"")"),"Their big tree was broken by the heavy rain of that day")</f>
        <v>Their big tree was broken by the heavy rain of that day</v>
      </c>
      <c r="C6356" s="7" t="s">
        <v>6</v>
      </c>
      <c r="D6356" s="7" t="s">
        <v>7</v>
      </c>
      <c r="E6356" s="7">
        <v>0</v>
      </c>
    </row>
    <row r="6357" spans="1:5" ht="15.75" customHeight="1" x14ac:dyDescent="0.25">
      <c r="A6357" s="6" t="s">
        <v>6140</v>
      </c>
      <c r="B6357" s="6" t="str">
        <f ca="1">IFERROR(__xludf.DUMMYFUNCTION("GOOGLETRANSLATE(A6357,""bn"",""en"")"),"Rana came to me and said")</f>
        <v>Rana came to me and said</v>
      </c>
      <c r="C6357" s="8" t="s">
        <v>13</v>
      </c>
      <c r="D6357" s="8" t="s">
        <v>14</v>
      </c>
      <c r="E6357" s="8">
        <v>1</v>
      </c>
    </row>
    <row r="6358" spans="1:5" ht="15.75" customHeight="1" x14ac:dyDescent="0.25">
      <c r="A6358" s="6" t="s">
        <v>6141</v>
      </c>
      <c r="B6358" s="6" t="str">
        <f ca="1">IFERROR(__xludf.DUMMYFUNCTION("GOOGLETRANSLATE(A6358,""bn"",""en"")"),"Take time to recharge disconnected")</f>
        <v>Take time to recharge disconnected</v>
      </c>
      <c r="C6358" s="8" t="s">
        <v>13</v>
      </c>
      <c r="D6358" s="8" t="s">
        <v>14</v>
      </c>
      <c r="E6358" s="8">
        <v>1</v>
      </c>
    </row>
    <row r="6359" spans="1:5" ht="15.75" customHeight="1" x14ac:dyDescent="0.25">
      <c r="A6359" s="6" t="s">
        <v>6142</v>
      </c>
      <c r="B6359" s="6" t="str">
        <f ca="1">IFERROR(__xludf.DUMMYFUNCTION("GOOGLETRANSLATE(A6359,""bn"",""en"")"),"Ravi Tagore took special interest in his writings")</f>
        <v>Ravi Tagore took special interest in his writings</v>
      </c>
      <c r="C6359" s="8" t="s">
        <v>13</v>
      </c>
      <c r="D6359" s="8" t="s">
        <v>14</v>
      </c>
      <c r="E6359" s="8">
        <v>1</v>
      </c>
    </row>
    <row r="6360" spans="1:5" ht="15.75" customHeight="1" x14ac:dyDescent="0.25">
      <c r="A6360" s="6" t="s">
        <v>6143</v>
      </c>
      <c r="B6360" s="6" t="str">
        <f ca="1">IFERROR(__xludf.DUMMYFUNCTION("GOOGLETRANSLATE(A6360,""bn"",""en"")"),"Subscribe to our channel")</f>
        <v>Subscribe to our channel</v>
      </c>
      <c r="C6360" s="8" t="s">
        <v>13</v>
      </c>
      <c r="D6360" s="8" t="s">
        <v>14</v>
      </c>
      <c r="E6360" s="8">
        <v>1</v>
      </c>
    </row>
    <row r="6361" spans="1:5" ht="15.75" customHeight="1" x14ac:dyDescent="0.25">
      <c r="A6361" s="6" t="s">
        <v>6144</v>
      </c>
      <c r="B6361" s="6" t="str">
        <f ca="1">IFERROR(__xludf.DUMMYFUNCTION("GOOGLETRANSLATE(A6361,""bn"",""en"")"),"Economic depression leads to famine")</f>
        <v>Economic depression leads to famine</v>
      </c>
      <c r="C6361" s="8" t="s">
        <v>13</v>
      </c>
      <c r="D6361" s="8" t="s">
        <v>14</v>
      </c>
      <c r="E6361" s="8">
        <v>1</v>
      </c>
    </row>
    <row r="6362" spans="1:5" ht="15.75" customHeight="1" x14ac:dyDescent="0.25">
      <c r="A6362" s="6" t="s">
        <v>6145</v>
      </c>
      <c r="B6362" s="6" t="str">
        <f ca="1">IFERROR(__xludf.DUMMYFUNCTION("GOOGLETRANSLATE(A6362,""bn"",""en"")"),"They are stepping to the beat")</f>
        <v>They are stepping to the beat</v>
      </c>
      <c r="C6362" s="7" t="s">
        <v>6</v>
      </c>
      <c r="D6362" s="7" t="s">
        <v>7</v>
      </c>
      <c r="E6362" s="7">
        <v>0</v>
      </c>
    </row>
    <row r="6363" spans="1:5" ht="15.75" customHeight="1" x14ac:dyDescent="0.25">
      <c r="A6363" s="6" t="s">
        <v>6146</v>
      </c>
      <c r="B6363" s="6" t="str">
        <f ca="1">IFERROR(__xludf.DUMMYFUNCTION("GOOGLETRANSLATE(A6363,""bn"",""en"")"),"Soon he was delirious")</f>
        <v>Soon he was delirious</v>
      </c>
      <c r="C6363" s="7" t="s">
        <v>6</v>
      </c>
      <c r="D6363" s="7" t="s">
        <v>7</v>
      </c>
      <c r="E6363" s="7">
        <v>0</v>
      </c>
    </row>
    <row r="6364" spans="1:5" ht="15.75" customHeight="1" x14ac:dyDescent="0.25">
      <c r="A6364" s="6" t="s">
        <v>6147</v>
      </c>
      <c r="B6364" s="6" t="str">
        <f ca="1">IFERROR(__xludf.DUMMYFUNCTION("GOOGLETRANSLATE(A6364,""bn"",""en"")"),"He said he will return home when the rain subsides")</f>
        <v>He said he will return home when the rain subsides</v>
      </c>
      <c r="C6364" s="7" t="s">
        <v>6</v>
      </c>
      <c r="D6364" s="7" t="s">
        <v>7</v>
      </c>
      <c r="E6364" s="7">
        <v>0</v>
      </c>
    </row>
    <row r="6365" spans="1:5" ht="15.75" customHeight="1" x14ac:dyDescent="0.25">
      <c r="A6365" s="6" t="s">
        <v>6148</v>
      </c>
      <c r="B6365" s="6" t="str">
        <f ca="1">IFERROR(__xludf.DUMMYFUNCTION("GOOGLETRANSLATE(A6365,""bn"",""en"")"),"Sufal proceeded as Shakib said")</f>
        <v>Sufal proceeded as Shakib said</v>
      </c>
      <c r="C6365" s="7" t="s">
        <v>6</v>
      </c>
      <c r="D6365" s="7" t="s">
        <v>7</v>
      </c>
      <c r="E6365" s="7">
        <v>0</v>
      </c>
    </row>
    <row r="6366" spans="1:5" ht="15.75" customHeight="1" x14ac:dyDescent="0.25">
      <c r="A6366" s="6" t="s">
        <v>6149</v>
      </c>
      <c r="B6366" s="6" t="str">
        <f ca="1">IFERROR(__xludf.DUMMYFUNCTION("GOOGLETRANSLATE(A6366,""bn"",""en"")"),"During the cold season of Kartika, the door of the head is open all night, and no clothes are worn during the winter")</f>
        <v>During the cold season of Kartika, the door of the head is open all night, and no clothes are worn during the winter</v>
      </c>
      <c r="C6366" s="7" t="s">
        <v>6</v>
      </c>
      <c r="D6366" s="7" t="s">
        <v>7</v>
      </c>
      <c r="E6366" s="7">
        <v>0</v>
      </c>
    </row>
    <row r="6367" spans="1:5" ht="15.75" customHeight="1" x14ac:dyDescent="0.25">
      <c r="A6367" s="6" t="s">
        <v>6150</v>
      </c>
      <c r="B6367" s="6" t="str">
        <f ca="1">IFERROR(__xludf.DUMMYFUNCTION("GOOGLETRANSLATE(A6367,""bn"",""en"")"),"I saw him and called him to me")</f>
        <v>I saw him and called him to me</v>
      </c>
      <c r="C6367" s="8" t="s">
        <v>13</v>
      </c>
      <c r="D6367" s="8" t="s">
        <v>14</v>
      </c>
      <c r="E6367" s="8">
        <v>1</v>
      </c>
    </row>
    <row r="6368" spans="1:5" ht="15.75" customHeight="1" x14ac:dyDescent="0.25">
      <c r="A6368" s="6" t="s">
        <v>6151</v>
      </c>
      <c r="B6368" s="6" t="str">
        <f ca="1">IFERROR(__xludf.DUMMYFUNCTION("GOOGLETRANSLATE(A6368,""bn"",""en"")"),"Discuss the status of religion area")</f>
        <v>Discuss the status of religion area</v>
      </c>
      <c r="C6368" s="8" t="s">
        <v>13</v>
      </c>
      <c r="D6368" s="8" t="s">
        <v>14</v>
      </c>
      <c r="E6368" s="8">
        <v>1</v>
      </c>
    </row>
    <row r="6369" spans="1:5" ht="15.75" customHeight="1" x14ac:dyDescent="0.25">
      <c r="A6369" s="6" t="s">
        <v>6152</v>
      </c>
      <c r="B6369" s="6" t="str">
        <f ca="1">IFERROR(__xludf.DUMMYFUNCTION("GOOGLETRANSLATE(A6369,""bn"",""en"")"),"The lawyer presented compelling arguments to the court")</f>
        <v>The lawyer presented compelling arguments to the court</v>
      </c>
      <c r="C6369" s="8" t="s">
        <v>13</v>
      </c>
      <c r="D6369" s="8" t="s">
        <v>14</v>
      </c>
      <c r="E6369" s="8">
        <v>1</v>
      </c>
    </row>
    <row r="6370" spans="1:5" ht="15.75" customHeight="1" x14ac:dyDescent="0.25">
      <c r="A6370" s="6" t="s">
        <v>6153</v>
      </c>
      <c r="B6370" s="6" t="str">
        <f ca="1">IFERROR(__xludf.DUMMYFUNCTION("GOOGLETRANSLATE(A6370,""bn"",""en"")"),"Witness testimony can be important in establishing guilt or innocence in a criminal trial")</f>
        <v>Witness testimony can be important in establishing guilt or innocence in a criminal trial</v>
      </c>
      <c r="C6370" s="8" t="s">
        <v>13</v>
      </c>
      <c r="D6370" s="8" t="s">
        <v>14</v>
      </c>
      <c r="E6370" s="8">
        <v>1</v>
      </c>
    </row>
    <row r="6371" spans="1:5" ht="15.75" customHeight="1" x14ac:dyDescent="0.25">
      <c r="A6371" s="6" t="s">
        <v>6154</v>
      </c>
      <c r="B6371" s="6" t="str">
        <f ca="1">IFERROR(__xludf.DUMMYFUNCTION("GOOGLETRANSLATE(A6371,""bn"",""en"")"),"Social media has become a prominent source of news for many people")</f>
        <v>Social media has become a prominent source of news for many people</v>
      </c>
      <c r="C6371" s="8" t="s">
        <v>13</v>
      </c>
      <c r="D6371" s="8" t="s">
        <v>14</v>
      </c>
      <c r="E6371" s="8">
        <v>1</v>
      </c>
    </row>
    <row r="6372" spans="1:5" ht="15.75" customHeight="1" x14ac:dyDescent="0.25">
      <c r="A6372" s="6" t="s">
        <v>6155</v>
      </c>
      <c r="B6372" s="6" t="str">
        <f ca="1">IFERROR(__xludf.DUMMYFUNCTION("GOOGLETRANSLATE(A6372,""bn"",""en"")"),"I also enjoyed seeing the simple smile of an adult and a minor child in the autumn light")</f>
        <v>I also enjoyed seeing the simple smile of an adult and a minor child in the autumn light</v>
      </c>
      <c r="C6372" s="7" t="s">
        <v>6</v>
      </c>
      <c r="D6372" s="7" t="s">
        <v>7</v>
      </c>
      <c r="E6372" s="7">
        <v>0</v>
      </c>
    </row>
    <row r="6373" spans="1:5" ht="15.75" customHeight="1" x14ac:dyDescent="0.25">
      <c r="A6373" s="6" t="s">
        <v>6156</v>
      </c>
      <c r="B6373" s="6" t="str">
        <f ca="1">IFERROR(__xludf.DUMMYFUNCTION("GOOGLETRANSLATE(A6373,""bn"",""en"")"),"Something has happened to disrupt my words for him")</f>
        <v>Something has happened to disrupt my words for him</v>
      </c>
      <c r="C6373" s="7" t="s">
        <v>6</v>
      </c>
      <c r="D6373" s="7" t="s">
        <v>7</v>
      </c>
      <c r="E6373" s="7">
        <v>0</v>
      </c>
    </row>
    <row r="6374" spans="1:5" ht="15.75" customHeight="1" x14ac:dyDescent="0.25">
      <c r="A6374" s="6" t="s">
        <v>6157</v>
      </c>
      <c r="B6374" s="6" t="str">
        <f ca="1">IFERROR(__xludf.DUMMYFUNCTION("GOOGLETRANSLATE(A6374,""bn"",""en"")"),"Gutikat Bengali used to sit on the balcony and monitor my car")</f>
        <v>Gutikat Bengali used to sit on the balcony and monitor my car</v>
      </c>
      <c r="C6374" s="7" t="s">
        <v>6</v>
      </c>
      <c r="D6374" s="7" t="s">
        <v>7</v>
      </c>
      <c r="E6374" s="7">
        <v>0</v>
      </c>
    </row>
    <row r="6375" spans="1:5" ht="15.75" customHeight="1" x14ac:dyDescent="0.25">
      <c r="A6375" s="6" t="s">
        <v>6158</v>
      </c>
      <c r="B6375" s="6" t="str">
        <f ca="1">IFERROR(__xludf.DUMMYFUNCTION("GOOGLETRANSLATE(A6375,""bn"",""en"")"),"Ronnie gave me a letter")</f>
        <v>Ronnie gave me a letter</v>
      </c>
      <c r="C6375" s="7" t="s">
        <v>6</v>
      </c>
      <c r="D6375" s="7" t="s">
        <v>7</v>
      </c>
      <c r="E6375" s="7">
        <v>0</v>
      </c>
    </row>
    <row r="6376" spans="1:5" ht="15.75" customHeight="1" x14ac:dyDescent="0.25">
      <c r="A6376" s="6" t="s">
        <v>6159</v>
      </c>
      <c r="B6376" s="6" t="str">
        <f ca="1">IFERROR(__xludf.DUMMYFUNCTION("GOOGLETRANSLATE(A6376,""bn"",""en"")"),"I have never seen such a black glow")</f>
        <v>I have never seen such a black glow</v>
      </c>
      <c r="C6376" s="7" t="s">
        <v>6</v>
      </c>
      <c r="D6376" s="7" t="s">
        <v>7</v>
      </c>
      <c r="E6376" s="7">
        <v>0</v>
      </c>
    </row>
    <row r="6377" spans="1:5" ht="15.75" customHeight="1" x14ac:dyDescent="0.25">
      <c r="A6377" s="6" t="s">
        <v>6160</v>
      </c>
      <c r="B6377" s="6" t="str">
        <f ca="1">IFERROR(__xludf.DUMMYFUNCTION("GOOGLETRANSLATE(A6377,""bn"",""en"")"),"Surround yourself with people who lift you up")</f>
        <v>Surround yourself with people who lift you up</v>
      </c>
      <c r="C6377" s="8" t="s">
        <v>13</v>
      </c>
      <c r="D6377" s="8" t="s">
        <v>14</v>
      </c>
      <c r="E6377" s="8">
        <v>1</v>
      </c>
    </row>
    <row r="6378" spans="1:5" ht="15.75" customHeight="1" x14ac:dyDescent="0.25">
      <c r="A6378" s="6" t="s">
        <v>6161</v>
      </c>
      <c r="B6378" s="6" t="str">
        <f ca="1">IFERROR(__xludf.DUMMYFUNCTION("GOOGLETRANSLATE(A6378,""bn"",""en"")"),"The greater the light depth, the lower the transparency and the greater the opacity")</f>
        <v>The greater the light depth, the lower the transparency and the greater the opacity</v>
      </c>
      <c r="C6378" s="8" t="s">
        <v>13</v>
      </c>
      <c r="D6378" s="8" t="s">
        <v>14</v>
      </c>
      <c r="E6378" s="8">
        <v>1</v>
      </c>
    </row>
    <row r="6379" spans="1:5" ht="15.75" customHeight="1" x14ac:dyDescent="0.25">
      <c r="A6379" s="6" t="s">
        <v>6162</v>
      </c>
      <c r="B6379" s="6" t="str">
        <f ca="1">IFERROR(__xludf.DUMMYFUNCTION("GOOGLETRANSLATE(A6379,""bn"",""en"")"),"He forgot about me.")</f>
        <v>He forgot about me.</v>
      </c>
      <c r="C6379" s="8" t="s">
        <v>13</v>
      </c>
      <c r="D6379" s="8" t="s">
        <v>14</v>
      </c>
      <c r="E6379" s="8">
        <v>1</v>
      </c>
    </row>
    <row r="6380" spans="1:5" ht="15.75" customHeight="1" x14ac:dyDescent="0.25">
      <c r="A6380" s="6" t="s">
        <v>6163</v>
      </c>
      <c r="B6380" s="6" t="str">
        <f ca="1">IFERROR(__xludf.DUMMYFUNCTION("GOOGLETRANSLATE(A6380,""bn"",""en"")"),"Know someone else who knows your address")</f>
        <v>Know someone else who knows your address</v>
      </c>
      <c r="C6380" s="8" t="s">
        <v>13</v>
      </c>
      <c r="D6380" s="8" t="s">
        <v>14</v>
      </c>
      <c r="E6380" s="8">
        <v>1</v>
      </c>
    </row>
    <row r="6381" spans="1:5" ht="15.75" customHeight="1" x14ac:dyDescent="0.25">
      <c r="A6381" s="6" t="s">
        <v>6164</v>
      </c>
      <c r="B6381" s="6" t="str">
        <f ca="1">IFERROR(__xludf.DUMMYFUNCTION("GOOGLETRANSLATE(A6381,""bn"",""en"")"),"Students get an opportunity to take T-credit courses under this program")</f>
        <v>Students get an opportunity to take T-credit courses under this program</v>
      </c>
      <c r="C6381" s="8" t="s">
        <v>13</v>
      </c>
      <c r="D6381" s="8" t="s">
        <v>14</v>
      </c>
      <c r="E6381" s="8">
        <v>1</v>
      </c>
    </row>
    <row r="6382" spans="1:5" ht="15.75" customHeight="1" x14ac:dyDescent="0.25">
      <c r="A6382" s="6" t="s">
        <v>6165</v>
      </c>
      <c r="B6382" s="6" t="str">
        <f ca="1">IFERROR(__xludf.DUMMYFUNCTION("GOOGLETRANSLATE(A6382,""bn"",""en"")"),"Niru became very impatient to go to his father's house for days to comfort his aching father's heart.")</f>
        <v>Niru became very impatient to go to his father's house for days to comfort his aching father's heart.</v>
      </c>
      <c r="C6382" s="7" t="s">
        <v>6</v>
      </c>
      <c r="D6382" s="7" t="s">
        <v>7</v>
      </c>
      <c r="E6382" s="7">
        <v>0</v>
      </c>
    </row>
    <row r="6383" spans="1:5" ht="15.75" customHeight="1" x14ac:dyDescent="0.25">
      <c r="A6383" s="6" t="s">
        <v>6166</v>
      </c>
      <c r="B6383" s="6" t="str">
        <f ca="1">IFERROR(__xludf.DUMMYFUNCTION("GOOGLETRANSLATE(A6383,""bn"",""en"")"),"Vinay himself went and called the car")</f>
        <v>Vinay himself went and called the car</v>
      </c>
      <c r="C6383" s="7" t="s">
        <v>6</v>
      </c>
      <c r="D6383" s="7" t="s">
        <v>7</v>
      </c>
      <c r="E6383" s="7">
        <v>0</v>
      </c>
    </row>
    <row r="6384" spans="1:5" ht="15.75" customHeight="1" x14ac:dyDescent="0.25">
      <c r="A6384" s="6" t="s">
        <v>6167</v>
      </c>
      <c r="B6384" s="6" t="str">
        <f ca="1">IFERROR(__xludf.DUMMYFUNCTION("GOOGLETRANSLATE(A6384,""bn"",""en"")"),"In such a place, if the honor of the king was to be preserved in the eyes of the common people, it was the duty of the fatik to slap the disobedient brother's ass without delay.")</f>
        <v>In such a place, if the honor of the king was to be preserved in the eyes of the common people, it was the duty of the fatik to slap the disobedient brother's ass without delay.</v>
      </c>
      <c r="C6384" s="7" t="s">
        <v>6</v>
      </c>
      <c r="D6384" s="7" t="s">
        <v>7</v>
      </c>
      <c r="E6384" s="7">
        <v>0</v>
      </c>
    </row>
    <row r="6385" spans="1:5" ht="15.75" customHeight="1" x14ac:dyDescent="0.25">
      <c r="A6385" s="6" t="s">
        <v>6168</v>
      </c>
      <c r="B6385" s="6" t="str">
        <f ca="1">IFERROR(__xludf.DUMMYFUNCTION("GOOGLETRANSLATE(A6385,""bn"",""en"")"),"Then a deep shadow descended everywhere")</f>
        <v>Then a deep shadow descended everywhere</v>
      </c>
      <c r="C6385" s="7" t="s">
        <v>6</v>
      </c>
      <c r="D6385" s="7" t="s">
        <v>7</v>
      </c>
      <c r="E6385" s="7">
        <v>0</v>
      </c>
    </row>
    <row r="6386" spans="1:5" ht="15.75" customHeight="1" x14ac:dyDescent="0.25">
      <c r="A6386" s="6" t="s">
        <v>6169</v>
      </c>
      <c r="B6386" s="6" t="str">
        <f ca="1">IFERROR(__xludf.DUMMYFUNCTION("GOOGLETRANSLATE(A6386,""bn"",""en"")"),"Rafiq will eat rice and go to school")</f>
        <v>Rafiq will eat rice and go to school</v>
      </c>
      <c r="C6386" s="7" t="s">
        <v>6</v>
      </c>
      <c r="D6386" s="7" t="s">
        <v>7</v>
      </c>
      <c r="E6386" s="7">
        <v>0</v>
      </c>
    </row>
    <row r="6387" spans="1:5" ht="15.75" customHeight="1" x14ac:dyDescent="0.25">
      <c r="A6387" s="6" t="s">
        <v>6170</v>
      </c>
      <c r="B6387" s="6" t="str">
        <f ca="1">IFERROR(__xludf.DUMMYFUNCTION("GOOGLETRANSLATE(A6387,""bn"",""en"")"),"Reconnecting with an old friend brings nostalgia")</f>
        <v>Reconnecting with an old friend brings nostalgia</v>
      </c>
      <c r="C6387" s="8" t="s">
        <v>13</v>
      </c>
      <c r="D6387" s="8" t="s">
        <v>14</v>
      </c>
      <c r="E6387" s="8">
        <v>1</v>
      </c>
    </row>
    <row r="6388" spans="1:5" ht="15.75" customHeight="1" x14ac:dyDescent="0.25">
      <c r="A6388" s="6" t="s">
        <v>6171</v>
      </c>
      <c r="B6388" s="6" t="str">
        <f ca="1">IFERROR(__xludf.DUMMYFUNCTION("GOOGLETRANSLATE(A6388,""bn"",""en"")"),"Criminal behavior patterns can sometimes be predicted based on statistical analysis profiling techniques")</f>
        <v>Criminal behavior patterns can sometimes be predicted based on statistical analysis profiling techniques</v>
      </c>
      <c r="C6388" s="8" t="s">
        <v>13</v>
      </c>
      <c r="D6388" s="8" t="s">
        <v>14</v>
      </c>
      <c r="E6388" s="8">
        <v>1</v>
      </c>
    </row>
    <row r="6389" spans="1:5" ht="15.75" customHeight="1" x14ac:dyDescent="0.25">
      <c r="A6389" s="6" t="s">
        <v>6172</v>
      </c>
      <c r="B6389" s="6" t="str">
        <f ca="1">IFERROR(__xludf.DUMMYFUNCTION("GOOGLETRANSLATE(A6389,""bn"",""en"")"),"Farmers markets provide direct sales opportunities for local producers to connect with consumers")</f>
        <v>Farmers markets provide direct sales opportunities for local producers to connect with consumers</v>
      </c>
      <c r="C6389" s="8" t="s">
        <v>13</v>
      </c>
      <c r="D6389" s="8" t="s">
        <v>14</v>
      </c>
      <c r="E6389" s="8">
        <v>1</v>
      </c>
    </row>
    <row r="6390" spans="1:5" ht="15.75" customHeight="1" x14ac:dyDescent="0.25">
      <c r="A6390" s="6" t="s">
        <v>6173</v>
      </c>
      <c r="B6390" s="6" t="str">
        <f ca="1">IFERROR(__xludf.DUMMYFUNCTION("GOOGLETRANSLATE(A6390,""bn"",""en"")"),"I hope you will be able to reach your goal one day")</f>
        <v>I hope you will be able to reach your goal one day</v>
      </c>
      <c r="C6390" s="8" t="s">
        <v>13</v>
      </c>
      <c r="D6390" s="8" t="s">
        <v>14</v>
      </c>
      <c r="E6390" s="8">
        <v>1</v>
      </c>
    </row>
    <row r="6391" spans="1:5" ht="15.75" customHeight="1" x14ac:dyDescent="0.25">
      <c r="A6391" s="6" t="s">
        <v>6174</v>
      </c>
      <c r="B6391" s="6" t="str">
        <f ca="1">IFERROR(__xludf.DUMMYFUNCTION("GOOGLETRANSLATE(A6391,""bn"",""en"")"),"Amy is defeated by Wine House")</f>
        <v>Amy is defeated by Wine House</v>
      </c>
      <c r="C6391" s="8" t="s">
        <v>13</v>
      </c>
      <c r="D6391" s="8" t="s">
        <v>14</v>
      </c>
      <c r="E6391" s="8">
        <v>1</v>
      </c>
    </row>
    <row r="6392" spans="1:5" ht="15.75" customHeight="1" x14ac:dyDescent="0.25">
      <c r="A6392" s="6" t="s">
        <v>5121</v>
      </c>
      <c r="B6392" s="6" t="str">
        <f ca="1">IFERROR(__xludf.DUMMYFUNCTION("GOOGLETRANSLATE(A6392,""bn"",""en"")"),"I don't know exactly what the sound caused the tiger to stand up")</f>
        <v>I don't know exactly what the sound caused the tiger to stand up</v>
      </c>
      <c r="C6392" s="7" t="s">
        <v>6</v>
      </c>
      <c r="D6392" s="7" t="s">
        <v>7</v>
      </c>
      <c r="E6392" s="7">
        <v>0</v>
      </c>
    </row>
    <row r="6393" spans="1:5" ht="15.75" customHeight="1" x14ac:dyDescent="0.25">
      <c r="A6393" s="6" t="s">
        <v>6175</v>
      </c>
      <c r="B6393" s="6" t="str">
        <f ca="1">IFERROR(__xludf.DUMMYFUNCTION("GOOGLETRANSLATE(A6393,""bn"",""en"")"),"Agagora has been exposed in all its usages")</f>
        <v>Agagora has been exposed in all its usages</v>
      </c>
      <c r="C6393" s="7" t="s">
        <v>6</v>
      </c>
      <c r="D6393" s="7" t="s">
        <v>7</v>
      </c>
      <c r="E6393" s="7">
        <v>0</v>
      </c>
    </row>
    <row r="6394" spans="1:5" ht="15.75" customHeight="1" x14ac:dyDescent="0.25">
      <c r="A6394" s="6" t="s">
        <v>6176</v>
      </c>
      <c r="B6394" s="6" t="str">
        <f ca="1">IFERROR(__xludf.DUMMYFUNCTION("GOOGLETRANSLATE(A6394,""bn"",""en"")"),"I was a bit curious and asked him what his real name was")</f>
        <v>I was a bit curious and asked him what his real name was</v>
      </c>
      <c r="C6394" s="7" t="s">
        <v>6</v>
      </c>
      <c r="D6394" s="7" t="s">
        <v>7</v>
      </c>
      <c r="E6394" s="7">
        <v>0</v>
      </c>
    </row>
    <row r="6395" spans="1:5" ht="15.75" customHeight="1" x14ac:dyDescent="0.25">
      <c r="A6395" s="6" t="s">
        <v>6177</v>
      </c>
      <c r="B6395" s="6" t="str">
        <f ca="1">IFERROR(__xludf.DUMMYFUNCTION("GOOGLETRANSLATE(A6395,""bn"",""en"")"),"I was very early in the morning")</f>
        <v>I was very early in the morning</v>
      </c>
      <c r="C6395" s="7" t="s">
        <v>6</v>
      </c>
      <c r="D6395" s="7" t="s">
        <v>7</v>
      </c>
      <c r="E6395" s="7">
        <v>0</v>
      </c>
    </row>
    <row r="6396" spans="1:5" ht="15.75" customHeight="1" x14ac:dyDescent="0.25">
      <c r="A6396" s="6" t="s">
        <v>6178</v>
      </c>
      <c r="B6396" s="6" t="str">
        <f ca="1">IFERROR(__xludf.DUMMYFUNCTION("GOOGLETRANSLATE(A6396,""bn"",""en"")"),"Two of the three elderly have died")</f>
        <v>Two of the three elderly have died</v>
      </c>
      <c r="C6396" s="7" t="s">
        <v>6</v>
      </c>
      <c r="D6396" s="7" t="s">
        <v>7</v>
      </c>
      <c r="E6396" s="7">
        <v>0</v>
      </c>
    </row>
    <row r="6397" spans="1:5" ht="15.75" customHeight="1" x14ac:dyDescent="0.25">
      <c r="A6397" s="6" t="s">
        <v>6179</v>
      </c>
      <c r="B6397" s="6" t="str">
        <f ca="1">IFERROR(__xludf.DUMMYFUNCTION("GOOGLETRANSLATE(A6397,""bn"",""en"")"),"Death He died at a young age due to kidney disease")</f>
        <v>Death He died at a young age due to kidney disease</v>
      </c>
      <c r="C6397" s="8" t="s">
        <v>13</v>
      </c>
      <c r="D6397" s="8" t="s">
        <v>14</v>
      </c>
      <c r="E6397" s="8">
        <v>1</v>
      </c>
    </row>
    <row r="6398" spans="1:5" ht="15.75" customHeight="1" x14ac:dyDescent="0.25">
      <c r="A6398" s="6" t="s">
        <v>6180</v>
      </c>
      <c r="B6398" s="6" t="str">
        <f ca="1">IFERROR(__xludf.DUMMYFUNCTION("GOOGLETRANSLATE(A6398,""bn"",""en"")"),"Rumi talked about me a lot")</f>
        <v>Rumi talked about me a lot</v>
      </c>
      <c r="C6398" s="8" t="s">
        <v>13</v>
      </c>
      <c r="D6398" s="8" t="s">
        <v>14</v>
      </c>
      <c r="E6398" s="8">
        <v>1</v>
      </c>
    </row>
    <row r="6399" spans="1:5" ht="15.75" customHeight="1" x14ac:dyDescent="0.25">
      <c r="A6399" s="6" t="s">
        <v>6181</v>
      </c>
      <c r="B6399" s="6" t="str">
        <f ca="1">IFERROR(__xludf.DUMMYFUNCTION("GOOGLETRANSLATE(A6399,""bn"",""en"")"),"It was this style that gave him great popularity later")</f>
        <v>It was this style that gave him great popularity later</v>
      </c>
      <c r="C6399" s="8" t="s">
        <v>13</v>
      </c>
      <c r="D6399" s="8" t="s">
        <v>14</v>
      </c>
      <c r="E6399" s="8">
        <v>1</v>
      </c>
    </row>
    <row r="6400" spans="1:5" ht="15.75" customHeight="1" x14ac:dyDescent="0.25">
      <c r="A6400" s="6" t="s">
        <v>6182</v>
      </c>
      <c r="B6400" s="6" t="str">
        <f ca="1">IFERROR(__xludf.DUMMYFUNCTION("GOOGLETRANSLATE(A6400,""bn"",""en"")"),"An emotional father stood in front of his son")</f>
        <v>An emotional father stood in front of his son</v>
      </c>
      <c r="C6400" s="8" t="s">
        <v>13</v>
      </c>
      <c r="D6400" s="8" t="s">
        <v>14</v>
      </c>
      <c r="E6400" s="8">
        <v>1</v>
      </c>
    </row>
    <row r="6401" spans="1:5" ht="15.75" customHeight="1" x14ac:dyDescent="0.25">
      <c r="A6401" s="6" t="s">
        <v>6183</v>
      </c>
      <c r="B6401" s="6" t="str">
        <f ca="1">IFERROR(__xludf.DUMMYFUNCTION("GOOGLETRANSLATE(A6401,""bn"",""en"")"),"Baking cookies is a sweet delight")</f>
        <v>Baking cookies is a sweet delight</v>
      </c>
      <c r="C6401" s="8" t="s">
        <v>13</v>
      </c>
      <c r="D6401" s="8" t="s">
        <v>14</v>
      </c>
      <c r="E6401" s="8">
        <v>1</v>
      </c>
    </row>
    <row r="6402" spans="1:5" ht="15.75" customHeight="1" x14ac:dyDescent="0.25">
      <c r="A6402" s="6" t="s">
        <v>1149</v>
      </c>
      <c r="B6402" s="6" t="str">
        <f ca="1">IFERROR(__xludf.DUMMYFUNCTION("GOOGLETRANSLATE(A6402,""bn"",""en"")"),"Big mistake then")</f>
        <v>Big mistake then</v>
      </c>
      <c r="C6402" s="7" t="s">
        <v>6</v>
      </c>
      <c r="D6402" s="7" t="s">
        <v>7</v>
      </c>
      <c r="E6402" s="7">
        <v>0</v>
      </c>
    </row>
    <row r="6403" spans="1:5" ht="15.75" customHeight="1" x14ac:dyDescent="0.25">
      <c r="A6403" s="6" t="s">
        <v>6184</v>
      </c>
      <c r="B6403" s="6" t="str">
        <f ca="1">IFERROR(__xludf.DUMMYFUNCTION("GOOGLETRANSLATE(A6403,""bn"",""en"")"),"The doctor got busy and picked up the bag and said let me go")</f>
        <v>The doctor got busy and picked up the bag and said let me go</v>
      </c>
      <c r="C6403" s="7" t="s">
        <v>6</v>
      </c>
      <c r="D6403" s="7" t="s">
        <v>7</v>
      </c>
      <c r="E6403" s="7">
        <v>0</v>
      </c>
    </row>
    <row r="6404" spans="1:5" ht="15.75" customHeight="1" x14ac:dyDescent="0.25">
      <c r="A6404" s="6" t="s">
        <v>6185</v>
      </c>
      <c r="B6404" s="6" t="str">
        <f ca="1">IFERROR(__xludf.DUMMYFUNCTION("GOOGLETRANSLATE(A6404,""bn"",""en"")"),"Pradeep waited anxiously with the lamp")</f>
        <v>Pradeep waited anxiously with the lamp</v>
      </c>
      <c r="C6404" s="7" t="s">
        <v>6</v>
      </c>
      <c r="D6404" s="7" t="s">
        <v>7</v>
      </c>
      <c r="E6404" s="7">
        <v>0</v>
      </c>
    </row>
    <row r="6405" spans="1:5" ht="15.75" customHeight="1" x14ac:dyDescent="0.25">
      <c r="A6405" s="6" t="s">
        <v>6186</v>
      </c>
      <c r="B6405" s="6" t="str">
        <f ca="1">IFERROR(__xludf.DUMMYFUNCTION("GOOGLETRANSLATE(A6405,""bn"",""en"")"),"He helped the blind man to cross the road")</f>
        <v>He helped the blind man to cross the road</v>
      </c>
      <c r="C6405" s="7" t="s">
        <v>6</v>
      </c>
      <c r="D6405" s="7" t="s">
        <v>7</v>
      </c>
      <c r="E6405" s="7">
        <v>0</v>
      </c>
    </row>
    <row r="6406" spans="1:5" ht="15.75" customHeight="1" x14ac:dyDescent="0.25">
      <c r="A6406" s="6" t="s">
        <v>6187</v>
      </c>
      <c r="B6406" s="6" t="str">
        <f ca="1">IFERROR(__xludf.DUMMYFUNCTION("GOOGLETRANSLATE(A6406,""bn"",""en"")"),"He used to read very attentively sitting at home")</f>
        <v>He used to read very attentively sitting at home</v>
      </c>
      <c r="C6406" s="7" t="s">
        <v>6</v>
      </c>
      <c r="D6406" s="7" t="s">
        <v>7</v>
      </c>
      <c r="E6406" s="7">
        <v>0</v>
      </c>
    </row>
    <row r="6407" spans="1:5" ht="15.75" customHeight="1" x14ac:dyDescent="0.25">
      <c r="A6407" s="6" t="s">
        <v>6188</v>
      </c>
      <c r="B6407" s="6" t="str">
        <f ca="1">IFERROR(__xludf.DUMMYFUNCTION("GOOGLETRANSLATE(A6407,""bn"",""en"")"),"There are many birds chirping near my house in the afternoon")</f>
        <v>There are many birds chirping near my house in the afternoon</v>
      </c>
      <c r="C6407" s="8" t="s">
        <v>13</v>
      </c>
      <c r="D6407" s="8" t="s">
        <v>14</v>
      </c>
      <c r="E6407" s="8">
        <v>1</v>
      </c>
    </row>
    <row r="6408" spans="1:5" ht="15.75" customHeight="1" x14ac:dyDescent="0.25">
      <c r="A6408" s="6" t="s">
        <v>6189</v>
      </c>
      <c r="B6408" s="6" t="str">
        <f ca="1">IFERROR(__xludf.DUMMYFUNCTION("GOOGLETRANSLATE(A6408,""bn"",""en"")"),"Retweet for a chance to win")</f>
        <v>Retweet for a chance to win</v>
      </c>
      <c r="C6408" s="8" t="s">
        <v>13</v>
      </c>
      <c r="D6408" s="8" t="s">
        <v>14</v>
      </c>
      <c r="E6408" s="8">
        <v>1</v>
      </c>
    </row>
    <row r="6409" spans="1:5" ht="15.75" customHeight="1" x14ac:dyDescent="0.25">
      <c r="A6409" s="6" t="s">
        <v>6190</v>
      </c>
      <c r="B6409" s="6" t="str">
        <f ca="1">IFERROR(__xludf.DUMMYFUNCTION("GOOGLETRANSLATE(A6409,""bn"",""en"")"),"Because if he is caught, he may be sentenced to death")</f>
        <v>Because if he is caught, he may be sentenced to death</v>
      </c>
      <c r="C6409" s="8" t="s">
        <v>13</v>
      </c>
      <c r="D6409" s="8" t="s">
        <v>14</v>
      </c>
      <c r="E6409" s="8">
        <v>1</v>
      </c>
    </row>
    <row r="6410" spans="1:5" ht="15.75" customHeight="1" x14ac:dyDescent="0.25">
      <c r="A6410" s="6" t="s">
        <v>6191</v>
      </c>
      <c r="B6410" s="6" t="str">
        <f ca="1">IFERROR(__xludf.DUMMYFUNCTION("GOOGLETRANSLATE(A6410,""bn"",""en"")"),"After evening he went for a walk in the street")</f>
        <v>After evening he went for a walk in the street</v>
      </c>
      <c r="C6410" s="8" t="s">
        <v>13</v>
      </c>
      <c r="D6410" s="8" t="s">
        <v>14</v>
      </c>
      <c r="E6410" s="8">
        <v>1</v>
      </c>
    </row>
    <row r="6411" spans="1:5" ht="15.75" customHeight="1" x14ac:dyDescent="0.25">
      <c r="A6411" s="6" t="s">
        <v>6192</v>
      </c>
      <c r="B6411" s="6" t="str">
        <f ca="1">IFERROR(__xludf.DUMMYFUNCTION("GOOGLETRANSLATE(A6411,""bn"",""en"")"),"Feeling empowered to stand up for what I believe in brings confidence")</f>
        <v>Feeling empowered to stand up for what I believe in brings confidence</v>
      </c>
      <c r="C6411" s="8" t="s">
        <v>13</v>
      </c>
      <c r="D6411" s="8" t="s">
        <v>14</v>
      </c>
      <c r="E6411" s="8">
        <v>1</v>
      </c>
    </row>
    <row r="6412" spans="1:5" ht="15.75" customHeight="1" x14ac:dyDescent="0.25">
      <c r="A6412" s="6" t="s">
        <v>6193</v>
      </c>
      <c r="B6412" s="6" t="str">
        <f ca="1">IFERROR(__xludf.DUMMYFUNCTION("GOOGLETRANSLATE(A6412,""bn"",""en"")"),"There is no irony in giving up rights and retaining rights")</f>
        <v>There is no irony in giving up rights and retaining rights</v>
      </c>
      <c r="C6412" s="7" t="s">
        <v>6</v>
      </c>
      <c r="D6412" s="7" t="s">
        <v>7</v>
      </c>
      <c r="E6412" s="7">
        <v>0</v>
      </c>
    </row>
    <row r="6413" spans="1:5" ht="15.75" customHeight="1" x14ac:dyDescent="0.25">
      <c r="A6413" s="6" t="s">
        <v>6194</v>
      </c>
      <c r="B6413" s="6" t="str">
        <f ca="1">IFERROR(__xludf.DUMMYFUNCTION("GOOGLETRANSLATE(A6413,""bn"",""en"")"),"The living cannot do the work")</f>
        <v>The living cannot do the work</v>
      </c>
      <c r="C6413" s="7" t="s">
        <v>6</v>
      </c>
      <c r="D6413" s="7" t="s">
        <v>7</v>
      </c>
      <c r="E6413" s="7">
        <v>0</v>
      </c>
    </row>
    <row r="6414" spans="1:5" ht="15.75" customHeight="1" x14ac:dyDescent="0.25">
      <c r="A6414" s="6" t="s">
        <v>6195</v>
      </c>
      <c r="B6414" s="6" t="str">
        <f ca="1">IFERROR(__xludf.DUMMYFUNCTION("GOOGLETRANSLATE(A6414,""bn"",""en"")"),"Palandu is highly toxic material and is used only in medicine")</f>
        <v>Palandu is highly toxic material and is used only in medicine</v>
      </c>
      <c r="C6414" s="7" t="s">
        <v>6</v>
      </c>
      <c r="D6414" s="7" t="s">
        <v>7</v>
      </c>
      <c r="E6414" s="7">
        <v>0</v>
      </c>
    </row>
    <row r="6415" spans="1:5" ht="15.75" customHeight="1" x14ac:dyDescent="0.25">
      <c r="A6415" s="6" t="s">
        <v>6196</v>
      </c>
      <c r="B6415" s="6" t="str">
        <f ca="1">IFERROR(__xludf.DUMMYFUNCTION("GOOGLETRANSLATE(A6415,""bn"",""en"")"),"Balia once started crying with Balaposh in his eyes")</f>
        <v>Balia once started crying with Balaposh in his eyes</v>
      </c>
      <c r="C6415" s="7" t="s">
        <v>6</v>
      </c>
      <c r="D6415" s="7" t="s">
        <v>7</v>
      </c>
      <c r="E6415" s="7">
        <v>0</v>
      </c>
    </row>
    <row r="6416" spans="1:5" ht="15.75" customHeight="1" x14ac:dyDescent="0.25">
      <c r="A6416" s="6" t="s">
        <v>6197</v>
      </c>
      <c r="B6416" s="6" t="str">
        <f ca="1">IFERROR(__xludf.DUMMYFUNCTION("GOOGLETRANSLATE(A6416,""bn"",""en"")"),"After climbing the shore, he proceeded to search for him")</f>
        <v>After climbing the shore, he proceeded to search for him</v>
      </c>
      <c r="C6416" s="7" t="s">
        <v>6</v>
      </c>
      <c r="D6416" s="7" t="s">
        <v>7</v>
      </c>
      <c r="E6416" s="7">
        <v>0</v>
      </c>
    </row>
    <row r="6417" spans="1:5" ht="15.75" customHeight="1" x14ac:dyDescent="0.25">
      <c r="A6417" s="6" t="s">
        <v>6198</v>
      </c>
      <c r="B6417" s="6" t="str">
        <f ca="1">IFERROR(__xludf.DUMMYFUNCTION("GOOGLETRANSLATE(A6417,""bn"",""en"")"),"If someone does something bad, he is called a devil")</f>
        <v>If someone does something bad, he is called a devil</v>
      </c>
      <c r="C6417" s="8" t="s">
        <v>13</v>
      </c>
      <c r="D6417" s="8" t="s">
        <v>14</v>
      </c>
      <c r="E6417" s="8">
        <v>1</v>
      </c>
    </row>
    <row r="6418" spans="1:5" ht="15.75" customHeight="1" x14ac:dyDescent="0.25">
      <c r="A6418" s="6" t="s">
        <v>6199</v>
      </c>
      <c r="B6418" s="6" t="str">
        <f ca="1">IFERROR(__xludf.DUMMYFUNCTION("GOOGLETRANSLATE(A6418,""bn"",""en"")"),"The natives of Rameswaram were general traders by profession")</f>
        <v>The natives of Rameswaram were general traders by profession</v>
      </c>
      <c r="C6418" s="8" t="s">
        <v>13</v>
      </c>
      <c r="D6418" s="8" t="s">
        <v>14</v>
      </c>
      <c r="E6418" s="8">
        <v>1</v>
      </c>
    </row>
    <row r="6419" spans="1:5" ht="15.75" customHeight="1" x14ac:dyDescent="0.25">
      <c r="A6419" s="6" t="s">
        <v>6200</v>
      </c>
      <c r="B6419" s="6" t="str">
        <f ca="1">IFERROR(__xludf.DUMMYFUNCTION("GOOGLETRANSLATE(A6419,""bn"",""en"")"),"The accident that day was very sad")</f>
        <v>The accident that day was very sad</v>
      </c>
      <c r="C6419" s="8" t="s">
        <v>13</v>
      </c>
      <c r="D6419" s="8" t="s">
        <v>14</v>
      </c>
      <c r="E6419" s="8">
        <v>1</v>
      </c>
    </row>
    <row r="6420" spans="1:5" ht="15.75" customHeight="1" x14ac:dyDescent="0.25">
      <c r="A6420" s="6" t="s">
        <v>6201</v>
      </c>
      <c r="B6420" s="6" t="str">
        <f ca="1">IFERROR(__xludf.DUMMYFUNCTION("GOOGLETRANSLATE(A6420,""bn"",""en"")"),"The rustle of leaves in the wind was a constant background melody soothingly familiar")</f>
        <v>The rustle of leaves in the wind was a constant background melody soothingly familiar</v>
      </c>
      <c r="C6420" s="8" t="s">
        <v>13</v>
      </c>
      <c r="D6420" s="8" t="s">
        <v>14</v>
      </c>
      <c r="E6420" s="8">
        <v>1</v>
      </c>
    </row>
    <row r="6421" spans="1:5" ht="15.75" customHeight="1" x14ac:dyDescent="0.25">
      <c r="A6421" s="6" t="s">
        <v>6202</v>
      </c>
      <c r="B6421" s="6" t="str">
        <f ca="1">IFERROR(__xludf.DUMMYFUNCTION("GOOGLETRANSLATE(A6421,""bn"",""en"")"),"Parental involvement influences student academic success")</f>
        <v>Parental involvement influences student academic success</v>
      </c>
      <c r="C6421" s="8" t="s">
        <v>13</v>
      </c>
      <c r="D6421" s="8" t="s">
        <v>14</v>
      </c>
      <c r="E6421" s="8">
        <v>1</v>
      </c>
    </row>
    <row r="6422" spans="1:5" ht="15.75" customHeight="1" x14ac:dyDescent="0.25">
      <c r="A6422" s="6" t="s">
        <v>6203</v>
      </c>
      <c r="B6422" s="6" t="str">
        <f ca="1">IFERROR(__xludf.DUMMYFUNCTION("GOOGLETRANSLATE(A6422,""bn"",""en"")"),"This doctor has come to this exact place many times before")</f>
        <v>This doctor has come to this exact place many times before</v>
      </c>
      <c r="C6422" s="7" t="s">
        <v>6</v>
      </c>
      <c r="D6422" s="7" t="s">
        <v>7</v>
      </c>
      <c r="E6422" s="7">
        <v>0</v>
      </c>
    </row>
    <row r="6423" spans="1:5" ht="15.75" customHeight="1" x14ac:dyDescent="0.25">
      <c r="A6423" s="6" t="s">
        <v>6204</v>
      </c>
      <c r="B6423" s="6" t="str">
        <f ca="1">IFERROR(__xludf.DUMMYFUNCTION("GOOGLETRANSLATE(A6423,""bn"",""en"")"),"Raju went to market at night")</f>
        <v>Raju went to market at night</v>
      </c>
      <c r="C6423" s="7" t="s">
        <v>6</v>
      </c>
      <c r="D6423" s="7" t="s">
        <v>7</v>
      </c>
      <c r="E6423" s="7">
        <v>0</v>
      </c>
    </row>
    <row r="6424" spans="1:5" ht="15.75" customHeight="1" x14ac:dyDescent="0.25">
      <c r="A6424" s="6" t="s">
        <v>6205</v>
      </c>
      <c r="B6424" s="6" t="str">
        <f ca="1">IFERROR(__xludf.DUMMYFUNCTION("GOOGLETRANSLATE(A6424,""bn"",""en"")"),"This area is mainly inhabited by Kols")</f>
        <v>This area is mainly inhabited by Kols</v>
      </c>
      <c r="C6424" s="7" t="s">
        <v>6</v>
      </c>
      <c r="D6424" s="7" t="s">
        <v>7</v>
      </c>
      <c r="E6424" s="7">
        <v>0</v>
      </c>
    </row>
    <row r="6425" spans="1:5" ht="15.75" customHeight="1" x14ac:dyDescent="0.25">
      <c r="A6425" s="6" t="s">
        <v>6206</v>
      </c>
      <c r="B6425" s="6" t="str">
        <f ca="1">IFERROR(__xludf.DUMMYFUNCTION("GOOGLETRANSLATE(A6425,""bn"",""en"")"),"Upendra couldn't suppress a smile at his eagerness")</f>
        <v>Upendra couldn't suppress a smile at his eagerness</v>
      </c>
      <c r="C6425" s="7" t="s">
        <v>6</v>
      </c>
      <c r="D6425" s="7" t="s">
        <v>7</v>
      </c>
      <c r="E6425" s="7">
        <v>0</v>
      </c>
    </row>
    <row r="6426" spans="1:5" ht="15.75" customHeight="1" x14ac:dyDescent="0.25">
      <c r="A6426" s="6" t="s">
        <v>6207</v>
      </c>
      <c r="B6426" s="6" t="str">
        <f ca="1">IFERROR(__xludf.DUMMYFUNCTION("GOOGLETRANSLATE(A6426,""bn"",""en"")"),"The silver color of the water trapped in the leaves around Haru has not been completely extinguished")</f>
        <v>The silver color of the water trapped in the leaves around Haru has not been completely extinguished</v>
      </c>
      <c r="C6426" s="7" t="s">
        <v>6</v>
      </c>
      <c r="D6426" s="7" t="s">
        <v>7</v>
      </c>
      <c r="E6426" s="7">
        <v>0</v>
      </c>
    </row>
    <row r="6427" spans="1:5" ht="15.75" customHeight="1" x14ac:dyDescent="0.25">
      <c r="A6427" s="6" t="s">
        <v>6208</v>
      </c>
      <c r="B6427" s="6" t="str">
        <f ca="1">IFERROR(__xludf.DUMMYFUNCTION("GOOGLETRANSLATE(A6427,""bn"",""en"")"),"Their new car broke down at the last minute")</f>
        <v>Their new car broke down at the last minute</v>
      </c>
      <c r="C6427" s="8" t="s">
        <v>13</v>
      </c>
      <c r="D6427" s="8" t="s">
        <v>14</v>
      </c>
      <c r="E6427" s="8">
        <v>1</v>
      </c>
    </row>
    <row r="6428" spans="1:5" ht="15.75" customHeight="1" x14ac:dyDescent="0.25">
      <c r="A6428" s="6" t="s">
        <v>6209</v>
      </c>
      <c r="B6428" s="6" t="str">
        <f ca="1">IFERROR(__xludf.DUMMYFUNCTION("GOOGLETRANSLATE(A6428,""bn"",""en"")"),"The teacher's assistant helped the students with their assignments")</f>
        <v>The teacher's assistant helped the students with their assignments</v>
      </c>
      <c r="C6428" s="8" t="s">
        <v>13</v>
      </c>
      <c r="D6428" s="8" t="s">
        <v>14</v>
      </c>
      <c r="E6428" s="8">
        <v>1</v>
      </c>
    </row>
    <row r="6429" spans="1:5" ht="15.75" customHeight="1" x14ac:dyDescent="0.25">
      <c r="A6429" s="6" t="s">
        <v>6210</v>
      </c>
      <c r="B6429" s="6" t="str">
        <f ca="1">IFERROR(__xludf.DUMMYFUNCTION("GOOGLETRANSLATE(A6429,""bn"",""en"")"),"Performance appraisal measures the individual's contribution to the team")</f>
        <v>Performance appraisal measures the individual's contribution to the team</v>
      </c>
      <c r="C6429" s="8" t="s">
        <v>13</v>
      </c>
      <c r="D6429" s="8" t="s">
        <v>14</v>
      </c>
      <c r="E6429" s="8">
        <v>1</v>
      </c>
    </row>
    <row r="6430" spans="1:5" ht="15.75" customHeight="1" x14ac:dyDescent="0.25">
      <c r="A6430" s="6" t="s">
        <v>6211</v>
      </c>
      <c r="B6430" s="6" t="str">
        <f ca="1">IFERROR(__xludf.DUMMYFUNCTION("GOOGLETRANSLATE(A6430,""bn"",""en"")"),"Lean manufacturing principles optimize manufacturing processes")</f>
        <v>Lean manufacturing principles optimize manufacturing processes</v>
      </c>
      <c r="C6430" s="8" t="s">
        <v>13</v>
      </c>
      <c r="D6430" s="8" t="s">
        <v>14</v>
      </c>
      <c r="E6430" s="8">
        <v>1</v>
      </c>
    </row>
    <row r="6431" spans="1:5" ht="15.75" customHeight="1" x14ac:dyDescent="0.25">
      <c r="A6431" s="6" t="s">
        <v>6212</v>
      </c>
      <c r="B6431" s="6" t="str">
        <f ca="1">IFERROR(__xludf.DUMMYFUNCTION("GOOGLETRANSLATE(A6431,""bn"",""en"")"),"My mother could not bear my pain")</f>
        <v>My mother could not bear my pain</v>
      </c>
      <c r="C6431" s="8" t="s">
        <v>13</v>
      </c>
      <c r="D6431" s="8" t="s">
        <v>14</v>
      </c>
      <c r="E6431" s="8">
        <v>1</v>
      </c>
    </row>
    <row r="6432" spans="1:5" ht="15.75" customHeight="1" x14ac:dyDescent="0.25">
      <c r="A6432" s="6" t="s">
        <v>6213</v>
      </c>
      <c r="B6432" s="6" t="str">
        <f ca="1">IFERROR(__xludf.DUMMYFUNCTION("GOOGLETRANSLATE(A6432,""bn"",""en"")"),"will you play with me")</f>
        <v>will you play with me</v>
      </c>
      <c r="C6432" s="7" t="s">
        <v>6</v>
      </c>
      <c r="D6432" s="7" t="s">
        <v>7</v>
      </c>
      <c r="E6432" s="7">
        <v>0</v>
      </c>
    </row>
    <row r="6433" spans="1:5" ht="15.75" customHeight="1" x14ac:dyDescent="0.25">
      <c r="A6433" s="6" t="s">
        <v>3376</v>
      </c>
      <c r="B6433" s="6" t="str">
        <f ca="1">IFERROR(__xludf.DUMMYFUNCTION("GOOGLETRANSLATE(A6433,""bn"",""en"")"),"After a few days, her parents sent a palanquin to see her daughter")</f>
        <v>After a few days, her parents sent a palanquin to see her daughter</v>
      </c>
      <c r="C6433" s="7" t="s">
        <v>6</v>
      </c>
      <c r="D6433" s="7" t="s">
        <v>7</v>
      </c>
      <c r="E6433" s="7">
        <v>0</v>
      </c>
    </row>
    <row r="6434" spans="1:5" ht="15.75" customHeight="1" x14ac:dyDescent="0.25">
      <c r="A6434" s="6" t="s">
        <v>6214</v>
      </c>
      <c r="B6434" s="6" t="str">
        <f ca="1">IFERROR(__xludf.DUMMYFUNCTION("GOOGLETRANSLATE(A6434,""bn"",""en"")"),"In the morning, Sanai started playing in the soft autumn sunlight")</f>
        <v>In the morning, Sanai started playing in the soft autumn sunlight</v>
      </c>
      <c r="C6434" s="7" t="s">
        <v>6</v>
      </c>
      <c r="D6434" s="7" t="s">
        <v>7</v>
      </c>
      <c r="E6434" s="7">
        <v>0</v>
      </c>
    </row>
    <row r="6435" spans="1:5" ht="15.75" customHeight="1" x14ac:dyDescent="0.25">
      <c r="A6435" s="6" t="s">
        <v>6215</v>
      </c>
      <c r="B6435" s="6" t="str">
        <f ca="1">IFERROR(__xludf.DUMMYFUNCTION("GOOGLETRANSLATE(A6435,""bn"",""en"")"),"With a hint of this cruelest outcome of the coming day, Natshir went quietly out for a bath.")</f>
        <v>With a hint of this cruelest outcome of the coming day, Natshir went quietly out for a bath.</v>
      </c>
      <c r="C6435" s="7" t="s">
        <v>6</v>
      </c>
      <c r="D6435" s="7" t="s">
        <v>7</v>
      </c>
      <c r="E6435" s="7">
        <v>0</v>
      </c>
    </row>
    <row r="6436" spans="1:5" ht="15.75" customHeight="1" x14ac:dyDescent="0.25">
      <c r="A6436" s="6" t="s">
        <v>6216</v>
      </c>
      <c r="B6436" s="6" t="str">
        <f ca="1">IFERROR(__xludf.DUMMYFUNCTION("GOOGLETRANSLATE(A6436,""bn"",""en"")"),"I believe that happiness is beyond the breath beyond the mouth of the river")</f>
        <v>I believe that happiness is beyond the breath beyond the mouth of the river</v>
      </c>
      <c r="C6436" s="7" t="s">
        <v>6</v>
      </c>
      <c r="D6436" s="7" t="s">
        <v>7</v>
      </c>
      <c r="E6436" s="7">
        <v>0</v>
      </c>
    </row>
    <row r="6437" spans="1:5" ht="15.75" customHeight="1" x14ac:dyDescent="0.25">
      <c r="A6437" s="6" t="s">
        <v>6217</v>
      </c>
      <c r="B6437" s="6" t="str">
        <f ca="1">IFERROR(__xludf.DUMMYFUNCTION("GOOGLETRANSLATE(A6437,""bn"",""en"")"),"The rickshaw puller started driving the rickshaw")</f>
        <v>The rickshaw puller started driving the rickshaw</v>
      </c>
      <c r="C6437" s="8" t="s">
        <v>13</v>
      </c>
      <c r="D6437" s="8" t="s">
        <v>14</v>
      </c>
      <c r="E6437" s="8">
        <v>1</v>
      </c>
    </row>
    <row r="6438" spans="1:5" ht="15.75" customHeight="1" x14ac:dyDescent="0.25">
      <c r="A6438" s="6" t="s">
        <v>6218</v>
      </c>
      <c r="B6438" s="6" t="str">
        <f ca="1">IFERROR(__xludf.DUMMYFUNCTION("GOOGLETRANSLATE(A6438,""bn"",""en"")"),"Quran is the holy book of Muslims")</f>
        <v>Quran is the holy book of Muslims</v>
      </c>
      <c r="C6438" s="8" t="s">
        <v>13</v>
      </c>
      <c r="D6438" s="8" t="s">
        <v>14</v>
      </c>
      <c r="E6438" s="8">
        <v>1</v>
      </c>
    </row>
    <row r="6439" spans="1:5" ht="15.75" customHeight="1" x14ac:dyDescent="0.25">
      <c r="A6439" s="6" t="s">
        <v>6219</v>
      </c>
      <c r="B6439" s="6" t="str">
        <f ca="1">IFERROR(__xludf.DUMMYFUNCTION("GOOGLETRANSLATE(A6439,""bn"",""en"")"),"He panicked and saw someone standing like a shadow on the far side of the road")</f>
        <v>He panicked and saw someone standing like a shadow on the far side of the road</v>
      </c>
      <c r="C6439" s="8" t="s">
        <v>13</v>
      </c>
      <c r="D6439" s="8" t="s">
        <v>14</v>
      </c>
      <c r="E6439" s="8">
        <v>1</v>
      </c>
    </row>
    <row r="6440" spans="1:5" ht="15.75" customHeight="1" x14ac:dyDescent="0.25">
      <c r="A6440" s="6" t="s">
        <v>6220</v>
      </c>
      <c r="B6440" s="6" t="str">
        <f ca="1">IFERROR(__xludf.DUMMYFUNCTION("GOOGLETRANSLATE(A6440,""bn"",""en"")"),"Creating a budget and sticking to it is essential to achieving financial stability")</f>
        <v>Creating a budget and sticking to it is essential to achieving financial stability</v>
      </c>
      <c r="C6440" s="8" t="s">
        <v>13</v>
      </c>
      <c r="D6440" s="8" t="s">
        <v>14</v>
      </c>
      <c r="E6440" s="8">
        <v>1</v>
      </c>
    </row>
    <row r="6441" spans="1:5" ht="15.75" customHeight="1" x14ac:dyDescent="0.25">
      <c r="A6441" s="6" t="s">
        <v>6221</v>
      </c>
      <c r="B6441" s="6" t="str">
        <f ca="1">IFERROR(__xludf.DUMMYFUNCTION("GOOGLETRANSLATE(A6441,""bn"",""en"")"),"A smile appeared on the corners of my mouth as I thought about my father")</f>
        <v>A smile appeared on the corners of my mouth as I thought about my father</v>
      </c>
      <c r="C6441" s="8" t="s">
        <v>13</v>
      </c>
      <c r="D6441" s="8" t="s">
        <v>14</v>
      </c>
      <c r="E6441" s="8">
        <v>1</v>
      </c>
    </row>
    <row r="6442" spans="1:5" ht="15.75" customHeight="1" x14ac:dyDescent="0.25">
      <c r="A6442" s="6" t="s">
        <v>6222</v>
      </c>
      <c r="B6442" s="6" t="str">
        <f ca="1">IFERROR(__xludf.DUMMYFUNCTION("GOOGLETRANSLATE(A6442,""bn"",""en"")"),"I went to school to get an education after walking the paved path")</f>
        <v>I went to school to get an education after walking the paved path</v>
      </c>
      <c r="C6442" s="7" t="s">
        <v>6</v>
      </c>
      <c r="D6442" s="7" t="s">
        <v>7</v>
      </c>
      <c r="E6442" s="7">
        <v>0</v>
      </c>
    </row>
    <row r="6443" spans="1:5" ht="15.75" customHeight="1" x14ac:dyDescent="0.25">
      <c r="A6443" s="6" t="s">
        <v>6223</v>
      </c>
      <c r="B6443" s="6" t="str">
        <f ca="1">IFERROR(__xludf.DUMMYFUNCTION("GOOGLETRANSLATE(A6443,""bn"",""en"")"),"I could hear them")</f>
        <v>I could hear them</v>
      </c>
      <c r="C6443" s="7" t="s">
        <v>6</v>
      </c>
      <c r="D6443" s="7" t="s">
        <v>7</v>
      </c>
      <c r="E6443" s="7">
        <v>0</v>
      </c>
    </row>
    <row r="6444" spans="1:5" ht="15.75" customHeight="1" x14ac:dyDescent="0.25">
      <c r="A6444" s="6" t="s">
        <v>4493</v>
      </c>
      <c r="B6444" s="6" t="str">
        <f ca="1">IFERROR(__xludf.DUMMYFUNCTION("GOOGLETRANSLATE(A6444,""bn"",""en"")"),"Rather, I felt very ugly")</f>
        <v>Rather, I felt very ugly</v>
      </c>
      <c r="C6444" s="7" t="s">
        <v>6</v>
      </c>
      <c r="D6444" s="7" t="s">
        <v>7</v>
      </c>
      <c r="E6444" s="7">
        <v>0</v>
      </c>
    </row>
    <row r="6445" spans="1:5" ht="15.75" customHeight="1" x14ac:dyDescent="0.25">
      <c r="A6445" s="6" t="s">
        <v>6224</v>
      </c>
      <c r="B6445" s="6" t="str">
        <f ca="1">IFERROR(__xludf.DUMMYFUNCTION("GOOGLETRANSLATE(A6445,""bn"",""en"")"),"Do you know my brother?")</f>
        <v>Do you know my brother?</v>
      </c>
      <c r="C6445" s="7" t="s">
        <v>6</v>
      </c>
      <c r="D6445" s="7" t="s">
        <v>7</v>
      </c>
      <c r="E6445" s="7">
        <v>0</v>
      </c>
    </row>
    <row r="6446" spans="1:5" ht="15.75" customHeight="1" x14ac:dyDescent="0.25">
      <c r="A6446" s="6" t="s">
        <v>5617</v>
      </c>
      <c r="B6446" s="6" t="str">
        <f ca="1">IFERROR(__xludf.DUMMYFUNCTION("GOOGLETRANSLATE(A6446,""bn"",""en"")"),"I still don't understand why it didn't come")</f>
        <v>I still don't understand why it didn't come</v>
      </c>
      <c r="C6446" s="7" t="s">
        <v>6</v>
      </c>
      <c r="D6446" s="7" t="s">
        <v>7</v>
      </c>
      <c r="E6446" s="7">
        <v>0</v>
      </c>
    </row>
    <row r="6447" spans="1:5" ht="15.75" customHeight="1" x14ac:dyDescent="0.25">
      <c r="A6447" s="6" t="s">
        <v>6225</v>
      </c>
      <c r="B6447" s="6" t="str">
        <f ca="1">IFERROR(__xludf.DUMMYFUNCTION("GOOGLETRANSLATE(A6447,""bn"",""en"")"),"Juicy peaches symbolize the sweetness of summer")</f>
        <v>Juicy peaches symbolize the sweetness of summer</v>
      </c>
      <c r="C6447" s="8" t="s">
        <v>13</v>
      </c>
      <c r="D6447" s="8" t="s">
        <v>14</v>
      </c>
      <c r="E6447" s="8">
        <v>1</v>
      </c>
    </row>
    <row r="6448" spans="1:5" ht="15.75" customHeight="1" x14ac:dyDescent="0.25">
      <c r="A6448" s="6" t="s">
        <v>6226</v>
      </c>
      <c r="B6448" s="6" t="str">
        <f ca="1">IFERROR(__xludf.DUMMYFUNCTION("GOOGLETRANSLATE(A6448,""bn"",""en"")"),"Rafi was asking me to go to the field")</f>
        <v>Rafi was asking me to go to the field</v>
      </c>
      <c r="C6448" s="8" t="s">
        <v>13</v>
      </c>
      <c r="D6448" s="8" t="s">
        <v>14</v>
      </c>
      <c r="E6448" s="8">
        <v>1</v>
      </c>
    </row>
    <row r="6449" spans="1:5" ht="15.75" customHeight="1" x14ac:dyDescent="0.25">
      <c r="A6449" s="6" t="s">
        <v>6227</v>
      </c>
      <c r="B6449" s="6" t="str">
        <f ca="1">IFERROR(__xludf.DUMMYFUNCTION("GOOGLETRANSLATE(A6449,""bn"",""en"")"),"He wants to travel with me")</f>
        <v>He wants to travel with me</v>
      </c>
      <c r="C6449" s="8" t="s">
        <v>13</v>
      </c>
      <c r="D6449" s="8" t="s">
        <v>14</v>
      </c>
      <c r="E6449" s="8">
        <v>1</v>
      </c>
    </row>
    <row r="6450" spans="1:5" ht="15.75" customHeight="1" x14ac:dyDescent="0.25">
      <c r="A6450" s="6" t="s">
        <v>6228</v>
      </c>
      <c r="B6450" s="6" t="str">
        <f ca="1">IFERROR(__xludf.DUMMYFUNCTION("GOOGLETRANSLATE(A6450,""bn"",""en"")"),"Contacting someone is possible due to broken phone")</f>
        <v>Contacting someone is possible due to broken phone</v>
      </c>
      <c r="C6450" s="8" t="s">
        <v>13</v>
      </c>
      <c r="D6450" s="8" t="s">
        <v>14</v>
      </c>
      <c r="E6450" s="8">
        <v>1</v>
      </c>
    </row>
    <row r="6451" spans="1:5" ht="15.75" customHeight="1" x14ac:dyDescent="0.25">
      <c r="A6451" s="6" t="s">
        <v>6229</v>
      </c>
      <c r="B6451" s="6" t="str">
        <f ca="1">IFERROR(__xludf.DUMMYFUNCTION("GOOGLETRANSLATE(A6451,""bn"",""en"")"),"Mother often forbade me to take this extra stress")</f>
        <v>Mother often forbade me to take this extra stress</v>
      </c>
      <c r="C6451" s="8" t="s">
        <v>13</v>
      </c>
      <c r="D6451" s="8" t="s">
        <v>14</v>
      </c>
      <c r="E6451" s="8">
        <v>1</v>
      </c>
    </row>
    <row r="6452" spans="1:5" ht="15.75" customHeight="1" x14ac:dyDescent="0.25">
      <c r="A6452" s="6" t="s">
        <v>6230</v>
      </c>
      <c r="B6452" s="6" t="str">
        <f ca="1">IFERROR(__xludf.DUMMYFUNCTION("GOOGLETRANSLATE(A6452,""bn"",""en"")"),"I was mesmerized by her beauty")</f>
        <v>I was mesmerized by her beauty</v>
      </c>
      <c r="C6452" s="7" t="s">
        <v>6</v>
      </c>
      <c r="D6452" s="7" t="s">
        <v>7</v>
      </c>
      <c r="E6452" s="7">
        <v>0</v>
      </c>
    </row>
    <row r="6453" spans="1:5" ht="15.75" customHeight="1" x14ac:dyDescent="0.25">
      <c r="A6453" s="6" t="s">
        <v>6231</v>
      </c>
      <c r="B6453" s="6" t="str">
        <f ca="1">IFERROR(__xludf.DUMMYFUNCTION("GOOGLETRANSLATE(A6453,""bn"",""en"")"),"I went to him and heard the story")</f>
        <v>I went to him and heard the story</v>
      </c>
      <c r="C6453" s="7" t="s">
        <v>6</v>
      </c>
      <c r="D6453" s="7" t="s">
        <v>7</v>
      </c>
      <c r="E6453" s="7">
        <v>0</v>
      </c>
    </row>
    <row r="6454" spans="1:5" ht="15.75" customHeight="1" x14ac:dyDescent="0.25">
      <c r="A6454" s="6" t="s">
        <v>6232</v>
      </c>
      <c r="B6454" s="6" t="str">
        <f ca="1">IFERROR(__xludf.DUMMYFUNCTION("GOOGLETRANSLATE(A6454,""bn"",""en"")"),"I went in that direction with some curiosity")</f>
        <v>I went in that direction with some curiosity</v>
      </c>
      <c r="C6454" s="7" t="s">
        <v>6</v>
      </c>
      <c r="D6454" s="7" t="s">
        <v>7</v>
      </c>
      <c r="E6454" s="7">
        <v>0</v>
      </c>
    </row>
    <row r="6455" spans="1:5" ht="15.75" customHeight="1" x14ac:dyDescent="0.25">
      <c r="A6455" s="6" t="s">
        <v>6233</v>
      </c>
      <c r="B6455" s="6" t="str">
        <f ca="1">IFERROR(__xludf.DUMMYFUNCTION("GOOGLETRANSLATE(A6455,""bn"",""en"")"),"Is it my fault to come to your house?")</f>
        <v>Is it my fault to come to your house?</v>
      </c>
      <c r="C6455" s="7" t="s">
        <v>6</v>
      </c>
      <c r="D6455" s="7" t="s">
        <v>7</v>
      </c>
      <c r="E6455" s="7">
        <v>0</v>
      </c>
    </row>
    <row r="6456" spans="1:5" ht="15.75" customHeight="1" x14ac:dyDescent="0.25">
      <c r="A6456" s="6" t="s">
        <v>6234</v>
      </c>
      <c r="B6456" s="6" t="str">
        <f ca="1">IFERROR(__xludf.DUMMYFUNCTION("GOOGLETRANSLATE(A6456,""bn"",""en"")"),"Sarathi got the order of Bhupati and did the work")</f>
        <v>Sarathi got the order of Bhupati and did the work</v>
      </c>
      <c r="C6456" s="7" t="s">
        <v>6</v>
      </c>
      <c r="D6456" s="7" t="s">
        <v>7</v>
      </c>
      <c r="E6456" s="7">
        <v>0</v>
      </c>
    </row>
    <row r="6457" spans="1:5" ht="15.75" customHeight="1" x14ac:dyDescent="0.25">
      <c r="A6457" s="6" t="s">
        <v>6235</v>
      </c>
      <c r="B6457" s="6" t="str">
        <f ca="1">IFERROR(__xludf.DUMMYFUNCTION("GOOGLETRANSLATE(A6457,""bn"",""en"")"),"Manchester United have been interested in him ever since")</f>
        <v>Manchester United have been interested in him ever since</v>
      </c>
      <c r="C6457" s="8" t="s">
        <v>13</v>
      </c>
      <c r="D6457" s="8" t="s">
        <v>14</v>
      </c>
      <c r="E6457" s="8">
        <v>1</v>
      </c>
    </row>
    <row r="6458" spans="1:5" ht="15.75" customHeight="1" x14ac:dyDescent="0.25">
      <c r="A6458" s="6" t="s">
        <v>6236</v>
      </c>
      <c r="B6458" s="6" t="str">
        <f ca="1">IFERROR(__xludf.DUMMYFUNCTION("GOOGLETRANSLATE(A6458,""bn"",""en"")"),"He had lunch and went back to work")</f>
        <v>He had lunch and went back to work</v>
      </c>
      <c r="C6458" s="8" t="s">
        <v>13</v>
      </c>
      <c r="D6458" s="8" t="s">
        <v>14</v>
      </c>
      <c r="E6458" s="8">
        <v>1</v>
      </c>
    </row>
    <row r="6459" spans="1:5" ht="15.75" customHeight="1" x14ac:dyDescent="0.25">
      <c r="A6459" s="6" t="s">
        <v>6237</v>
      </c>
      <c r="B6459" s="6" t="str">
        <f ca="1">IFERROR(__xludf.DUMMYFUNCTION("GOOGLETRANSLATE(A6459,""bn"",""en"")"),"Gratitude for the little things brings appreciation")</f>
        <v>Gratitude for the little things brings appreciation</v>
      </c>
      <c r="C6459" s="8" t="s">
        <v>13</v>
      </c>
      <c r="D6459" s="8" t="s">
        <v>14</v>
      </c>
      <c r="E6459" s="8">
        <v>1</v>
      </c>
    </row>
    <row r="6460" spans="1:5" ht="15.75" customHeight="1" x14ac:dyDescent="0.25">
      <c r="A6460" s="6" t="s">
        <v>6238</v>
      </c>
      <c r="B6460" s="6" t="str">
        <f ca="1">IFERROR(__xludf.DUMMYFUNCTION("GOOGLETRANSLATE(A6460,""bn"",""en"")"),"I would like to join new expeditions in the future")</f>
        <v>I would like to join new expeditions in the future</v>
      </c>
      <c r="C6460" s="8" t="s">
        <v>13</v>
      </c>
      <c r="D6460" s="8" t="s">
        <v>14</v>
      </c>
      <c r="E6460" s="8">
        <v>1</v>
      </c>
    </row>
    <row r="6461" spans="1:5" ht="15.75" customHeight="1" x14ac:dyDescent="0.25">
      <c r="A6461" s="6" t="s">
        <v>6239</v>
      </c>
      <c r="B6461" s="6" t="str">
        <f ca="1">IFERROR(__xludf.DUMMYFUNCTION("GOOGLETRANSLATE(A6461,""bn"",""en"")"),"Wildflowers adorned the meadow, painting it with vibrant hues of red yellow purple")</f>
        <v>Wildflowers adorned the meadow, painting it with vibrant hues of red yellow purple</v>
      </c>
      <c r="C6461" s="8" t="s">
        <v>13</v>
      </c>
      <c r="D6461" s="8" t="s">
        <v>14</v>
      </c>
      <c r="E6461" s="8">
        <v>1</v>
      </c>
    </row>
    <row r="6462" spans="1:5" ht="15.75" customHeight="1" x14ac:dyDescent="0.25">
      <c r="A6462" s="6" t="s">
        <v>6240</v>
      </c>
      <c r="B6462" s="6" t="str">
        <f ca="1">IFERROR(__xludf.DUMMYFUNCTION("GOOGLETRANSLATE(A6462,""bn"",""en"")"),"A doctor should be seen before fever")</f>
        <v>A doctor should be seen before fever</v>
      </c>
      <c r="C6462" s="7" t="s">
        <v>6</v>
      </c>
      <c r="D6462" s="7" t="s">
        <v>7</v>
      </c>
      <c r="E6462" s="7">
        <v>0</v>
      </c>
    </row>
    <row r="6463" spans="1:5" ht="15.75" customHeight="1" x14ac:dyDescent="0.25">
      <c r="A6463" s="6" t="s">
        <v>6241</v>
      </c>
      <c r="B6463" s="6" t="str">
        <f ca="1">IFERROR(__xludf.DUMMYFUNCTION("GOOGLETRANSLATE(A6463,""bn"",""en"")"),"Meanwhile, her husband has migrated as a Deputy Magistrate shortly after marriage")</f>
        <v>Meanwhile, her husband has migrated as a Deputy Magistrate shortly after marriage</v>
      </c>
      <c r="C6463" s="7" t="s">
        <v>6</v>
      </c>
      <c r="D6463" s="7" t="s">
        <v>7</v>
      </c>
      <c r="E6463" s="7">
        <v>0</v>
      </c>
    </row>
    <row r="6464" spans="1:5" ht="15.75" customHeight="1" x14ac:dyDescent="0.25">
      <c r="A6464" s="6" t="s">
        <v>6242</v>
      </c>
      <c r="B6464" s="6" t="str">
        <f ca="1">IFERROR(__xludf.DUMMYFUNCTION("GOOGLETRANSLATE(A6464,""bn"",""en"")"),"Nandalal's servant fled to Bajitpur overnight")</f>
        <v>Nandalal's servant fled to Bajitpur overnight</v>
      </c>
      <c r="C6464" s="7" t="s">
        <v>6</v>
      </c>
      <c r="D6464" s="7" t="s">
        <v>7</v>
      </c>
      <c r="E6464" s="7">
        <v>0</v>
      </c>
    </row>
    <row r="6465" spans="1:5" ht="15.75" customHeight="1" x14ac:dyDescent="0.25">
      <c r="A6465" s="6" t="s">
        <v>6243</v>
      </c>
      <c r="B6465" s="6" t="str">
        <f ca="1">IFERROR(__xludf.DUMMYFUNCTION("GOOGLETRANSLATE(A6465,""bn"",""en"")"),"If you are not careful from the dog, you will have to wash it")</f>
        <v>If you are not careful from the dog, you will have to wash it</v>
      </c>
      <c r="C6465" s="7" t="s">
        <v>6</v>
      </c>
      <c r="D6465" s="7" t="s">
        <v>7</v>
      </c>
      <c r="E6465" s="7">
        <v>0</v>
      </c>
    </row>
    <row r="6466" spans="1:5" ht="15.75" customHeight="1" x14ac:dyDescent="0.25">
      <c r="A6466" s="6" t="s">
        <v>6244</v>
      </c>
      <c r="B6466" s="6" t="str">
        <f ca="1">IFERROR(__xludf.DUMMYFUNCTION("GOOGLETRANSLATE(A6466,""bn"",""en"")"),"I felt very holy and blessed")</f>
        <v>I felt very holy and blessed</v>
      </c>
      <c r="C6466" s="7" t="s">
        <v>6</v>
      </c>
      <c r="D6466" s="7" t="s">
        <v>7</v>
      </c>
      <c r="E6466" s="7">
        <v>0</v>
      </c>
    </row>
    <row r="6467" spans="1:5" ht="15.75" customHeight="1" x14ac:dyDescent="0.25">
      <c r="A6467" s="6" t="s">
        <v>6245</v>
      </c>
      <c r="B6467" s="6" t="str">
        <f ca="1">IFERROR(__xludf.DUMMYFUNCTION("GOOGLETRANSLATE(A6467,""bn"",""en"")"),"Besides, I never broke any promise given to Shamsuddin")</f>
        <v>Besides, I never broke any promise given to Shamsuddin</v>
      </c>
      <c r="C6467" s="8" t="s">
        <v>13</v>
      </c>
      <c r="D6467" s="8" t="s">
        <v>14</v>
      </c>
      <c r="E6467" s="8">
        <v>1</v>
      </c>
    </row>
    <row r="6468" spans="1:5" ht="15.75" customHeight="1" x14ac:dyDescent="0.25">
      <c r="A6468" s="6" t="s">
        <v>6246</v>
      </c>
      <c r="B6468" s="6" t="str">
        <f ca="1">IFERROR(__xludf.DUMMYFUNCTION("GOOGLETRANSLATE(A6468,""bn"",""en"")"),"The air was thick with the scent of pine needles carrying a hint of cedar juniper")</f>
        <v>The air was thick with the scent of pine needles carrying a hint of cedar juniper</v>
      </c>
      <c r="C6468" s="8" t="s">
        <v>13</v>
      </c>
      <c r="D6468" s="8" t="s">
        <v>14</v>
      </c>
      <c r="E6468" s="8">
        <v>1</v>
      </c>
    </row>
    <row r="6469" spans="1:5" ht="15.75" customHeight="1" x14ac:dyDescent="0.25">
      <c r="A6469" s="6" t="s">
        <v>6247</v>
      </c>
      <c r="B6469" s="6" t="str">
        <f ca="1">IFERROR(__xludf.DUMMYFUNCTION("GOOGLETRANSLATE(A6469,""bn"",""en"")"),"The cuisine is popular with stir-fried broth")</f>
        <v>The cuisine is popular with stir-fried broth</v>
      </c>
      <c r="C6469" s="8" t="s">
        <v>13</v>
      </c>
      <c r="D6469" s="8" t="s">
        <v>14</v>
      </c>
      <c r="E6469" s="8">
        <v>1</v>
      </c>
    </row>
    <row r="6470" spans="1:5" ht="15.75" customHeight="1" x14ac:dyDescent="0.25">
      <c r="A6470" s="6" t="s">
        <v>6248</v>
      </c>
      <c r="B6470" s="6" t="str">
        <f ca="1">IFERROR(__xludf.DUMMYFUNCTION("GOOGLETRANSLATE(A6470,""bn"",""en"")"),"They are not available today")</f>
        <v>They are not available today</v>
      </c>
      <c r="C6470" s="8" t="s">
        <v>13</v>
      </c>
      <c r="D6470" s="8" t="s">
        <v>14</v>
      </c>
      <c r="E6470" s="8">
        <v>1</v>
      </c>
    </row>
    <row r="6471" spans="1:5" ht="15.75" customHeight="1" x14ac:dyDescent="0.25">
      <c r="A6471" s="6" t="s">
        <v>6249</v>
      </c>
      <c r="B6471" s="6" t="str">
        <f ca="1">IFERROR(__xludf.DUMMYFUNCTION("GOOGLETRANSLATE(A6471,""bn"",""en"")"),"The first naval engagement of the Third Anglo-Dutch War was the Battle of Solbay")</f>
        <v>The first naval engagement of the Third Anglo-Dutch War was the Battle of Solbay</v>
      </c>
      <c r="C6471" s="8" t="s">
        <v>13</v>
      </c>
      <c r="D6471" s="8" t="s">
        <v>14</v>
      </c>
      <c r="E6471" s="8">
        <v>1</v>
      </c>
    </row>
    <row r="6472" spans="1:5" ht="15.75" customHeight="1" x14ac:dyDescent="0.25">
      <c r="A6472" s="6" t="s">
        <v>6250</v>
      </c>
      <c r="B6472" s="6" t="str">
        <f ca="1">IFERROR(__xludf.DUMMYFUNCTION("GOOGLETRANSLATE(A6472,""bn"",""en"")"),"I will eat rice before going to school")</f>
        <v>I will eat rice before going to school</v>
      </c>
      <c r="C6472" s="7" t="s">
        <v>6</v>
      </c>
      <c r="D6472" s="7" t="s">
        <v>7</v>
      </c>
      <c r="E6472" s="7">
        <v>0</v>
      </c>
    </row>
    <row r="6473" spans="1:5" ht="15.75" customHeight="1" x14ac:dyDescent="0.25">
      <c r="A6473" s="6" t="s">
        <v>5795</v>
      </c>
      <c r="B6473" s="6" t="str">
        <f ca="1">IFERROR(__xludf.DUMMYFUNCTION("GOOGLETRANSLATE(A6473,""bn"",""en"")"),"I was a little nervous and said, ""Come on, I'm going with you.""")</f>
        <v>I was a little nervous and said, "Come on, I'm going with you."</v>
      </c>
      <c r="C6473" s="7" t="s">
        <v>6</v>
      </c>
      <c r="D6473" s="7" t="s">
        <v>7</v>
      </c>
      <c r="E6473" s="7">
        <v>0</v>
      </c>
    </row>
    <row r="6474" spans="1:5" ht="15.75" customHeight="1" x14ac:dyDescent="0.25">
      <c r="A6474" s="6" t="s">
        <v>6251</v>
      </c>
      <c r="B6474" s="6" t="str">
        <f ca="1">IFERROR(__xludf.DUMMYFUNCTION("GOOGLETRANSLATE(A6474,""bn"",""en"")"),"There was no fault in the eating of the two.")</f>
        <v>There was no fault in the eating of the two.</v>
      </c>
      <c r="C6474" s="7" t="s">
        <v>6</v>
      </c>
      <c r="D6474" s="7" t="s">
        <v>7</v>
      </c>
      <c r="E6474" s="7">
        <v>0</v>
      </c>
    </row>
    <row r="6475" spans="1:5" ht="15.75" customHeight="1" x14ac:dyDescent="0.25">
      <c r="A6475" s="6" t="s">
        <v>6252</v>
      </c>
      <c r="B6475" s="6" t="str">
        <f ca="1">IFERROR(__xludf.DUMMYFUNCTION("GOOGLETRANSLATE(A6475,""bn"",""en"")"),"Before writing the letter, a thought arose in my heart")</f>
        <v>Before writing the letter, a thought arose in my heart</v>
      </c>
      <c r="C6475" s="7" t="s">
        <v>6</v>
      </c>
      <c r="D6475" s="7" t="s">
        <v>7</v>
      </c>
      <c r="E6475" s="7">
        <v>0</v>
      </c>
    </row>
    <row r="6476" spans="1:5" ht="15.75" customHeight="1" x14ac:dyDescent="0.25">
      <c r="A6476" s="6" t="s">
        <v>6253</v>
      </c>
      <c r="B6476" s="6" t="str">
        <f ca="1">IFERROR(__xludf.DUMMYFUNCTION("GOOGLETRANSLATE(A6476,""bn"",""en"")"),"Minnie now understood the meaning of in-laws now she could not answer as before")</f>
        <v>Minnie now understood the meaning of in-laws now she could not answer as before</v>
      </c>
      <c r="C6476" s="7" t="s">
        <v>6</v>
      </c>
      <c r="D6476" s="7" t="s">
        <v>7</v>
      </c>
      <c r="E6476" s="7">
        <v>0</v>
      </c>
    </row>
    <row r="6477" spans="1:5" ht="15.75" customHeight="1" x14ac:dyDescent="0.25">
      <c r="A6477" s="6" t="s">
        <v>6254</v>
      </c>
      <c r="B6477" s="6" t="str">
        <f ca="1">IFERROR(__xludf.DUMMYFUNCTION("GOOGLETRANSLATE(A6477,""bn"",""en"")"),"Because Salman died after about three months")</f>
        <v>Because Salman died after about three months</v>
      </c>
      <c r="C6477" s="8" t="s">
        <v>13</v>
      </c>
      <c r="D6477" s="8" t="s">
        <v>14</v>
      </c>
      <c r="E6477" s="8">
        <v>1</v>
      </c>
    </row>
    <row r="6478" spans="1:5" ht="15.75" customHeight="1" x14ac:dyDescent="0.25">
      <c r="A6478" s="6" t="s">
        <v>6255</v>
      </c>
      <c r="B6478" s="6" t="str">
        <f ca="1">IFERROR(__xludf.DUMMYFUNCTION("GOOGLETRANSLATE(A6478,""bn"",""en"")"),"I am very excited during family functions")</f>
        <v>I am very excited during family functions</v>
      </c>
      <c r="C6478" s="8" t="s">
        <v>13</v>
      </c>
      <c r="D6478" s="8" t="s">
        <v>14</v>
      </c>
      <c r="E6478" s="8">
        <v>1</v>
      </c>
    </row>
    <row r="6479" spans="1:5" ht="15.75" customHeight="1" x14ac:dyDescent="0.25">
      <c r="A6479" s="6" t="s">
        <v>6256</v>
      </c>
      <c r="B6479" s="6" t="str">
        <f ca="1">IFERROR(__xludf.DUMMYFUNCTION("GOOGLETRANSLATE(A6479,""bn"",""en"")"),"I proceeded as Rahim said")</f>
        <v>I proceeded as Rahim said</v>
      </c>
      <c r="C6479" s="8" t="s">
        <v>13</v>
      </c>
      <c r="D6479" s="8" t="s">
        <v>14</v>
      </c>
      <c r="E6479" s="8">
        <v>1</v>
      </c>
    </row>
    <row r="6480" spans="1:5" ht="15.75" customHeight="1" x14ac:dyDescent="0.25">
      <c r="A6480" s="6" t="s">
        <v>6257</v>
      </c>
      <c r="B6480" s="6" t="str">
        <f ca="1">IFERROR(__xludf.DUMMYFUNCTION("GOOGLETRANSLATE(A6480,""bn"",""en"")"),"I prefer to drive manual transmission over automatic transmission")</f>
        <v>I prefer to drive manual transmission over automatic transmission</v>
      </c>
      <c r="C6480" s="8" t="s">
        <v>13</v>
      </c>
      <c r="D6480" s="8" t="s">
        <v>14</v>
      </c>
      <c r="E6480" s="8">
        <v>1</v>
      </c>
    </row>
    <row r="6481" spans="1:5" ht="15.75" customHeight="1" x14ac:dyDescent="0.25">
      <c r="A6481" s="6" t="s">
        <v>6258</v>
      </c>
      <c r="B6481" s="6" t="str">
        <f ca="1">IFERROR(__xludf.DUMMYFUNCTION("GOOGLETRANSLATE(A6481,""bn"",""en"")"),"I can't read it")</f>
        <v>I can't read it</v>
      </c>
      <c r="C6481" s="8" t="s">
        <v>13</v>
      </c>
      <c r="D6481" s="8" t="s">
        <v>14</v>
      </c>
      <c r="E6481" s="8">
        <v>1</v>
      </c>
    </row>
    <row r="6482" spans="1:5" ht="15.75" customHeight="1" x14ac:dyDescent="0.25">
      <c r="A6482" s="6" t="s">
        <v>6259</v>
      </c>
      <c r="B6482" s="6" t="str">
        <f ca="1">IFERROR(__xludf.DUMMYFUNCTION("GOOGLETRANSLATE(A6482,""bn"",""en"")"),"It is better not to reply where the words are harsh")</f>
        <v>It is better not to reply where the words are harsh</v>
      </c>
      <c r="C6482" s="7" t="s">
        <v>6</v>
      </c>
      <c r="D6482" s="7" t="s">
        <v>7</v>
      </c>
      <c r="E6482" s="7">
        <v>0</v>
      </c>
    </row>
    <row r="6483" spans="1:5" ht="15.75" customHeight="1" x14ac:dyDescent="0.25">
      <c r="A6483" s="6" t="s">
        <v>6260</v>
      </c>
      <c r="B6483" s="6" t="str">
        <f ca="1">IFERROR(__xludf.DUMMYFUNCTION("GOOGLETRANSLATE(A6483,""bn"",""en"")"),"Astonished King Palandu uttered these words again and again, and at once rose himself to attend.")</f>
        <v>Astonished King Palandu uttered these words again and again, and at once rose himself to attend.</v>
      </c>
      <c r="C6483" s="7" t="s">
        <v>6</v>
      </c>
      <c r="D6483" s="7" t="s">
        <v>7</v>
      </c>
      <c r="E6483" s="7">
        <v>0</v>
      </c>
    </row>
    <row r="6484" spans="1:5" ht="15.75" customHeight="1" x14ac:dyDescent="0.25">
      <c r="A6484" s="6" t="s">
        <v>6261</v>
      </c>
      <c r="B6484" s="6" t="str">
        <f ca="1">IFERROR(__xludf.DUMMYFUNCTION("GOOGLETRANSLATE(A6484,""bn"",""en"")"),"It is useless to write the names of the people who live there, wild and ugly")</f>
        <v>It is useless to write the names of the people who live there, wild and ugly</v>
      </c>
      <c r="C6484" s="7" t="s">
        <v>6</v>
      </c>
      <c r="D6484" s="7" t="s">
        <v>7</v>
      </c>
      <c r="E6484" s="7">
        <v>0</v>
      </c>
    </row>
    <row r="6485" spans="1:5" ht="15.75" customHeight="1" x14ac:dyDescent="0.25">
      <c r="A6485" s="6" t="s">
        <v>6262</v>
      </c>
      <c r="B6485" s="6" t="str">
        <f ca="1">IFERROR(__xludf.DUMMYFUNCTION("GOOGLETRANSLATE(A6485,""bn"",""en"")"),"In the end, I had to give in to my husband")</f>
        <v>In the end, I had to give in to my husband</v>
      </c>
      <c r="C6485" s="7" t="s">
        <v>6</v>
      </c>
      <c r="D6485" s="7" t="s">
        <v>7</v>
      </c>
      <c r="E6485" s="7">
        <v>0</v>
      </c>
    </row>
    <row r="6486" spans="1:5" ht="15.75" customHeight="1" x14ac:dyDescent="0.25">
      <c r="A6486" s="6" t="s">
        <v>6263</v>
      </c>
      <c r="B6486" s="6" t="str">
        <f ca="1">IFERROR(__xludf.DUMMYFUNCTION("GOOGLETRANSLATE(A6486,""bn"",""en"")"),"I called Sunny to me")</f>
        <v>I called Sunny to me</v>
      </c>
      <c r="C6486" s="7" t="s">
        <v>6</v>
      </c>
      <c r="D6486" s="7" t="s">
        <v>7</v>
      </c>
      <c r="E6486" s="7">
        <v>0</v>
      </c>
    </row>
    <row r="6487" spans="1:5" ht="15.75" customHeight="1" x14ac:dyDescent="0.25">
      <c r="A6487" s="6" t="s">
        <v>6264</v>
      </c>
      <c r="B6487" s="6" t="str">
        <f ca="1">IFERROR(__xludf.DUMMYFUNCTION("GOOGLETRANSLATE(A6487,""bn"",""en"")"),"Along with this, the work of fetching newspapers will have to be done")</f>
        <v>Along with this, the work of fetching newspapers will have to be done</v>
      </c>
      <c r="C6487" s="8" t="s">
        <v>13</v>
      </c>
      <c r="D6487" s="8" t="s">
        <v>14</v>
      </c>
      <c r="E6487" s="8">
        <v>1</v>
      </c>
    </row>
    <row r="6488" spans="1:5" ht="15.75" customHeight="1" x14ac:dyDescent="0.25">
      <c r="A6488" s="6" t="s">
        <v>6265</v>
      </c>
      <c r="B6488" s="6" t="str">
        <f ca="1">IFERROR(__xludf.DUMMYFUNCTION("GOOGLETRANSLATE(A6488,""bn"",""en"")"),"Click to explore more")</f>
        <v>Click to explore more</v>
      </c>
      <c r="C6488" s="8" t="s">
        <v>13</v>
      </c>
      <c r="D6488" s="8" t="s">
        <v>14</v>
      </c>
      <c r="E6488" s="8">
        <v>1</v>
      </c>
    </row>
    <row r="6489" spans="1:5" ht="15.75" customHeight="1" x14ac:dyDescent="0.25">
      <c r="A6489" s="6" t="s">
        <v>6266</v>
      </c>
      <c r="B6489" s="6" t="str">
        <f ca="1">IFERROR(__xludf.DUMMYFUNCTION("GOOGLETRANSLATE(A6489,""bn"",""en"")"),"I will go to school after the game")</f>
        <v>I will go to school after the game</v>
      </c>
      <c r="C6489" s="8" t="s">
        <v>13</v>
      </c>
      <c r="D6489" s="8" t="s">
        <v>14</v>
      </c>
      <c r="E6489" s="8">
        <v>1</v>
      </c>
    </row>
    <row r="6490" spans="1:5" ht="15.75" customHeight="1" x14ac:dyDescent="0.25">
      <c r="A6490" s="6" t="s">
        <v>6267</v>
      </c>
      <c r="B6490" s="6" t="str">
        <f ca="1">IFERROR(__xludf.DUMMYFUNCTION("GOOGLETRANSLATE(A6490,""bn"",""en"")"),"Chumki talked to us a lot")</f>
        <v>Chumki talked to us a lot</v>
      </c>
      <c r="C6490" s="8" t="s">
        <v>13</v>
      </c>
      <c r="D6490" s="8" t="s">
        <v>14</v>
      </c>
      <c r="E6490" s="8">
        <v>1</v>
      </c>
    </row>
    <row r="6491" spans="1:5" ht="15.75" customHeight="1" x14ac:dyDescent="0.25">
      <c r="A6491" s="6" t="s">
        <v>6268</v>
      </c>
      <c r="B6491" s="6" t="str">
        <f ca="1">IFERROR(__xludf.DUMMYFUNCTION("GOOGLETRANSLATE(A6491,""bn"",""en"")"),"Participate in sports for fun")</f>
        <v>Participate in sports for fun</v>
      </c>
      <c r="C6491" s="8" t="s">
        <v>13</v>
      </c>
      <c r="D6491" s="8" t="s">
        <v>14</v>
      </c>
      <c r="E6491" s="8">
        <v>1</v>
      </c>
    </row>
    <row r="6492" spans="1:5" ht="15.75" customHeight="1" x14ac:dyDescent="0.25">
      <c r="A6492" s="6" t="s">
        <v>6269</v>
      </c>
      <c r="B6492" s="6" t="str">
        <f ca="1">IFERROR(__xludf.DUMMYFUNCTION("GOOGLETRANSLATE(A6492,""bn"",""en"")"),"In ancient times, kings used to go out in victory at this time")</f>
        <v>In ancient times, kings used to go out in victory at this time</v>
      </c>
      <c r="C6492" s="7" t="s">
        <v>6</v>
      </c>
      <c r="D6492" s="7" t="s">
        <v>7</v>
      </c>
      <c r="E6492" s="7">
        <v>0</v>
      </c>
    </row>
    <row r="6493" spans="1:5" ht="15.75" customHeight="1" x14ac:dyDescent="0.25">
      <c r="A6493" s="6" t="s">
        <v>6270</v>
      </c>
      <c r="B6493" s="6" t="str">
        <f ca="1">IFERROR(__xludf.DUMMYFUNCTION("GOOGLETRANSLATE(A6493,""bn"",""en"")"),"I feel that I have found a place at the feet of Dukhini's bilabapatrakhani")</f>
        <v>I feel that I have found a place at the feet of Dukhini's bilabapatrakhani</v>
      </c>
      <c r="C6493" s="7" t="s">
        <v>6</v>
      </c>
      <c r="D6493" s="7" t="s">
        <v>7</v>
      </c>
      <c r="E6493" s="7">
        <v>0</v>
      </c>
    </row>
    <row r="6494" spans="1:5" ht="15.75" customHeight="1" x14ac:dyDescent="0.25">
      <c r="A6494" s="6" t="s">
        <v>5767</v>
      </c>
      <c r="B6494" s="6" t="str">
        <f ca="1">IFERROR(__xludf.DUMMYFUNCTION("GOOGLETRANSLATE(A6494,""bn"",""en"")"),"Then I felt as if I had a cloud over me")</f>
        <v>Then I felt as if I had a cloud over me</v>
      </c>
      <c r="C6494" s="7" t="s">
        <v>6</v>
      </c>
      <c r="D6494" s="7" t="s">
        <v>7</v>
      </c>
      <c r="E6494" s="7">
        <v>0</v>
      </c>
    </row>
    <row r="6495" spans="1:5" ht="15.75" customHeight="1" x14ac:dyDescent="0.25">
      <c r="A6495" s="6" t="s">
        <v>2570</v>
      </c>
      <c r="B6495" s="6" t="str">
        <f ca="1">IFERROR(__xludf.DUMMYFUNCTION("GOOGLETRANSLATE(A6495,""bn"",""en"")"),"At one time the Saotala fled to Dominica after being driven out by the Aryans.")</f>
        <v>At one time the Saotala fled to Dominica after being driven out by the Aryans.</v>
      </c>
      <c r="C6495" s="7" t="s">
        <v>6</v>
      </c>
      <c r="D6495" s="7" t="s">
        <v>7</v>
      </c>
      <c r="E6495" s="7">
        <v>0</v>
      </c>
    </row>
    <row r="6496" spans="1:5" ht="15.75" customHeight="1" x14ac:dyDescent="0.25">
      <c r="A6496" s="6" t="s">
        <v>2422</v>
      </c>
      <c r="B6496" s="6" t="str">
        <f ca="1">IFERROR(__xludf.DUMMYFUNCTION("GOOGLETRANSLATE(A6496,""bn"",""en"")"),"I used to sit in that shadow and watch the world")</f>
        <v>I used to sit in that shadow and watch the world</v>
      </c>
      <c r="C6496" s="7" t="s">
        <v>6</v>
      </c>
      <c r="D6496" s="7" t="s">
        <v>7</v>
      </c>
      <c r="E6496" s="7">
        <v>0</v>
      </c>
    </row>
    <row r="6497" spans="1:5" ht="15.75" customHeight="1" x14ac:dyDescent="0.25">
      <c r="A6497" s="6" t="s">
        <v>6271</v>
      </c>
      <c r="B6497" s="6" t="str">
        <f ca="1">IFERROR(__xludf.DUMMYFUNCTION("GOOGLETRANSLATE(A6497,""bn"",""en"")"),"The actor delivers a powerful performance on stage")</f>
        <v>The actor delivers a powerful performance on stage</v>
      </c>
      <c r="C6497" s="8" t="s">
        <v>13</v>
      </c>
      <c r="D6497" s="8" t="s">
        <v>14</v>
      </c>
      <c r="E6497" s="8">
        <v>1</v>
      </c>
    </row>
    <row r="6498" spans="1:5" ht="15.75" customHeight="1" x14ac:dyDescent="0.25">
      <c r="A6498" s="6" t="s">
        <v>6272</v>
      </c>
      <c r="B6498" s="6" t="str">
        <f ca="1">IFERROR(__xludf.DUMMYFUNCTION("GOOGLETRANSLATE(A6498,""bn"",""en"")"),"My hunt is a shock")</f>
        <v>My hunt is a shock</v>
      </c>
      <c r="C6498" s="8" t="s">
        <v>13</v>
      </c>
      <c r="D6498" s="8" t="s">
        <v>14</v>
      </c>
      <c r="E6498" s="8">
        <v>1</v>
      </c>
    </row>
    <row r="6499" spans="1:5" ht="15.75" customHeight="1" x14ac:dyDescent="0.25">
      <c r="A6499" s="6" t="s">
        <v>6273</v>
      </c>
      <c r="B6499" s="6" t="str">
        <f ca="1">IFERROR(__xludf.DUMMYFUNCTION("GOOGLETRANSLATE(A6499,""bn"",""en"")"),"Building an emergency fund can help you avoid going into debt when unexpected expenses arise")</f>
        <v>Building an emergency fund can help you avoid going into debt when unexpected expenses arise</v>
      </c>
      <c r="C6499" s="8" t="s">
        <v>13</v>
      </c>
      <c r="D6499" s="8" t="s">
        <v>14</v>
      </c>
      <c r="E6499" s="8">
        <v>1</v>
      </c>
    </row>
    <row r="6500" spans="1:5" ht="15.75" customHeight="1" x14ac:dyDescent="0.25">
      <c r="A6500" s="6" t="s">
        <v>6274</v>
      </c>
      <c r="B6500" s="6" t="str">
        <f ca="1">IFERROR(__xludf.DUMMYFUNCTION("GOOGLETRANSLATE(A6500,""bn"",""en"")"),"I don't expect Ronnie to come to my house")</f>
        <v>I don't expect Ronnie to come to my house</v>
      </c>
      <c r="C6500" s="8" t="s">
        <v>13</v>
      </c>
      <c r="D6500" s="8" t="s">
        <v>14</v>
      </c>
      <c r="E6500" s="8">
        <v>1</v>
      </c>
    </row>
    <row r="6501" spans="1:5" ht="15.75" customHeight="1" x14ac:dyDescent="0.25">
      <c r="A6501" s="6" t="s">
        <v>6275</v>
      </c>
      <c r="B6501" s="6" t="str">
        <f ca="1">IFERROR(__xludf.DUMMYFUNCTION("GOOGLETRANSLATE(A6501,""bn"",""en"")"),"Veterinarians treated sick and injured animals at the clinic")</f>
        <v>Veterinarians treated sick and injured animals at the clinic</v>
      </c>
      <c r="C6501" s="8" t="s">
        <v>13</v>
      </c>
      <c r="D6501" s="8" t="s">
        <v>14</v>
      </c>
      <c r="E6501" s="8">
        <v>1</v>
      </c>
    </row>
    <row r="6502" spans="1:5" ht="15.75" customHeight="1" x14ac:dyDescent="0.25">
      <c r="A6502" s="6" t="s">
        <v>6276</v>
      </c>
      <c r="B6502" s="6" t="str">
        <f ca="1">IFERROR(__xludf.DUMMYFUNCTION("GOOGLETRANSLATE(A6502,""bn"",""en"")"),"This aspect of Shashi's character is shaped by her father Gopal Das")</f>
        <v>This aspect of Shashi's character is shaped by her father Gopal Das</v>
      </c>
      <c r="C6502" s="7" t="s">
        <v>6</v>
      </c>
      <c r="D6502" s="7" t="s">
        <v>7</v>
      </c>
      <c r="E6502" s="7">
        <v>0</v>
      </c>
    </row>
    <row r="6503" spans="1:5" ht="15.75" customHeight="1" x14ac:dyDescent="0.25">
      <c r="A6503" s="6" t="s">
        <v>6277</v>
      </c>
      <c r="B6503" s="6" t="str">
        <f ca="1">IFERROR(__xludf.DUMMYFUNCTION("GOOGLETRANSLATE(A6503,""bn"",""en"")"),"The young woman's body was trembling")</f>
        <v>The young woman's body was trembling</v>
      </c>
      <c r="C6503" s="7" t="s">
        <v>6</v>
      </c>
      <c r="D6503" s="7" t="s">
        <v>7</v>
      </c>
      <c r="E6503" s="7">
        <v>0</v>
      </c>
    </row>
    <row r="6504" spans="1:5" ht="15.75" customHeight="1" x14ac:dyDescent="0.25">
      <c r="A6504" s="6" t="s">
        <v>6278</v>
      </c>
      <c r="B6504" s="6" t="str">
        <f ca="1">IFERROR(__xludf.DUMMYFUNCTION("GOOGLETRANSLATE(A6504,""bn"",""en"")"),"Everyone praises him as gentleman")</f>
        <v>Everyone praises him as gentleman</v>
      </c>
      <c r="C6504" s="7" t="s">
        <v>6</v>
      </c>
      <c r="D6504" s="7" t="s">
        <v>7</v>
      </c>
      <c r="E6504" s="7">
        <v>0</v>
      </c>
    </row>
    <row r="6505" spans="1:5" ht="15.75" customHeight="1" x14ac:dyDescent="0.25">
      <c r="A6505" s="6" t="s">
        <v>6279</v>
      </c>
      <c r="B6505" s="6" t="str">
        <f ca="1">IFERROR(__xludf.DUMMYFUNCTION("GOOGLETRANSLATE(A6505,""bn"",""en"")"),"Sumi had told this to my father")</f>
        <v>Sumi had told this to my father</v>
      </c>
      <c r="C6505" s="7" t="s">
        <v>6</v>
      </c>
      <c r="D6505" s="7" t="s">
        <v>7</v>
      </c>
      <c r="E6505" s="7">
        <v>0</v>
      </c>
    </row>
    <row r="6506" spans="1:5" ht="15.75" customHeight="1" x14ac:dyDescent="0.25">
      <c r="A6506" s="6" t="s">
        <v>6280</v>
      </c>
      <c r="B6506" s="6" t="str">
        <f ca="1">IFERROR(__xludf.DUMMYFUNCTION("GOOGLETRANSLATE(A6506,""bn"",""en"")"),"Your father decides to write his everything to someone")</f>
        <v>Your father decides to write his everything to someone</v>
      </c>
      <c r="C6506" s="7" t="s">
        <v>6</v>
      </c>
      <c r="D6506" s="7" t="s">
        <v>7</v>
      </c>
      <c r="E6506" s="7">
        <v>0</v>
      </c>
    </row>
    <row r="6507" spans="1:5" ht="15.75" customHeight="1" x14ac:dyDescent="0.25">
      <c r="A6507" s="6" t="s">
        <v>6281</v>
      </c>
      <c r="B6507" s="6" t="str">
        <f ca="1">IFERROR(__xludf.DUMMYFUNCTION("GOOGLETRANSLATE(A6507,""bn"",""en"")"),"Reagan supported this policy")</f>
        <v>Reagan supported this policy</v>
      </c>
      <c r="C6507" s="8" t="s">
        <v>13</v>
      </c>
      <c r="D6507" s="8" t="s">
        <v>14</v>
      </c>
      <c r="E6507" s="8">
        <v>1</v>
      </c>
    </row>
    <row r="6508" spans="1:5" ht="15.75" customHeight="1" x14ac:dyDescent="0.25">
      <c r="A6508" s="6" t="s">
        <v>6282</v>
      </c>
      <c r="B6508" s="6" t="str">
        <f ca="1">IFERROR(__xludf.DUMMYFUNCTION("GOOGLETRANSLATE(A6508,""bn"",""en"")"),"Musicians practiced their instruments for hours every day")</f>
        <v>Musicians practiced their instruments for hours every day</v>
      </c>
      <c r="C6508" s="8" t="s">
        <v>13</v>
      </c>
      <c r="D6508" s="8" t="s">
        <v>14</v>
      </c>
      <c r="E6508" s="8">
        <v>1</v>
      </c>
    </row>
    <row r="6509" spans="1:5" ht="15.75" customHeight="1" x14ac:dyDescent="0.25">
      <c r="A6509" s="6" t="s">
        <v>6283</v>
      </c>
      <c r="B6509" s="6" t="str">
        <f ca="1">IFERROR(__xludf.DUMMYFUNCTION("GOOGLETRANSLATE(A6509,""bn"",""en"")"),"My cousins ​​make all jobs fun")</f>
        <v>My cousins ​​make all jobs fun</v>
      </c>
      <c r="C6509" s="8" t="s">
        <v>13</v>
      </c>
      <c r="D6509" s="8" t="s">
        <v>14</v>
      </c>
      <c r="E6509" s="8">
        <v>1</v>
      </c>
    </row>
    <row r="6510" spans="1:5" ht="15.75" customHeight="1" x14ac:dyDescent="0.25">
      <c r="A6510" s="6" t="s">
        <v>6284</v>
      </c>
      <c r="B6510" s="6" t="str">
        <f ca="1">IFERROR(__xludf.DUMMYFUNCTION("GOOGLETRANSLATE(A6510,""bn"",""en"")"),"is this your father")</f>
        <v>is this your father</v>
      </c>
      <c r="C6510" s="8" t="s">
        <v>13</v>
      </c>
      <c r="D6510" s="8" t="s">
        <v>14</v>
      </c>
      <c r="E6510" s="8">
        <v>1</v>
      </c>
    </row>
    <row r="6511" spans="1:5" ht="15.75" customHeight="1" x14ac:dyDescent="0.25">
      <c r="A6511" s="6" t="s">
        <v>6285</v>
      </c>
      <c r="B6511" s="6" t="str">
        <f ca="1">IFERROR(__xludf.DUMMYFUNCTION("GOOGLETRANSLATE(A6511,""bn"",""en"")"),"The manner in which these newspapers reached the readers was also quite distinct")</f>
        <v>The manner in which these newspapers reached the readers was also quite distinct</v>
      </c>
      <c r="C6511" s="8" t="s">
        <v>13</v>
      </c>
      <c r="D6511" s="8" t="s">
        <v>14</v>
      </c>
      <c r="E6511" s="8">
        <v>1</v>
      </c>
    </row>
    <row r="6512" spans="1:5" ht="15.75" customHeight="1" x14ac:dyDescent="0.25">
      <c r="A6512" s="6" t="s">
        <v>6286</v>
      </c>
      <c r="B6512" s="6" t="str">
        <f ca="1">IFERROR(__xludf.DUMMYFUNCTION("GOOGLETRANSLATE(A6512,""bn"",""en"")"),"Vinay studied at home in Calcutta since childhood")</f>
        <v>Vinay studied at home in Calcutta since childhood</v>
      </c>
      <c r="C6512" s="7" t="s">
        <v>6</v>
      </c>
      <c r="D6512" s="7" t="s">
        <v>7</v>
      </c>
      <c r="E6512" s="7">
        <v>0</v>
      </c>
    </row>
    <row r="6513" spans="1:5" ht="15.75" customHeight="1" x14ac:dyDescent="0.25">
      <c r="A6513" s="6" t="s">
        <v>6287</v>
      </c>
      <c r="B6513" s="6" t="str">
        <f ca="1">IFERROR(__xludf.DUMMYFUNCTION("GOOGLETRANSLATE(A6513,""bn"",""en"")"),"But Shashir Sendidi gives the true apology")</f>
        <v>But Shashir Sendidi gives the true apology</v>
      </c>
      <c r="C6513" s="7" t="s">
        <v>6</v>
      </c>
      <c r="D6513" s="7" t="s">
        <v>7</v>
      </c>
      <c r="E6513" s="7">
        <v>0</v>
      </c>
    </row>
    <row r="6514" spans="1:5" ht="15.75" customHeight="1" x14ac:dyDescent="0.25">
      <c r="A6514" s="6" t="s">
        <v>6288</v>
      </c>
      <c r="B6514" s="6" t="str">
        <f ca="1">IFERROR(__xludf.DUMMYFUNCTION("GOOGLETRANSLATE(A6514,""bn"",""en"")"),"Anyway he poured me")</f>
        <v>Anyway he poured me</v>
      </c>
      <c r="C6514" s="7" t="s">
        <v>6</v>
      </c>
      <c r="D6514" s="7" t="s">
        <v>7</v>
      </c>
      <c r="E6514" s="7">
        <v>0</v>
      </c>
    </row>
    <row r="6515" spans="1:5" ht="15.75" customHeight="1" x14ac:dyDescent="0.25">
      <c r="A6515" s="6" t="s">
        <v>6289</v>
      </c>
      <c r="B6515" s="6" t="str">
        <f ca="1">IFERROR(__xludf.DUMMYFUNCTION("GOOGLETRANSLATE(A6515,""bn"",""en"")"),"How sad he feels, I would also go back to see the colors of the world")</f>
        <v>How sad he feels, I would also go back to see the colors of the world</v>
      </c>
      <c r="C6515" s="7" t="s">
        <v>6</v>
      </c>
      <c r="D6515" s="7" t="s">
        <v>7</v>
      </c>
      <c r="E6515" s="7">
        <v>0</v>
      </c>
    </row>
    <row r="6516" spans="1:5" ht="15.75" customHeight="1" x14ac:dyDescent="0.25">
      <c r="A6516" s="6" t="s">
        <v>6290</v>
      </c>
      <c r="B6516" s="6" t="str">
        <f ca="1">IFERROR(__xludf.DUMMYFUNCTION("GOOGLETRANSLATE(A6516,""bn"",""en"")"),"I loved one of them and named her Kumari")</f>
        <v>I loved one of them and named her Kumari</v>
      </c>
      <c r="C6516" s="7" t="s">
        <v>6</v>
      </c>
      <c r="D6516" s="7" t="s">
        <v>7</v>
      </c>
      <c r="E6516" s="7">
        <v>0</v>
      </c>
    </row>
    <row r="6517" spans="1:5" ht="15.75" customHeight="1" x14ac:dyDescent="0.25">
      <c r="A6517" s="6" t="s">
        <v>6291</v>
      </c>
      <c r="B6517" s="6" t="str">
        <f ca="1">IFERROR(__xludf.DUMMYFUNCTION("GOOGLETRANSLATE(A6517,""bn"",""en"")"),"He was saddened by my words")</f>
        <v>He was saddened by my words</v>
      </c>
      <c r="C6517" s="8" t="s">
        <v>13</v>
      </c>
      <c r="D6517" s="8" t="s">
        <v>14</v>
      </c>
      <c r="E6517" s="8">
        <v>1</v>
      </c>
    </row>
    <row r="6518" spans="1:5" ht="15.75" customHeight="1" x14ac:dyDescent="0.25">
      <c r="A6518" s="6" t="s">
        <v>6292</v>
      </c>
      <c r="B6518" s="6" t="str">
        <f ca="1">IFERROR(__xludf.DUMMYFUNCTION("GOOGLETRANSLATE(A6518,""bn"",""en"")"),"Precision animal husbandry uses sensor data analysis to monitor animal health behavior")</f>
        <v>Precision animal husbandry uses sensor data analysis to monitor animal health behavior</v>
      </c>
      <c r="C6518" s="8" t="s">
        <v>13</v>
      </c>
      <c r="D6518" s="8" t="s">
        <v>14</v>
      </c>
      <c r="E6518" s="8">
        <v>1</v>
      </c>
    </row>
    <row r="6519" spans="1:5" ht="15.75" customHeight="1" x14ac:dyDescent="0.25">
      <c r="A6519" s="6" t="s">
        <v>6293</v>
      </c>
      <c r="B6519" s="6" t="str">
        <f ca="1">IFERROR(__xludf.DUMMYFUNCTION("GOOGLETRANSLATE(A6519,""bn"",""en"")"),"Take rest breaks if necessary")</f>
        <v>Take rest breaks if necessary</v>
      </c>
      <c r="C6519" s="8" t="s">
        <v>13</v>
      </c>
      <c r="D6519" s="8" t="s">
        <v>14</v>
      </c>
      <c r="E6519" s="8">
        <v>1</v>
      </c>
    </row>
    <row r="6520" spans="1:5" ht="15.75" customHeight="1" x14ac:dyDescent="0.25">
      <c r="A6520" s="6" t="s">
        <v>6294</v>
      </c>
      <c r="B6520" s="6" t="str">
        <f ca="1">IFERROR(__xludf.DUMMYFUNCTION("GOOGLETRANSLATE(A6520,""bn"",""en"")"),"I am going to school with books")</f>
        <v>I am going to school with books</v>
      </c>
      <c r="C6520" s="8" t="s">
        <v>13</v>
      </c>
      <c r="D6520" s="8" t="s">
        <v>14</v>
      </c>
      <c r="E6520" s="8">
        <v>1</v>
      </c>
    </row>
    <row r="6521" spans="1:5" ht="15.75" customHeight="1" x14ac:dyDescent="0.25">
      <c r="A6521" s="6" t="s">
        <v>6295</v>
      </c>
      <c r="B6521" s="6" t="str">
        <f ca="1">IFERROR(__xludf.DUMMYFUNCTION("GOOGLETRANSLATE(A6521,""bn"",""en"")"),"While trekking through dense forests they encountered exotic flora and fauna beyond imagination")</f>
        <v>While trekking through dense forests they encountered exotic flora and fauna beyond imagination</v>
      </c>
      <c r="C6521" s="8" t="s">
        <v>13</v>
      </c>
      <c r="D6521" s="8" t="s">
        <v>14</v>
      </c>
      <c r="E6521" s="8">
        <v>1</v>
      </c>
    </row>
    <row r="6522" spans="1:5" ht="15.75" customHeight="1" x14ac:dyDescent="0.25">
      <c r="A6522" s="6" t="s">
        <v>6296</v>
      </c>
      <c r="B6522" s="6" t="str">
        <f ca="1">IFERROR(__xludf.DUMMYFUNCTION("GOOGLETRANSLATE(A6522,""bn"",""en"")"),"Even if he eats chicken and introduces it as a goat in the society, he would tolerate it")</f>
        <v>Even if he eats chicken and introduces it as a goat in the society, he would tolerate it</v>
      </c>
      <c r="C6522" s="7" t="s">
        <v>6</v>
      </c>
      <c r="D6522" s="7" t="s">
        <v>7</v>
      </c>
      <c r="E6522" s="7">
        <v>0</v>
      </c>
    </row>
    <row r="6523" spans="1:5" ht="15.75" customHeight="1" x14ac:dyDescent="0.25">
      <c r="A6523" s="6" t="s">
        <v>6297</v>
      </c>
      <c r="B6523" s="6" t="str">
        <f ca="1">IFERROR(__xludf.DUMMYFUNCTION("GOOGLETRANSLATE(A6523,""bn"",""en"")"),"Every now and then two branches of the forest swayed")</f>
        <v>Every now and then two branches of the forest swayed</v>
      </c>
      <c r="C6523" s="7" t="s">
        <v>6</v>
      </c>
      <c r="D6523" s="7" t="s">
        <v>7</v>
      </c>
      <c r="E6523" s="7">
        <v>0</v>
      </c>
    </row>
    <row r="6524" spans="1:5" ht="15.75" customHeight="1" x14ac:dyDescent="0.25">
      <c r="A6524" s="6" t="s">
        <v>6298</v>
      </c>
      <c r="B6524" s="6" t="str">
        <f ca="1">IFERROR(__xludf.DUMMYFUNCTION("GOOGLETRANSLATE(A6524,""bn"",""en"")"),"The bride did not run to her father as usual")</f>
        <v>The bride did not run to her father as usual</v>
      </c>
      <c r="C6524" s="7" t="s">
        <v>6</v>
      </c>
      <c r="D6524" s="7" t="s">
        <v>7</v>
      </c>
      <c r="E6524" s="7">
        <v>0</v>
      </c>
    </row>
    <row r="6525" spans="1:5" ht="15.75" customHeight="1" x14ac:dyDescent="0.25">
      <c r="A6525" s="6" t="s">
        <v>6299</v>
      </c>
      <c r="B6525" s="6" t="str">
        <f ca="1">IFERROR(__xludf.DUMMYFUNCTION("GOOGLETRANSLATE(A6525,""bn"",""en"")"),"Lata looked at him displeased and got up shaking her head restlessly")</f>
        <v>Lata looked at him displeased and got up shaking her head restlessly</v>
      </c>
      <c r="C6525" s="7" t="s">
        <v>6</v>
      </c>
      <c r="D6525" s="7" t="s">
        <v>7</v>
      </c>
      <c r="E6525" s="7">
        <v>0</v>
      </c>
    </row>
    <row r="6526" spans="1:5" ht="15.75" customHeight="1" x14ac:dyDescent="0.25">
      <c r="A6526" s="6" t="s">
        <v>6300</v>
      </c>
      <c r="B6526" s="6" t="str">
        <f ca="1">IFERROR(__xludf.DUMMYFUNCTION("GOOGLETRANSLATE(A6526,""bn"",""en"")"),"He sat down in the blink of an eye, awestruck and awestruck")</f>
        <v>He sat down in the blink of an eye, awestruck and awestruck</v>
      </c>
      <c r="C6526" s="7" t="s">
        <v>6</v>
      </c>
      <c r="D6526" s="7" t="s">
        <v>7</v>
      </c>
      <c r="E6526" s="7">
        <v>0</v>
      </c>
    </row>
    <row r="6527" spans="1:5" ht="15.75" customHeight="1" x14ac:dyDescent="0.25">
      <c r="A6527" s="6" t="s">
        <v>6301</v>
      </c>
      <c r="B6527" s="6" t="str">
        <f ca="1">IFERROR(__xludf.DUMMYFUNCTION("GOOGLETRANSLATE(A6527,""bn"",""en"")"),"Occupational health safety protocols prioritize the well-being of workers")</f>
        <v>Occupational health safety protocols prioritize the well-being of workers</v>
      </c>
      <c r="C6527" s="8" t="s">
        <v>13</v>
      </c>
      <c r="D6527" s="8" t="s">
        <v>14</v>
      </c>
      <c r="E6527" s="8">
        <v>1</v>
      </c>
    </row>
    <row r="6528" spans="1:5" ht="15.75" customHeight="1" x14ac:dyDescent="0.25">
      <c r="A6528" s="6" t="s">
        <v>6302</v>
      </c>
      <c r="B6528" s="6" t="str">
        <f ca="1">IFERROR(__xludf.DUMMYFUNCTION("GOOGLETRANSLATE(A6528,""bn"",""en"")"),"His only problem is scoring goals")</f>
        <v>His only problem is scoring goals</v>
      </c>
      <c r="C6528" s="8" t="s">
        <v>13</v>
      </c>
      <c r="D6528" s="8" t="s">
        <v>14</v>
      </c>
      <c r="E6528" s="8">
        <v>1</v>
      </c>
    </row>
    <row r="6529" spans="1:5" ht="15.75" customHeight="1" x14ac:dyDescent="0.25">
      <c r="A6529" s="6" t="s">
        <v>6303</v>
      </c>
      <c r="B6529" s="6" t="str">
        <f ca="1">IFERROR(__xludf.DUMMYFUNCTION("GOOGLETRANSLATE(A6529,""bn"",""en"")"),"Accountants analyze company financial statements")</f>
        <v>Accountants analyze company financial statements</v>
      </c>
      <c r="C6529" s="8" t="s">
        <v>13</v>
      </c>
      <c r="D6529" s="8" t="s">
        <v>14</v>
      </c>
      <c r="E6529" s="8">
        <v>1</v>
      </c>
    </row>
    <row r="6530" spans="1:5" ht="15.75" customHeight="1" x14ac:dyDescent="0.25">
      <c r="A6530" s="6" t="s">
        <v>6304</v>
      </c>
      <c r="B6530" s="6" t="str">
        <f ca="1">IFERROR(__xludf.DUMMYFUNCTION("GOOGLETRANSLATE(A6530,""bn"",""en"")"),"Balanced salads offer guilt-free indulgence")</f>
        <v>Balanced salads offer guilt-free indulgence</v>
      </c>
      <c r="C6530" s="8" t="s">
        <v>13</v>
      </c>
      <c r="D6530" s="8" t="s">
        <v>14</v>
      </c>
      <c r="E6530" s="8">
        <v>1</v>
      </c>
    </row>
    <row r="6531" spans="1:5" ht="15.75" customHeight="1" x14ac:dyDescent="0.25">
      <c r="A6531" s="6" t="s">
        <v>6305</v>
      </c>
      <c r="B6531" s="6" t="str">
        <f ca="1">IFERROR(__xludf.DUMMYFUNCTION("GOOGLETRANSLATE(A6531,""bn"",""en"")"),"Hate crimes target individuals based on their race, religion or other characteristics")</f>
        <v>Hate crimes target individuals based on their race, religion or other characteristics</v>
      </c>
      <c r="C6531" s="8" t="s">
        <v>13</v>
      </c>
      <c r="D6531" s="8" t="s">
        <v>14</v>
      </c>
      <c r="E6531" s="8">
        <v>1</v>
      </c>
    </row>
    <row r="6532" spans="1:5" ht="15.75" customHeight="1" x14ac:dyDescent="0.25">
      <c r="A6532" s="6" t="s">
        <v>6306</v>
      </c>
      <c r="B6532" s="6" t="str">
        <f ca="1">IFERROR(__xludf.DUMMYFUNCTION("GOOGLETRANSLATE(A6532,""bn"",""en"")"),"At the end of the night watch they had returned home")</f>
        <v>At the end of the night watch they had returned home</v>
      </c>
      <c r="C6532" s="7" t="s">
        <v>6</v>
      </c>
      <c r="D6532" s="7" t="s">
        <v>7</v>
      </c>
      <c r="E6532" s="7">
        <v>0</v>
      </c>
    </row>
    <row r="6533" spans="1:5" ht="15.75" customHeight="1" x14ac:dyDescent="0.25">
      <c r="A6533" s="6" t="s">
        <v>6307</v>
      </c>
      <c r="B6533" s="6" t="str">
        <f ca="1">IFERROR(__xludf.DUMMYFUNCTION("GOOGLETRANSLATE(A6533,""bn"",""en"")"),"He took some rest and went back to play")</f>
        <v>He took some rest and went back to play</v>
      </c>
      <c r="C6533" s="7" t="s">
        <v>6</v>
      </c>
      <c r="D6533" s="7" t="s">
        <v>7</v>
      </c>
      <c r="E6533" s="7">
        <v>0</v>
      </c>
    </row>
    <row r="6534" spans="1:5" ht="15.75" customHeight="1" x14ac:dyDescent="0.25">
      <c r="A6534" s="6" t="s">
        <v>6308</v>
      </c>
      <c r="B6534" s="6" t="str">
        <f ca="1">IFERROR(__xludf.DUMMYFUNCTION("GOOGLETRANSLATE(A6534,""bn"",""en"")"),"The Mughal emperors were mainly of Turkic Mongol descent from Central Asia")</f>
        <v>The Mughal emperors were mainly of Turkic Mongol descent from Central Asia</v>
      </c>
      <c r="C6534" s="7" t="s">
        <v>6</v>
      </c>
      <c r="D6534" s="7" t="s">
        <v>7</v>
      </c>
      <c r="E6534" s="7">
        <v>0</v>
      </c>
    </row>
    <row r="6535" spans="1:5" ht="15.75" customHeight="1" x14ac:dyDescent="0.25">
      <c r="A6535" s="6" t="s">
        <v>6309</v>
      </c>
      <c r="B6535" s="6" t="str">
        <f ca="1">IFERROR(__xludf.DUMMYFUNCTION("GOOGLETRANSLATE(A6535,""bn"",""en"")"),"The king asked them to do this")</f>
        <v>The king asked them to do this</v>
      </c>
      <c r="C6535" s="7" t="s">
        <v>6</v>
      </c>
      <c r="D6535" s="7" t="s">
        <v>7</v>
      </c>
      <c r="E6535" s="7">
        <v>0</v>
      </c>
    </row>
    <row r="6536" spans="1:5" ht="15.75" customHeight="1" x14ac:dyDescent="0.25">
      <c r="A6536" s="6" t="s">
        <v>199</v>
      </c>
      <c r="B6536" s="6" t="str">
        <f ca="1">IFERROR(__xludf.DUMMYFUNCTION("GOOGLETRANSLATE(A6536,""bn"",""en"")"),"Bengali is flourishing all around")</f>
        <v>Bengali is flourishing all around</v>
      </c>
      <c r="C6536" s="7" t="s">
        <v>6</v>
      </c>
      <c r="D6536" s="7" t="s">
        <v>7</v>
      </c>
      <c r="E6536" s="7">
        <v>0</v>
      </c>
    </row>
    <row r="6537" spans="1:5" ht="15.75" customHeight="1" x14ac:dyDescent="0.25">
      <c r="A6537" s="6" t="s">
        <v>6310</v>
      </c>
      <c r="B6537" s="6" t="str">
        <f ca="1">IFERROR(__xludf.DUMMYFUNCTION("GOOGLETRANSLATE(A6537,""bn"",""en"")"),"Baking cookies warms the house")</f>
        <v>Baking cookies warms the house</v>
      </c>
      <c r="C6537" s="8" t="s">
        <v>13</v>
      </c>
      <c r="D6537" s="8" t="s">
        <v>14</v>
      </c>
      <c r="E6537" s="8">
        <v>1</v>
      </c>
    </row>
    <row r="6538" spans="1:5" ht="15.75" customHeight="1" x14ac:dyDescent="0.25">
      <c r="A6538" s="6" t="s">
        <v>6311</v>
      </c>
      <c r="B6538" s="6" t="str">
        <f ca="1">IFERROR(__xludf.DUMMYFUNCTION("GOOGLETRANSLATE(A6538,""bn"",""en"")"),"God created man with many thoughts")</f>
        <v>God created man with many thoughts</v>
      </c>
      <c r="C6538" s="8" t="s">
        <v>13</v>
      </c>
      <c r="D6538" s="8" t="s">
        <v>14</v>
      </c>
      <c r="E6538" s="8">
        <v>1</v>
      </c>
    </row>
    <row r="6539" spans="1:5" ht="15.75" customHeight="1" x14ac:dyDescent="0.25">
      <c r="A6539" s="6" t="s">
        <v>6312</v>
      </c>
      <c r="B6539" s="6" t="str">
        <f ca="1">IFERROR(__xludf.DUMMYFUNCTION("GOOGLETRANSLATE(A6539,""bn"",""en"")"),"Quality assurance guarantees customer trust and loyalty")</f>
        <v>Quality assurance guarantees customer trust and loyalty</v>
      </c>
      <c r="C6539" s="8" t="s">
        <v>13</v>
      </c>
      <c r="D6539" s="8" t="s">
        <v>14</v>
      </c>
      <c r="E6539" s="8">
        <v>1</v>
      </c>
    </row>
    <row r="6540" spans="1:5" ht="15.75" customHeight="1" x14ac:dyDescent="0.25">
      <c r="A6540" s="6" t="s">
        <v>6313</v>
      </c>
      <c r="B6540" s="6" t="str">
        <f ca="1">IFERROR(__xludf.DUMMYFUNCTION("GOOGLETRANSLATE(A6540,""bn"",""en"")"),"Investing in education skills development can lead to higher earning potential")</f>
        <v>Investing in education skills development can lead to higher earning potential</v>
      </c>
      <c r="C6540" s="8" t="s">
        <v>13</v>
      </c>
      <c r="D6540" s="8" t="s">
        <v>14</v>
      </c>
      <c r="E6540" s="8">
        <v>1</v>
      </c>
    </row>
    <row r="6541" spans="1:5" ht="15.75" customHeight="1" x14ac:dyDescent="0.25">
      <c r="A6541" s="6" t="s">
        <v>6314</v>
      </c>
      <c r="B6541" s="6" t="str">
        <f ca="1">IFERROR(__xludf.DUMMYFUNCTION("GOOGLETRANSLATE(A6541,""bn"",""en"")"),"Transaction completed offline")</f>
        <v>Transaction completed offline</v>
      </c>
      <c r="C6541" s="8" t="s">
        <v>13</v>
      </c>
      <c r="D6541" s="8" t="s">
        <v>14</v>
      </c>
      <c r="E6541" s="8">
        <v>1</v>
      </c>
    </row>
    <row r="6542" spans="1:5" ht="15.75" customHeight="1" x14ac:dyDescent="0.25">
      <c r="A6542" s="6" t="s">
        <v>6315</v>
      </c>
      <c r="B6542" s="6" t="str">
        <f ca="1">IFERROR(__xludf.DUMMYFUNCTION("GOOGLETRANSLATE(A6542,""bn"",""en"")"),"All these are external matters")</f>
        <v>All these are external matters</v>
      </c>
      <c r="C6542" s="7" t="s">
        <v>6</v>
      </c>
      <c r="D6542" s="7" t="s">
        <v>7</v>
      </c>
      <c r="E6542" s="7">
        <v>0</v>
      </c>
    </row>
    <row r="6543" spans="1:5" ht="15.75" customHeight="1" x14ac:dyDescent="0.25">
      <c r="A6543" s="6" t="s">
        <v>6316</v>
      </c>
      <c r="B6543" s="6" t="str">
        <f ca="1">IFERROR(__xludf.DUMMYFUNCTION("GOOGLETRANSLATE(A6543,""bn"",""en"")"),"Rumi asked me to read the book")</f>
        <v>Rumi asked me to read the book</v>
      </c>
      <c r="C6543" s="7" t="s">
        <v>6</v>
      </c>
      <c r="D6543" s="7" t="s">
        <v>7</v>
      </c>
      <c r="E6543" s="7">
        <v>0</v>
      </c>
    </row>
    <row r="6544" spans="1:5" ht="15.75" customHeight="1" x14ac:dyDescent="0.25">
      <c r="A6544" s="6" t="s">
        <v>6317</v>
      </c>
      <c r="B6544" s="6" t="str">
        <f ca="1">IFERROR(__xludf.DUMMYFUNCTION("GOOGLETRANSLATE(A6544,""bn"",""en"")"),"There is no doubt that the place is the kingdom of snakes in the fearful imagination of the villagers")</f>
        <v>There is no doubt that the place is the kingdom of snakes in the fearful imagination of the villagers</v>
      </c>
      <c r="C6544" s="7" t="s">
        <v>6</v>
      </c>
      <c r="D6544" s="7" t="s">
        <v>7</v>
      </c>
      <c r="E6544" s="7">
        <v>0</v>
      </c>
    </row>
    <row r="6545" spans="1:5" ht="15.75" customHeight="1" x14ac:dyDescent="0.25">
      <c r="A6545" s="6" t="s">
        <v>6318</v>
      </c>
      <c r="B6545" s="6" t="str">
        <f ca="1">IFERROR(__xludf.DUMMYFUNCTION("GOOGLETRANSLATE(A6545,""bn"",""en"")"),"Any natural and inevitable error of this period should also feel unbearable")</f>
        <v>Any natural and inevitable error of this period should also feel unbearable</v>
      </c>
      <c r="C6545" s="7" t="s">
        <v>6</v>
      </c>
      <c r="D6545" s="7" t="s">
        <v>7</v>
      </c>
      <c r="E6545" s="7">
        <v>0</v>
      </c>
    </row>
    <row r="6546" spans="1:5" ht="15.75" customHeight="1" x14ac:dyDescent="0.25">
      <c r="A6546" s="6" t="s">
        <v>6319</v>
      </c>
      <c r="B6546" s="6" t="str">
        <f ca="1">IFERROR(__xludf.DUMMYFUNCTION("GOOGLETRANSLATE(A6546,""bn"",""en"")"),"Neha came to my house")</f>
        <v>Neha came to my house</v>
      </c>
      <c r="C6546" s="7" t="s">
        <v>6</v>
      </c>
      <c r="D6546" s="7" t="s">
        <v>7</v>
      </c>
      <c r="E6546" s="7">
        <v>0</v>
      </c>
    </row>
    <row r="6547" spans="1:5" ht="15.75" customHeight="1" x14ac:dyDescent="0.25">
      <c r="A6547" s="6" t="s">
        <v>6320</v>
      </c>
      <c r="B6547" s="6" t="str">
        <f ca="1">IFERROR(__xludf.DUMMYFUNCTION("GOOGLETRANSLATE(A6547,""bn"",""en"")"),"This negative result had two-fold significance")</f>
        <v>This negative result had two-fold significance</v>
      </c>
      <c r="C6547" s="8" t="s">
        <v>13</v>
      </c>
      <c r="D6547" s="8" t="s">
        <v>14</v>
      </c>
      <c r="E6547" s="8">
        <v>1</v>
      </c>
    </row>
    <row r="6548" spans="1:5" ht="15.75" customHeight="1" x14ac:dyDescent="0.25">
      <c r="A6548" s="6" t="s">
        <v>6321</v>
      </c>
      <c r="B6548" s="6" t="str">
        <f ca="1">IFERROR(__xludf.DUMMYFUNCTION("GOOGLETRANSLATE(A6548,""bn"",""en"")"),"Soma will change his ball")</f>
        <v>Soma will change his ball</v>
      </c>
      <c r="C6548" s="8" t="s">
        <v>13</v>
      </c>
      <c r="D6548" s="8" t="s">
        <v>14</v>
      </c>
      <c r="E6548" s="8">
        <v>1</v>
      </c>
    </row>
    <row r="6549" spans="1:5" ht="15.75" customHeight="1" x14ac:dyDescent="0.25">
      <c r="A6549" s="6" t="s">
        <v>6322</v>
      </c>
      <c r="B6549" s="6" t="str">
        <f ca="1">IFERROR(__xludf.DUMMYFUNCTION("GOOGLETRANSLATE(A6549,""bn"",""en"")"),"The customer support team was responsive and helpful in resolving my concerns")</f>
        <v>The customer support team was responsive and helpful in resolving my concerns</v>
      </c>
      <c r="C6549" s="8" t="s">
        <v>13</v>
      </c>
      <c r="D6549" s="8" t="s">
        <v>14</v>
      </c>
      <c r="E6549" s="8">
        <v>1</v>
      </c>
    </row>
    <row r="6550" spans="1:5" ht="15.75" customHeight="1" x14ac:dyDescent="0.25">
      <c r="A6550" s="6" t="s">
        <v>6323</v>
      </c>
      <c r="B6550" s="6" t="str">
        <f ca="1">IFERROR(__xludf.DUMMYFUNCTION("GOOGLETRANSLATE(A6550,""bn"",""en"")"),"At the beginning of the creation of Manasputra, Brahma created the butterflies")</f>
        <v>At the beginning of the creation of Manasputra, Brahma created the butterflies</v>
      </c>
      <c r="C6550" s="8" t="s">
        <v>13</v>
      </c>
      <c r="D6550" s="8" t="s">
        <v>14</v>
      </c>
      <c r="E6550" s="8">
        <v>1</v>
      </c>
    </row>
    <row r="6551" spans="1:5" ht="15.75" customHeight="1" x14ac:dyDescent="0.25">
      <c r="A6551" s="6" t="s">
        <v>6324</v>
      </c>
      <c r="B6551" s="6" t="str">
        <f ca="1">IFERROR(__xludf.DUMMYFUNCTION("GOOGLETRANSLATE(A6551,""bn"",""en"")"),"His novel evoked much controversy and acclaim")</f>
        <v>His novel evoked much controversy and acclaim</v>
      </c>
      <c r="C6551" s="8" t="s">
        <v>13</v>
      </c>
      <c r="D6551" s="8" t="s">
        <v>14</v>
      </c>
      <c r="E6551" s="8">
        <v>1</v>
      </c>
    </row>
    <row r="6552" spans="1:5" ht="15.75" customHeight="1" x14ac:dyDescent="0.25">
      <c r="A6552" s="6" t="s">
        <v>6325</v>
      </c>
      <c r="B6552" s="6" t="str">
        <f ca="1">IFERROR(__xludf.DUMMYFUNCTION("GOOGLETRANSLATE(A6552,""bn"",""en"")"),"Where will they get so much money?")</f>
        <v>Where will they get so much money?</v>
      </c>
      <c r="C6552" s="7" t="s">
        <v>6</v>
      </c>
      <c r="D6552" s="7" t="s">
        <v>7</v>
      </c>
      <c r="E6552" s="7">
        <v>0</v>
      </c>
    </row>
    <row r="6553" spans="1:5" ht="15.75" customHeight="1" x14ac:dyDescent="0.25">
      <c r="A6553" s="6" t="s">
        <v>6326</v>
      </c>
      <c r="B6553" s="6" t="str">
        <f ca="1">IFERROR(__xludf.DUMMYFUNCTION("GOOGLETRANSLATE(A6553,""bn"",""en"")"),"The next day, Phatik became aware for a while and looked around the room, wondering who he was expecting.")</f>
        <v>The next day, Phatik became aware for a while and looked around the room, wondering who he was expecting.</v>
      </c>
      <c r="C6553" s="7" t="s">
        <v>6</v>
      </c>
      <c r="D6553" s="7" t="s">
        <v>7</v>
      </c>
      <c r="E6553" s="7">
        <v>0</v>
      </c>
    </row>
    <row r="6554" spans="1:5" ht="15.75" customHeight="1" x14ac:dyDescent="0.25">
      <c r="A6554" s="6" t="s">
        <v>6327</v>
      </c>
      <c r="B6554" s="6" t="str">
        <f ca="1">IFERROR(__xludf.DUMMYFUNCTION("GOOGLETRANSLATE(A6554,""bn"",""en"")"),"I looked at this amazing beauty of nature for a while.")</f>
        <v>I looked at this amazing beauty of nature for a while.</v>
      </c>
      <c r="C6554" s="7" t="s">
        <v>6</v>
      </c>
      <c r="D6554" s="7" t="s">
        <v>7</v>
      </c>
      <c r="E6554" s="7">
        <v>0</v>
      </c>
    </row>
    <row r="6555" spans="1:5" ht="15.75" customHeight="1" x14ac:dyDescent="0.25">
      <c r="A6555" s="6" t="s">
        <v>6328</v>
      </c>
      <c r="B6555" s="6" t="str">
        <f ca="1">IFERROR(__xludf.DUMMYFUNCTION("GOOGLETRANSLATE(A6555,""bn"",""en"")"),"He could not raise a son because all the burden of the world was on his head")</f>
        <v>He could not raise a son because all the burden of the world was on his head</v>
      </c>
      <c r="C6555" s="7" t="s">
        <v>6</v>
      </c>
      <c r="D6555" s="7" t="s">
        <v>7</v>
      </c>
      <c r="E6555" s="7">
        <v>0</v>
      </c>
    </row>
    <row r="6556" spans="1:5" ht="15.75" customHeight="1" x14ac:dyDescent="0.25">
      <c r="A6556" s="6" t="s">
        <v>6329</v>
      </c>
      <c r="B6556" s="6" t="str">
        <f ca="1">IFERROR(__xludf.DUMMYFUNCTION("GOOGLETRANSLATE(A6556,""bn"",""en"")"),"He will have to come upstairs to our house")</f>
        <v>He will have to come upstairs to our house</v>
      </c>
      <c r="C6556" s="7" t="s">
        <v>6</v>
      </c>
      <c r="D6556" s="7" t="s">
        <v>7</v>
      </c>
      <c r="E6556" s="7">
        <v>0</v>
      </c>
    </row>
    <row r="6557" spans="1:5" ht="15.75" customHeight="1" x14ac:dyDescent="0.25">
      <c r="A6557" s="6" t="s">
        <v>6330</v>
      </c>
      <c r="B6557" s="6" t="str">
        <f ca="1">IFERROR(__xludf.DUMMYFUNCTION("GOOGLETRANSLATE(A6557,""bn"",""en"")"),"Married couples also worship him here")</f>
        <v>Married couples also worship him here</v>
      </c>
      <c r="C6557" s="8" t="s">
        <v>13</v>
      </c>
      <c r="D6557" s="8" t="s">
        <v>14</v>
      </c>
      <c r="E6557" s="8">
        <v>1</v>
      </c>
    </row>
    <row r="6558" spans="1:5" ht="15.75" customHeight="1" x14ac:dyDescent="0.25">
      <c r="A6558" s="6" t="s">
        <v>6331</v>
      </c>
      <c r="B6558" s="6" t="str">
        <f ca="1">IFERROR(__xludf.DUMMYFUNCTION("GOOGLETRANSLATE(A6558,""bn"",""en"")"),"Being present in the moment brings mindfulness")</f>
        <v>Being present in the moment brings mindfulness</v>
      </c>
      <c r="C6558" s="8" t="s">
        <v>13</v>
      </c>
      <c r="D6558" s="8" t="s">
        <v>14</v>
      </c>
      <c r="E6558" s="8">
        <v>1</v>
      </c>
    </row>
    <row r="6559" spans="1:5" ht="15.75" customHeight="1" x14ac:dyDescent="0.25">
      <c r="A6559" s="6" t="s">
        <v>6332</v>
      </c>
      <c r="B6559" s="6" t="str">
        <f ca="1">IFERROR(__xludf.DUMMYFUNCTION("GOOGLETRANSLATE(A6559,""bn"",""en"")"),"Agrochemical application rates should be carefully calculated based on crop demand to avoid overuse")</f>
        <v>Agrochemical application rates should be carefully calculated based on crop demand to avoid overuse</v>
      </c>
      <c r="C6559" s="8" t="s">
        <v>13</v>
      </c>
      <c r="D6559" s="8" t="s">
        <v>14</v>
      </c>
      <c r="E6559" s="8">
        <v>1</v>
      </c>
    </row>
    <row r="6560" spans="1:5" ht="15.75" customHeight="1" x14ac:dyDescent="0.25">
      <c r="A6560" s="6" t="s">
        <v>6333</v>
      </c>
      <c r="B6560" s="6" t="str">
        <f ca="1">IFERROR(__xludf.DUMMYFUNCTION("GOOGLETRANSLATE(A6560,""bn"",""en"")"),"Adventure sports like rock climbing skydiving require courage skills")</f>
        <v>Adventure sports like rock climbing skydiving require courage skills</v>
      </c>
      <c r="C6560" s="8" t="s">
        <v>13</v>
      </c>
      <c r="D6560" s="8" t="s">
        <v>14</v>
      </c>
      <c r="E6560" s="8">
        <v>1</v>
      </c>
    </row>
    <row r="6561" spans="1:5" ht="15.75" customHeight="1" x14ac:dyDescent="0.25">
      <c r="A6561" s="6" t="s">
        <v>6334</v>
      </c>
      <c r="B6561" s="6" t="str">
        <f ca="1">IFERROR(__xludf.DUMMYFUNCTION("GOOGLETRANSLATE(A6561,""bn"",""en"")"),"Having support from loved ones gives me strength")</f>
        <v>Having support from loved ones gives me strength</v>
      </c>
      <c r="C6561" s="8" t="s">
        <v>13</v>
      </c>
      <c r="D6561" s="8" t="s">
        <v>14</v>
      </c>
      <c r="E6561" s="8">
        <v>1</v>
      </c>
    </row>
    <row r="6562" spans="1:5" ht="15.75" customHeight="1" x14ac:dyDescent="0.25">
      <c r="A6562" s="6" t="s">
        <v>6335</v>
      </c>
      <c r="B6562" s="6" t="str">
        <f ca="1">IFERROR(__xludf.DUMMYFUNCTION("GOOGLETRANSLATE(A6562,""bn"",""en"")"),"Is this your new school?")</f>
        <v>Is this your new school?</v>
      </c>
      <c r="C6562" s="7" t="s">
        <v>6</v>
      </c>
      <c r="D6562" s="7" t="s">
        <v>7</v>
      </c>
      <c r="E6562" s="7">
        <v>0</v>
      </c>
    </row>
    <row r="6563" spans="1:5" ht="15.75" customHeight="1" x14ac:dyDescent="0.25">
      <c r="A6563" s="6" t="s">
        <v>6336</v>
      </c>
      <c r="B6563" s="6" t="str">
        <f ca="1">IFERROR(__xludf.DUMMYFUNCTION("GOOGLETRANSLATE(A6563,""bn"",""en"")"),"You will certainly not begrudge Abbajan's decision to meet you")</f>
        <v>You will certainly not begrudge Abbajan's decision to meet you</v>
      </c>
      <c r="C6563" s="7" t="s">
        <v>6</v>
      </c>
      <c r="D6563" s="7" t="s">
        <v>7</v>
      </c>
      <c r="E6563" s="7">
        <v>0</v>
      </c>
    </row>
    <row r="6564" spans="1:5" ht="15.75" customHeight="1" x14ac:dyDescent="0.25">
      <c r="A6564" s="6" t="s">
        <v>6337</v>
      </c>
      <c r="B6564" s="6" t="str">
        <f ca="1">IFERROR(__xludf.DUMMYFUNCTION("GOOGLETRANSLATE(A6564,""bn"",""en"")"),"This plight of Kols is very common")</f>
        <v>This plight of Kols is very common</v>
      </c>
      <c r="C6564" s="7" t="s">
        <v>6</v>
      </c>
      <c r="D6564" s="7" t="s">
        <v>7</v>
      </c>
      <c r="E6564" s="7">
        <v>0</v>
      </c>
    </row>
    <row r="6565" spans="1:5" ht="15.75" customHeight="1" x14ac:dyDescent="0.25">
      <c r="A6565" s="6" t="s">
        <v>6338</v>
      </c>
      <c r="B6565" s="6" t="str">
        <f ca="1">IFERROR(__xludf.DUMMYFUNCTION("GOOGLETRANSLATE(A6565,""bn"",""en"")"),"At that time, I looked for a sign on the side of the door, but there was nothing")</f>
        <v>At that time, I looked for a sign on the side of the door, but there was nothing</v>
      </c>
      <c r="C6565" s="7" t="s">
        <v>6</v>
      </c>
      <c r="D6565" s="7" t="s">
        <v>7</v>
      </c>
      <c r="E6565" s="7">
        <v>0</v>
      </c>
    </row>
    <row r="6566" spans="1:5" ht="15.75" customHeight="1" x14ac:dyDescent="0.25">
      <c r="A6566" s="6" t="s">
        <v>6339</v>
      </c>
      <c r="B6566" s="6" t="str">
        <f ca="1">IFERROR(__xludf.DUMMYFUNCTION("GOOGLETRANSLATE(A6566,""bn"",""en"")"),"How many times I walked with the bird, how many times I listened to this rhythm, and at last I returned to the tent in the evening")</f>
        <v>How many times I walked with the bird, how many times I listened to this rhythm, and at last I returned to the tent in the evening</v>
      </c>
      <c r="C6566" s="7" t="s">
        <v>6</v>
      </c>
      <c r="D6566" s="7" t="s">
        <v>7</v>
      </c>
      <c r="E6566" s="7">
        <v>0</v>
      </c>
    </row>
    <row r="6567" spans="1:5" ht="15.75" customHeight="1" x14ac:dyDescent="0.25">
      <c r="A6567" s="6" t="s">
        <v>6340</v>
      </c>
      <c r="B6567" s="6" t="str">
        <f ca="1">IFERROR(__xludf.DUMMYFUNCTION("GOOGLETRANSLATE(A6567,""bn"",""en"")"),"Cyber ​​security measures are essential to protect against online criminal activity")</f>
        <v>Cyber ​​security measures are essential to protect against online criminal activity</v>
      </c>
      <c r="C6567" s="8" t="s">
        <v>13</v>
      </c>
      <c r="D6567" s="8" t="s">
        <v>14</v>
      </c>
      <c r="E6567" s="8">
        <v>1</v>
      </c>
    </row>
    <row r="6568" spans="1:5" ht="15.75" customHeight="1" x14ac:dyDescent="0.25">
      <c r="A6568" s="6" t="s">
        <v>6341</v>
      </c>
      <c r="B6568" s="6" t="str">
        <f ca="1">IFERROR(__xludf.DUMMYFUNCTION("GOOGLETRANSLATE(A6568,""bn"",""en"")"),"When he came to the pond he saw his mother sitting there")</f>
        <v>When he came to the pond he saw his mother sitting there</v>
      </c>
      <c r="C6568" s="8" t="s">
        <v>13</v>
      </c>
      <c r="D6568" s="8" t="s">
        <v>14</v>
      </c>
      <c r="E6568" s="8">
        <v>1</v>
      </c>
    </row>
    <row r="6569" spans="1:5" ht="15.75" customHeight="1" x14ac:dyDescent="0.25">
      <c r="A6569" s="6" t="s">
        <v>6342</v>
      </c>
      <c r="B6569" s="6" t="str">
        <f ca="1">IFERROR(__xludf.DUMMYFUNCTION("GOOGLETRANSLATE(A6569,""bn"",""en"")"),"He died in Tokyo, Japan")</f>
        <v>He died in Tokyo, Japan</v>
      </c>
      <c r="C6569" s="8" t="s">
        <v>13</v>
      </c>
      <c r="D6569" s="8" t="s">
        <v>14</v>
      </c>
      <c r="E6569" s="8">
        <v>1</v>
      </c>
    </row>
    <row r="6570" spans="1:5" ht="15.75" customHeight="1" x14ac:dyDescent="0.25">
      <c r="A6570" s="6" t="s">
        <v>6343</v>
      </c>
      <c r="B6570" s="6" t="str">
        <f ca="1">IFERROR(__xludf.DUMMYFUNCTION("GOOGLETRANSLATE(A6570,""bn"",""en"")"),"The salesperson pitches the product to potential customers")</f>
        <v>The salesperson pitches the product to potential customers</v>
      </c>
      <c r="C6570" s="8" t="s">
        <v>13</v>
      </c>
      <c r="D6570" s="8" t="s">
        <v>14</v>
      </c>
      <c r="E6570" s="8">
        <v>1</v>
      </c>
    </row>
    <row r="6571" spans="1:5" ht="15.75" customHeight="1" x14ac:dyDescent="0.25">
      <c r="A6571" s="6" t="s">
        <v>6344</v>
      </c>
      <c r="B6571" s="6" t="str">
        <f ca="1">IFERROR(__xludf.DUMMYFUNCTION("GOOGLETRANSLATE(A6571,""bn"",""en"")"),"Jimmy Rana was talking")</f>
        <v>Jimmy Rana was talking</v>
      </c>
      <c r="C6571" s="8" t="s">
        <v>13</v>
      </c>
      <c r="D6571" s="8" t="s">
        <v>14</v>
      </c>
      <c r="E6571" s="8">
        <v>1</v>
      </c>
    </row>
    <row r="6572" spans="1:5" ht="15.75" customHeight="1" x14ac:dyDescent="0.25">
      <c r="A6572" s="6" t="s">
        <v>6345</v>
      </c>
      <c r="B6572" s="6" t="str">
        <f ca="1">IFERROR(__xludf.DUMMYFUNCTION("GOOGLETRANSLATE(A6572,""bn"",""en"")"),"do you recognize me")</f>
        <v>do you recognize me</v>
      </c>
      <c r="C6572" s="7" t="s">
        <v>6</v>
      </c>
      <c r="D6572" s="7" t="s">
        <v>7</v>
      </c>
      <c r="E6572" s="7">
        <v>0</v>
      </c>
    </row>
    <row r="6573" spans="1:5" ht="15.75" customHeight="1" x14ac:dyDescent="0.25">
      <c r="A6573" s="6" t="s">
        <v>6346</v>
      </c>
      <c r="B6573" s="6" t="str">
        <f ca="1">IFERROR(__xludf.DUMMYFUNCTION("GOOGLETRANSLATE(A6573,""bn"",""en"")"),"I could not deal with that pain even when my father was alive")</f>
        <v>I could not deal with that pain even when my father was alive</v>
      </c>
      <c r="C6573" s="7" t="s">
        <v>6</v>
      </c>
      <c r="D6573" s="7" t="s">
        <v>7</v>
      </c>
      <c r="E6573" s="7">
        <v>0</v>
      </c>
    </row>
    <row r="6574" spans="1:5" ht="15.75" customHeight="1" x14ac:dyDescent="0.25">
      <c r="A6574" s="6" t="s">
        <v>6347</v>
      </c>
      <c r="B6574" s="6" t="str">
        <f ca="1">IFERROR(__xludf.DUMMYFUNCTION("GOOGLETRANSLATE(A6574,""bn"",""en"")"),"One part of it has been cracked to a great distance and on that crack a large ashwatha tree has grown.")</f>
        <v>One part of it has been cracked to a great distance and on that crack a large ashwatha tree has grown.</v>
      </c>
      <c r="C6574" s="7" t="s">
        <v>6</v>
      </c>
      <c r="D6574" s="7" t="s">
        <v>7</v>
      </c>
      <c r="E6574" s="7">
        <v>0</v>
      </c>
    </row>
    <row r="6575" spans="1:5" ht="15.75" customHeight="1" x14ac:dyDescent="0.25">
      <c r="A6575" s="6" t="s">
        <v>6348</v>
      </c>
      <c r="B6575" s="6" t="str">
        <f ca="1">IFERROR(__xludf.DUMMYFUNCTION("GOOGLETRANSLATE(A6575,""bn"",""en"")"),"He has been able to acquire a lot of knowledge by reading books")</f>
        <v>He has been able to acquire a lot of knowledge by reading books</v>
      </c>
      <c r="C6575" s="7" t="s">
        <v>6</v>
      </c>
      <c r="D6575" s="7" t="s">
        <v>7</v>
      </c>
      <c r="E6575" s="7">
        <v>0</v>
      </c>
    </row>
    <row r="6576" spans="1:5" ht="15.75" customHeight="1" x14ac:dyDescent="0.25">
      <c r="A6576" s="6" t="s">
        <v>6349</v>
      </c>
      <c r="B6576" s="6" t="str">
        <f ca="1">IFERROR(__xludf.DUMMYFUNCTION("GOOGLETRANSLATE(A6576,""bn"",""en"")"),"I can do it better")</f>
        <v>I can do it better</v>
      </c>
      <c r="C6576" s="7" t="s">
        <v>6</v>
      </c>
      <c r="D6576" s="7" t="s">
        <v>7</v>
      </c>
      <c r="E6576" s="7">
        <v>0</v>
      </c>
    </row>
    <row r="6577" spans="1:5" ht="15.75" customHeight="1" x14ac:dyDescent="0.25">
      <c r="A6577" s="6" t="s">
        <v>6350</v>
      </c>
      <c r="B6577" s="6" t="str">
        <f ca="1">IFERROR(__xludf.DUMMYFUNCTION("GOOGLETRANSLATE(A6577,""bn"",""en"")"),"Retweet to spread awareness")</f>
        <v>Retweet to spread awareness</v>
      </c>
      <c r="C6577" s="8" t="s">
        <v>13</v>
      </c>
      <c r="D6577" s="8" t="s">
        <v>14</v>
      </c>
      <c r="E6577" s="8">
        <v>1</v>
      </c>
    </row>
    <row r="6578" spans="1:5" ht="15.75" customHeight="1" x14ac:dyDescent="0.25">
      <c r="A6578" s="6" t="s">
        <v>6351</v>
      </c>
      <c r="B6578" s="6" t="str">
        <f ca="1">IFERROR(__xludf.DUMMYFUNCTION("GOOGLETRANSLATE(A6578,""bn"",""en"")"),"He was born in a poor house")</f>
        <v>He was born in a poor house</v>
      </c>
      <c r="C6578" s="8" t="s">
        <v>13</v>
      </c>
      <c r="D6578" s="8" t="s">
        <v>14</v>
      </c>
      <c r="E6578" s="8">
        <v>1</v>
      </c>
    </row>
    <row r="6579" spans="1:5" ht="15.75" customHeight="1" x14ac:dyDescent="0.25">
      <c r="A6579" s="6" t="s">
        <v>6352</v>
      </c>
      <c r="B6579" s="6" t="str">
        <f ca="1">IFERROR(__xludf.DUMMYFUNCTION("GOOGLETRANSLATE(A6579,""bn"",""en"")"),"Rony Sahib will spend the rest of his life in comfort")</f>
        <v>Rony Sahib will spend the rest of his life in comfort</v>
      </c>
      <c r="C6579" s="8" t="s">
        <v>13</v>
      </c>
      <c r="D6579" s="8" t="s">
        <v>14</v>
      </c>
      <c r="E6579" s="8">
        <v>1</v>
      </c>
    </row>
    <row r="6580" spans="1:5" ht="15.75" customHeight="1" x14ac:dyDescent="0.25">
      <c r="A6580" s="6" t="s">
        <v>6353</v>
      </c>
      <c r="B6580" s="6" t="str">
        <f ca="1">IFERROR(__xludf.DUMMYFUNCTION("GOOGLETRANSLATE(A6580,""bn"",""en"")"),"They would catch themselves")</f>
        <v>They would catch themselves</v>
      </c>
      <c r="C6580" s="8" t="s">
        <v>13</v>
      </c>
      <c r="D6580" s="8" t="s">
        <v>14</v>
      </c>
      <c r="E6580" s="8">
        <v>1</v>
      </c>
    </row>
    <row r="6581" spans="1:5" ht="15.75" customHeight="1" x14ac:dyDescent="0.25">
      <c r="A6581" s="6" t="s">
        <v>6354</v>
      </c>
      <c r="B6581" s="6" t="str">
        <f ca="1">IFERROR(__xludf.DUMMYFUNCTION("GOOGLETRANSLATE(A6581,""bn"",""en"")"),"Molly will eat rice and go to school")</f>
        <v>Molly will eat rice and go to school</v>
      </c>
      <c r="C6581" s="8" t="s">
        <v>13</v>
      </c>
      <c r="D6581" s="8" t="s">
        <v>14</v>
      </c>
      <c r="E6581" s="8">
        <v>1</v>
      </c>
    </row>
    <row r="6582" spans="1:5" ht="15.75" customHeight="1" x14ac:dyDescent="0.25">
      <c r="A6582" s="6" t="s">
        <v>6355</v>
      </c>
      <c r="B6582" s="6" t="str">
        <f ca="1">IFERROR(__xludf.DUMMYFUNCTION("GOOGLETRANSLATE(A6582,""bn"",""en"")"),"I called him but he didn't come")</f>
        <v>I called him but he didn't come</v>
      </c>
      <c r="C6582" s="7" t="s">
        <v>6</v>
      </c>
      <c r="D6582" s="7" t="s">
        <v>7</v>
      </c>
      <c r="E6582" s="7">
        <v>0</v>
      </c>
    </row>
    <row r="6583" spans="1:5" ht="15.75" customHeight="1" x14ac:dyDescent="0.25">
      <c r="A6583" s="6" t="s">
        <v>6356</v>
      </c>
      <c r="B6583" s="6" t="str">
        <f ca="1">IFERROR(__xludf.DUMMYFUNCTION("GOOGLETRANSLATE(A6583,""bn"",""en"")"),"Moua trees live together in large numbers")</f>
        <v>Moua trees live together in large numbers</v>
      </c>
      <c r="C6583" s="7" t="s">
        <v>6</v>
      </c>
      <c r="D6583" s="7" t="s">
        <v>7</v>
      </c>
      <c r="E6583" s="7">
        <v>0</v>
      </c>
    </row>
    <row r="6584" spans="1:5" ht="15.75" customHeight="1" x14ac:dyDescent="0.25">
      <c r="A6584" s="6" t="s">
        <v>6357</v>
      </c>
      <c r="B6584" s="6" t="str">
        <f ca="1">IFERROR(__xludf.DUMMYFUNCTION("GOOGLETRANSLATE(A6584,""bn"",""en"")"),"He breathed a sigh of relief after a long day of work in the evening")</f>
        <v>He breathed a sigh of relief after a long day of work in the evening</v>
      </c>
      <c r="C6584" s="7" t="s">
        <v>6</v>
      </c>
      <c r="D6584" s="7" t="s">
        <v>7</v>
      </c>
      <c r="E6584" s="7">
        <v>0</v>
      </c>
    </row>
    <row r="6585" spans="1:5" ht="15.75" customHeight="1" x14ac:dyDescent="0.25">
      <c r="A6585" s="6" t="s">
        <v>6358</v>
      </c>
      <c r="B6585" s="6" t="str">
        <f ca="1">IFERROR(__xludf.DUMMYFUNCTION("GOOGLETRANSLATE(A6585,""bn"",""en"")"),"Rupa came and sat near us")</f>
        <v>Rupa came and sat near us</v>
      </c>
      <c r="C6585" s="7" t="s">
        <v>6</v>
      </c>
      <c r="D6585" s="7" t="s">
        <v>7</v>
      </c>
      <c r="E6585" s="7">
        <v>0</v>
      </c>
    </row>
    <row r="6586" spans="1:5" ht="15.75" customHeight="1" x14ac:dyDescent="0.25">
      <c r="A6586" s="6" t="s">
        <v>2394</v>
      </c>
      <c r="B6586" s="6" t="str">
        <f ca="1">IFERROR(__xludf.DUMMYFUNCTION("GOOGLETRANSLATE(A6586,""bn"",""en"")"),"At first it seemed that the person who wrote the messenger might have been attracted to this species of bird")</f>
        <v>At first it seemed that the person who wrote the messenger might have been attracted to this species of bird</v>
      </c>
      <c r="C6586" s="7" t="s">
        <v>6</v>
      </c>
      <c r="D6586" s="7" t="s">
        <v>7</v>
      </c>
      <c r="E6586" s="7">
        <v>0</v>
      </c>
    </row>
    <row r="6587" spans="1:5" ht="15.75" customHeight="1" x14ac:dyDescent="0.25">
      <c r="A6587" s="6" t="s">
        <v>6359</v>
      </c>
      <c r="B6587" s="6" t="str">
        <f ca="1">IFERROR(__xludf.DUMMYFUNCTION("GOOGLETRANSLATE(A6587,""bn"",""en"")"),"Saving for retirement should start as early as possible to take advantage of compound interest")</f>
        <v>Saving for retirement should start as early as possible to take advantage of compound interest</v>
      </c>
      <c r="C6587" s="8" t="s">
        <v>13</v>
      </c>
      <c r="D6587" s="8" t="s">
        <v>14</v>
      </c>
      <c r="E6587" s="8">
        <v>1</v>
      </c>
    </row>
    <row r="6588" spans="1:5" ht="15.75" customHeight="1" x14ac:dyDescent="0.25">
      <c r="A6588" s="6" t="s">
        <v>6360</v>
      </c>
      <c r="B6588" s="6" t="str">
        <f ca="1">IFERROR(__xludf.DUMMYFUNCTION("GOOGLETRANSLATE(A6588,""bn"",""en"")"),"Green was playing football with Susan")</f>
        <v>Green was playing football with Susan</v>
      </c>
      <c r="C6588" s="8" t="s">
        <v>13</v>
      </c>
      <c r="D6588" s="8" t="s">
        <v>14</v>
      </c>
      <c r="E6588" s="8">
        <v>1</v>
      </c>
    </row>
    <row r="6589" spans="1:5" ht="15.75" customHeight="1" x14ac:dyDescent="0.25">
      <c r="A6589" s="6" t="s">
        <v>6361</v>
      </c>
      <c r="B6589" s="6" t="str">
        <f ca="1">IFERROR(__xludf.DUMMYFUNCTION("GOOGLETRANSLATE(A6589,""bn"",""en"")"),"He was a brilliant striker")</f>
        <v>He was a brilliant striker</v>
      </c>
      <c r="C6589" s="8" t="s">
        <v>13</v>
      </c>
      <c r="D6589" s="8" t="s">
        <v>14</v>
      </c>
      <c r="E6589" s="8">
        <v>1</v>
      </c>
    </row>
    <row r="6590" spans="1:5" ht="15.75" customHeight="1" x14ac:dyDescent="0.25">
      <c r="A6590" s="6" t="s">
        <v>6362</v>
      </c>
      <c r="B6590" s="6" t="str">
        <f ca="1">IFERROR(__xludf.DUMMYFUNCTION("GOOGLETRANSLATE(A6590,""bn"",""en"")"),"We need to verify the transaction before proceeding")</f>
        <v>We need to verify the transaction before proceeding</v>
      </c>
      <c r="C6590" s="8" t="s">
        <v>13</v>
      </c>
      <c r="D6590" s="8" t="s">
        <v>14</v>
      </c>
      <c r="E6590" s="8">
        <v>1</v>
      </c>
    </row>
    <row r="6591" spans="1:5" ht="15.75" customHeight="1" x14ac:dyDescent="0.25">
      <c r="A6591" s="6" t="s">
        <v>6363</v>
      </c>
      <c r="B6591" s="6" t="str">
        <f ca="1">IFERROR(__xludf.DUMMYFUNCTION("GOOGLETRANSLATE(A6591,""bn"",""en"")"),"Electrician installs light fixtures in newly renovated house")</f>
        <v>Electrician installs light fixtures in newly renovated house</v>
      </c>
      <c r="C6591" s="8" t="s">
        <v>13</v>
      </c>
      <c r="D6591" s="8" t="s">
        <v>14</v>
      </c>
      <c r="E6591" s="8">
        <v>1</v>
      </c>
    </row>
    <row r="6592" spans="1:5" ht="15.75" customHeight="1" x14ac:dyDescent="0.25">
      <c r="A6592" s="6" t="s">
        <v>2640</v>
      </c>
      <c r="B6592" s="6" t="str">
        <f ca="1">IFERROR(__xludf.DUMMYFUNCTION("GOOGLETRANSLATE(A6592,""bn"",""en"")"),"At least in my eyes, Roopban is just as beautiful as the lap in the homeland")</f>
        <v>At least in my eyes, Roopban is just as beautiful as the lap in the homeland</v>
      </c>
      <c r="C6592" s="7" t="s">
        <v>6</v>
      </c>
      <c r="D6592" s="7" t="s">
        <v>7</v>
      </c>
      <c r="E6592" s="7">
        <v>0</v>
      </c>
    </row>
    <row r="6593" spans="1:5" ht="15.75" customHeight="1" x14ac:dyDescent="0.25">
      <c r="A6593" s="6" t="s">
        <v>6364</v>
      </c>
      <c r="B6593" s="6" t="str">
        <f ca="1">IFERROR(__xludf.DUMMYFUNCTION("GOOGLETRANSLATE(A6593,""bn"",""en"")"),"Even the servants look down on him")</f>
        <v>Even the servants look down on him</v>
      </c>
      <c r="C6593" s="7" t="s">
        <v>6</v>
      </c>
      <c r="D6593" s="7" t="s">
        <v>7</v>
      </c>
      <c r="E6593" s="7">
        <v>0</v>
      </c>
    </row>
    <row r="6594" spans="1:5" ht="15.75" customHeight="1" x14ac:dyDescent="0.25">
      <c r="A6594" s="6" t="s">
        <v>3582</v>
      </c>
      <c r="B6594" s="6" t="str">
        <f ca="1">IFERROR(__xludf.DUMMYFUNCTION("GOOGLETRANSLATE(A6594,""bn"",""en"")"),"Maua flowers are used as a delicacy in the Palamau region")</f>
        <v>Maua flowers are used as a delicacy in the Palamau region</v>
      </c>
      <c r="C6594" s="7" t="s">
        <v>6</v>
      </c>
      <c r="D6594" s="7" t="s">
        <v>7</v>
      </c>
      <c r="E6594" s="7">
        <v>0</v>
      </c>
    </row>
    <row r="6595" spans="1:5" ht="15.75" customHeight="1" x14ac:dyDescent="0.25">
      <c r="A6595" s="6" t="s">
        <v>6365</v>
      </c>
      <c r="B6595" s="6" t="str">
        <f ca="1">IFERROR(__xludf.DUMMYFUNCTION("GOOGLETRANSLATE(A6595,""bn"",""en"")"),"There is a delay in that development in Koldig")</f>
        <v>There is a delay in that development in Koldig</v>
      </c>
      <c r="C6595" s="7" t="s">
        <v>6</v>
      </c>
      <c r="D6595" s="7" t="s">
        <v>7</v>
      </c>
      <c r="E6595" s="7">
        <v>0</v>
      </c>
    </row>
    <row r="6596" spans="1:5" ht="15.75" customHeight="1" x14ac:dyDescent="0.25">
      <c r="A6596" s="6" t="s">
        <v>6366</v>
      </c>
      <c r="B6596" s="6" t="str">
        <f ca="1">IFERROR(__xludf.DUMMYFUNCTION("GOOGLETRANSLATE(A6596,""bn"",""en"")"),"This time you have an exam, your studies may be disrupted")</f>
        <v>This time you have an exam, your studies may be disrupted</v>
      </c>
      <c r="C6596" s="7" t="s">
        <v>6</v>
      </c>
      <c r="D6596" s="7" t="s">
        <v>7</v>
      </c>
      <c r="E6596" s="7">
        <v>0</v>
      </c>
    </row>
    <row r="6597" spans="1:5" ht="15.75" customHeight="1" x14ac:dyDescent="0.25">
      <c r="A6597" s="6" t="s">
        <v>6367</v>
      </c>
      <c r="B6597" s="6" t="str">
        <f ca="1">IFERROR(__xludf.DUMMYFUNCTION("GOOGLETRANSLATE(A6597,""bn"",""en"")"),"Livestock grazing management is critical to maintaining pasture health and productivity")</f>
        <v>Livestock grazing management is critical to maintaining pasture health and productivity</v>
      </c>
      <c r="C6597" s="8" t="s">
        <v>13</v>
      </c>
      <c r="D6597" s="8" t="s">
        <v>14</v>
      </c>
      <c r="E6597" s="8">
        <v>1</v>
      </c>
    </row>
    <row r="6598" spans="1:5" ht="15.75" customHeight="1" x14ac:dyDescent="0.25">
      <c r="A6598" s="6" t="s">
        <v>6368</v>
      </c>
      <c r="B6598" s="6" t="str">
        <f ca="1">IFERROR(__xludf.DUMMYFUNCTION("GOOGLETRANSLATE(A6598,""bn"",""en"")"),"did you go to them")</f>
        <v>did you go to them</v>
      </c>
      <c r="C6598" s="8" t="s">
        <v>13</v>
      </c>
      <c r="D6598" s="8" t="s">
        <v>14</v>
      </c>
      <c r="E6598" s="8">
        <v>1</v>
      </c>
    </row>
    <row r="6599" spans="1:5" ht="15.75" customHeight="1" x14ac:dyDescent="0.25">
      <c r="A6599" s="6" t="s">
        <v>6369</v>
      </c>
      <c r="B6599" s="6" t="str">
        <f ca="1">IFERROR(__xludf.DUMMYFUNCTION("GOOGLETRANSLATE(A6599,""bn"",""en"")"),"I was only eight years old")</f>
        <v>I was only eight years old</v>
      </c>
      <c r="C6599" s="8" t="s">
        <v>13</v>
      </c>
      <c r="D6599" s="8" t="s">
        <v>14</v>
      </c>
      <c r="E6599" s="8">
        <v>1</v>
      </c>
    </row>
    <row r="6600" spans="1:5" ht="15.75" customHeight="1" x14ac:dyDescent="0.25">
      <c r="A6600" s="6" t="s">
        <v>6370</v>
      </c>
      <c r="B6600" s="6" t="str">
        <f ca="1">IFERROR(__xludf.DUMMYFUNCTION("GOOGLETRANSLATE(A6600,""bn"",""en"")"),"Differentiated assessment approach accommodates diverse learners")</f>
        <v>Differentiated assessment approach accommodates diverse learners</v>
      </c>
      <c r="C6600" s="8" t="s">
        <v>13</v>
      </c>
      <c r="D6600" s="8" t="s">
        <v>14</v>
      </c>
      <c r="E6600" s="8">
        <v>1</v>
      </c>
    </row>
    <row r="6601" spans="1:5" ht="15.75" customHeight="1" x14ac:dyDescent="0.25">
      <c r="A6601" s="6" t="s">
        <v>6371</v>
      </c>
      <c r="B6601" s="6" t="str">
        <f ca="1">IFERROR(__xludf.DUMMYFUNCTION("GOOGLETRANSLATE(A6601,""bn"",""en"")"),"Don't be afraid to ask for help if you need it")</f>
        <v>Don't be afraid to ask for help if you need it</v>
      </c>
      <c r="C6601" s="8" t="s">
        <v>13</v>
      </c>
      <c r="D6601" s="8" t="s">
        <v>14</v>
      </c>
      <c r="E6601" s="8">
        <v>1</v>
      </c>
    </row>
    <row r="6602" spans="1:5" ht="15.75" customHeight="1" x14ac:dyDescent="0.25">
      <c r="A6602" s="6" t="s">
        <v>6372</v>
      </c>
      <c r="B6602" s="6" t="str">
        <f ca="1">IFERROR(__xludf.DUMMYFUNCTION("GOOGLETRANSLATE(A6602,""bn"",""en"")"),"Saying and forcefully dragged him into the cabin")</f>
        <v>Saying and forcefully dragged him into the cabin</v>
      </c>
      <c r="C6602" s="7" t="s">
        <v>6</v>
      </c>
      <c r="D6602" s="7" t="s">
        <v>7</v>
      </c>
      <c r="E6602" s="7">
        <v>0</v>
      </c>
    </row>
    <row r="6603" spans="1:5" ht="15.75" customHeight="1" x14ac:dyDescent="0.25">
      <c r="A6603" s="6" t="s">
        <v>6373</v>
      </c>
      <c r="B6603" s="6" t="str">
        <f ca="1">IFERROR(__xludf.DUMMYFUNCTION("GOOGLETRANSLATE(A6603,""bn"",""en"")"),"In the afternoon I saw a car passing by a beautiful mountain")</f>
        <v>In the afternoon I saw a car passing by a beautiful mountain</v>
      </c>
      <c r="C6603" s="7" t="s">
        <v>6</v>
      </c>
      <c r="D6603" s="7" t="s">
        <v>7</v>
      </c>
      <c r="E6603" s="7">
        <v>0</v>
      </c>
    </row>
    <row r="6604" spans="1:5" ht="15.75" customHeight="1" x14ac:dyDescent="0.25">
      <c r="A6604" s="6" t="s">
        <v>6374</v>
      </c>
      <c r="B6604" s="6" t="str">
        <f ca="1">IFERROR(__xludf.DUMMYFUNCTION("GOOGLETRANSLATE(A6604,""bn"",""en"")"),"After the dance started, an old man from the stage began rehearsing a song in a trembling voice")</f>
        <v>After the dance started, an old man from the stage began rehearsing a song in a trembling voice</v>
      </c>
      <c r="C6604" s="7" t="s">
        <v>6</v>
      </c>
      <c r="D6604" s="7" t="s">
        <v>7</v>
      </c>
      <c r="E6604" s="7">
        <v>0</v>
      </c>
    </row>
    <row r="6605" spans="1:5" ht="15.75" customHeight="1" x14ac:dyDescent="0.25">
      <c r="A6605" s="6" t="s">
        <v>6375</v>
      </c>
      <c r="B6605" s="6" t="str">
        <f ca="1">IFERROR(__xludf.DUMMYFUNCTION("GOOGLETRANSLATE(A6605,""bn"",""en"")"),"All his acquaintance with the world is in the book")</f>
        <v>All his acquaintance with the world is in the book</v>
      </c>
      <c r="C6605" s="7" t="s">
        <v>6</v>
      </c>
      <c r="D6605" s="7" t="s">
        <v>7</v>
      </c>
      <c r="E6605" s="7">
        <v>0</v>
      </c>
    </row>
    <row r="6606" spans="1:5" ht="15.75" customHeight="1" x14ac:dyDescent="0.25">
      <c r="A6606" s="6" t="s">
        <v>6376</v>
      </c>
      <c r="B6606" s="6" t="str">
        <f ca="1">IFERROR(__xludf.DUMMYFUNCTION("GOOGLETRANSLATE(A6606,""bn"",""en"")"),"There is no shortage of donors in this case")</f>
        <v>There is no shortage of donors in this case</v>
      </c>
      <c r="C6606" s="7" t="s">
        <v>6</v>
      </c>
      <c r="D6606" s="7" t="s">
        <v>7</v>
      </c>
      <c r="E6606" s="7">
        <v>0</v>
      </c>
    </row>
    <row r="6607" spans="1:5" ht="15.75" customHeight="1" x14ac:dyDescent="0.25">
      <c r="A6607" s="6" t="s">
        <v>6377</v>
      </c>
      <c r="B6607" s="6" t="str">
        <f ca="1">IFERROR(__xludf.DUMMYFUNCTION("GOOGLETRANSLATE(A6607,""bn"",""en"")"),"Testified by dead samurai")</f>
        <v>Testified by dead samurai</v>
      </c>
      <c r="C6607" s="8" t="s">
        <v>13</v>
      </c>
      <c r="D6607" s="8" t="s">
        <v>14</v>
      </c>
      <c r="E6607" s="8">
        <v>1</v>
      </c>
    </row>
    <row r="6608" spans="1:5" ht="15.75" customHeight="1" x14ac:dyDescent="0.25">
      <c r="A6608" s="6" t="s">
        <v>6378</v>
      </c>
      <c r="B6608" s="6" t="str">
        <f ca="1">IFERROR(__xludf.DUMMYFUNCTION("GOOGLETRANSLATE(A6608,""bn"",""en"")"),"A swan watches the procession torches in amazement")</f>
        <v>A swan watches the procession torches in amazement</v>
      </c>
      <c r="C6608" s="8" t="s">
        <v>13</v>
      </c>
      <c r="D6608" s="8" t="s">
        <v>14</v>
      </c>
      <c r="E6608" s="8">
        <v>1</v>
      </c>
    </row>
    <row r="6609" spans="1:5" ht="15.75" customHeight="1" x14ac:dyDescent="0.25">
      <c r="A6609" s="6" t="s">
        <v>6379</v>
      </c>
      <c r="B6609" s="6" t="str">
        <f ca="1">IFERROR(__xludf.DUMMYFUNCTION("GOOGLETRANSLATE(A6609,""bn"",""en"")"),"I feel very helpless at this moment")</f>
        <v>I feel very helpless at this moment</v>
      </c>
      <c r="C6609" s="8" t="s">
        <v>13</v>
      </c>
      <c r="D6609" s="8" t="s">
        <v>14</v>
      </c>
      <c r="E6609" s="8">
        <v>1</v>
      </c>
    </row>
    <row r="6610" spans="1:5" ht="15.75" customHeight="1" x14ac:dyDescent="0.25">
      <c r="A6610" s="6" t="s">
        <v>6380</v>
      </c>
      <c r="B6610" s="6" t="str">
        <f ca="1">IFERROR(__xludf.DUMMYFUNCTION("GOOGLETRANSLATE(A6610,""bn"",""en"")"),"The house was stunned by his untimely death")</f>
        <v>The house was stunned by his untimely death</v>
      </c>
      <c r="C6610" s="8" t="s">
        <v>13</v>
      </c>
      <c r="D6610" s="8" t="s">
        <v>14</v>
      </c>
      <c r="E6610" s="8">
        <v>1</v>
      </c>
    </row>
    <row r="6611" spans="1:5" ht="15.75" customHeight="1" x14ac:dyDescent="0.25">
      <c r="A6611" s="6" t="s">
        <v>6381</v>
      </c>
      <c r="B6611" s="6" t="str">
        <f ca="1">IFERROR(__xludf.DUMMYFUNCTION("GOOGLETRANSLATE(A6611,""bn"",""en"")"),"He was so tired that day that he fell unconscious in a deep sleep")</f>
        <v>He was so tired that day that he fell unconscious in a deep sleep</v>
      </c>
      <c r="C6611" s="8" t="s">
        <v>13</v>
      </c>
      <c r="D6611" s="8" t="s">
        <v>14</v>
      </c>
      <c r="E6611" s="8">
        <v>1</v>
      </c>
    </row>
    <row r="6612" spans="1:5" ht="15.75" customHeight="1" x14ac:dyDescent="0.25">
      <c r="A6612" s="6" t="s">
        <v>6382</v>
      </c>
      <c r="B6612" s="6" t="str">
        <f ca="1">IFERROR(__xludf.DUMMYFUNCTION("GOOGLETRANSLATE(A6612,""bn"",""en"")"),"He told me that his mother was very ill")</f>
        <v>He told me that his mother was very ill</v>
      </c>
      <c r="C6612" s="7" t="s">
        <v>6</v>
      </c>
      <c r="D6612" s="7" t="s">
        <v>7</v>
      </c>
      <c r="E6612" s="7">
        <v>0</v>
      </c>
    </row>
    <row r="6613" spans="1:5" ht="15.75" customHeight="1" x14ac:dyDescent="0.25">
      <c r="A6613" s="6" t="s">
        <v>6383</v>
      </c>
      <c r="B6613" s="6" t="str">
        <f ca="1">IFERROR(__xludf.DUMMYFUNCTION("GOOGLETRANSLATE(A6613,""bn"",""en"")"),"It has been a very good year")</f>
        <v>It has been a very good year</v>
      </c>
      <c r="C6613" s="7" t="s">
        <v>6</v>
      </c>
      <c r="D6613" s="7" t="s">
        <v>7</v>
      </c>
      <c r="E6613" s="7">
        <v>0</v>
      </c>
    </row>
    <row r="6614" spans="1:5" ht="15.75" customHeight="1" x14ac:dyDescent="0.25">
      <c r="A6614" s="6" t="s">
        <v>6384</v>
      </c>
      <c r="B6614" s="6" t="str">
        <f ca="1">IFERROR(__xludf.DUMMYFUNCTION("GOOGLETRANSLATE(A6614,""bn"",""en"")"),"Harimohan was very angry with his daughter-in-law")</f>
        <v>Harimohan was very angry with his daughter-in-law</v>
      </c>
      <c r="C6614" s="7" t="s">
        <v>6</v>
      </c>
      <c r="D6614" s="7" t="s">
        <v>7</v>
      </c>
      <c r="E6614" s="7">
        <v>0</v>
      </c>
    </row>
    <row r="6615" spans="1:5" ht="15.75" customHeight="1" x14ac:dyDescent="0.25">
      <c r="A6615" s="6" t="s">
        <v>6385</v>
      </c>
      <c r="B6615" s="6" t="str">
        <f ca="1">IFERROR(__xludf.DUMMYFUNCTION("GOOGLETRANSLATE(A6615,""bn"",""en"")"),"The moon is smiling from the sky, I am smiling sitting in the darkness of the bamboo")</f>
        <v>The moon is smiling from the sky, I am smiling sitting in the darkness of the bamboo</v>
      </c>
      <c r="C6615" s="7" t="s">
        <v>6</v>
      </c>
      <c r="D6615" s="7" t="s">
        <v>7</v>
      </c>
      <c r="E6615" s="7">
        <v>0</v>
      </c>
    </row>
    <row r="6616" spans="1:5" ht="15.75" customHeight="1" x14ac:dyDescent="0.25">
      <c r="A6616" s="6" t="s">
        <v>6386</v>
      </c>
      <c r="B6616" s="6" t="str">
        <f ca="1">IFERROR(__xludf.DUMMYFUNCTION("GOOGLETRANSLATE(A6616,""bn"",""en"")"),"Nitai Sudev they are talking not everyone is talking only in Sashi's mouth")</f>
        <v>Nitai Sudev they are talking not everyone is talking only in Sashi's mouth</v>
      </c>
      <c r="C6616" s="7" t="s">
        <v>6</v>
      </c>
      <c r="D6616" s="7" t="s">
        <v>7</v>
      </c>
      <c r="E6616" s="7">
        <v>0</v>
      </c>
    </row>
    <row r="6617" spans="1:5" ht="15.75" customHeight="1" x14ac:dyDescent="0.25">
      <c r="A6617" s="6" t="s">
        <v>6387</v>
      </c>
      <c r="B6617" s="6" t="str">
        <f ca="1">IFERROR(__xludf.DUMMYFUNCTION("GOOGLETRANSLATE(A6617,""bn"",""en"")"),"My mother was proud of me for taking responsibility on my shoulders at the age of eight")</f>
        <v>My mother was proud of me for taking responsibility on my shoulders at the age of eight</v>
      </c>
      <c r="C6617" s="8" t="s">
        <v>13</v>
      </c>
      <c r="D6617" s="8" t="s">
        <v>14</v>
      </c>
      <c r="E6617" s="8">
        <v>1</v>
      </c>
    </row>
    <row r="6618" spans="1:5" ht="15.75" customHeight="1" x14ac:dyDescent="0.25">
      <c r="A6618" s="6" t="s">
        <v>6388</v>
      </c>
      <c r="B6618" s="6" t="str">
        <f ca="1">IFERROR(__xludf.DUMMYFUNCTION("GOOGLETRANSLATE(A6618,""bn"",""en"")"),"Education policy should prioritize equality of access for all students")</f>
        <v>Education policy should prioritize equality of access for all students</v>
      </c>
      <c r="C6618" s="8" t="s">
        <v>13</v>
      </c>
      <c r="D6618" s="8" t="s">
        <v>14</v>
      </c>
      <c r="E6618" s="8">
        <v>1</v>
      </c>
    </row>
    <row r="6619" spans="1:5" ht="15.75" customHeight="1" x14ac:dyDescent="0.25">
      <c r="A6619" s="6" t="s">
        <v>6389</v>
      </c>
      <c r="B6619" s="6" t="str">
        <f ca="1">IFERROR(__xludf.DUMMYFUNCTION("GOOGLETRANSLATE(A6619,""bn"",""en"")"),"will you play with me")</f>
        <v>will you play with me</v>
      </c>
      <c r="C6619" s="8" t="s">
        <v>13</v>
      </c>
      <c r="D6619" s="8" t="s">
        <v>14</v>
      </c>
      <c r="E6619" s="8">
        <v>1</v>
      </c>
    </row>
    <row r="6620" spans="1:5" ht="15.75" customHeight="1" x14ac:dyDescent="0.25">
      <c r="A6620" s="6" t="s">
        <v>6390</v>
      </c>
      <c r="B6620" s="6" t="str">
        <f ca="1">IFERROR(__xludf.DUMMYFUNCTION("GOOGLETRANSLATE(A6620,""bn"",""en"")"),"However, due to bad weather, not much progress has been made so far")</f>
        <v>However, due to bad weather, not much progress has been made so far</v>
      </c>
      <c r="C6620" s="8" t="s">
        <v>13</v>
      </c>
      <c r="D6620" s="8" t="s">
        <v>14</v>
      </c>
      <c r="E6620" s="8">
        <v>1</v>
      </c>
    </row>
    <row r="6621" spans="1:5" ht="15.75" customHeight="1" x14ac:dyDescent="0.25">
      <c r="A6621" s="6" t="s">
        <v>6391</v>
      </c>
      <c r="B6621" s="6" t="str">
        <f ca="1">IFERROR(__xludf.DUMMYFUNCTION("GOOGLETRANSLATE(A6621,""bn"",""en"")"),"He was studying at home very attentively")</f>
        <v>He was studying at home very attentively</v>
      </c>
      <c r="C6621" s="8" t="s">
        <v>13</v>
      </c>
      <c r="D6621" s="8" t="s">
        <v>14</v>
      </c>
      <c r="E6621" s="8">
        <v>1</v>
      </c>
    </row>
    <row r="6622" spans="1:5" ht="15.75" customHeight="1" x14ac:dyDescent="0.25">
      <c r="A6622" s="6" t="s">
        <v>6392</v>
      </c>
      <c r="B6622" s="6" t="str">
        <f ca="1">IFERROR(__xludf.DUMMYFUNCTION("GOOGLETRANSLATE(A6622,""bn"",""en"")"),"I finished reading before going to school")</f>
        <v>I finished reading before going to school</v>
      </c>
      <c r="C6622" s="7" t="s">
        <v>6</v>
      </c>
      <c r="D6622" s="7" t="s">
        <v>7</v>
      </c>
      <c r="E6622" s="7">
        <v>0</v>
      </c>
    </row>
    <row r="6623" spans="1:5" ht="15.75" customHeight="1" x14ac:dyDescent="0.25">
      <c r="A6623" s="6" t="s">
        <v>6393</v>
      </c>
      <c r="B6623" s="6" t="str">
        <f ca="1">IFERROR(__xludf.DUMMYFUNCTION("GOOGLETRANSLATE(A6623,""bn"",""en"")"),"Angrily, he said, Aspardha is not less, Jhi, I will go and open the door, but you can't")</f>
        <v>Angrily, he said, Aspardha is not less, Jhi, I will go and open the door, but you can't</v>
      </c>
      <c r="C6623" s="7" t="s">
        <v>6</v>
      </c>
      <c r="D6623" s="7" t="s">
        <v>7</v>
      </c>
      <c r="E6623" s="7">
        <v>0</v>
      </c>
    </row>
    <row r="6624" spans="1:5" ht="15.75" customHeight="1" x14ac:dyDescent="0.25">
      <c r="A6624" s="6" t="s">
        <v>6394</v>
      </c>
      <c r="B6624" s="6" t="str">
        <f ca="1">IFERROR(__xludf.DUMMYFUNCTION("GOOGLETRANSLATE(A6624,""bn"",""en"")"),"He took the newspaper from the table and went into the outer room")</f>
        <v>He took the newspaper from the table and went into the outer room</v>
      </c>
      <c r="C6624" s="7" t="s">
        <v>6</v>
      </c>
      <c r="D6624" s="7" t="s">
        <v>7</v>
      </c>
      <c r="E6624" s="7">
        <v>0</v>
      </c>
    </row>
    <row r="6625" spans="1:5" ht="15.75" customHeight="1" x14ac:dyDescent="0.25">
      <c r="A6625" s="6" t="s">
        <v>6395</v>
      </c>
      <c r="B6625" s="6" t="str">
        <f ca="1">IFERROR(__xludf.DUMMYFUNCTION("GOOGLETRANSLATE(A6625,""bn"",""en"")"),"Gopal's bad name about Jamini Kaviraj's wife may be false but Lok Gopal is not good")</f>
        <v>Gopal's bad name about Jamini Kaviraj's wife may be false but Lok Gopal is not good</v>
      </c>
      <c r="C6625" s="7" t="s">
        <v>6</v>
      </c>
      <c r="D6625" s="7" t="s">
        <v>7</v>
      </c>
      <c r="E6625" s="7">
        <v>0</v>
      </c>
    </row>
    <row r="6626" spans="1:5" ht="15.75" customHeight="1" x14ac:dyDescent="0.25">
      <c r="A6626" s="6" t="s">
        <v>3554</v>
      </c>
      <c r="B6626" s="6" t="str">
        <f ca="1">IFERROR(__xludf.DUMMYFUNCTION("GOOGLETRANSLATE(A6626,""bn"",""en"")"),"At this age, you want to say whatever you feel")</f>
        <v>At this age, you want to say whatever you feel</v>
      </c>
      <c r="C6626" s="7" t="s">
        <v>6</v>
      </c>
      <c r="D6626" s="7" t="s">
        <v>7</v>
      </c>
      <c r="E6626" s="7">
        <v>0</v>
      </c>
    </row>
    <row r="6627" spans="1:5" ht="15.75" customHeight="1" x14ac:dyDescent="0.25">
      <c r="A6627" s="6" t="s">
        <v>6396</v>
      </c>
      <c r="B6627" s="6" t="str">
        <f ca="1">IFERROR(__xludf.DUMMYFUNCTION("GOOGLETRANSLATE(A6627,""bn"",""en"")"),"He has lied in the last twenty-five years - I don't remember it")</f>
        <v>He has lied in the last twenty-five years - I don't remember it</v>
      </c>
      <c r="C6627" s="8" t="s">
        <v>13</v>
      </c>
      <c r="D6627" s="8" t="s">
        <v>14</v>
      </c>
      <c r="E6627" s="8">
        <v>1</v>
      </c>
    </row>
    <row r="6628" spans="1:5" ht="15.75" customHeight="1" x14ac:dyDescent="0.25">
      <c r="A6628" s="6" t="s">
        <v>6397</v>
      </c>
      <c r="B6628" s="6" t="str">
        <f ca="1">IFERROR(__xludf.DUMMYFUNCTION("GOOGLETRANSLATE(A6628,""bn"",""en"")"),"The subway system is a lifesaver for daily commuting in the city")</f>
        <v>The subway system is a lifesaver for daily commuting in the city</v>
      </c>
      <c r="C6628" s="8" t="s">
        <v>13</v>
      </c>
      <c r="D6628" s="8" t="s">
        <v>14</v>
      </c>
      <c r="E6628" s="8">
        <v>1</v>
      </c>
    </row>
    <row r="6629" spans="1:5" ht="15.75" customHeight="1" x14ac:dyDescent="0.25">
      <c r="A6629" s="6" t="s">
        <v>6398</v>
      </c>
      <c r="B6629" s="6" t="str">
        <f ca="1">IFERROR(__xludf.DUMMYFUNCTION("GOOGLETRANSLATE(A6629,""bn"",""en"")"),"That day we visited the city of Sylhet.")</f>
        <v>That day we visited the city of Sylhet.</v>
      </c>
      <c r="C6629" s="8" t="s">
        <v>13</v>
      </c>
      <c r="D6629" s="8" t="s">
        <v>14</v>
      </c>
      <c r="E6629" s="8">
        <v>1</v>
      </c>
    </row>
    <row r="6630" spans="1:5" ht="15.75" customHeight="1" x14ac:dyDescent="0.25">
      <c r="A6630" s="6" t="s">
        <v>6399</v>
      </c>
      <c r="B6630" s="6" t="str">
        <f ca="1">IFERROR(__xludf.DUMMYFUNCTION("GOOGLETRANSLATE(A6630,""bn"",""en"")"),"Playing the piano brings soothing joy")</f>
        <v>Playing the piano brings soothing joy</v>
      </c>
      <c r="C6630" s="8" t="s">
        <v>13</v>
      </c>
      <c r="D6630" s="8" t="s">
        <v>14</v>
      </c>
      <c r="E6630" s="8">
        <v>1</v>
      </c>
    </row>
    <row r="6631" spans="1:5" ht="15.75" customHeight="1" x14ac:dyDescent="0.25">
      <c r="A6631" s="6" t="s">
        <v>6400</v>
      </c>
      <c r="B6631" s="6" t="str">
        <f ca="1">IFERROR(__xludf.DUMMYFUNCTION("GOOGLETRANSLATE(A6631,""bn"",""en"")"),"Whatever he said, he had the right result")</f>
        <v>Whatever he said, he had the right result</v>
      </c>
      <c r="C6631" s="8" t="s">
        <v>13</v>
      </c>
      <c r="D6631" s="8" t="s">
        <v>14</v>
      </c>
      <c r="E6631" s="8">
        <v>1</v>
      </c>
    </row>
    <row r="6632" spans="1:5" ht="15.75" customHeight="1" x14ac:dyDescent="0.25">
      <c r="A6632" s="6" t="s">
        <v>6401</v>
      </c>
      <c r="B6632" s="6" t="str">
        <f ca="1">IFERROR(__xludf.DUMMYFUNCTION("GOOGLETRANSLATE(A6632,""bn"",""en"")"),"The house was stunned by his untimely death")</f>
        <v>The house was stunned by his untimely death</v>
      </c>
      <c r="C6632" s="7" t="s">
        <v>6</v>
      </c>
      <c r="D6632" s="7" t="s">
        <v>7</v>
      </c>
      <c r="E6632" s="7">
        <v>0</v>
      </c>
    </row>
    <row r="6633" spans="1:5" ht="15.75" customHeight="1" x14ac:dyDescent="0.25">
      <c r="A6633" s="6" t="s">
        <v>6402</v>
      </c>
      <c r="B6633" s="6" t="str">
        <f ca="1">IFERROR(__xludf.DUMMYFUNCTION("GOOGLETRANSLATE(A6633,""bn"",""en"")"),"Karim Sahib gave me the book")</f>
        <v>Karim Sahib gave me the book</v>
      </c>
      <c r="C6633" s="7" t="s">
        <v>6</v>
      </c>
      <c r="D6633" s="7" t="s">
        <v>7</v>
      </c>
      <c r="E6633" s="7">
        <v>0</v>
      </c>
    </row>
    <row r="6634" spans="1:5" ht="15.75" customHeight="1" x14ac:dyDescent="0.25">
      <c r="A6634" s="6" t="s">
        <v>6403</v>
      </c>
      <c r="B6634" s="6" t="str">
        <f ca="1">IFERROR(__xludf.DUMMYFUNCTION("GOOGLETRANSLATE(A6634,""bn"",""en"")"),"But who will keep Shashi's mind bound for a long life and a vast world")</f>
        <v>But who will keep Shashi's mind bound for a long life and a vast world</v>
      </c>
      <c r="C6634" s="7" t="s">
        <v>6</v>
      </c>
      <c r="D6634" s="7" t="s">
        <v>7</v>
      </c>
      <c r="E6634" s="7">
        <v>0</v>
      </c>
    </row>
    <row r="6635" spans="1:5" ht="15.75" customHeight="1" x14ac:dyDescent="0.25">
      <c r="A6635" s="6" t="s">
        <v>841</v>
      </c>
      <c r="B6635" s="6" t="str">
        <f ca="1">IFERROR(__xludf.DUMMYFUNCTION("GOOGLETRANSLATE(A6635,""bn"",""en"")"),"Entered Palamau in the afternoon and started to pass through the forest to see the mountain ranges on both sides.")</f>
        <v>Entered Palamau in the afternoon and started to pass through the forest to see the mountain ranges on both sides.</v>
      </c>
      <c r="C6635" s="7" t="s">
        <v>6</v>
      </c>
      <c r="D6635" s="7" t="s">
        <v>7</v>
      </c>
      <c r="E6635" s="7">
        <v>0</v>
      </c>
    </row>
    <row r="6636" spans="1:5" ht="15.75" customHeight="1" x14ac:dyDescent="0.25">
      <c r="A6636" s="6" t="s">
        <v>6404</v>
      </c>
      <c r="B6636" s="6" t="str">
        <f ca="1">IFERROR(__xludf.DUMMYFUNCTION("GOOGLETRANSLATE(A6636,""bn"",""en"")"),"He was forced to sit down")</f>
        <v>He was forced to sit down</v>
      </c>
      <c r="C6636" s="7" t="s">
        <v>6</v>
      </c>
      <c r="D6636" s="7" t="s">
        <v>7</v>
      </c>
      <c r="E6636" s="7">
        <v>0</v>
      </c>
    </row>
    <row r="6637" spans="1:5" ht="15.75" customHeight="1" x14ac:dyDescent="0.25">
      <c r="A6637" s="6" t="s">
        <v>6405</v>
      </c>
      <c r="B6637" s="6" t="str">
        <f ca="1">IFERROR(__xludf.DUMMYFUNCTION("GOOGLETRANSLATE(A6637,""bn"",""en"")"),"He called me to play I couldn't go due to illness")</f>
        <v>He called me to play I couldn't go due to illness</v>
      </c>
      <c r="C6637" s="8" t="s">
        <v>13</v>
      </c>
      <c r="D6637" s="8" t="s">
        <v>14</v>
      </c>
      <c r="E6637" s="8">
        <v>1</v>
      </c>
    </row>
    <row r="6638" spans="1:5" ht="15.75" customHeight="1" x14ac:dyDescent="0.25">
      <c r="A6638" s="6" t="s">
        <v>6406</v>
      </c>
      <c r="B6638" s="6" t="str">
        <f ca="1">IFERROR(__xludf.DUMMYFUNCTION("GOOGLETRANSLATE(A6638,""bn"",""en"")"),"Hinduism encompasses a wide array of belief practices, including reincarnation")</f>
        <v>Hinduism encompasses a wide array of belief practices, including reincarnation</v>
      </c>
      <c r="C6638" s="8" t="s">
        <v>13</v>
      </c>
      <c r="D6638" s="8" t="s">
        <v>14</v>
      </c>
      <c r="E6638" s="8">
        <v>1</v>
      </c>
    </row>
    <row r="6639" spans="1:5" ht="15.75" customHeight="1" x14ac:dyDescent="0.25">
      <c r="A6639" s="6" t="s">
        <v>6407</v>
      </c>
      <c r="B6639" s="6" t="str">
        <f ca="1">IFERROR(__xludf.DUMMYFUNCTION("GOOGLETRANSLATE(A6639,""bn"",""en"")"),"Education for citizenship promotes engagement in civic responsibility")</f>
        <v>Education for citizenship promotes engagement in civic responsibility</v>
      </c>
      <c r="C6639" s="8" t="s">
        <v>13</v>
      </c>
      <c r="D6639" s="8" t="s">
        <v>14</v>
      </c>
      <c r="E6639" s="8">
        <v>1</v>
      </c>
    </row>
    <row r="6640" spans="1:5" ht="15.75" customHeight="1" x14ac:dyDescent="0.25">
      <c r="A6640" s="6" t="s">
        <v>6408</v>
      </c>
      <c r="B6640" s="6" t="str">
        <f ca="1">IFERROR(__xludf.DUMMYFUNCTION("GOOGLETRANSLATE(A6640,""bn"",""en"")"),"Their daring adventure through the deep jungle was thrillingly dangerous")</f>
        <v>Their daring adventure through the deep jungle was thrillingly dangerous</v>
      </c>
      <c r="C6640" s="8" t="s">
        <v>13</v>
      </c>
      <c r="D6640" s="8" t="s">
        <v>14</v>
      </c>
      <c r="E6640" s="8">
        <v>1</v>
      </c>
    </row>
    <row r="6641" spans="1:5" ht="15.75" customHeight="1" x14ac:dyDescent="0.25">
      <c r="A6641" s="6" t="s">
        <v>6409</v>
      </c>
      <c r="B6641" s="6" t="str">
        <f ca="1">IFERROR(__xludf.DUMMYFUNCTION("GOOGLETRANSLATE(A6641,""bn"",""en"")"),"Ruhi went to the market to buy fish")</f>
        <v>Ruhi went to the market to buy fish</v>
      </c>
      <c r="C6641" s="8" t="s">
        <v>13</v>
      </c>
      <c r="D6641" s="8" t="s">
        <v>14</v>
      </c>
      <c r="E6641" s="8">
        <v>1</v>
      </c>
    </row>
    <row r="6642" spans="1:5" ht="15.75" customHeight="1" x14ac:dyDescent="0.25">
      <c r="A6642" s="6" t="s">
        <v>6410</v>
      </c>
      <c r="B6642" s="6" t="str">
        <f ca="1">IFERROR(__xludf.DUMMYFUNCTION("GOOGLETRANSLATE(A6642,""bn"",""en"")"),"Sashi was no less saddened by Haru's sudden death")</f>
        <v>Sashi was no less saddened by Haru's sudden death</v>
      </c>
      <c r="C6642" s="7" t="s">
        <v>6</v>
      </c>
      <c r="D6642" s="7" t="s">
        <v>7</v>
      </c>
      <c r="E6642" s="7">
        <v>0</v>
      </c>
    </row>
    <row r="6643" spans="1:5" ht="15.75" customHeight="1" x14ac:dyDescent="0.25">
      <c r="A6643" s="6" t="s">
        <v>6411</v>
      </c>
      <c r="B6643" s="6" t="str">
        <f ca="1">IFERROR(__xludf.DUMMYFUNCTION("GOOGLETRANSLATE(A6643,""bn"",""en"")"),"After hearing the story, my whole body got goosebumps")</f>
        <v>After hearing the story, my whole body got goosebumps</v>
      </c>
      <c r="C6643" s="7" t="s">
        <v>6</v>
      </c>
      <c r="D6643" s="7" t="s">
        <v>7</v>
      </c>
      <c r="E6643" s="7">
        <v>0</v>
      </c>
    </row>
    <row r="6644" spans="1:5" ht="15.75" customHeight="1" x14ac:dyDescent="0.25">
      <c r="A6644" s="6" t="s">
        <v>1943</v>
      </c>
      <c r="B6644" s="6" t="str">
        <f ca="1">IFERROR(__xludf.DUMMYFUNCTION("GOOGLETRANSLATE(A6644,""bn"",""en"")"),"Let all these things be said at once, this will be a song of Shiva to many people")</f>
        <v>Let all these things be said at once, this will be a song of Shiva to many people</v>
      </c>
      <c r="C6644" s="7" t="s">
        <v>6</v>
      </c>
      <c r="D6644" s="7" t="s">
        <v>7</v>
      </c>
      <c r="E6644" s="7">
        <v>0</v>
      </c>
    </row>
    <row r="6645" spans="1:5" ht="15.75" customHeight="1" x14ac:dyDescent="0.25">
      <c r="A6645" s="6" t="s">
        <v>1137</v>
      </c>
      <c r="B6645" s="6" t="str">
        <f ca="1">IFERROR(__xludf.DUMMYFUNCTION("GOOGLETRANSLATE(A6645,""bn"",""en"")"),"I felt so happy thinking that I would go into that dark cloud right now")</f>
        <v>I felt so happy thinking that I would go into that dark cloud right now</v>
      </c>
      <c r="C6645" s="7" t="s">
        <v>6</v>
      </c>
      <c r="D6645" s="7" t="s">
        <v>7</v>
      </c>
      <c r="E6645" s="7">
        <v>0</v>
      </c>
    </row>
    <row r="6646" spans="1:5" ht="15.75" customHeight="1" x14ac:dyDescent="0.25">
      <c r="A6646" s="6" t="s">
        <v>6412</v>
      </c>
      <c r="B6646" s="6" t="str">
        <f ca="1">IFERROR(__xludf.DUMMYFUNCTION("GOOGLETRANSLATE(A6646,""bn"",""en"")"),"My brother asked me to go to Ganj")</f>
        <v>My brother asked me to go to Ganj</v>
      </c>
      <c r="C6646" s="7" t="s">
        <v>6</v>
      </c>
      <c r="D6646" s="7" t="s">
        <v>7</v>
      </c>
      <c r="E6646" s="7">
        <v>0</v>
      </c>
    </row>
    <row r="6647" spans="1:5" ht="15.75" customHeight="1" x14ac:dyDescent="0.25">
      <c r="A6647" s="6" t="s">
        <v>6413</v>
      </c>
      <c r="B6647" s="6" t="str">
        <f ca="1">IFERROR(__xludf.DUMMYFUNCTION("GOOGLETRANSLATE(A6647,""bn"",""en"")"),"Cooking vegetables with cauliflower and potatoes is very fun")</f>
        <v>Cooking vegetables with cauliflower and potatoes is very fun</v>
      </c>
      <c r="C6647" s="8" t="s">
        <v>13</v>
      </c>
      <c r="D6647" s="8" t="s">
        <v>14</v>
      </c>
      <c r="E6647" s="8">
        <v>1</v>
      </c>
    </row>
    <row r="6648" spans="1:5" ht="15.75" customHeight="1" x14ac:dyDescent="0.25">
      <c r="A6648" s="6" t="s">
        <v>6414</v>
      </c>
      <c r="B6648" s="6" t="str">
        <f ca="1">IFERROR(__xludf.DUMMYFUNCTION("GOOGLETRANSLATE(A6648,""bn"",""en"")"),"He used to look at his coconut trees as he walked along the path of his garden")</f>
        <v>He used to look at his coconut trees as he walked along the path of his garden</v>
      </c>
      <c r="C6648" s="8" t="s">
        <v>13</v>
      </c>
      <c r="D6648" s="8" t="s">
        <v>14</v>
      </c>
      <c r="E6648" s="8">
        <v>1</v>
      </c>
    </row>
    <row r="6649" spans="1:5" ht="15.75" customHeight="1" x14ac:dyDescent="0.25">
      <c r="A6649" s="6" t="s">
        <v>6415</v>
      </c>
      <c r="B6649" s="6" t="str">
        <f ca="1">IFERROR(__xludf.DUMMYFUNCTION("GOOGLETRANSLATE(A6649,""bn"",""en"")"),"Rahim Karim used to listen to me")</f>
        <v>Rahim Karim used to listen to me</v>
      </c>
      <c r="C6649" s="8" t="s">
        <v>13</v>
      </c>
      <c r="D6649" s="8" t="s">
        <v>14</v>
      </c>
      <c r="E6649" s="8">
        <v>1</v>
      </c>
    </row>
    <row r="6650" spans="1:5" ht="15.75" customHeight="1" x14ac:dyDescent="0.25">
      <c r="A6650" s="6" t="s">
        <v>6416</v>
      </c>
      <c r="B6650" s="6" t="str">
        <f ca="1">IFERROR(__xludf.DUMMYFUNCTION("GOOGLETRANSLATE(A6650,""bn"",""en"")"),"Criminal justice follows strict procedures to ensure due process")</f>
        <v>Criminal justice follows strict procedures to ensure due process</v>
      </c>
      <c r="C6650" s="8" t="s">
        <v>13</v>
      </c>
      <c r="D6650" s="8" t="s">
        <v>14</v>
      </c>
      <c r="E6650" s="8">
        <v>1</v>
      </c>
    </row>
    <row r="6651" spans="1:5" ht="15.75" customHeight="1" x14ac:dyDescent="0.25">
      <c r="A6651" s="6" t="s">
        <v>6417</v>
      </c>
      <c r="B6651" s="6" t="str">
        <f ca="1">IFERROR(__xludf.DUMMYFUNCTION("GOOGLETRANSLATE(A6651,""bn"",""en"")"),"The team was formed in June of the inaugural year")</f>
        <v>The team was formed in June of the inaugural year</v>
      </c>
      <c r="C6651" s="8" t="s">
        <v>13</v>
      </c>
      <c r="D6651" s="8" t="s">
        <v>14</v>
      </c>
      <c r="E6651" s="8">
        <v>1</v>
      </c>
    </row>
    <row r="6652" spans="1:5" ht="15.75" customHeight="1" x14ac:dyDescent="0.25">
      <c r="A6652" s="6" t="s">
        <v>6418</v>
      </c>
      <c r="B6652" s="6" t="str">
        <f ca="1">IFERROR(__xludf.DUMMYFUNCTION("GOOGLETRANSLATE(A6652,""bn"",""en"")"),"Meanwhile, there is no human settlement")</f>
        <v>Meanwhile, there is no human settlement</v>
      </c>
      <c r="C6652" s="7" t="s">
        <v>6</v>
      </c>
      <c r="D6652" s="7" t="s">
        <v>7</v>
      </c>
      <c r="E6652" s="7">
        <v>0</v>
      </c>
    </row>
    <row r="6653" spans="1:5" ht="15.75" customHeight="1" x14ac:dyDescent="0.25">
      <c r="A6653" s="6" t="s">
        <v>6419</v>
      </c>
      <c r="B6653" s="6" t="str">
        <f ca="1">IFERROR(__xludf.DUMMYFUNCTION("GOOGLETRANSLATE(A6653,""bn"",""en"")"),"I was annoyed by his call")</f>
        <v>I was annoyed by his call</v>
      </c>
      <c r="C6653" s="7" t="s">
        <v>6</v>
      </c>
      <c r="D6653" s="7" t="s">
        <v>7</v>
      </c>
      <c r="E6653" s="7">
        <v>0</v>
      </c>
    </row>
    <row r="6654" spans="1:5" ht="15.75" customHeight="1" x14ac:dyDescent="0.25">
      <c r="A6654" s="6" t="s">
        <v>6420</v>
      </c>
      <c r="B6654" s="6" t="str">
        <f ca="1">IFERROR(__xludf.DUMMYFUNCTION("GOOGLETRANSLATE(A6654,""bn"",""en"")"),"He did not have the enthusiasm to read the news of the afflicted child")</f>
        <v>He did not have the enthusiasm to read the news of the afflicted child</v>
      </c>
      <c r="C6654" s="7" t="s">
        <v>6</v>
      </c>
      <c r="D6654" s="7" t="s">
        <v>7</v>
      </c>
      <c r="E6654" s="7">
        <v>0</v>
      </c>
    </row>
    <row r="6655" spans="1:5" ht="15.75" customHeight="1" x14ac:dyDescent="0.25">
      <c r="A6655" s="6" t="s">
        <v>6421</v>
      </c>
      <c r="B6655" s="6" t="str">
        <f ca="1">IFERROR(__xludf.DUMMYFUNCTION("GOOGLETRANSLATE(A6655,""bn"",""en"")"),"He wants to entrust one's service to one whose days are numbered.")</f>
        <v>He wants to entrust one's service to one whose days are numbered.</v>
      </c>
      <c r="C6655" s="7" t="s">
        <v>6</v>
      </c>
      <c r="D6655" s="7" t="s">
        <v>7</v>
      </c>
      <c r="E6655" s="7">
        <v>0</v>
      </c>
    </row>
    <row r="6656" spans="1:5" ht="15.75" customHeight="1" x14ac:dyDescent="0.25">
      <c r="A6656" s="6" t="s">
        <v>6422</v>
      </c>
      <c r="B6656" s="6" t="str">
        <f ca="1">IFERROR(__xludf.DUMMYFUNCTION("GOOGLETRANSLATE(A6656,""bn"",""en"")"),"Being old, Jamini's head has gone bad")</f>
        <v>Being old, Jamini's head has gone bad</v>
      </c>
      <c r="C6656" s="7" t="s">
        <v>6</v>
      </c>
      <c r="D6656" s="7" t="s">
        <v>7</v>
      </c>
      <c r="E6656" s="7">
        <v>0</v>
      </c>
    </row>
    <row r="6657" spans="1:5" ht="15.75" customHeight="1" x14ac:dyDescent="0.25">
      <c r="A6657" s="6" t="s">
        <v>6423</v>
      </c>
      <c r="B6657" s="6" t="str">
        <f ca="1">IFERROR(__xludf.DUMMYFUNCTION("GOOGLETRANSLATE(A6657,""bn"",""en"")"),"Hypertensive heart disease is a condition in which high blood pressure damages the blood vessels in the heart muscle")</f>
        <v>Hypertensive heart disease is a condition in which high blood pressure damages the blood vessels in the heart muscle</v>
      </c>
      <c r="C6657" s="8" t="s">
        <v>13</v>
      </c>
      <c r="D6657" s="8" t="s">
        <v>14</v>
      </c>
      <c r="E6657" s="8">
        <v>1</v>
      </c>
    </row>
    <row r="6658" spans="1:5" ht="15.75" customHeight="1" x14ac:dyDescent="0.25">
      <c r="A6658" s="6" t="s">
        <v>6424</v>
      </c>
      <c r="B6658" s="6" t="str">
        <f ca="1">IFERROR(__xludf.DUMMYFUNCTION("GOOGLETRANSLATE(A6658,""bn"",""en"")"),"Their mud house is broken")</f>
        <v>Their mud house is broken</v>
      </c>
      <c r="C6658" s="8" t="s">
        <v>13</v>
      </c>
      <c r="D6658" s="8" t="s">
        <v>14</v>
      </c>
      <c r="E6658" s="8">
        <v>1</v>
      </c>
    </row>
    <row r="6659" spans="1:5" ht="15.75" customHeight="1" x14ac:dyDescent="0.25">
      <c r="A6659" s="6" t="s">
        <v>6425</v>
      </c>
      <c r="B6659" s="6" t="str">
        <f ca="1">IFERROR(__xludf.DUMMYFUNCTION("GOOGLETRANSLATE(A6659,""bn"",""en"")"),"Barley chutney is a very delicious food")</f>
        <v>Barley chutney is a very delicious food</v>
      </c>
      <c r="C6659" s="8" t="s">
        <v>13</v>
      </c>
      <c r="D6659" s="8" t="s">
        <v>14</v>
      </c>
      <c r="E6659" s="8">
        <v>1</v>
      </c>
    </row>
    <row r="6660" spans="1:5" ht="15.75" customHeight="1" x14ac:dyDescent="0.25">
      <c r="A6660" s="6" t="s">
        <v>6426</v>
      </c>
      <c r="B6660" s="6" t="str">
        <f ca="1">IFERROR(__xludf.DUMMYFUNCTION("GOOGLETRANSLATE(A6660,""bn"",""en"")"),"This is Shakespeare's greatest miniature tragedy")</f>
        <v>This is Shakespeare's greatest miniature tragedy</v>
      </c>
      <c r="C6660" s="8" t="s">
        <v>13</v>
      </c>
      <c r="D6660" s="8" t="s">
        <v>14</v>
      </c>
      <c r="E6660" s="8">
        <v>1</v>
      </c>
    </row>
    <row r="6661" spans="1:5" ht="15.75" customHeight="1" x14ac:dyDescent="0.25">
      <c r="A6661" s="6" t="s">
        <v>6427</v>
      </c>
      <c r="B6661" s="6" t="str">
        <f ca="1">IFERROR(__xludf.DUMMYFUNCTION("GOOGLETRANSLATE(A6661,""bn"",""en"")"),"Educational technology resources increase access to information")</f>
        <v>Educational technology resources increase access to information</v>
      </c>
      <c r="C6661" s="8" t="s">
        <v>13</v>
      </c>
      <c r="D6661" s="8" t="s">
        <v>14</v>
      </c>
      <c r="E6661" s="8">
        <v>1</v>
      </c>
    </row>
    <row r="6662" spans="1:5" ht="15.75" customHeight="1" x14ac:dyDescent="0.25">
      <c r="A6662" s="6" t="s">
        <v>6428</v>
      </c>
      <c r="B6662" s="6" t="str">
        <f ca="1">IFERROR(__xludf.DUMMYFUNCTION("GOOGLETRANSLATE(A6662,""bn"",""en"")"),"Oil your wheels without finding fault with others.")</f>
        <v>Oil your wheels without finding fault with others.</v>
      </c>
      <c r="C6662" s="7" t="s">
        <v>6</v>
      </c>
      <c r="D6662" s="7" t="s">
        <v>7</v>
      </c>
      <c r="E6662" s="7">
        <v>0</v>
      </c>
    </row>
    <row r="6663" spans="1:5" ht="15.75" customHeight="1" x14ac:dyDescent="0.25">
      <c r="A6663" s="6" t="s">
        <v>2938</v>
      </c>
      <c r="B6663" s="6" t="str">
        <f ca="1">IFERROR(__xludf.DUMMYFUNCTION("GOOGLETRANSLATE(A6663,""bn"",""en"")"),"Men always get drunk after drinking that wine")</f>
        <v>Men always get drunk after drinking that wine</v>
      </c>
      <c r="C6663" s="7" t="s">
        <v>6</v>
      </c>
      <c r="D6663" s="7" t="s">
        <v>7</v>
      </c>
      <c r="E6663" s="7">
        <v>0</v>
      </c>
    </row>
    <row r="6664" spans="1:5" ht="15.75" customHeight="1" x14ac:dyDescent="0.25">
      <c r="A6664" s="6" t="s">
        <v>6429</v>
      </c>
      <c r="B6664" s="6" t="str">
        <f ca="1">IFERROR(__xludf.DUMMYFUNCTION("GOOGLETRANSLATE(A6664,""bn"",""en"")"),"The Pathshala does not follow any rules of any government or private school")</f>
        <v>The Pathshala does not follow any rules of any government or private school</v>
      </c>
      <c r="C6664" s="7" t="s">
        <v>6</v>
      </c>
      <c r="D6664" s="7" t="s">
        <v>7</v>
      </c>
      <c r="E6664" s="7">
        <v>0</v>
      </c>
    </row>
    <row r="6665" spans="1:5" ht="15.75" customHeight="1" x14ac:dyDescent="0.25">
      <c r="A6665" s="6" t="s">
        <v>2599</v>
      </c>
      <c r="B6665" s="6" t="str">
        <f ca="1">IFERROR(__xludf.DUMMYFUNCTION("GOOGLETRANSLATE(A6665,""bn"",""en"")"),"The house by the river was destroyed by the flood")</f>
        <v>The house by the river was destroyed by the flood</v>
      </c>
      <c r="C6665" s="7" t="s">
        <v>6</v>
      </c>
      <c r="D6665" s="7" t="s">
        <v>7</v>
      </c>
      <c r="E6665" s="7">
        <v>0</v>
      </c>
    </row>
    <row r="6666" spans="1:5" ht="15.75" customHeight="1" x14ac:dyDescent="0.25">
      <c r="A6666" s="6" t="s">
        <v>6430</v>
      </c>
      <c r="B6666" s="6" t="str">
        <f ca="1">IFERROR(__xludf.DUMMYFUNCTION("GOOGLETRANSLATE(A6666,""bn"",""en"")"),"To me, almonds are eaten by three types of people")</f>
        <v>To me, almonds are eaten by three types of people</v>
      </c>
      <c r="C6666" s="7" t="s">
        <v>6</v>
      </c>
      <c r="D6666" s="7" t="s">
        <v>7</v>
      </c>
      <c r="E6666" s="7">
        <v>0</v>
      </c>
    </row>
    <row r="6667" spans="1:5" ht="15.75" customHeight="1" x14ac:dyDescent="0.25">
      <c r="A6667" s="6" t="s">
        <v>6431</v>
      </c>
      <c r="B6667" s="6" t="str">
        <f ca="1">IFERROR(__xludf.DUMMYFUNCTION("GOOGLETRANSLATE(A6667,""bn"",""en"")"),"He played as a striker")</f>
        <v>He played as a striker</v>
      </c>
      <c r="C6667" s="8" t="s">
        <v>13</v>
      </c>
      <c r="D6667" s="8" t="s">
        <v>14</v>
      </c>
      <c r="E6667" s="8">
        <v>1</v>
      </c>
    </row>
    <row r="6668" spans="1:5" ht="15.75" customHeight="1" x14ac:dyDescent="0.25">
      <c r="A6668" s="6" t="s">
        <v>6432</v>
      </c>
      <c r="B6668" s="6" t="str">
        <f ca="1">IFERROR(__xludf.DUMMYFUNCTION("GOOGLETRANSLATE(A6668,""bn"",""en"")"),"He has no idea about rickshaw fare")</f>
        <v>He has no idea about rickshaw fare</v>
      </c>
      <c r="C6668" s="8" t="s">
        <v>13</v>
      </c>
      <c r="D6668" s="8" t="s">
        <v>14</v>
      </c>
      <c r="E6668" s="8">
        <v>1</v>
      </c>
    </row>
    <row r="6669" spans="1:5" ht="15.75" customHeight="1" x14ac:dyDescent="0.25">
      <c r="A6669" s="6" t="s">
        <v>6433</v>
      </c>
      <c r="B6669" s="6" t="str">
        <f ca="1">IFERROR(__xludf.DUMMYFUNCTION("GOOGLETRANSLATE(A6669,""bn"",""en"")"),"Agricultural biotechnology applications range from pest resistant crops to biofuel production")</f>
        <v>Agricultural biotechnology applications range from pest resistant crops to biofuel production</v>
      </c>
      <c r="C6669" s="8" t="s">
        <v>13</v>
      </c>
      <c r="D6669" s="8" t="s">
        <v>14</v>
      </c>
      <c r="E6669" s="8">
        <v>1</v>
      </c>
    </row>
    <row r="6670" spans="1:5" ht="15.75" customHeight="1" x14ac:dyDescent="0.25">
      <c r="A6670" s="6" t="s">
        <v>6434</v>
      </c>
      <c r="B6670" s="6" t="str">
        <f ca="1">IFERROR(__xludf.DUMMYFUNCTION("GOOGLETRANSLATE(A6670,""bn"",""en"")"),"Journalists work tirelessly to report breaking stories")</f>
        <v>Journalists work tirelessly to report breaking stories</v>
      </c>
      <c r="C6670" s="8" t="s">
        <v>13</v>
      </c>
      <c r="D6670" s="8" t="s">
        <v>14</v>
      </c>
      <c r="E6670" s="8">
        <v>1</v>
      </c>
    </row>
    <row r="6671" spans="1:5" ht="15.75" customHeight="1" x14ac:dyDescent="0.25">
      <c r="A6671" s="6" t="s">
        <v>6435</v>
      </c>
      <c r="B6671" s="6" t="str">
        <f ca="1">IFERROR(__xludf.DUMMYFUNCTION("GOOGLETRANSLATE(A6671,""bn"",""en"")"),"The priest of the Ramanathaswamy temple was a very close friend of Baba")</f>
        <v>The priest of the Ramanathaswamy temple was a very close friend of Baba</v>
      </c>
      <c r="C6671" s="8" t="s">
        <v>13</v>
      </c>
      <c r="D6671" s="8" t="s">
        <v>14</v>
      </c>
      <c r="E6671" s="8">
        <v>1</v>
      </c>
    </row>
    <row r="6672" spans="1:5" ht="15.75" customHeight="1" x14ac:dyDescent="0.25">
      <c r="A6672" s="6" t="s">
        <v>6436</v>
      </c>
      <c r="B6672" s="6" t="str">
        <f ca="1">IFERROR(__xludf.DUMMYFUNCTION("GOOGLETRANSLATE(A6672,""bn"",""en"")"),"It is difficult to handle the burden of debt that is burdened on the shoulders")</f>
        <v>It is difficult to handle the burden of debt that is burdened on the shoulders</v>
      </c>
      <c r="C6672" s="7" t="s">
        <v>6</v>
      </c>
      <c r="D6672" s="7" t="s">
        <v>7</v>
      </c>
      <c r="E6672" s="7">
        <v>0</v>
      </c>
    </row>
    <row r="6673" spans="1:5" ht="15.75" customHeight="1" x14ac:dyDescent="0.25">
      <c r="A6673" s="6" t="s">
        <v>6437</v>
      </c>
      <c r="B6673" s="6" t="str">
        <f ca="1">IFERROR(__xludf.DUMMYFUNCTION("GOOGLETRANSLATE(A6673,""bn"",""en"")"),"He must have been past fifty then")</f>
        <v>He must have been past fifty then</v>
      </c>
      <c r="C6673" s="7" t="s">
        <v>6</v>
      </c>
      <c r="D6673" s="7" t="s">
        <v>7</v>
      </c>
      <c r="E6673" s="7">
        <v>0</v>
      </c>
    </row>
    <row r="6674" spans="1:5" ht="15.75" customHeight="1" x14ac:dyDescent="0.25">
      <c r="A6674" s="6" t="s">
        <v>6438</v>
      </c>
      <c r="B6674" s="6" t="str">
        <f ca="1">IFERROR(__xludf.DUMMYFUNCTION("GOOGLETRANSLATE(A6674,""bn"",""en"")"),"A beautiful clawed paw is held close to the mouth like a mirror and is falling asleep")</f>
        <v>A beautiful clawed paw is held close to the mouth like a mirror and is falling asleep</v>
      </c>
      <c r="C6674" s="7" t="s">
        <v>6</v>
      </c>
      <c r="D6674" s="7" t="s">
        <v>7</v>
      </c>
      <c r="E6674" s="7">
        <v>0</v>
      </c>
    </row>
    <row r="6675" spans="1:5" ht="15.75" customHeight="1" x14ac:dyDescent="0.25">
      <c r="A6675" s="6" t="s">
        <v>6439</v>
      </c>
      <c r="B6675" s="6" t="str">
        <f ca="1">IFERROR(__xludf.DUMMYFUNCTION("GOOGLETRANSLATE(A6675,""bn"",""en"")"),"He will explain this in detail in the convened meeting")</f>
        <v>He will explain this in detail in the convened meeting</v>
      </c>
      <c r="C6675" s="7" t="s">
        <v>6</v>
      </c>
      <c r="D6675" s="7" t="s">
        <v>7</v>
      </c>
      <c r="E6675" s="7">
        <v>0</v>
      </c>
    </row>
    <row r="6676" spans="1:5" ht="15.75" customHeight="1" x14ac:dyDescent="0.25">
      <c r="A6676" s="6" t="s">
        <v>6440</v>
      </c>
      <c r="B6676" s="6" t="str">
        <f ca="1">IFERROR(__xludf.DUMMYFUNCTION("GOOGLETRANSLATE(A6676,""bn"",""en"")"),"This is Haru Ghosh under the banyan tree by the canal who was killed by lightning the day before yesterday.")</f>
        <v>This is Haru Ghosh under the banyan tree by the canal who was killed by lightning the day before yesterday.</v>
      </c>
      <c r="C6676" s="7" t="s">
        <v>6</v>
      </c>
      <c r="D6676" s="7" t="s">
        <v>7</v>
      </c>
      <c r="E6676" s="7">
        <v>0</v>
      </c>
    </row>
    <row r="6677" spans="1:5" ht="15.75" customHeight="1" x14ac:dyDescent="0.25">
      <c r="A6677" s="6" t="s">
        <v>6441</v>
      </c>
      <c r="B6677" s="6" t="str">
        <f ca="1">IFERROR(__xludf.DUMMYFUNCTION("GOOGLETRANSLATE(A6677,""bn"",""en"")"),"A dumb animal cannot tell anyone about its pain")</f>
        <v>A dumb animal cannot tell anyone about its pain</v>
      </c>
      <c r="C6677" s="8" t="s">
        <v>13</v>
      </c>
      <c r="D6677" s="8" t="s">
        <v>14</v>
      </c>
      <c r="E6677" s="8">
        <v>1</v>
      </c>
    </row>
    <row r="6678" spans="1:5" ht="15.75" customHeight="1" x14ac:dyDescent="0.25">
      <c r="A6678" s="6" t="s">
        <v>6442</v>
      </c>
      <c r="B6678" s="6" t="str">
        <f ca="1">IFERROR(__xludf.DUMMYFUNCTION("GOOGLETRANSLATE(A6678,""bn"",""en"")"),"Almost all airports create a bright environment")</f>
        <v>Almost all airports create a bright environment</v>
      </c>
      <c r="C6678" s="8" t="s">
        <v>13</v>
      </c>
      <c r="D6678" s="8" t="s">
        <v>14</v>
      </c>
      <c r="E6678" s="8">
        <v>1</v>
      </c>
    </row>
    <row r="6679" spans="1:5" ht="15.75" customHeight="1" x14ac:dyDescent="0.25">
      <c r="A6679" s="6" t="s">
        <v>6443</v>
      </c>
      <c r="B6679" s="6" t="str">
        <f ca="1">IFERROR(__xludf.DUMMYFUNCTION("GOOGLETRANSLATE(A6679,""bn"",""en"")"),"Crafting model airplanes demands precision")</f>
        <v>Crafting model airplanes demands precision</v>
      </c>
      <c r="C6679" s="8" t="s">
        <v>13</v>
      </c>
      <c r="D6679" s="8" t="s">
        <v>14</v>
      </c>
      <c r="E6679" s="8">
        <v>1</v>
      </c>
    </row>
    <row r="6680" spans="1:5" ht="15.75" customHeight="1" x14ac:dyDescent="0.25">
      <c r="A6680" s="6" t="s">
        <v>6444</v>
      </c>
      <c r="B6680" s="6" t="str">
        <f ca="1">IFERROR(__xludf.DUMMYFUNCTION("GOOGLETRANSLATE(A6680,""bn"",""en"")"),"I see my father wearing the kurta prescribed by the imam")</f>
        <v>I see my father wearing the kurta prescribed by the imam</v>
      </c>
      <c r="C6680" s="8" t="s">
        <v>13</v>
      </c>
      <c r="D6680" s="8" t="s">
        <v>14</v>
      </c>
      <c r="E6680" s="8">
        <v>1</v>
      </c>
    </row>
    <row r="6681" spans="1:5" ht="15.75" customHeight="1" x14ac:dyDescent="0.25">
      <c r="A6681" s="6" t="s">
        <v>6445</v>
      </c>
      <c r="B6681" s="6" t="str">
        <f ca="1">IFERROR(__xludf.DUMMYFUNCTION("GOOGLETRANSLATE(A6681,""bn"",""en"")"),"The sound of a babbling brook filled the air, its gentle murmur a soothing backdrop to the tranquil scene.")</f>
        <v>The sound of a babbling brook filled the air, its gentle murmur a soothing backdrop to the tranquil scene.</v>
      </c>
      <c r="C6681" s="8" t="s">
        <v>13</v>
      </c>
      <c r="D6681" s="8" t="s">
        <v>14</v>
      </c>
      <c r="E6681" s="8">
        <v>1</v>
      </c>
    </row>
    <row r="6682" spans="1:5" ht="15.75" customHeight="1" x14ac:dyDescent="0.25">
      <c r="A6682" s="6" t="s">
        <v>2718</v>
      </c>
      <c r="B6682" s="6" t="str">
        <f ca="1">IFERROR(__xludf.DUMMYFUNCTION("GOOGLETRANSLATE(A6682,""bn"",""en"")"),"After that we went some distance and started climbing the hill")</f>
        <v>After that we went some distance and started climbing the hill</v>
      </c>
      <c r="C6682" s="7" t="s">
        <v>6</v>
      </c>
      <c r="D6682" s="7" t="s">
        <v>7</v>
      </c>
      <c r="E6682" s="7">
        <v>0</v>
      </c>
    </row>
    <row r="6683" spans="1:5" ht="15.75" customHeight="1" x14ac:dyDescent="0.25">
      <c r="A6683" s="6" t="s">
        <v>6446</v>
      </c>
      <c r="B6683" s="6" t="str">
        <f ca="1">IFERROR(__xludf.DUMMYFUNCTION("GOOGLETRANSLATE(A6683,""bn"",""en"")"),"I walked out of the salon with an army style haircut")</f>
        <v>I walked out of the salon with an army style haircut</v>
      </c>
      <c r="C6683" s="7" t="s">
        <v>6</v>
      </c>
      <c r="D6683" s="7" t="s">
        <v>7</v>
      </c>
      <c r="E6683" s="7">
        <v>0</v>
      </c>
    </row>
    <row r="6684" spans="1:5" ht="15.75" customHeight="1" x14ac:dyDescent="0.25">
      <c r="A6684" s="6" t="s">
        <v>6447</v>
      </c>
      <c r="B6684" s="6" t="str">
        <f ca="1">IFERROR(__xludf.DUMMYFUNCTION("GOOGLETRANSLATE(A6684,""bn"",""en"")"),"After a long time I have written two words about Palamau")</f>
        <v>After a long time I have written two words about Palamau</v>
      </c>
      <c r="C6684" s="7" t="s">
        <v>6</v>
      </c>
      <c r="D6684" s="7" t="s">
        <v>7</v>
      </c>
      <c r="E6684" s="7">
        <v>0</v>
      </c>
    </row>
    <row r="6685" spans="1:5" ht="15.75" customHeight="1" x14ac:dyDescent="0.25">
      <c r="A6685" s="6" t="s">
        <v>6448</v>
      </c>
      <c r="B6685" s="6" t="str">
        <f ca="1">IFERROR(__xludf.DUMMYFUNCTION("GOOGLETRANSLATE(A6685,""bn"",""en"")"),"The doctor took out a card with his name on it and told me my home address.")</f>
        <v>The doctor took out a card with his name on it and told me my home address.</v>
      </c>
      <c r="C6685" s="7" t="s">
        <v>6</v>
      </c>
      <c r="D6685" s="7" t="s">
        <v>7</v>
      </c>
      <c r="E6685" s="7">
        <v>0</v>
      </c>
    </row>
    <row r="6686" spans="1:5" ht="15.75" customHeight="1" x14ac:dyDescent="0.25">
      <c r="A6686" s="6" t="s">
        <v>6449</v>
      </c>
      <c r="B6686" s="6" t="str">
        <f ca="1">IFERROR(__xludf.DUMMYFUNCTION("GOOGLETRANSLATE(A6686,""bn"",""en"")"),"He could not see the color of the world outside")</f>
        <v>He could not see the color of the world outside</v>
      </c>
      <c r="C6686" s="7" t="s">
        <v>6</v>
      </c>
      <c r="D6686" s="7" t="s">
        <v>7</v>
      </c>
      <c r="E6686" s="7">
        <v>0</v>
      </c>
    </row>
    <row r="6687" spans="1:5" ht="15.75" customHeight="1" x14ac:dyDescent="0.25">
      <c r="A6687" s="6" t="s">
        <v>6450</v>
      </c>
      <c r="B6687" s="6" t="str">
        <f ca="1">IFERROR(__xludf.DUMMYFUNCTION("GOOGLETRANSLATE(A6687,""bn"",""en"")"),"After a moment of silence he asked me do you believe in miracles")</f>
        <v>After a moment of silence he asked me do you believe in miracles</v>
      </c>
      <c r="C6687" s="8" t="s">
        <v>13</v>
      </c>
      <c r="D6687" s="8" t="s">
        <v>14</v>
      </c>
      <c r="E6687" s="8">
        <v>1</v>
      </c>
    </row>
    <row r="6688" spans="1:5" ht="15.75" customHeight="1" x14ac:dyDescent="0.25">
      <c r="A6688" s="6" t="s">
        <v>6451</v>
      </c>
      <c r="B6688" s="6" t="str">
        <f ca="1">IFERROR(__xludf.DUMMYFUNCTION("GOOGLETRANSLATE(A6688,""bn"",""en"")"),"I see Shastri in his dhoti and Father in his priestly garb")</f>
        <v>I see Shastri in his dhoti and Father in his priestly garb</v>
      </c>
      <c r="C6688" s="8" t="s">
        <v>13</v>
      </c>
      <c r="D6688" s="8" t="s">
        <v>14</v>
      </c>
      <c r="E6688" s="8">
        <v>1</v>
      </c>
    </row>
    <row r="6689" spans="1:5" ht="15.75" customHeight="1" x14ac:dyDescent="0.25">
      <c r="A6689" s="6" t="s">
        <v>6452</v>
      </c>
      <c r="B6689" s="6" t="str">
        <f ca="1">IFERROR(__xludf.DUMMYFUNCTION("GOOGLETRANSLATE(A6689,""bn"",""en"")"),"The newspaper industry has evolved significantly with the rise of digital media")</f>
        <v>The newspaper industry has evolved significantly with the rise of digital media</v>
      </c>
      <c r="C6689" s="8" t="s">
        <v>13</v>
      </c>
      <c r="D6689" s="8" t="s">
        <v>14</v>
      </c>
      <c r="E6689" s="8">
        <v>1</v>
      </c>
    </row>
    <row r="6690" spans="1:5" ht="15.75" customHeight="1" x14ac:dyDescent="0.25">
      <c r="A6690" s="6" t="s">
        <v>6453</v>
      </c>
      <c r="B6690" s="6" t="str">
        <f ca="1">IFERROR(__xludf.DUMMYFUNCTION("GOOGLETRANSLATE(A6690,""bn"",""en"")"),"Sending letters is not done in this age")</f>
        <v>Sending letters is not done in this age</v>
      </c>
      <c r="C6690" s="8" t="s">
        <v>13</v>
      </c>
      <c r="D6690" s="8" t="s">
        <v>14</v>
      </c>
      <c r="E6690" s="8">
        <v>1</v>
      </c>
    </row>
    <row r="6691" spans="1:5" ht="15.75" customHeight="1" x14ac:dyDescent="0.25">
      <c r="A6691" s="6" t="s">
        <v>6454</v>
      </c>
      <c r="B6691" s="6" t="str">
        <f ca="1">IFERROR(__xludf.DUMMYFUNCTION("GOOGLETRANSLATE(A6691,""bn"",""en"")"),"Vintage vinyl records inspire my passion")</f>
        <v>Vintage vinyl records inspire my passion</v>
      </c>
      <c r="C6691" s="8" t="s">
        <v>13</v>
      </c>
      <c r="D6691" s="8" t="s">
        <v>14</v>
      </c>
      <c r="E6691" s="8">
        <v>1</v>
      </c>
    </row>
    <row r="6692" spans="1:5" ht="15.75" customHeight="1" x14ac:dyDescent="0.25">
      <c r="A6692" s="6" t="s">
        <v>6455</v>
      </c>
      <c r="B6692" s="6" t="str">
        <f ca="1">IFERROR(__xludf.DUMMYFUNCTION("GOOGLETRANSLATE(A6692,""bn"",""en"")"),"Today everything came here")</f>
        <v>Today everything came here</v>
      </c>
      <c r="C6692" s="7" t="s">
        <v>6</v>
      </c>
      <c r="D6692" s="7" t="s">
        <v>7</v>
      </c>
      <c r="E6692" s="7">
        <v>0</v>
      </c>
    </row>
    <row r="6693" spans="1:5" ht="15.75" customHeight="1" x14ac:dyDescent="0.25">
      <c r="A6693" s="6" t="s">
        <v>6456</v>
      </c>
      <c r="B6693" s="6" t="str">
        <f ca="1">IFERROR(__xludf.DUMMYFUNCTION("GOOGLETRANSLATE(A6693,""bn"",""en"")"),"The train was not stopped under any circumstances")</f>
        <v>The train was not stopped under any circumstances</v>
      </c>
      <c r="C6693" s="7" t="s">
        <v>6</v>
      </c>
      <c r="D6693" s="7" t="s">
        <v>7</v>
      </c>
      <c r="E6693" s="7">
        <v>0</v>
      </c>
    </row>
    <row r="6694" spans="1:5" ht="15.75" customHeight="1" x14ac:dyDescent="0.25">
      <c r="A6694" s="6" t="s">
        <v>6457</v>
      </c>
      <c r="B6694" s="6" t="str">
        <f ca="1">IFERROR(__xludf.DUMMYFUNCTION("GOOGLETRANSLATE(A6694,""bn"",""en"")"),"We all play together")</f>
        <v>We all play together</v>
      </c>
      <c r="C6694" s="7" t="s">
        <v>6</v>
      </c>
      <c r="D6694" s="7" t="s">
        <v>7</v>
      </c>
      <c r="E6694" s="7">
        <v>0</v>
      </c>
    </row>
    <row r="6695" spans="1:5" ht="15.75" customHeight="1" x14ac:dyDescent="0.25">
      <c r="A6695" s="6" t="s">
        <v>6458</v>
      </c>
      <c r="B6695" s="6" t="str">
        <f ca="1">IFERROR(__xludf.DUMMYFUNCTION("GOOGLETRANSLATE(A6695,""bn"",""en"")"),"Sujan gave me the bat")</f>
        <v>Sujan gave me the bat</v>
      </c>
      <c r="C6695" s="7" t="s">
        <v>6</v>
      </c>
      <c r="D6695" s="7" t="s">
        <v>7</v>
      </c>
      <c r="E6695" s="7">
        <v>0</v>
      </c>
    </row>
    <row r="6696" spans="1:5" ht="15.75" customHeight="1" x14ac:dyDescent="0.25">
      <c r="A6696" s="6" t="s">
        <v>6459</v>
      </c>
      <c r="B6696" s="6" t="str">
        <f ca="1">IFERROR(__xludf.DUMMYFUNCTION("GOOGLETRANSLATE(A6696,""bn"",""en"")"),"I asked Rajeev to do it")</f>
        <v>I asked Rajeev to do it</v>
      </c>
      <c r="C6696" s="7" t="s">
        <v>6</v>
      </c>
      <c r="D6696" s="7" t="s">
        <v>7</v>
      </c>
      <c r="E6696" s="7">
        <v>0</v>
      </c>
    </row>
    <row r="6697" spans="1:5" ht="15.75" customHeight="1" x14ac:dyDescent="0.25">
      <c r="A6697" s="6" t="s">
        <v>6460</v>
      </c>
      <c r="B6697" s="6" t="str">
        <f ca="1">IFERROR(__xludf.DUMMYFUNCTION("GOOGLETRANSLATE(A6697,""bn"",""en"")"),"Monitor your heart rate regularly")</f>
        <v>Monitor your heart rate regularly</v>
      </c>
      <c r="C6697" s="8" t="s">
        <v>13</v>
      </c>
      <c r="D6697" s="8" t="s">
        <v>14</v>
      </c>
      <c r="E6697" s="8">
        <v>1</v>
      </c>
    </row>
    <row r="6698" spans="1:5" ht="15.75" customHeight="1" x14ac:dyDescent="0.25">
      <c r="A6698" s="6" t="s">
        <v>6461</v>
      </c>
      <c r="B6698" s="6" t="str">
        <f ca="1">IFERROR(__xludf.DUMMYFUNCTION("GOOGLETRANSLATE(A6698,""bn"",""en"")"),"Allah Ta'ala created man for His worship")</f>
        <v>Allah Ta'ala created man for His worship</v>
      </c>
      <c r="C6698" s="8" t="s">
        <v>13</v>
      </c>
      <c r="D6698" s="8" t="s">
        <v>14</v>
      </c>
      <c r="E6698" s="8">
        <v>1</v>
      </c>
    </row>
    <row r="6699" spans="1:5" ht="15.75" customHeight="1" x14ac:dyDescent="0.25">
      <c r="A6699" s="6" t="s">
        <v>6462</v>
      </c>
      <c r="B6699" s="6" t="str">
        <f ca="1">IFERROR(__xludf.DUMMYFUNCTION("GOOGLETRANSLATE(A6699,""bn"",""en"")"),"Feeling overwhelmed by responsibility leads to stress")</f>
        <v>Feeling overwhelmed by responsibility leads to stress</v>
      </c>
      <c r="C6699" s="8" t="s">
        <v>13</v>
      </c>
      <c r="D6699" s="8" t="s">
        <v>14</v>
      </c>
      <c r="E6699" s="8">
        <v>1</v>
      </c>
    </row>
    <row r="6700" spans="1:5" ht="15.75" customHeight="1" x14ac:dyDescent="0.25">
      <c r="A6700" s="6" t="s">
        <v>6463</v>
      </c>
      <c r="B6700" s="6" t="str">
        <f ca="1">IFERROR(__xludf.DUMMYFUNCTION("GOOGLETRANSLATE(A6700,""bn"",""en"")"),"The club had a good decade")</f>
        <v>The club had a good decade</v>
      </c>
      <c r="C6700" s="8" t="s">
        <v>13</v>
      </c>
      <c r="D6700" s="8" t="s">
        <v>14</v>
      </c>
      <c r="E6700" s="8">
        <v>1</v>
      </c>
    </row>
    <row r="6701" spans="1:5" ht="15.75" customHeight="1" x14ac:dyDescent="0.25">
      <c r="A6701" s="6" t="s">
        <v>6464</v>
      </c>
      <c r="B6701" s="6" t="str">
        <f ca="1">IFERROR(__xludf.DUMMYFUNCTION("GOOGLETRANSLATE(A6701,""bn"",""en"")"),"He went to play in the field in the afternoon")</f>
        <v>He went to play in the field in the afternoon</v>
      </c>
      <c r="C6701" s="8" t="s">
        <v>13</v>
      </c>
      <c r="D6701" s="8" t="s">
        <v>14</v>
      </c>
      <c r="E6701" s="8">
        <v>1</v>
      </c>
    </row>
    <row r="6702" spans="1:5" ht="15.75" customHeight="1" x14ac:dyDescent="0.25">
      <c r="A6702" s="6" t="s">
        <v>2844</v>
      </c>
      <c r="B6702" s="6" t="str">
        <f ca="1">IFERROR(__xludf.DUMMYFUNCTION("GOOGLETRANSLATE(A6702,""bn"",""en"")"),"Like countless waves of a troubled river")</f>
        <v>Like countless waves of a troubled river</v>
      </c>
      <c r="C6702" s="7" t="s">
        <v>6</v>
      </c>
      <c r="D6702" s="7" t="s">
        <v>7</v>
      </c>
      <c r="E6702" s="7">
        <v>0</v>
      </c>
    </row>
    <row r="6703" spans="1:5" ht="15.75" customHeight="1" x14ac:dyDescent="0.25">
      <c r="A6703" s="6" t="s">
        <v>6465</v>
      </c>
      <c r="B6703" s="6" t="str">
        <f ca="1">IFERROR(__xludf.DUMMYFUNCTION("GOOGLETRANSLATE(A6703,""bn"",""en"")"),"Oh, you can't understand that I'm incompetent")</f>
        <v>Oh, you can't understand that I'm incompetent</v>
      </c>
      <c r="C6703" s="7" t="s">
        <v>6</v>
      </c>
      <c r="D6703" s="7" t="s">
        <v>7</v>
      </c>
      <c r="E6703" s="7">
        <v>0</v>
      </c>
    </row>
    <row r="6704" spans="1:5" ht="15.75" customHeight="1" x14ac:dyDescent="0.25">
      <c r="A6704" s="6" t="s">
        <v>6466</v>
      </c>
      <c r="B6704" s="6" t="str">
        <f ca="1">IFERROR(__xludf.DUMMYFUNCTION("GOOGLETRANSLATE(A6704,""bn"",""en"")"),"We can only say that the extinction of the primitive races in India began a long time ago.")</f>
        <v>We can only say that the extinction of the primitive races in India began a long time ago.</v>
      </c>
      <c r="C6704" s="7" t="s">
        <v>6</v>
      </c>
      <c r="D6704" s="7" t="s">
        <v>7</v>
      </c>
      <c r="E6704" s="7">
        <v>0</v>
      </c>
    </row>
    <row r="6705" spans="1:5" ht="15.75" customHeight="1" x14ac:dyDescent="0.25">
      <c r="A6705" s="6" t="s">
        <v>6467</v>
      </c>
      <c r="B6705" s="6" t="str">
        <f ca="1">IFERROR(__xludf.DUMMYFUNCTION("GOOGLETRANSLATE(A6705,""bn"",""en"")"),"They give your child good clothes and shoes")</f>
        <v>They give your child good clothes and shoes</v>
      </c>
      <c r="C6705" s="7" t="s">
        <v>6</v>
      </c>
      <c r="D6705" s="7" t="s">
        <v>7</v>
      </c>
      <c r="E6705" s="7">
        <v>0</v>
      </c>
    </row>
    <row r="6706" spans="1:5" ht="15.75" customHeight="1" x14ac:dyDescent="0.25">
      <c r="A6706" s="6" t="s">
        <v>6468</v>
      </c>
      <c r="B6706" s="6" t="str">
        <f ca="1">IFERROR(__xludf.DUMMYFUNCTION("GOOGLETRANSLATE(A6706,""bn"",""en"")"),"I said earlier that there is no guardian in Mr. Bati's house")</f>
        <v>I said earlier that there is no guardian in Mr. Bati's house</v>
      </c>
      <c r="C6706" s="7" t="s">
        <v>6</v>
      </c>
      <c r="D6706" s="7" t="s">
        <v>7</v>
      </c>
      <c r="E6706" s="7">
        <v>0</v>
      </c>
    </row>
    <row r="6707" spans="1:5" ht="15.75" customHeight="1" x14ac:dyDescent="0.25">
      <c r="A6707" s="6" t="s">
        <v>6469</v>
      </c>
      <c r="B6707" s="6" t="str">
        <f ca="1">IFERROR(__xludf.DUMMYFUNCTION("GOOGLETRANSLATE(A6707,""bn"",""en"")"),"Our house started falling apart")</f>
        <v>Our house started falling apart</v>
      </c>
      <c r="C6707" s="8" t="s">
        <v>13</v>
      </c>
      <c r="D6707" s="8" t="s">
        <v>14</v>
      </c>
      <c r="E6707" s="8">
        <v>1</v>
      </c>
    </row>
    <row r="6708" spans="1:5" ht="15.75" customHeight="1" x14ac:dyDescent="0.25">
      <c r="A6708" s="6" t="s">
        <v>6470</v>
      </c>
      <c r="B6708" s="6" t="str">
        <f ca="1">IFERROR(__xludf.DUMMYFUNCTION("GOOGLETRANSLATE(A6708,""bn"",""en"")"),"Subhash survived")</f>
        <v>Subhash survived</v>
      </c>
      <c r="C6708" s="8" t="s">
        <v>13</v>
      </c>
      <c r="D6708" s="8" t="s">
        <v>14</v>
      </c>
      <c r="E6708" s="8">
        <v>1</v>
      </c>
    </row>
    <row r="6709" spans="1:5" ht="15.75" customHeight="1" x14ac:dyDescent="0.25">
      <c r="A6709" s="6" t="s">
        <v>6471</v>
      </c>
      <c r="B6709" s="6" t="str">
        <f ca="1">IFERROR(__xludf.DUMMYFUNCTION("GOOGLETRANSLATE(A6709,""bn"",""en"")"),"He is mainly romantic and also modern")</f>
        <v>He is mainly romantic and also modern</v>
      </c>
      <c r="C6709" s="8" t="s">
        <v>13</v>
      </c>
      <c r="D6709" s="8" t="s">
        <v>14</v>
      </c>
      <c r="E6709" s="8">
        <v>1</v>
      </c>
    </row>
    <row r="6710" spans="1:5" ht="15.75" customHeight="1" x14ac:dyDescent="0.25">
      <c r="A6710" s="6" t="s">
        <v>3710</v>
      </c>
      <c r="B6710" s="6" t="str">
        <f ca="1">IFERROR(__xludf.DUMMYFUNCTION("GOOGLETRANSLATE(A6710,""bn"",""en"")"),"They established a much more structured centralized regime")</f>
        <v>They established a much more structured centralized regime</v>
      </c>
      <c r="C6710" s="8" t="s">
        <v>13</v>
      </c>
      <c r="D6710" s="8" t="s">
        <v>14</v>
      </c>
      <c r="E6710" s="8">
        <v>1</v>
      </c>
    </row>
    <row r="6711" spans="1:5" ht="15.75" customHeight="1" x14ac:dyDescent="0.25">
      <c r="A6711" s="6" t="s">
        <v>6472</v>
      </c>
      <c r="B6711" s="6" t="str">
        <f ca="1">IFERROR(__xludf.DUMMYFUNCTION("GOOGLETRANSLATE(A6711,""bn"",""en"")"),"I will take a shower and read now")</f>
        <v>I will take a shower and read now</v>
      </c>
      <c r="C6711" s="8" t="s">
        <v>13</v>
      </c>
      <c r="D6711" s="8" t="s">
        <v>14</v>
      </c>
      <c r="E6711" s="8">
        <v>1</v>
      </c>
    </row>
    <row r="6712" spans="1:5" ht="15.75" customHeight="1" x14ac:dyDescent="0.25">
      <c r="A6712" s="6" t="s">
        <v>6473</v>
      </c>
      <c r="B6712" s="6" t="str">
        <f ca="1">IFERROR(__xludf.DUMMYFUNCTION("GOOGLETRANSLATE(A6712,""bn"",""en"")"),"No cultivated fields anywhere, no villages, no rivers, no roads, only forests—dense dense forests")</f>
        <v>No cultivated fields anywhere, no villages, no rivers, no roads, only forests—dense dense forests</v>
      </c>
      <c r="C6712" s="7" t="s">
        <v>6</v>
      </c>
      <c r="D6712" s="7" t="s">
        <v>7</v>
      </c>
      <c r="E6712" s="7">
        <v>0</v>
      </c>
    </row>
    <row r="6713" spans="1:5" ht="15.75" customHeight="1" x14ac:dyDescent="0.25">
      <c r="A6713" s="6" t="s">
        <v>6474</v>
      </c>
      <c r="B6713" s="6" t="str">
        <f ca="1">IFERROR(__xludf.DUMMYFUNCTION("GOOGLETRANSLATE(A6713,""bn"",""en"")"),"Mom asked you to come in")</f>
        <v>Mom asked you to come in</v>
      </c>
      <c r="C6713" s="7" t="s">
        <v>6</v>
      </c>
      <c r="D6713" s="7" t="s">
        <v>7</v>
      </c>
      <c r="E6713" s="7">
        <v>0</v>
      </c>
    </row>
    <row r="6714" spans="1:5" ht="15.75" customHeight="1" x14ac:dyDescent="0.25">
      <c r="A6714" s="6" t="s">
        <v>6475</v>
      </c>
      <c r="B6714" s="6" t="str">
        <f ca="1">IFERROR(__xludf.DUMMYFUNCTION("GOOGLETRANSLATE(A6714,""bn"",""en"")"),"Cole's society can be seen in the current state")</f>
        <v>Cole's society can be seen in the current state</v>
      </c>
      <c r="C6714" s="7" t="s">
        <v>6</v>
      </c>
      <c r="D6714" s="7" t="s">
        <v>7</v>
      </c>
      <c r="E6714" s="7">
        <v>0</v>
      </c>
    </row>
    <row r="6715" spans="1:5" ht="15.75" customHeight="1" x14ac:dyDescent="0.25">
      <c r="A6715" s="6" t="s">
        <v>6476</v>
      </c>
      <c r="B6715" s="6" t="str">
        <f ca="1">IFERROR(__xludf.DUMMYFUNCTION("GOOGLETRANSLATE(A6715,""bn"",""en"")"),"In other countries of the United States where the Sahabahs have established kingdoms, the indigenous peoples are gradually disappearing.")</f>
        <v>In other countries of the United States where the Sahabahs have established kingdoms, the indigenous peoples are gradually disappearing.</v>
      </c>
      <c r="C6715" s="7" t="s">
        <v>6</v>
      </c>
      <c r="D6715" s="7" t="s">
        <v>7</v>
      </c>
      <c r="E6715" s="7">
        <v>0</v>
      </c>
    </row>
    <row r="6716" spans="1:5" ht="15.75" customHeight="1" x14ac:dyDescent="0.25">
      <c r="A6716" s="6" t="s">
        <v>6477</v>
      </c>
      <c r="B6716" s="6" t="str">
        <f ca="1">IFERROR(__xludf.DUMMYFUNCTION("GOOGLETRANSLATE(A6716,""bn"",""en"")"),"I told him the story of my life")</f>
        <v>I told him the story of my life</v>
      </c>
      <c r="C6716" s="7" t="s">
        <v>6</v>
      </c>
      <c r="D6716" s="7" t="s">
        <v>7</v>
      </c>
      <c r="E6716" s="7">
        <v>0</v>
      </c>
    </row>
    <row r="6717" spans="1:5" ht="15.75" customHeight="1" x14ac:dyDescent="0.25">
      <c r="A6717" s="6" t="s">
        <v>6478</v>
      </c>
      <c r="B6717" s="6" t="str">
        <f ca="1">IFERROR(__xludf.DUMMYFUNCTION("GOOGLETRANSLATE(A6717,""bn"",""en"")"),"Appendicitis is inflammation of the appendix requiring surgical removal")</f>
        <v>Appendicitis is inflammation of the appendix requiring surgical removal</v>
      </c>
      <c r="C6717" s="8" t="s">
        <v>13</v>
      </c>
      <c r="D6717" s="8" t="s">
        <v>14</v>
      </c>
      <c r="E6717" s="8">
        <v>1</v>
      </c>
    </row>
    <row r="6718" spans="1:5" ht="15.75" customHeight="1" x14ac:dyDescent="0.25">
      <c r="A6718" s="6" t="s">
        <v>6479</v>
      </c>
      <c r="B6718" s="6" t="str">
        <f ca="1">IFERROR(__xludf.DUMMYFUNCTION("GOOGLETRANSLATE(A6718,""bn"",""en"")"),"I want to have a small talk with him")</f>
        <v>I want to have a small talk with him</v>
      </c>
      <c r="C6718" s="8" t="s">
        <v>13</v>
      </c>
      <c r="D6718" s="8" t="s">
        <v>14</v>
      </c>
      <c r="E6718" s="8">
        <v>1</v>
      </c>
    </row>
    <row r="6719" spans="1:5" ht="15.75" customHeight="1" x14ac:dyDescent="0.25">
      <c r="A6719" s="6" t="s">
        <v>6480</v>
      </c>
      <c r="B6719" s="6" t="str">
        <f ca="1">IFERROR(__xludf.DUMMYFUNCTION("GOOGLETRANSLATE(A6719,""bn"",""en"")"),"Different types of birds were chirping near the house")</f>
        <v>Different types of birds were chirping near the house</v>
      </c>
      <c r="C6719" s="8" t="s">
        <v>13</v>
      </c>
      <c r="D6719" s="8" t="s">
        <v>14</v>
      </c>
      <c r="E6719" s="8">
        <v>1</v>
      </c>
    </row>
    <row r="6720" spans="1:5" ht="15.75" customHeight="1" x14ac:dyDescent="0.25">
      <c r="A6720" s="6" t="s">
        <v>6481</v>
      </c>
      <c r="B6720" s="6" t="str">
        <f ca="1">IFERROR(__xludf.DUMMYFUNCTION("GOOGLETRANSLATE(A6720,""bn"",""en"")"),"Educational interventions aim to close learning gaps")</f>
        <v>Educational interventions aim to close learning gaps</v>
      </c>
      <c r="C6720" s="8" t="s">
        <v>13</v>
      </c>
      <c r="D6720" s="8" t="s">
        <v>14</v>
      </c>
      <c r="E6720" s="8">
        <v>1</v>
      </c>
    </row>
    <row r="6721" spans="1:5" ht="15.75" customHeight="1" x14ac:dyDescent="0.25">
      <c r="A6721" s="6" t="s">
        <v>6482</v>
      </c>
      <c r="B6721" s="6" t="str">
        <f ca="1">IFERROR(__xludf.DUMMYFUNCTION("GOOGLETRANSLATE(A6721,""bn"",""en"")"),"Receiving unexpected help from a friend brings gratitude")</f>
        <v>Receiving unexpected help from a friend brings gratitude</v>
      </c>
      <c r="C6721" s="8" t="s">
        <v>13</v>
      </c>
      <c r="D6721" s="8" t="s">
        <v>14</v>
      </c>
      <c r="E6721" s="8">
        <v>1</v>
      </c>
    </row>
    <row r="6722" spans="1:5" ht="15.75" customHeight="1" x14ac:dyDescent="0.25">
      <c r="A6722" s="6" t="s">
        <v>6483</v>
      </c>
      <c r="B6722" s="6" t="str">
        <f ca="1">IFERROR(__xludf.DUMMYFUNCTION("GOOGLETRANSLATE(A6722,""bn"",""en"")"),"Everywhere in the forest I saw breweries like those in Bangala, but in Palamau Pargana I never saw them.")</f>
        <v>Everywhere in the forest I saw breweries like those in Bangala, but in Palamau Pargana I never saw them.</v>
      </c>
      <c r="C6722" s="7" t="s">
        <v>6</v>
      </c>
      <c r="D6722" s="7" t="s">
        <v>7</v>
      </c>
      <c r="E6722" s="7">
        <v>0</v>
      </c>
    </row>
    <row r="6723" spans="1:5" ht="15.75" customHeight="1" x14ac:dyDescent="0.25">
      <c r="A6723" s="6" t="s">
        <v>6484</v>
      </c>
      <c r="B6723" s="6" t="str">
        <f ca="1">IFERROR(__xludf.DUMMYFUNCTION("GOOGLETRANSLATE(A6723,""bn"",""en"")"),"After the desert, a small village does not remember his name")</f>
        <v>After the desert, a small village does not remember his name</v>
      </c>
      <c r="C6723" s="7" t="s">
        <v>6</v>
      </c>
      <c r="D6723" s="7" t="s">
        <v>7</v>
      </c>
      <c r="E6723" s="7">
        <v>0</v>
      </c>
    </row>
    <row r="6724" spans="1:5" ht="15.75" customHeight="1" x14ac:dyDescent="0.25">
      <c r="A6724" s="6" t="s">
        <v>6485</v>
      </c>
      <c r="B6724" s="6" t="str">
        <f ca="1">IFERROR(__xludf.DUMMYFUNCTION("GOOGLETRANSLATE(A6724,""bn"",""en"")"),"After coming to a foreign land, even though the elder brother was taken care of, why did the creator not accept it?")</f>
        <v>After coming to a foreign land, even though the elder brother was taken care of, why did the creator not accept it?</v>
      </c>
      <c r="C6724" s="7" t="s">
        <v>6</v>
      </c>
      <c r="D6724" s="7" t="s">
        <v>7</v>
      </c>
      <c r="E6724" s="7">
        <v>0</v>
      </c>
    </row>
    <row r="6725" spans="1:5" ht="15.75" customHeight="1" x14ac:dyDescent="0.25">
      <c r="A6725" s="6" t="s">
        <v>6486</v>
      </c>
      <c r="B6725" s="6" t="str">
        <f ca="1">IFERROR(__xludf.DUMMYFUNCTION("GOOGLETRANSLATE(A6725,""bn"",""en"")"),"As I approached, the women stood to one side in disbelief")</f>
        <v>As I approached, the women stood to one side in disbelief</v>
      </c>
      <c r="C6725" s="7" t="s">
        <v>6</v>
      </c>
      <c r="D6725" s="7" t="s">
        <v>7</v>
      </c>
      <c r="E6725" s="7">
        <v>0</v>
      </c>
    </row>
    <row r="6726" spans="1:5" ht="15.75" customHeight="1" x14ac:dyDescent="0.25">
      <c r="A6726" s="6" t="s">
        <v>6487</v>
      </c>
      <c r="B6726" s="6" t="str">
        <f ca="1">IFERROR(__xludf.DUMMYFUNCTION("GOOGLETRANSLATE(A6726,""bn"",""en"")"),"He decided to sell the house and live in that house on rent")</f>
        <v>He decided to sell the house and live in that house on rent</v>
      </c>
      <c r="C6726" s="7" t="s">
        <v>6</v>
      </c>
      <c r="D6726" s="7" t="s">
        <v>7</v>
      </c>
      <c r="E6726" s="7">
        <v>0</v>
      </c>
    </row>
    <row r="6727" spans="1:5" ht="15.75" customHeight="1" x14ac:dyDescent="0.25">
      <c r="A6727" s="6" t="s">
        <v>6488</v>
      </c>
      <c r="B6727" s="6" t="str">
        <f ca="1">IFERROR(__xludf.DUMMYFUNCTION("GOOGLETRANSLATE(A6727,""bn"",""en"")"),"Livestock waste management is essential to prevent environmental pollution from manure runoff")</f>
        <v>Livestock waste management is essential to prevent environmental pollution from manure runoff</v>
      </c>
      <c r="C6727" s="8" t="s">
        <v>13</v>
      </c>
      <c r="D6727" s="8" t="s">
        <v>14</v>
      </c>
      <c r="E6727" s="8">
        <v>1</v>
      </c>
    </row>
    <row r="6728" spans="1:5" ht="15.75" customHeight="1" x14ac:dyDescent="0.25">
      <c r="A6728" s="6" t="s">
        <v>6489</v>
      </c>
      <c r="B6728" s="6" t="str">
        <f ca="1">IFERROR(__xludf.DUMMYFUNCTION("GOOGLETRANSLATE(A6728,""bn"",""en"")"),"Corporate social responsibility initiatives strengthen brand reputation")</f>
        <v>Corporate social responsibility initiatives strengthen brand reputation</v>
      </c>
      <c r="C6728" s="8" t="s">
        <v>13</v>
      </c>
      <c r="D6728" s="8" t="s">
        <v>14</v>
      </c>
      <c r="E6728" s="8">
        <v>1</v>
      </c>
    </row>
    <row r="6729" spans="1:5" ht="15.75" customHeight="1" x14ac:dyDescent="0.25">
      <c r="A6729" s="6" t="s">
        <v>6490</v>
      </c>
      <c r="B6729" s="6" t="str">
        <f ca="1">IFERROR(__xludf.DUMMYFUNCTION("GOOGLETRANSLATE(A6729,""bn"",""en"")"),"The newspaper's lifestyle section covers topics such as fashion, food, travel")</f>
        <v>The newspaper's lifestyle section covers topics such as fashion, food, travel</v>
      </c>
      <c r="C6729" s="8" t="s">
        <v>13</v>
      </c>
      <c r="D6729" s="8" t="s">
        <v>14</v>
      </c>
      <c r="E6729" s="8">
        <v>1</v>
      </c>
    </row>
    <row r="6730" spans="1:5" ht="15.75" customHeight="1" x14ac:dyDescent="0.25">
      <c r="A6730" s="6" t="s">
        <v>6491</v>
      </c>
      <c r="B6730" s="6" t="str">
        <f ca="1">IFERROR(__xludf.DUMMYFUNCTION("GOOGLETRANSLATE(A6730,""bn"",""en"")"),"Set boundaries to protect your emotional well-being")</f>
        <v>Set boundaries to protect your emotional well-being</v>
      </c>
      <c r="C6730" s="8" t="s">
        <v>13</v>
      </c>
      <c r="D6730" s="8" t="s">
        <v>14</v>
      </c>
      <c r="E6730" s="8">
        <v>1</v>
      </c>
    </row>
    <row r="6731" spans="1:5" ht="15.75" customHeight="1" x14ac:dyDescent="0.25">
      <c r="A6731" s="6" t="s">
        <v>6492</v>
      </c>
      <c r="B6731" s="6" t="str">
        <f ca="1">IFERROR(__xludf.DUMMYFUNCTION("GOOGLETRANSLATE(A6731,""bn"",""en"")"),"Erno loved his work")</f>
        <v>Erno loved his work</v>
      </c>
      <c r="C6731" s="8" t="s">
        <v>13</v>
      </c>
      <c r="D6731" s="8" t="s">
        <v>14</v>
      </c>
      <c r="E6731" s="8">
        <v>1</v>
      </c>
    </row>
    <row r="6732" spans="1:5" ht="15.75" customHeight="1" x14ac:dyDescent="0.25">
      <c r="A6732" s="6" t="s">
        <v>6493</v>
      </c>
      <c r="B6732" s="6" t="str">
        <f ca="1">IFERROR(__xludf.DUMMYFUNCTION("GOOGLETRANSLATE(A6732,""bn"",""en"")"),"Rana Roni is playing football in the field")</f>
        <v>Rana Roni is playing football in the field</v>
      </c>
      <c r="C6732" s="7" t="s">
        <v>6</v>
      </c>
      <c r="D6732" s="7" t="s">
        <v>7</v>
      </c>
      <c r="E6732" s="7">
        <v>0</v>
      </c>
    </row>
    <row r="6733" spans="1:5" ht="15.75" customHeight="1" x14ac:dyDescent="0.25">
      <c r="A6733" s="6" t="s">
        <v>6494</v>
      </c>
      <c r="B6733" s="6" t="str">
        <f ca="1">IFERROR(__xludf.DUMMYFUNCTION("GOOGLETRANSLATE(A6733,""bn"",""en"")"),"It seems that there is a market somewhere far away")</f>
        <v>It seems that there is a market somewhere far away</v>
      </c>
      <c r="C6733" s="7" t="s">
        <v>6</v>
      </c>
      <c r="D6733" s="7" t="s">
        <v>7</v>
      </c>
      <c r="E6733" s="7">
        <v>0</v>
      </c>
    </row>
    <row r="6734" spans="1:5" ht="15.75" customHeight="1" x14ac:dyDescent="0.25">
      <c r="A6734" s="6" t="s">
        <v>6495</v>
      </c>
      <c r="B6734" s="6" t="str">
        <f ca="1">IFERROR(__xludf.DUMMYFUNCTION("GOOGLETRANSLATE(A6734,""bn"",""en"")"),"We all went to school together")</f>
        <v>We all went to school together</v>
      </c>
      <c r="C6734" s="7" t="s">
        <v>6</v>
      </c>
      <c r="D6734" s="7" t="s">
        <v>7</v>
      </c>
      <c r="E6734" s="7">
        <v>0</v>
      </c>
    </row>
    <row r="6735" spans="1:5" ht="15.75" customHeight="1" x14ac:dyDescent="0.25">
      <c r="A6735" s="6" t="s">
        <v>6496</v>
      </c>
      <c r="B6735" s="6" t="str">
        <f ca="1">IFERROR(__xludf.DUMMYFUNCTION("GOOGLETRANSLATE(A6735,""bn"",""en"")"),"He stared at me for a while with a bloodless pale face")</f>
        <v>He stared at me for a while with a bloodless pale face</v>
      </c>
      <c r="C6735" s="7" t="s">
        <v>6</v>
      </c>
      <c r="D6735" s="7" t="s">
        <v>7</v>
      </c>
      <c r="E6735" s="7">
        <v>0</v>
      </c>
    </row>
    <row r="6736" spans="1:5" ht="15.75" customHeight="1" x14ac:dyDescent="0.25">
      <c r="A6736" s="6" t="s">
        <v>6497</v>
      </c>
      <c r="B6736" s="6" t="str">
        <f ca="1">IFERROR(__xludf.DUMMYFUNCTION("GOOGLETRANSLATE(A6736,""bn"",""en"")"),"Rafiq went to buy new books")</f>
        <v>Rafiq went to buy new books</v>
      </c>
      <c r="C6736" s="7" t="s">
        <v>6</v>
      </c>
      <c r="D6736" s="7" t="s">
        <v>7</v>
      </c>
      <c r="E6736" s="7">
        <v>0</v>
      </c>
    </row>
    <row r="6737" spans="1:5" ht="15.75" customHeight="1" x14ac:dyDescent="0.25">
      <c r="A6737" s="6" t="s">
        <v>4338</v>
      </c>
      <c r="B6737" s="6" t="str">
        <f ca="1">IFERROR(__xludf.DUMMYFUNCTION("GOOGLETRANSLATE(A6737,""bn"",""en"")"),"Don't let him get out of your reach")</f>
        <v>Don't let him get out of your reach</v>
      </c>
      <c r="C6737" s="8" t="s">
        <v>13</v>
      </c>
      <c r="D6737" s="8" t="s">
        <v>14</v>
      </c>
      <c r="E6737" s="8">
        <v>1</v>
      </c>
    </row>
    <row r="6738" spans="1:5" ht="15.75" customHeight="1" x14ac:dyDescent="0.25">
      <c r="A6738" s="6" t="s">
        <v>6498</v>
      </c>
      <c r="B6738" s="6" t="str">
        <f ca="1">IFERROR(__xludf.DUMMYFUNCTION("GOOGLETRANSLATE(A6738,""bn"",""en"")"),"Frank Bascombe Novel Pair:")</f>
        <v>Frank Bascombe Novel Pair:</v>
      </c>
      <c r="C6738" s="8" t="s">
        <v>13</v>
      </c>
      <c r="D6738" s="8" t="s">
        <v>14</v>
      </c>
      <c r="E6738" s="8">
        <v>1</v>
      </c>
    </row>
    <row r="6739" spans="1:5" ht="15.75" customHeight="1" x14ac:dyDescent="0.25">
      <c r="A6739" s="6" t="s">
        <v>6499</v>
      </c>
      <c r="B6739" s="6" t="str">
        <f ca="1">IFERROR(__xludf.DUMMYFUNCTION("GOOGLETRANSLATE(A6739,""bn"",""en"")"),"After eating, the boy went to school")</f>
        <v>After eating, the boy went to school</v>
      </c>
      <c r="C6739" s="8" t="s">
        <v>13</v>
      </c>
      <c r="D6739" s="8" t="s">
        <v>14</v>
      </c>
      <c r="E6739" s="8">
        <v>1</v>
      </c>
    </row>
    <row r="6740" spans="1:5" ht="15.75" customHeight="1" x14ac:dyDescent="0.25">
      <c r="A6740" s="6" t="s">
        <v>6500</v>
      </c>
      <c r="B6740" s="6" t="str">
        <f ca="1">IFERROR(__xludf.DUMMYFUNCTION("GOOGLETRANSLATE(A6740,""bn"",""en"")"),"Sifat had heard them")</f>
        <v>Sifat had heard them</v>
      </c>
      <c r="C6740" s="8" t="s">
        <v>13</v>
      </c>
      <c r="D6740" s="8" t="s">
        <v>14</v>
      </c>
      <c r="E6740" s="8">
        <v>1</v>
      </c>
    </row>
    <row r="6741" spans="1:5" ht="15.75" customHeight="1" x14ac:dyDescent="0.25">
      <c r="A6741" s="6" t="s">
        <v>6501</v>
      </c>
      <c r="B6741" s="6" t="str">
        <f ca="1">IFERROR(__xludf.DUMMYFUNCTION("GOOGLETRANSLATE(A6741,""bn"",""en"")"),"Swami Vivekananda's philosophy inspired him")</f>
        <v>Swami Vivekananda's philosophy inspired him</v>
      </c>
      <c r="C6741" s="8" t="s">
        <v>13</v>
      </c>
      <c r="D6741" s="8" t="s">
        <v>14</v>
      </c>
      <c r="E6741" s="8">
        <v>1</v>
      </c>
    </row>
    <row r="6742" spans="1:5" ht="15.75" customHeight="1" x14ac:dyDescent="0.25">
      <c r="A6742" s="6" t="s">
        <v>6502</v>
      </c>
      <c r="B6742" s="6" t="str">
        <f ca="1">IFERROR(__xludf.DUMMYFUNCTION("GOOGLETRANSLATE(A6742,""bn"",""en"")"),"Don't forget Rina's beautiful face")</f>
        <v>Don't forget Rina's beautiful face</v>
      </c>
      <c r="C6742" s="7" t="s">
        <v>6</v>
      </c>
      <c r="D6742" s="7" t="s">
        <v>7</v>
      </c>
      <c r="E6742" s="7">
        <v>0</v>
      </c>
    </row>
    <row r="6743" spans="1:5" ht="15.75" customHeight="1" x14ac:dyDescent="0.25">
      <c r="A6743" s="6" t="s">
        <v>6503</v>
      </c>
      <c r="B6743" s="6" t="str">
        <f ca="1">IFERROR(__xludf.DUMMYFUNCTION("GOOGLETRANSLATE(A6743,""bn"",""en"")"),"Rana is walking on the school road")</f>
        <v>Rana is walking on the school road</v>
      </c>
      <c r="C6743" s="7" t="s">
        <v>6</v>
      </c>
      <c r="D6743" s="7" t="s">
        <v>7</v>
      </c>
      <c r="E6743" s="7">
        <v>0</v>
      </c>
    </row>
    <row r="6744" spans="1:5" ht="15.75" customHeight="1" x14ac:dyDescent="0.25">
      <c r="A6744" s="6" t="s">
        <v>6504</v>
      </c>
      <c r="B6744" s="6" t="str">
        <f ca="1">IFERROR(__xludf.DUMMYFUNCTION("GOOGLETRANSLATE(A6744,""bn"",""en"")"),"When the car stopped near them, I got down from the car")</f>
        <v>When the car stopped near them, I got down from the car</v>
      </c>
      <c r="C6744" s="7" t="s">
        <v>6</v>
      </c>
      <c r="D6744" s="7" t="s">
        <v>7</v>
      </c>
      <c r="E6744" s="7">
        <v>0</v>
      </c>
    </row>
    <row r="6745" spans="1:5" ht="15.75" customHeight="1" x14ac:dyDescent="0.25">
      <c r="A6745" s="6" t="s">
        <v>6505</v>
      </c>
      <c r="B6745" s="6" t="str">
        <f ca="1">IFERROR(__xludf.DUMMYFUNCTION("GOOGLETRANSLATE(A6745,""bn"",""en"")"),"All the leaves of their trees have fallen")</f>
        <v>All the leaves of their trees have fallen</v>
      </c>
      <c r="C6745" s="7" t="s">
        <v>6</v>
      </c>
      <c r="D6745" s="7" t="s">
        <v>7</v>
      </c>
      <c r="E6745" s="7">
        <v>0</v>
      </c>
    </row>
    <row r="6746" spans="1:5" ht="15.75" customHeight="1" x14ac:dyDescent="0.25">
      <c r="A6746" s="6" t="s">
        <v>6506</v>
      </c>
      <c r="B6746" s="6" t="str">
        <f ca="1">IFERROR(__xludf.DUMMYFUNCTION("GOOGLETRANSLATE(A6746,""bn"",""en"")"),"Their grown-up men are chalky, their eyes are full of flies, their faces are unsmiling, as if their vitality has waned.")</f>
        <v>Their grown-up men are chalky, their eyes are full of flies, their faces are unsmiling, as if their vitality has waned.</v>
      </c>
      <c r="C6746" s="7" t="s">
        <v>6</v>
      </c>
      <c r="D6746" s="7" t="s">
        <v>7</v>
      </c>
      <c r="E6746" s="7">
        <v>0</v>
      </c>
    </row>
    <row r="6747" spans="1:5" ht="15.75" customHeight="1" x14ac:dyDescent="0.25">
      <c r="A6747" s="6" t="s">
        <v>6507</v>
      </c>
      <c r="B6747" s="6" t="str">
        <f ca="1">IFERROR(__xludf.DUMMYFUNCTION("GOOGLETRANSLATE(A6747,""bn"",""en"")"),"Sohan sir asked me to go to school")</f>
        <v>Sohan sir asked me to go to school</v>
      </c>
      <c r="C6747" s="8" t="s">
        <v>13</v>
      </c>
      <c r="D6747" s="8" t="s">
        <v>14</v>
      </c>
      <c r="E6747" s="8">
        <v>1</v>
      </c>
    </row>
    <row r="6748" spans="1:5" ht="15.75" customHeight="1" x14ac:dyDescent="0.25">
      <c r="A6748" s="6" t="s">
        <v>6508</v>
      </c>
      <c r="B6748" s="6" t="str">
        <f ca="1">IFERROR(__xludf.DUMMYFUNCTION("GOOGLETRANSLATE(A6748,""bn"",""en"")"),"Seeing my loved ones happy fills me with joy")</f>
        <v>Seeing my loved ones happy fills me with joy</v>
      </c>
      <c r="C6748" s="8" t="s">
        <v>13</v>
      </c>
      <c r="D6748" s="8" t="s">
        <v>14</v>
      </c>
      <c r="E6748" s="8">
        <v>1</v>
      </c>
    </row>
    <row r="6749" spans="1:5" ht="15.75" customHeight="1" x14ac:dyDescent="0.25">
      <c r="A6749" s="6" t="s">
        <v>6509</v>
      </c>
      <c r="B6749" s="6" t="str">
        <f ca="1">IFERROR(__xludf.DUMMYFUNCTION("GOOGLETRANSLATE(A6749,""bn"",""en"")"),"He could not keep his promise.")</f>
        <v>He could not keep his promise.</v>
      </c>
      <c r="C6749" s="8" t="s">
        <v>13</v>
      </c>
      <c r="D6749" s="8" t="s">
        <v>14</v>
      </c>
      <c r="E6749" s="8">
        <v>1</v>
      </c>
    </row>
    <row r="6750" spans="1:5" ht="15.75" customHeight="1" x14ac:dyDescent="0.25">
      <c r="A6750" s="6" t="s">
        <v>6510</v>
      </c>
      <c r="B6750" s="6" t="str">
        <f ca="1">IFERROR(__xludf.DUMMYFUNCTION("GOOGLETRANSLATE(A6750,""bn"",""en"")"),"Follow us on Instagram")</f>
        <v>Follow us on Instagram</v>
      </c>
      <c r="C6750" s="8" t="s">
        <v>13</v>
      </c>
      <c r="D6750" s="8" t="s">
        <v>14</v>
      </c>
      <c r="E6750" s="8">
        <v>1</v>
      </c>
    </row>
    <row r="6751" spans="1:5" ht="15.75" customHeight="1" x14ac:dyDescent="0.25">
      <c r="A6751" s="6" t="s">
        <v>6511</v>
      </c>
      <c r="B6751" s="6" t="str">
        <f ca="1">IFERROR(__xludf.DUMMYFUNCTION("GOOGLETRANSLATE(A6751,""bn"",""en"")"),"Mr. Karim gave me the book")</f>
        <v>Mr. Karim gave me the book</v>
      </c>
      <c r="C6751" s="8" t="s">
        <v>13</v>
      </c>
      <c r="D6751" s="8" t="s">
        <v>14</v>
      </c>
      <c r="E6751" s="8">
        <v>1</v>
      </c>
    </row>
    <row r="6752" spans="1:5" ht="15.75" customHeight="1" x14ac:dyDescent="0.25">
      <c r="A6752" s="6" t="s">
        <v>6512</v>
      </c>
      <c r="B6752" s="6" t="str">
        <f ca="1">IFERROR(__xludf.DUMMYFUNCTION("GOOGLETRANSLATE(A6752,""bn"",""en"")"),"After reaching my uncle's house in Calcutta, I first talked to my aunt")</f>
        <v>After reaching my uncle's house in Calcutta, I first talked to my aunt</v>
      </c>
      <c r="C6752" s="7" t="s">
        <v>6</v>
      </c>
      <c r="D6752" s="7" t="s">
        <v>7</v>
      </c>
      <c r="E6752" s="7">
        <v>0</v>
      </c>
    </row>
    <row r="6753" spans="1:5" ht="15.75" customHeight="1" x14ac:dyDescent="0.25">
      <c r="A6753" s="6" t="s">
        <v>6513</v>
      </c>
      <c r="B6753" s="6" t="str">
        <f ca="1">IFERROR(__xludf.DUMMYFUNCTION("GOOGLETRANSLATE(A6753,""bn"",""en"")"),"Not all minds are filled with it")</f>
        <v>Not all minds are filled with it</v>
      </c>
      <c r="C6753" s="7" t="s">
        <v>6</v>
      </c>
      <c r="D6753" s="7" t="s">
        <v>7</v>
      </c>
      <c r="E6753" s="7">
        <v>0</v>
      </c>
    </row>
    <row r="6754" spans="1:5" ht="15.75" customHeight="1" x14ac:dyDescent="0.25">
      <c r="A6754" s="6" t="s">
        <v>781</v>
      </c>
      <c r="B6754" s="6" t="str">
        <f ca="1">IFERROR(__xludf.DUMMYFUNCTION("GOOGLETRANSLATE(A6754,""bn"",""en"")"),"Red Indians Natick Indians New Zealanders Tasmanians etc. How many races have disappeared?")</f>
        <v>Red Indians Natick Indians New Zealanders Tasmanians etc. How many races have disappeared?</v>
      </c>
      <c r="C6754" s="7" t="s">
        <v>6</v>
      </c>
      <c r="D6754" s="7" t="s">
        <v>7</v>
      </c>
      <c r="E6754" s="7">
        <v>0</v>
      </c>
    </row>
    <row r="6755" spans="1:5" ht="15.75" customHeight="1" x14ac:dyDescent="0.25">
      <c r="A6755" s="6" t="s">
        <v>6514</v>
      </c>
      <c r="B6755" s="6" t="str">
        <f ca="1">IFERROR(__xludf.DUMMYFUNCTION("GOOGLETRANSLATE(A6755,""bn"",""en"")"),"Ridicule I could not understand anything")</f>
        <v>Ridicule I could not understand anything</v>
      </c>
      <c r="C6755" s="7" t="s">
        <v>6</v>
      </c>
      <c r="D6755" s="7" t="s">
        <v>7</v>
      </c>
      <c r="E6755" s="7">
        <v>0</v>
      </c>
    </row>
    <row r="6756" spans="1:5" ht="15.75" customHeight="1" x14ac:dyDescent="0.25">
      <c r="A6756" s="6" t="s">
        <v>6515</v>
      </c>
      <c r="B6756" s="6" t="str">
        <f ca="1">IFERROR(__xludf.DUMMYFUNCTION("GOOGLETRANSLATE(A6756,""bn"",""en"")"),"Until then no one told me about them")</f>
        <v>Until then no one told me about them</v>
      </c>
      <c r="C6756" s="7" t="s">
        <v>6</v>
      </c>
      <c r="D6756" s="7" t="s">
        <v>7</v>
      </c>
      <c r="E6756" s="7">
        <v>0</v>
      </c>
    </row>
    <row r="6757" spans="1:5" ht="15.75" customHeight="1" x14ac:dyDescent="0.25">
      <c r="A6757" s="6" t="s">
        <v>6516</v>
      </c>
      <c r="B6757" s="6" t="str">
        <f ca="1">IFERROR(__xludf.DUMMYFUNCTION("GOOGLETRANSLATE(A6757,""bn"",""en"")"),"Rana wrote a letter to Roni")</f>
        <v>Rana wrote a letter to Roni</v>
      </c>
      <c r="C6757" s="8" t="s">
        <v>13</v>
      </c>
      <c r="D6757" s="8" t="s">
        <v>14</v>
      </c>
      <c r="E6757" s="8">
        <v>1</v>
      </c>
    </row>
    <row r="6758" spans="1:5" ht="15.75" customHeight="1" x14ac:dyDescent="0.25">
      <c r="A6758" s="6" t="s">
        <v>6517</v>
      </c>
      <c r="B6758" s="6" t="str">
        <f ca="1">IFERROR(__xludf.DUMMYFUNCTION("GOOGLETRANSLATE(A6758,""bn"",""en"")"),"The Tripitaka is the primary scripture of Buddhism that includes the teachings of Gautama Buddha")</f>
        <v>The Tripitaka is the primary scripture of Buddhism that includes the teachings of Gautama Buddha</v>
      </c>
      <c r="C6758" s="8" t="s">
        <v>13</v>
      </c>
      <c r="D6758" s="8" t="s">
        <v>14</v>
      </c>
      <c r="E6758" s="8">
        <v>1</v>
      </c>
    </row>
    <row r="6759" spans="1:5" ht="15.75" customHeight="1" x14ac:dyDescent="0.25">
      <c r="A6759" s="6" t="s">
        <v>6518</v>
      </c>
      <c r="B6759" s="6" t="str">
        <f ca="1">IFERROR(__xludf.DUMMYFUNCTION("GOOGLETRANSLATE(A6759,""bn"",""en"")"),"DNA analysis has revolutionized forensic investigation in criminal cases")</f>
        <v>DNA analysis has revolutionized forensic investigation in criminal cases</v>
      </c>
      <c r="C6759" s="8" t="s">
        <v>13</v>
      </c>
      <c r="D6759" s="8" t="s">
        <v>14</v>
      </c>
      <c r="E6759" s="8">
        <v>1</v>
      </c>
    </row>
    <row r="6760" spans="1:5" ht="15.75" customHeight="1" x14ac:dyDescent="0.25">
      <c r="A6760" s="6" t="s">
        <v>6519</v>
      </c>
      <c r="B6760" s="6" t="str">
        <f ca="1">IFERROR(__xludf.DUMMYFUNCTION("GOOGLETRANSLATE(A6760,""bn"",""en"")"),"Develop a growth mindset Embrace challenges as opportunities for personal professional development")</f>
        <v>Develop a growth mindset Embrace challenges as opportunities for personal professional development</v>
      </c>
      <c r="C6760" s="8" t="s">
        <v>13</v>
      </c>
      <c r="D6760" s="8" t="s">
        <v>14</v>
      </c>
      <c r="E6760" s="8">
        <v>1</v>
      </c>
    </row>
    <row r="6761" spans="1:5" ht="15.75" customHeight="1" x14ac:dyDescent="0.25">
      <c r="A6761" s="6" t="s">
        <v>6520</v>
      </c>
      <c r="B6761" s="6" t="str">
        <f ca="1">IFERROR(__xludf.DUMMYFUNCTION("GOOGLETRANSLATE(A6761,""bn"",""en"")"),"Diced avocado enhances a variety of dishes")</f>
        <v>Diced avocado enhances a variety of dishes</v>
      </c>
      <c r="C6761" s="8" t="s">
        <v>13</v>
      </c>
      <c r="D6761" s="8" t="s">
        <v>14</v>
      </c>
      <c r="E6761" s="8">
        <v>1</v>
      </c>
    </row>
    <row r="6762" spans="1:5" ht="15.75" customHeight="1" x14ac:dyDescent="0.25">
      <c r="A6762" s="6" t="s">
        <v>6521</v>
      </c>
      <c r="B6762" s="6" t="str">
        <f ca="1">IFERROR(__xludf.DUMMYFUNCTION("GOOGLETRANSLATE(A6762,""bn"",""en"")"),"I saw all this in another mind")</f>
        <v>I saw all this in another mind</v>
      </c>
      <c r="C6762" s="7" t="s">
        <v>6</v>
      </c>
      <c r="D6762" s="7" t="s">
        <v>7</v>
      </c>
      <c r="E6762" s="7">
        <v>0</v>
      </c>
    </row>
    <row r="6763" spans="1:5" ht="15.75" customHeight="1" x14ac:dyDescent="0.25">
      <c r="A6763" s="6" t="s">
        <v>6522</v>
      </c>
      <c r="B6763" s="6" t="str">
        <f ca="1">IFERROR(__xludf.DUMMYFUNCTION("GOOGLETRANSLATE(A6763,""bn"",""en"")"),"They pretended not to see me")</f>
        <v>They pretended not to see me</v>
      </c>
      <c r="C6763" s="7" t="s">
        <v>6</v>
      </c>
      <c r="D6763" s="7" t="s">
        <v>7</v>
      </c>
      <c r="E6763" s="7">
        <v>0</v>
      </c>
    </row>
    <row r="6764" spans="1:5" ht="15.75" customHeight="1" x14ac:dyDescent="0.25">
      <c r="A6764" s="6" t="s">
        <v>6523</v>
      </c>
      <c r="B6764" s="6" t="str">
        <f ca="1">IFERROR(__xludf.DUMMYFUNCTION("GOOGLETRANSLATE(A6764,""bn"",""en"")"),"At that time, a bird in Kunja rose from the tree branch and said, Radha, don't be angry, look at Hari himself at your feet.")</f>
        <v>At that time, a bird in Kunja rose from the tree branch and said, Radha, don't be angry, look at Hari himself at your feet.</v>
      </c>
      <c r="C6764" s="7" t="s">
        <v>6</v>
      </c>
      <c r="D6764" s="7" t="s">
        <v>7</v>
      </c>
      <c r="E6764" s="7">
        <v>0</v>
      </c>
    </row>
    <row r="6765" spans="1:5" ht="15.75" customHeight="1" x14ac:dyDescent="0.25">
      <c r="A6765" s="6" t="s">
        <v>6524</v>
      </c>
      <c r="B6765" s="6" t="str">
        <f ca="1">IFERROR(__xludf.DUMMYFUNCTION("GOOGLETRANSLATE(A6765,""bn"",""en"")"),"Each pot has one bracket")</f>
        <v>Each pot has one bracket</v>
      </c>
      <c r="C6765" s="7" t="s">
        <v>6</v>
      </c>
      <c r="D6765" s="7" t="s">
        <v>7</v>
      </c>
      <c r="E6765" s="7">
        <v>0</v>
      </c>
    </row>
    <row r="6766" spans="1:5" ht="15.75" customHeight="1" x14ac:dyDescent="0.25">
      <c r="A6766" s="6" t="s">
        <v>6525</v>
      </c>
      <c r="B6766" s="6" t="str">
        <f ca="1">IFERROR(__xludf.DUMMYFUNCTION("GOOGLETRANSLATE(A6766,""bn"",""en"")"),"He enjoys helping the poor and helpless")</f>
        <v>He enjoys helping the poor and helpless</v>
      </c>
      <c r="C6766" s="7" t="s">
        <v>6</v>
      </c>
      <c r="D6766" s="7" t="s">
        <v>7</v>
      </c>
      <c r="E6766" s="7">
        <v>0</v>
      </c>
    </row>
    <row r="6767" spans="1:5" ht="15.75" customHeight="1" x14ac:dyDescent="0.25">
      <c r="A6767" s="6" t="s">
        <v>6526</v>
      </c>
      <c r="B6767" s="6" t="str">
        <f ca="1">IFERROR(__xludf.DUMMYFUNCTION("GOOGLETRANSLATE(A6767,""bn"",""en"")"),"Suman could hear us")</f>
        <v>Suman could hear us</v>
      </c>
      <c r="C6767" s="8" t="s">
        <v>13</v>
      </c>
      <c r="D6767" s="8" t="s">
        <v>14</v>
      </c>
      <c r="E6767" s="8">
        <v>1</v>
      </c>
    </row>
    <row r="6768" spans="1:5" ht="15.75" customHeight="1" x14ac:dyDescent="0.25">
      <c r="A6768" s="6" t="s">
        <v>6527</v>
      </c>
      <c r="B6768" s="6" t="str">
        <f ca="1">IFERROR(__xludf.DUMMYFUNCTION("GOOGLETRANSLATE(A6768,""bn"",""en"")"),"Britain declared war on Hitler's Nazi Germany")</f>
        <v>Britain declared war on Hitler's Nazi Germany</v>
      </c>
      <c r="C6768" s="8" t="s">
        <v>13</v>
      </c>
      <c r="D6768" s="8" t="s">
        <v>14</v>
      </c>
      <c r="E6768" s="8">
        <v>1</v>
      </c>
    </row>
    <row r="6769" spans="1:5" ht="15.75" customHeight="1" x14ac:dyDescent="0.25">
      <c r="A6769" s="6" t="s">
        <v>6528</v>
      </c>
      <c r="B6769" s="6" t="str">
        <f ca="1">IFERROR(__xludf.DUMMYFUNCTION("GOOGLETRANSLATE(A6769,""bn"",""en"")"),"I was very dissatisfied with his work.")</f>
        <v>I was very dissatisfied with his work.</v>
      </c>
      <c r="C6769" s="8" t="s">
        <v>13</v>
      </c>
      <c r="D6769" s="8" t="s">
        <v>14</v>
      </c>
      <c r="E6769" s="8">
        <v>1</v>
      </c>
    </row>
    <row r="6770" spans="1:5" ht="15.75" customHeight="1" x14ac:dyDescent="0.25">
      <c r="A6770" s="6" t="s">
        <v>6529</v>
      </c>
      <c r="B6770" s="6" t="str">
        <f ca="1">IFERROR(__xludf.DUMMYFUNCTION("GOOGLETRANSLATE(A6770,""bn"",""en"")"),"Saju went to Rajshahi and traveled a lot")</f>
        <v>Saju went to Rajshahi and traveled a lot</v>
      </c>
      <c r="C6770" s="8" t="s">
        <v>13</v>
      </c>
      <c r="D6770" s="8" t="s">
        <v>14</v>
      </c>
      <c r="E6770" s="8">
        <v>1</v>
      </c>
    </row>
    <row r="6771" spans="1:5" ht="15.75" customHeight="1" x14ac:dyDescent="0.25">
      <c r="A6771" s="6" t="s">
        <v>6530</v>
      </c>
      <c r="B6771" s="6" t="str">
        <f ca="1">IFERROR(__xludf.DUMMYFUNCTION("GOOGLETRANSLATE(A6771,""bn"",""en"")"),"Ovarian cysts are fluid-filled sacs that develop on the ovaries that can cause pelvic pain")</f>
        <v>Ovarian cysts are fluid-filled sacs that develop on the ovaries that can cause pelvic pain</v>
      </c>
      <c r="C6771" s="8" t="s">
        <v>13</v>
      </c>
      <c r="D6771" s="8" t="s">
        <v>14</v>
      </c>
      <c r="E6771" s="8">
        <v>1</v>
      </c>
    </row>
    <row r="6772" spans="1:5" ht="15.75" customHeight="1" x14ac:dyDescent="0.25">
      <c r="A6772" s="6" t="s">
        <v>6531</v>
      </c>
      <c r="B6772" s="6" t="str">
        <f ca="1">IFERROR(__xludf.DUMMYFUNCTION("GOOGLETRANSLATE(A6772,""bn"",""en"")"),"There were many reasons to be angry")</f>
        <v>There were many reasons to be angry</v>
      </c>
      <c r="C6772" s="7" t="s">
        <v>6</v>
      </c>
      <c r="D6772" s="7" t="s">
        <v>7</v>
      </c>
      <c r="E6772" s="7">
        <v>0</v>
      </c>
    </row>
    <row r="6773" spans="1:5" ht="15.75" customHeight="1" x14ac:dyDescent="0.25">
      <c r="A6773" s="6" t="s">
        <v>6532</v>
      </c>
      <c r="B6773" s="6" t="str">
        <f ca="1">IFERROR(__xludf.DUMMYFUNCTION("GOOGLETRANSLATE(A6773,""bn"",""en"")"),"In fact, they were the civilized, instead of them we are the barbarians")</f>
        <v>In fact, they were the civilized, instead of them we are the barbarians</v>
      </c>
      <c r="C6773" s="7" t="s">
        <v>6</v>
      </c>
      <c r="D6773" s="7" t="s">
        <v>7</v>
      </c>
      <c r="E6773" s="7">
        <v>0</v>
      </c>
    </row>
    <row r="6774" spans="1:5" ht="15.75" customHeight="1" x14ac:dyDescent="0.25">
      <c r="A6774" s="6" t="s">
        <v>6533</v>
      </c>
      <c r="B6774" s="6" t="str">
        <f ca="1">IFERROR(__xludf.DUMMYFUNCTION("GOOGLETRANSLATE(A6774,""bn"",""en"")"),"He is a little older than me, so it is possible that the fun of playing bich on this occasion comes to his mind")</f>
        <v>He is a little older than me, so it is possible that the fun of playing bich on this occasion comes to his mind</v>
      </c>
      <c r="C6774" s="7" t="s">
        <v>6</v>
      </c>
      <c r="D6774" s="7" t="s">
        <v>7</v>
      </c>
      <c r="E6774" s="7">
        <v>0</v>
      </c>
    </row>
    <row r="6775" spans="1:5" ht="15.75" customHeight="1" x14ac:dyDescent="0.25">
      <c r="A6775" s="6" t="s">
        <v>6534</v>
      </c>
      <c r="B6775" s="6" t="str">
        <f ca="1">IFERROR(__xludf.DUMMYFUNCTION("GOOGLETRANSLATE(A6775,""bn"",""en"")"),"The vehicle did not completely overturn but tilted to one side")</f>
        <v>The vehicle did not completely overturn but tilted to one side</v>
      </c>
      <c r="C6775" s="7" t="s">
        <v>6</v>
      </c>
      <c r="D6775" s="7" t="s">
        <v>7</v>
      </c>
      <c r="E6775" s="7">
        <v>0</v>
      </c>
    </row>
    <row r="6776" spans="1:5" ht="15.75" customHeight="1" x14ac:dyDescent="0.25">
      <c r="A6776" s="6" t="s">
        <v>6535</v>
      </c>
      <c r="B6776" s="6" t="str">
        <f ca="1">IFERROR(__xludf.DUMMYFUNCTION("GOOGLETRANSLATE(A6776,""bn"",""en"")"),"The same rule applies to humans")</f>
        <v>The same rule applies to humans</v>
      </c>
      <c r="C6776" s="7" t="s">
        <v>6</v>
      </c>
      <c r="D6776" s="7" t="s">
        <v>7</v>
      </c>
      <c r="E6776" s="7">
        <v>0</v>
      </c>
    </row>
    <row r="6777" spans="1:5" ht="15.75" customHeight="1" x14ac:dyDescent="0.25">
      <c r="A6777" s="6" t="s">
        <v>6536</v>
      </c>
      <c r="B6777" s="6" t="str">
        <f ca="1">IFERROR(__xludf.DUMMYFUNCTION("GOOGLETRANSLATE(A6777,""bn"",""en"")"),"I was a bit curious and asked him what his real name was")</f>
        <v>I was a bit curious and asked him what his real name was</v>
      </c>
      <c r="C6777" s="8" t="s">
        <v>13</v>
      </c>
      <c r="D6777" s="8" t="s">
        <v>14</v>
      </c>
      <c r="E6777" s="8">
        <v>1</v>
      </c>
    </row>
    <row r="6778" spans="1:5" ht="15.75" customHeight="1" x14ac:dyDescent="0.25">
      <c r="A6778" s="6" t="s">
        <v>6537</v>
      </c>
      <c r="B6778" s="6" t="str">
        <f ca="1">IFERROR(__xludf.DUMMYFUNCTION("GOOGLETRANSLATE(A6778,""bn"",""en"")"),"The Communist Party brought this together")</f>
        <v>The Communist Party brought this together</v>
      </c>
      <c r="C6778" s="8" t="s">
        <v>13</v>
      </c>
      <c r="D6778" s="8" t="s">
        <v>14</v>
      </c>
      <c r="E6778" s="8">
        <v>1</v>
      </c>
    </row>
    <row r="6779" spans="1:5" ht="15.75" customHeight="1" x14ac:dyDescent="0.25">
      <c r="A6779" s="6" t="s">
        <v>6538</v>
      </c>
      <c r="B6779" s="6" t="str">
        <f ca="1">IFERROR(__xludf.DUMMYFUNCTION("GOOGLETRANSLATE(A6779,""bn"",""en"")"),"What did Shahed do?")</f>
        <v>What did Shahed do?</v>
      </c>
      <c r="C6779" s="8" t="s">
        <v>13</v>
      </c>
      <c r="D6779" s="8" t="s">
        <v>14</v>
      </c>
      <c r="E6779" s="8">
        <v>1</v>
      </c>
    </row>
    <row r="6780" spans="1:5" ht="15.75" customHeight="1" x14ac:dyDescent="0.25">
      <c r="A6780" s="6" t="s">
        <v>6539</v>
      </c>
      <c r="B6780" s="6" t="str">
        <f ca="1">IFERROR(__xludf.DUMMYFUNCTION("GOOGLETRANSLATE(A6780,""bn"",""en"")"),"He saw three figures advancing like shadows in the darkness")</f>
        <v>He saw three figures advancing like shadows in the darkness</v>
      </c>
      <c r="C6780" s="8" t="s">
        <v>13</v>
      </c>
      <c r="D6780" s="8" t="s">
        <v>14</v>
      </c>
      <c r="E6780" s="8">
        <v>1</v>
      </c>
    </row>
    <row r="6781" spans="1:5" ht="15.75" customHeight="1" x14ac:dyDescent="0.25">
      <c r="A6781" s="6" t="s">
        <v>6540</v>
      </c>
      <c r="B6781" s="6" t="str">
        <f ca="1">IFERROR(__xludf.DUMMYFUNCTION("GOOGLETRANSLATE(A6781,""bn"",""en"")"),"Sumi I was walking on the road")</f>
        <v>Sumi I was walking on the road</v>
      </c>
      <c r="C6781" s="8" t="s">
        <v>13</v>
      </c>
      <c r="D6781" s="8" t="s">
        <v>14</v>
      </c>
      <c r="E6781" s="8">
        <v>1</v>
      </c>
    </row>
    <row r="6782" spans="1:5" ht="15.75" customHeight="1" x14ac:dyDescent="0.25">
      <c r="A6782" s="6" t="s">
        <v>3327</v>
      </c>
      <c r="B6782" s="6" t="str">
        <f ca="1">IFERROR(__xludf.DUMMYFUNCTION("GOOGLETRANSLATE(A6782,""bn"",""en"")"),"Boys are lap children")</f>
        <v>Boys are lap children</v>
      </c>
      <c r="C6782" s="7" t="s">
        <v>6</v>
      </c>
      <c r="D6782" s="7" t="s">
        <v>7</v>
      </c>
      <c r="E6782" s="7">
        <v>0</v>
      </c>
    </row>
    <row r="6783" spans="1:5" ht="15.75" customHeight="1" x14ac:dyDescent="0.25">
      <c r="A6783" s="6" t="s">
        <v>6541</v>
      </c>
      <c r="B6783" s="6" t="str">
        <f ca="1">IFERROR(__xludf.DUMMYFUNCTION("GOOGLETRANSLATE(A6783,""bn"",""en"")"),"He gave an order to the servant and went out")</f>
        <v>He gave an order to the servant and went out</v>
      </c>
      <c r="C6783" s="7" t="s">
        <v>6</v>
      </c>
      <c r="D6783" s="7" t="s">
        <v>7</v>
      </c>
      <c r="E6783" s="7">
        <v>0</v>
      </c>
    </row>
    <row r="6784" spans="1:5" ht="15.75" customHeight="1" x14ac:dyDescent="0.25">
      <c r="A6784" s="6" t="s">
        <v>6542</v>
      </c>
      <c r="B6784" s="6" t="str">
        <f ca="1">IFERROR(__xludf.DUMMYFUNCTION("GOOGLETRANSLATE(A6784,""bn"",""en"")"),"My duty is to convey God's message to people")</f>
        <v>My duty is to convey God's message to people</v>
      </c>
      <c r="C6784" s="7" t="s">
        <v>6</v>
      </c>
      <c r="D6784" s="7" t="s">
        <v>7</v>
      </c>
      <c r="E6784" s="7">
        <v>0</v>
      </c>
    </row>
    <row r="6785" spans="1:5" ht="15.75" customHeight="1" x14ac:dyDescent="0.25">
      <c r="A6785" s="6" t="s">
        <v>6543</v>
      </c>
      <c r="B6785" s="6" t="str">
        <f ca="1">IFERROR(__xludf.DUMMYFUNCTION("GOOGLETRANSLATE(A6785,""bn"",""en"")"),"I cannot decide what is ugly to look at. I have never seen anyone beautiful among all the colts who come to Calcutta or go to the tea gardens.")</f>
        <v>I cannot decide what is ugly to look at. I have never seen anyone beautiful among all the colts who come to Calcutta or go to the tea gardens.</v>
      </c>
      <c r="C6785" s="7" t="s">
        <v>6</v>
      </c>
      <c r="D6785" s="7" t="s">
        <v>7</v>
      </c>
      <c r="E6785" s="7">
        <v>0</v>
      </c>
    </row>
    <row r="6786" spans="1:5" ht="15.75" customHeight="1" x14ac:dyDescent="0.25">
      <c r="A6786" s="6" t="s">
        <v>6544</v>
      </c>
      <c r="B6786" s="6" t="str">
        <f ca="1">IFERROR(__xludf.DUMMYFUNCTION("GOOGLETRANSLATE(A6786,""bn"",""en"")"),"Why could not the girl ask when he would set out lest it be necessary in the morning?")</f>
        <v>Why could not the girl ask when he would set out lest it be necessary in the morning?</v>
      </c>
      <c r="C6786" s="7" t="s">
        <v>6</v>
      </c>
      <c r="D6786" s="7" t="s">
        <v>7</v>
      </c>
      <c r="E6786" s="7">
        <v>0</v>
      </c>
    </row>
    <row r="6787" spans="1:5" ht="15.75" customHeight="1" x14ac:dyDescent="0.25">
      <c r="A6787" s="6" t="s">
        <v>6545</v>
      </c>
      <c r="B6787" s="6" t="str">
        <f ca="1">IFERROR(__xludf.DUMMYFUNCTION("GOOGLETRANSLATE(A6787,""bn"",""en"")"),"Let go of what you can't control and focus on what you can")</f>
        <v>Let go of what you can't control and focus on what you can</v>
      </c>
      <c r="C6787" s="8" t="s">
        <v>13</v>
      </c>
      <c r="D6787" s="8" t="s">
        <v>14</v>
      </c>
      <c r="E6787" s="8">
        <v>1</v>
      </c>
    </row>
    <row r="6788" spans="1:5" ht="15.75" customHeight="1" x14ac:dyDescent="0.25">
      <c r="A6788" s="6" t="s">
        <v>6546</v>
      </c>
      <c r="B6788" s="6" t="str">
        <f ca="1">IFERROR(__xludf.DUMMYFUNCTION("GOOGLETRANSLATE(A6788,""bn"",""en"")"),"Comment with your favorite color")</f>
        <v>Comment with your favorite color</v>
      </c>
      <c r="C6788" s="8" t="s">
        <v>13</v>
      </c>
      <c r="D6788" s="8" t="s">
        <v>14</v>
      </c>
      <c r="E6788" s="8">
        <v>1</v>
      </c>
    </row>
    <row r="6789" spans="1:5" ht="15.75" customHeight="1" x14ac:dyDescent="0.25">
      <c r="A6789" s="6" t="s">
        <v>6547</v>
      </c>
      <c r="B6789" s="6" t="str">
        <f ca="1">IFERROR(__xludf.DUMMYFUNCTION("GOOGLETRANSLATE(A6789,""bn"",""en"")"),"Insurance provides protection against financial loss due to unforeseen events")</f>
        <v>Insurance provides protection against financial loss due to unforeseen events</v>
      </c>
      <c r="C6789" s="8" t="s">
        <v>13</v>
      </c>
      <c r="D6789" s="8" t="s">
        <v>14</v>
      </c>
      <c r="E6789" s="8">
        <v>1</v>
      </c>
    </row>
    <row r="6790" spans="1:5" ht="15.75" customHeight="1" x14ac:dyDescent="0.25">
      <c r="A6790" s="6" t="s">
        <v>6548</v>
      </c>
      <c r="B6790" s="6" t="str">
        <f ca="1">IFERROR(__xludf.DUMMYFUNCTION("GOOGLETRANSLATE(A6790,""bn"",""en"")"),"I visited Bogra")</f>
        <v>I visited Bogra</v>
      </c>
      <c r="C6790" s="8" t="s">
        <v>13</v>
      </c>
      <c r="D6790" s="8" t="s">
        <v>14</v>
      </c>
      <c r="E6790" s="8">
        <v>1</v>
      </c>
    </row>
    <row r="6791" spans="1:5" ht="15.75" customHeight="1" x14ac:dyDescent="0.25">
      <c r="A6791" s="6" t="s">
        <v>3862</v>
      </c>
      <c r="B6791" s="6" t="str">
        <f ca="1">IFERROR(__xludf.DUMMYFUNCTION("GOOGLETRANSLATE(A6791,""bn"",""en"")"),"He taught this to his entire family")</f>
        <v>He taught this to his entire family</v>
      </c>
      <c r="C6791" s="8" t="s">
        <v>13</v>
      </c>
      <c r="D6791" s="8" t="s">
        <v>14</v>
      </c>
      <c r="E6791" s="8">
        <v>1</v>
      </c>
    </row>
    <row r="6792" spans="1:5" ht="15.75" customHeight="1" x14ac:dyDescent="0.25">
      <c r="A6792" s="6" t="s">
        <v>6549</v>
      </c>
      <c r="B6792" s="6" t="str">
        <f ca="1">IFERROR(__xludf.DUMMYFUNCTION("GOOGLETRANSLATE(A6792,""bn"",""en"")"),"No one saw who or what was inside the palanquin")</f>
        <v>No one saw who or what was inside the palanquin</v>
      </c>
      <c r="C6792" s="7" t="s">
        <v>6</v>
      </c>
      <c r="D6792" s="7" t="s">
        <v>7</v>
      </c>
      <c r="E6792" s="7">
        <v>0</v>
      </c>
    </row>
    <row r="6793" spans="1:5" ht="15.75" customHeight="1" x14ac:dyDescent="0.25">
      <c r="A6793" s="6" t="s">
        <v>4005</v>
      </c>
      <c r="B6793" s="6" t="str">
        <f ca="1">IFERROR(__xludf.DUMMYFUNCTION("GOOGLETRANSLATE(A6793,""bn"",""en"")"),"He who rides a palanquin is therefore unfortunate village boys and girls are also very cruel and ruthless")</f>
        <v>He who rides a palanquin is therefore unfortunate village boys and girls are also very cruel and ruthless</v>
      </c>
      <c r="C6793" s="7" t="s">
        <v>6</v>
      </c>
      <c r="D6793" s="7" t="s">
        <v>7</v>
      </c>
      <c r="E6793" s="7">
        <v>0</v>
      </c>
    </row>
    <row r="6794" spans="1:5" ht="15.75" customHeight="1" x14ac:dyDescent="0.25">
      <c r="A6794" s="6" t="s">
        <v>6550</v>
      </c>
      <c r="B6794" s="6" t="str">
        <f ca="1">IFERROR(__xludf.DUMMYFUNCTION("GOOGLETRANSLATE(A6794,""bn"",""en"")"),"I saw Rahim Karim enter there")</f>
        <v>I saw Rahim Karim enter there</v>
      </c>
      <c r="C6794" s="7" t="s">
        <v>6</v>
      </c>
      <c r="D6794" s="7" t="s">
        <v>7</v>
      </c>
      <c r="E6794" s="7">
        <v>0</v>
      </c>
    </row>
    <row r="6795" spans="1:5" ht="15.75" customHeight="1" x14ac:dyDescent="0.25">
      <c r="A6795" s="6" t="s">
        <v>6551</v>
      </c>
      <c r="B6795" s="6" t="str">
        <f ca="1">IFERROR(__xludf.DUMMYFUNCTION("GOOGLETRANSLATE(A6795,""bn"",""en"")"),"On one side of the courtyard, a tiger sleeps with its eyes closed like an innocent good man, a beautiful clawed paw close to its mouth like a mirror.")</f>
        <v>On one side of the courtyard, a tiger sleeps with its eyes closed like an innocent good man, a beautiful clawed paw close to its mouth like a mirror.</v>
      </c>
      <c r="C6795" s="7" t="s">
        <v>6</v>
      </c>
      <c r="D6795" s="7" t="s">
        <v>7</v>
      </c>
      <c r="E6795" s="7">
        <v>0</v>
      </c>
    </row>
    <row r="6796" spans="1:5" ht="15.75" customHeight="1" x14ac:dyDescent="0.25">
      <c r="A6796" s="6" t="s">
        <v>6552</v>
      </c>
      <c r="B6796" s="6" t="str">
        <f ca="1">IFERROR(__xludf.DUMMYFUNCTION("GOOGLETRANSLATE(A6796,""bn"",""en"")"),"When I returned home, my father would take me to a school to learn Arabic")</f>
        <v>When I returned home, my father would take me to a school to learn Arabic</v>
      </c>
      <c r="C6796" s="7" t="s">
        <v>6</v>
      </c>
      <c r="D6796" s="7" t="s">
        <v>7</v>
      </c>
      <c r="E6796" s="7">
        <v>0</v>
      </c>
    </row>
    <row r="6797" spans="1:5" ht="15.75" customHeight="1" x14ac:dyDescent="0.25">
      <c r="A6797" s="6" t="s">
        <v>6553</v>
      </c>
      <c r="B6797" s="6" t="str">
        <f ca="1">IFERROR(__xludf.DUMMYFUNCTION("GOOGLETRANSLATE(A6797,""bn"",""en"")"),"The transaction has been delayed due to technical issues")</f>
        <v>The transaction has been delayed due to technical issues</v>
      </c>
      <c r="C6797" s="8" t="s">
        <v>13</v>
      </c>
      <c r="D6797" s="8" t="s">
        <v>14</v>
      </c>
      <c r="E6797" s="8">
        <v>1</v>
      </c>
    </row>
    <row r="6798" spans="1:5" ht="15.75" customHeight="1" x14ac:dyDescent="0.25">
      <c r="A6798" s="6" t="s">
        <v>6554</v>
      </c>
      <c r="B6798" s="6" t="str">
        <f ca="1">IFERROR(__xludf.DUMMYFUNCTION("GOOGLETRANSLATE(A6798,""bn"",""en"")"),"I found the service to be quick and efficient")</f>
        <v>I found the service to be quick and efficient</v>
      </c>
      <c r="C6798" s="8" t="s">
        <v>13</v>
      </c>
      <c r="D6798" s="8" t="s">
        <v>14</v>
      </c>
      <c r="E6798" s="8">
        <v>1</v>
      </c>
    </row>
    <row r="6799" spans="1:5" ht="15.75" customHeight="1" x14ac:dyDescent="0.25">
      <c r="A6799" s="6" t="s">
        <v>6555</v>
      </c>
      <c r="B6799" s="6" t="str">
        <f ca="1">IFERROR(__xludf.DUMMYFUNCTION("GOOGLETRANSLATE(A6799,""bn"",""en"")"),"Comment your favorite movie")</f>
        <v>Comment your favorite movie</v>
      </c>
      <c r="C6799" s="8" t="s">
        <v>13</v>
      </c>
      <c r="D6799" s="8" t="s">
        <v>14</v>
      </c>
      <c r="E6799" s="8">
        <v>1</v>
      </c>
    </row>
    <row r="6800" spans="1:5" ht="15.75" customHeight="1" x14ac:dyDescent="0.25">
      <c r="A6800" s="6" t="s">
        <v>6556</v>
      </c>
      <c r="B6800" s="6" t="str">
        <f ca="1">IFERROR(__xludf.DUMMYFUNCTION("GOOGLETRANSLATE(A6800,""bn"",""en"")"),"Baking decorated cakes is satisfying")</f>
        <v>Baking decorated cakes is satisfying</v>
      </c>
      <c r="C6800" s="8" t="s">
        <v>13</v>
      </c>
      <c r="D6800" s="8" t="s">
        <v>14</v>
      </c>
      <c r="E6800" s="8">
        <v>1</v>
      </c>
    </row>
    <row r="6801" spans="1:5" ht="15.75" customHeight="1" x14ac:dyDescent="0.25">
      <c r="A6801" s="6" t="s">
        <v>6557</v>
      </c>
      <c r="B6801" s="6" t="str">
        <f ca="1">IFERROR(__xludf.DUMMYFUNCTION("GOOGLETRANSLATE(A6801,""bn"",""en"")"),"The thrill of the unknown makes adventure more exciting")</f>
        <v>The thrill of the unknown makes adventure more exciting</v>
      </c>
      <c r="C6801" s="8" t="s">
        <v>13</v>
      </c>
      <c r="D6801" s="8" t="s">
        <v>14</v>
      </c>
      <c r="E6801" s="8">
        <v>1</v>
      </c>
    </row>
    <row r="6802" spans="1:5" ht="15.75" customHeight="1" x14ac:dyDescent="0.25">
      <c r="A6802" s="6" t="s">
        <v>6558</v>
      </c>
      <c r="B6802" s="6" t="str">
        <f ca="1">IFERROR(__xludf.DUMMYFUNCTION("GOOGLETRANSLATE(A6802,""bn"",""en"")"),"I saw it in Midnipur region east of Kashta")</f>
        <v>I saw it in Midnipur region east of Kashta</v>
      </c>
      <c r="C6802" s="7" t="s">
        <v>6</v>
      </c>
      <c r="D6802" s="7" t="s">
        <v>7</v>
      </c>
      <c r="E6802" s="7">
        <v>0</v>
      </c>
    </row>
    <row r="6803" spans="1:5" ht="15.75" customHeight="1" x14ac:dyDescent="0.25">
      <c r="A6803" s="6" t="s">
        <v>6559</v>
      </c>
      <c r="B6803" s="6" t="str">
        <f ca="1">IFERROR(__xludf.DUMMYFUNCTION("GOOGLETRANSLATE(A6803,""bn"",""en"")"),"Is this your elder brother?")</f>
        <v>Is this your elder brother?</v>
      </c>
      <c r="C6803" s="7" t="s">
        <v>6</v>
      </c>
      <c r="D6803" s="7" t="s">
        <v>7</v>
      </c>
      <c r="E6803" s="7">
        <v>0</v>
      </c>
    </row>
    <row r="6804" spans="1:5" ht="15.75" customHeight="1" x14ac:dyDescent="0.25">
      <c r="A6804" s="6" t="s">
        <v>6560</v>
      </c>
      <c r="B6804" s="6" t="str">
        <f ca="1">IFERROR(__xludf.DUMMYFUNCTION("GOOGLETRANSLATE(A6804,""bn"",""en"")"),"After the night again Sachish former rice dharil did not have the right place to eat his name")</f>
        <v>After the night again Sachish former rice dharil did not have the right place to eat his name</v>
      </c>
      <c r="C6804" s="7" t="s">
        <v>6</v>
      </c>
      <c r="D6804" s="7" t="s">
        <v>7</v>
      </c>
      <c r="E6804" s="7">
        <v>0</v>
      </c>
    </row>
    <row r="6805" spans="1:5" ht="15.75" customHeight="1" x14ac:dyDescent="0.25">
      <c r="A6805" s="6" t="s">
        <v>6561</v>
      </c>
      <c r="B6805" s="6" t="str">
        <f ca="1">IFERROR(__xludf.DUMMYFUNCTION("GOOGLETRANSLATE(A6805,""bn"",""en"")"),"Come and stay for a few days when you have finished")</f>
        <v>Come and stay for a few days when you have finished</v>
      </c>
      <c r="C6805" s="7" t="s">
        <v>6</v>
      </c>
      <c r="D6805" s="7" t="s">
        <v>7</v>
      </c>
      <c r="E6805" s="7">
        <v>0</v>
      </c>
    </row>
    <row r="6806" spans="1:5" ht="15.75" customHeight="1" x14ac:dyDescent="0.25">
      <c r="A6806" s="6" t="s">
        <v>6562</v>
      </c>
      <c r="B6806" s="6" t="str">
        <f ca="1">IFERROR(__xludf.DUMMYFUNCTION("GOOGLETRANSLATE(A6806,""bn"",""en"")"),"When Abbajan's disheveled hair is red with henna, this young man's bright heart will be drowned in tamsha.")</f>
        <v>When Abbajan's disheveled hair is red with henna, this young man's bright heart will be drowned in tamsha.</v>
      </c>
      <c r="C6806" s="7" t="s">
        <v>6</v>
      </c>
      <c r="D6806" s="7" t="s">
        <v>7</v>
      </c>
      <c r="E6806" s="7">
        <v>0</v>
      </c>
    </row>
    <row r="6807" spans="1:5" ht="15.75" customHeight="1" x14ac:dyDescent="0.25">
      <c r="A6807" s="6" t="s">
        <v>6563</v>
      </c>
      <c r="B6807" s="6" t="str">
        <f ca="1">IFERROR(__xludf.DUMMYFUNCTION("GOOGLETRANSLATE(A6807,""bn"",""en"")"),"Saving for a college education is a major financial goal for many parents")</f>
        <v>Saving for a college education is a major financial goal for many parents</v>
      </c>
      <c r="C6807" s="8" t="s">
        <v>13</v>
      </c>
      <c r="D6807" s="8" t="s">
        <v>14</v>
      </c>
      <c r="E6807" s="8">
        <v>1</v>
      </c>
    </row>
    <row r="6808" spans="1:5" ht="15.75" customHeight="1" x14ac:dyDescent="0.25">
      <c r="A6808" s="6" t="s">
        <v>6564</v>
      </c>
      <c r="B6808" s="6" t="str">
        <f ca="1">IFERROR(__xludf.DUMMYFUNCTION("GOOGLETRANSLATE(A6808,""bn"",""en"")"),"Fresh mint enhances the dessert presentation")</f>
        <v>Fresh mint enhances the dessert presentation</v>
      </c>
      <c r="C6808" s="8" t="s">
        <v>13</v>
      </c>
      <c r="D6808" s="8" t="s">
        <v>14</v>
      </c>
      <c r="E6808" s="8">
        <v>1</v>
      </c>
    </row>
    <row r="6809" spans="1:5" ht="15.75" customHeight="1" x14ac:dyDescent="0.25">
      <c r="A6809" s="6" t="s">
        <v>6565</v>
      </c>
      <c r="B6809" s="6" t="str">
        <f ca="1">IFERROR(__xludf.DUMMYFUNCTION("GOOGLETRANSLATE(A6809,""bn"",""en"")"),"Mechanic repairs car engine with precision")</f>
        <v>Mechanic repairs car engine with precision</v>
      </c>
      <c r="C6809" s="8" t="s">
        <v>13</v>
      </c>
      <c r="D6809" s="8" t="s">
        <v>14</v>
      </c>
      <c r="E6809" s="8">
        <v>1</v>
      </c>
    </row>
    <row r="6810" spans="1:5" ht="15.75" customHeight="1" x14ac:dyDescent="0.25">
      <c r="A6810" s="6" t="s">
        <v>6566</v>
      </c>
      <c r="B6810" s="6" t="str">
        <f ca="1">IFERROR(__xludf.DUMMYFUNCTION("GOOGLETRANSLATE(A6810,""bn"",""en"")"),"Most of the people in the town are tourists visiting the temple through fishing or coconut farming")</f>
        <v>Most of the people in the town are tourists visiting the temple through fishing or coconut farming</v>
      </c>
      <c r="C6810" s="8" t="s">
        <v>13</v>
      </c>
      <c r="D6810" s="8" t="s">
        <v>14</v>
      </c>
      <c r="E6810" s="8">
        <v>1</v>
      </c>
    </row>
    <row r="6811" spans="1:5" ht="15.75" customHeight="1" x14ac:dyDescent="0.25">
      <c r="A6811" s="6" t="s">
        <v>6567</v>
      </c>
      <c r="B6811" s="6" t="str">
        <f ca="1">IFERROR(__xludf.DUMMYFUNCTION("GOOGLETRANSLATE(A6811,""bn"",""en"")"),"I prefer to use public transport when I visit crowded suburban areas")</f>
        <v>I prefer to use public transport when I visit crowded suburban areas</v>
      </c>
      <c r="C6811" s="8" t="s">
        <v>13</v>
      </c>
      <c r="D6811" s="8" t="s">
        <v>14</v>
      </c>
      <c r="E6811" s="8">
        <v>1</v>
      </c>
    </row>
    <row r="6812" spans="1:5" ht="15.75" customHeight="1" x14ac:dyDescent="0.25">
      <c r="A6812" s="6" t="s">
        <v>6568</v>
      </c>
      <c r="B6812" s="6" t="str">
        <f ca="1">IFERROR(__xludf.DUMMYFUNCTION("GOOGLETRANSLATE(A6812,""bn"",""en"")"),"The Khoshamuds say that the wind blows slowly to remove their dust")</f>
        <v>The Khoshamuds say that the wind blows slowly to remove their dust</v>
      </c>
      <c r="C6812" s="7" t="s">
        <v>6</v>
      </c>
      <c r="D6812" s="7" t="s">
        <v>7</v>
      </c>
      <c r="E6812" s="7">
        <v>0</v>
      </c>
    </row>
    <row r="6813" spans="1:5" ht="15.75" customHeight="1" x14ac:dyDescent="0.25">
      <c r="A6813" s="6" t="s">
        <v>3452</v>
      </c>
      <c r="B6813" s="6" t="str">
        <f ca="1">IFERROR(__xludf.DUMMYFUNCTION("GOOGLETRANSLATE(A6813,""bn"",""en"")"),"Taher wrote to Chandan")</f>
        <v>Taher wrote to Chandan</v>
      </c>
      <c r="C6813" s="7" t="s">
        <v>6</v>
      </c>
      <c r="D6813" s="7" t="s">
        <v>7</v>
      </c>
      <c r="E6813" s="7">
        <v>0</v>
      </c>
    </row>
    <row r="6814" spans="1:5" ht="15.75" customHeight="1" x14ac:dyDescent="0.25">
      <c r="A6814" s="6" t="s">
        <v>6569</v>
      </c>
      <c r="B6814" s="6" t="str">
        <f ca="1">IFERROR(__xludf.DUMMYFUNCTION("GOOGLETRANSLATE(A6814,""bn"",""en"")"),"Is it necessary to write a letter today?")</f>
        <v>Is it necessary to write a letter today?</v>
      </c>
      <c r="C6814" s="7" t="s">
        <v>6</v>
      </c>
      <c r="D6814" s="7" t="s">
        <v>7</v>
      </c>
      <c r="E6814" s="7">
        <v>0</v>
      </c>
    </row>
    <row r="6815" spans="1:5" ht="15.75" customHeight="1" x14ac:dyDescent="0.25">
      <c r="A6815" s="6" t="s">
        <v>6570</v>
      </c>
      <c r="B6815" s="6" t="str">
        <f ca="1">IFERROR(__xludf.DUMMYFUNCTION("GOOGLETRANSLATE(A6815,""bn"",""en"")"),"I was asking Suman to eat rice")</f>
        <v>I was asking Suman to eat rice</v>
      </c>
      <c r="C6815" s="7" t="s">
        <v>6</v>
      </c>
      <c r="D6815" s="7" t="s">
        <v>7</v>
      </c>
      <c r="E6815" s="7">
        <v>0</v>
      </c>
    </row>
    <row r="6816" spans="1:5" ht="15.75" customHeight="1" x14ac:dyDescent="0.25">
      <c r="A6816" s="6" t="s">
        <v>6571</v>
      </c>
      <c r="B6816" s="6" t="str">
        <f ca="1">IFERROR(__xludf.DUMMYFUNCTION("GOOGLETRANSLATE(A6816,""bn"",""en"")"),"The better the penal code, the more courage disappears")</f>
        <v>The better the penal code, the more courage disappears</v>
      </c>
      <c r="C6816" s="7" t="s">
        <v>6</v>
      </c>
      <c r="D6816" s="7" t="s">
        <v>7</v>
      </c>
      <c r="E6816" s="7">
        <v>0</v>
      </c>
    </row>
    <row r="6817" spans="1:5" ht="15.75" customHeight="1" x14ac:dyDescent="0.25">
      <c r="A6817" s="6" t="s">
        <v>6572</v>
      </c>
      <c r="B6817" s="6" t="str">
        <f ca="1">IFERROR(__xludf.DUMMYFUNCTION("GOOGLETRANSLATE(A6817,""bn"",""en"")"),"Jatin was a young man with a strong and fearless spirit")</f>
        <v>Jatin was a young man with a strong and fearless spirit</v>
      </c>
      <c r="C6817" s="8" t="s">
        <v>13</v>
      </c>
      <c r="D6817" s="8" t="s">
        <v>14</v>
      </c>
      <c r="E6817" s="8">
        <v>1</v>
      </c>
    </row>
    <row r="6818" spans="1:5" ht="15.75" customHeight="1" x14ac:dyDescent="0.25">
      <c r="A6818" s="6" t="s">
        <v>6573</v>
      </c>
      <c r="B6818" s="6" t="str">
        <f ca="1">IFERROR(__xludf.DUMMYFUNCTION("GOOGLETRANSLATE(A6818,""bn"",""en"")"),"Some are stable isotopes")</f>
        <v>Some are stable isotopes</v>
      </c>
      <c r="C6818" s="8" t="s">
        <v>13</v>
      </c>
      <c r="D6818" s="8" t="s">
        <v>14</v>
      </c>
      <c r="E6818" s="8">
        <v>1</v>
      </c>
    </row>
    <row r="6819" spans="1:5" ht="15.75" customHeight="1" x14ac:dyDescent="0.25">
      <c r="A6819" s="6" t="s">
        <v>6574</v>
      </c>
      <c r="B6819" s="6" t="str">
        <f ca="1">IFERROR(__xludf.DUMMYFUNCTION("GOOGLETRANSLATE(A6819,""bn"",""en"")"),"Sujan will go to the market today")</f>
        <v>Sujan will go to the market today</v>
      </c>
      <c r="C6819" s="8" t="s">
        <v>13</v>
      </c>
      <c r="D6819" s="8" t="s">
        <v>14</v>
      </c>
      <c r="E6819" s="8">
        <v>1</v>
      </c>
    </row>
    <row r="6820" spans="1:5" ht="15.75" customHeight="1" x14ac:dyDescent="0.25">
      <c r="A6820" s="6" t="s">
        <v>6575</v>
      </c>
      <c r="B6820" s="6" t="str">
        <f ca="1">IFERROR(__xludf.DUMMYFUNCTION("GOOGLETRANSLATE(A6820,""bn"",""en"")"),"At rush hour the train was so crowded I couldn't find a seat")</f>
        <v>At rush hour the train was so crowded I couldn't find a seat</v>
      </c>
      <c r="C6820" s="8" t="s">
        <v>13</v>
      </c>
      <c r="D6820" s="8" t="s">
        <v>14</v>
      </c>
      <c r="E6820" s="8">
        <v>1</v>
      </c>
    </row>
    <row r="6821" spans="1:5" ht="15.75" customHeight="1" x14ac:dyDescent="0.25">
      <c r="A6821" s="6" t="s">
        <v>6576</v>
      </c>
      <c r="B6821" s="6" t="str">
        <f ca="1">IFERROR(__xludf.DUMMYFUNCTION("GOOGLETRANSLATE(A6821,""bn"",""en"")"),"Actor Award Nomination Festival")</f>
        <v>Actor Award Nomination Festival</v>
      </c>
      <c r="C6821" s="8" t="s">
        <v>13</v>
      </c>
      <c r="D6821" s="8" t="s">
        <v>14</v>
      </c>
      <c r="E6821" s="8">
        <v>1</v>
      </c>
    </row>
    <row r="6822" spans="1:5" ht="15.75" customHeight="1" x14ac:dyDescent="0.25">
      <c r="A6822" s="6" t="s">
        <v>6577</v>
      </c>
      <c r="B6822" s="6" t="str">
        <f ca="1">IFERROR(__xludf.DUMMYFUNCTION("GOOGLETRANSLATE(A6822,""bn"",""en"")"),"As a result of delaying for some time, the train left without picking me up")</f>
        <v>As a result of delaying for some time, the train left without picking me up</v>
      </c>
      <c r="C6822" s="7" t="s">
        <v>6</v>
      </c>
      <c r="D6822" s="7" t="s">
        <v>7</v>
      </c>
      <c r="E6822" s="7">
        <v>0</v>
      </c>
    </row>
    <row r="6823" spans="1:5" ht="15.75" customHeight="1" x14ac:dyDescent="0.25">
      <c r="A6823" s="6" t="s">
        <v>6578</v>
      </c>
      <c r="B6823" s="6" t="str">
        <f ca="1">IFERROR(__xludf.DUMMYFUNCTION("GOOGLETRANSLATE(A6823,""bn"",""en"")"),"Everyone should achieve success with hard work")</f>
        <v>Everyone should achieve success with hard work</v>
      </c>
      <c r="C6823" s="7" t="s">
        <v>6</v>
      </c>
      <c r="D6823" s="7" t="s">
        <v>7</v>
      </c>
      <c r="E6823" s="7">
        <v>0</v>
      </c>
    </row>
    <row r="6824" spans="1:5" ht="15.75" customHeight="1" x14ac:dyDescent="0.25">
      <c r="A6824" s="6" t="s">
        <v>6579</v>
      </c>
      <c r="B6824" s="6" t="str">
        <f ca="1">IFERROR(__xludf.DUMMYFUNCTION("GOOGLETRANSLATE(A6824,""bn"",""en"")"),"He was really tired of the constant fighting")</f>
        <v>He was really tired of the constant fighting</v>
      </c>
      <c r="C6824" s="7" t="s">
        <v>6</v>
      </c>
      <c r="D6824" s="7" t="s">
        <v>7</v>
      </c>
      <c r="E6824" s="7">
        <v>0</v>
      </c>
    </row>
    <row r="6825" spans="1:5" ht="15.75" customHeight="1" x14ac:dyDescent="0.25">
      <c r="A6825" s="6" t="s">
        <v>6580</v>
      </c>
      <c r="B6825" s="6" t="str">
        <f ca="1">IFERROR(__xludf.DUMMYFUNCTION("GOOGLETRANSLATE(A6825,""bn"",""en"")"),"On such occasions the night would sometimes pass long, and the postmaster's kitchen would not be lazily desired.")</f>
        <v>On such occasions the night would sometimes pass long, and the postmaster's kitchen would not be lazily desired.</v>
      </c>
      <c r="C6825" s="7" t="s">
        <v>6</v>
      </c>
      <c r="D6825" s="7" t="s">
        <v>7</v>
      </c>
      <c r="E6825" s="7">
        <v>0</v>
      </c>
    </row>
    <row r="6826" spans="1:5" ht="15.75" customHeight="1" x14ac:dyDescent="0.25">
      <c r="A6826" s="6" t="s">
        <v>6581</v>
      </c>
      <c r="B6826" s="6" t="str">
        <f ca="1">IFERROR(__xludf.DUMMYFUNCTION("GOOGLETRANSLATE(A6826,""bn"",""en"")"),"My brother asked me to sit and read")</f>
        <v>My brother asked me to sit and read</v>
      </c>
      <c r="C6826" s="7" t="s">
        <v>6</v>
      </c>
      <c r="D6826" s="7" t="s">
        <v>7</v>
      </c>
      <c r="E6826" s="7">
        <v>0</v>
      </c>
    </row>
    <row r="6827" spans="1:5" ht="15.75" customHeight="1" x14ac:dyDescent="0.25">
      <c r="A6827" s="6" t="s">
        <v>2417</v>
      </c>
      <c r="B6827" s="6" t="str">
        <f ca="1">IFERROR(__xludf.DUMMYFUNCTION("GOOGLETRANSLATE(A6827,""bn"",""en"")"),"Next I will mention the name of my another friend Niaz Rashid")</f>
        <v>Next I will mention the name of my another friend Niaz Rashid</v>
      </c>
      <c r="C6827" s="8" t="s">
        <v>13</v>
      </c>
      <c r="D6827" s="8" t="s">
        <v>14</v>
      </c>
      <c r="E6827" s="8">
        <v>1</v>
      </c>
    </row>
    <row r="6828" spans="1:5" ht="15.75" customHeight="1" x14ac:dyDescent="0.25">
      <c r="A6828" s="6" t="s">
        <v>6582</v>
      </c>
      <c r="B6828" s="6" t="str">
        <f ca="1">IFERROR(__xludf.DUMMYFUNCTION("GOOGLETRANSLATE(A6828,""bn"",""en"")"),"He died of pneumonia")</f>
        <v>He died of pneumonia</v>
      </c>
      <c r="C6828" s="8" t="s">
        <v>13</v>
      </c>
      <c r="D6828" s="8" t="s">
        <v>14</v>
      </c>
      <c r="E6828" s="8">
        <v>1</v>
      </c>
    </row>
    <row r="6829" spans="1:5" ht="15.75" customHeight="1" x14ac:dyDescent="0.25">
      <c r="A6829" s="6" t="s">
        <v>6583</v>
      </c>
      <c r="B6829" s="6" t="str">
        <f ca="1">IFERROR(__xludf.DUMMYFUNCTION("GOOGLETRANSLATE(A6829,""bn"",""en"")"),"Adapting to market trends ensures our competitive edge")</f>
        <v>Adapting to market trends ensures our competitive edge</v>
      </c>
      <c r="C6829" s="8" t="s">
        <v>13</v>
      </c>
      <c r="D6829" s="8" t="s">
        <v>14</v>
      </c>
      <c r="E6829" s="8">
        <v>1</v>
      </c>
    </row>
    <row r="6830" spans="1:5" ht="15.75" customHeight="1" x14ac:dyDescent="0.25">
      <c r="A6830" s="6" t="s">
        <v>6584</v>
      </c>
      <c r="B6830" s="6" t="str">
        <f ca="1">IFERROR(__xludf.DUMMYFUNCTION("GOOGLETRANSLATE(A6830,""bn"",""en"")"),"In the meantime, the matter of the nail would not have been raised")</f>
        <v>In the meantime, the matter of the nail would not have been raised</v>
      </c>
      <c r="C6830" s="8" t="s">
        <v>13</v>
      </c>
      <c r="D6830" s="8" t="s">
        <v>14</v>
      </c>
      <c r="E6830" s="8">
        <v>1</v>
      </c>
    </row>
    <row r="6831" spans="1:5" ht="15.75" customHeight="1" x14ac:dyDescent="0.25">
      <c r="A6831" s="6" t="s">
        <v>6585</v>
      </c>
      <c r="B6831" s="6" t="str">
        <f ca="1">IFERROR(__xludf.DUMMYFUNCTION("GOOGLETRANSLATE(A6831,""bn"",""en"")"),"He called me away")</f>
        <v>He called me away</v>
      </c>
      <c r="C6831" s="8" t="s">
        <v>13</v>
      </c>
      <c r="D6831" s="8" t="s">
        <v>14</v>
      </c>
      <c r="E6831" s="8">
        <v>1</v>
      </c>
    </row>
    <row r="6832" spans="1:5" ht="15.75" customHeight="1" x14ac:dyDescent="0.25">
      <c r="A6832" s="6" t="s">
        <v>6586</v>
      </c>
      <c r="B6832" s="6" t="str">
        <f ca="1">IFERROR(__xludf.DUMMYFUNCTION("GOOGLETRANSLATE(A6832,""bn"",""en"")"),"Samyak had come to collect wood without considering it")</f>
        <v>Samyak had come to collect wood without considering it</v>
      </c>
      <c r="C6832" s="7" t="s">
        <v>6</v>
      </c>
      <c r="D6832" s="7" t="s">
        <v>7</v>
      </c>
      <c r="E6832" s="7">
        <v>0</v>
      </c>
    </row>
    <row r="6833" spans="1:5" ht="15.75" customHeight="1" x14ac:dyDescent="0.25">
      <c r="A6833" s="6" t="s">
        <v>6587</v>
      </c>
      <c r="B6833" s="6" t="str">
        <f ca="1">IFERROR(__xludf.DUMMYFUNCTION("GOOGLETRANSLATE(A6833,""bn"",""en"")"),"Saying that he minded his work")</f>
        <v>Saying that he minded his work</v>
      </c>
      <c r="C6833" s="7" t="s">
        <v>6</v>
      </c>
      <c r="D6833" s="7" t="s">
        <v>7</v>
      </c>
      <c r="E6833" s="7">
        <v>0</v>
      </c>
    </row>
    <row r="6834" spans="1:5" ht="15.75" customHeight="1" x14ac:dyDescent="0.25">
      <c r="A6834" s="6" t="s">
        <v>6588</v>
      </c>
      <c r="B6834" s="6" t="str">
        <f ca="1">IFERROR(__xludf.DUMMYFUNCTION("GOOGLETRANSLATE(A6834,""bn"",""en"")"),"Is this your mother?")</f>
        <v>Is this your mother?</v>
      </c>
      <c r="C6834" s="7" t="s">
        <v>6</v>
      </c>
      <c r="D6834" s="7" t="s">
        <v>7</v>
      </c>
      <c r="E6834" s="7">
        <v>0</v>
      </c>
    </row>
    <row r="6835" spans="1:5" ht="15.75" customHeight="1" x14ac:dyDescent="0.25">
      <c r="A6835" s="6" t="s">
        <v>6589</v>
      </c>
      <c r="B6835" s="6" t="str">
        <f ca="1">IFERROR(__xludf.DUMMYFUNCTION("GOOGLETRANSLATE(A6835,""bn"",""en"")"),"In the end we won the game")</f>
        <v>In the end we won the game</v>
      </c>
      <c r="C6835" s="7" t="s">
        <v>6</v>
      </c>
      <c r="D6835" s="7" t="s">
        <v>7</v>
      </c>
      <c r="E6835" s="7">
        <v>0</v>
      </c>
    </row>
    <row r="6836" spans="1:5" ht="15.75" customHeight="1" x14ac:dyDescent="0.25">
      <c r="A6836" s="6" t="s">
        <v>6590</v>
      </c>
      <c r="B6836" s="6" t="str">
        <f ca="1">IFERROR(__xludf.DUMMYFUNCTION("GOOGLETRANSLATE(A6836,""bn"",""en"")"),"He did not listen to any objection of Govardhan")</f>
        <v>He did not listen to any objection of Govardhan</v>
      </c>
      <c r="C6836" s="7" t="s">
        <v>6</v>
      </c>
      <c r="D6836" s="7" t="s">
        <v>7</v>
      </c>
      <c r="E6836" s="7">
        <v>0</v>
      </c>
    </row>
    <row r="6837" spans="1:5" ht="15.75" customHeight="1" x14ac:dyDescent="0.25">
      <c r="A6837" s="6" t="s">
        <v>6591</v>
      </c>
      <c r="B6837" s="6" t="str">
        <f ca="1">IFERROR(__xludf.DUMMYFUNCTION("GOOGLETRANSLATE(A6837,""bn"",""en"")"),"The sea was visible from the window there")</f>
        <v>The sea was visible from the window there</v>
      </c>
      <c r="C6837" s="8" t="s">
        <v>13</v>
      </c>
      <c r="D6837" s="8" t="s">
        <v>14</v>
      </c>
      <c r="E6837" s="8">
        <v>1</v>
      </c>
    </row>
    <row r="6838" spans="1:5" ht="15.75" customHeight="1" x14ac:dyDescent="0.25">
      <c r="A6838" s="6" t="s">
        <v>6592</v>
      </c>
      <c r="B6838" s="6" t="str">
        <f ca="1">IFERROR(__xludf.DUMMYFUNCTION("GOOGLETRANSLATE(A6838,""bn"",""en"")"),"did you read my story")</f>
        <v>did you read my story</v>
      </c>
      <c r="C6838" s="8" t="s">
        <v>13</v>
      </c>
      <c r="D6838" s="8" t="s">
        <v>14</v>
      </c>
      <c r="E6838" s="8">
        <v>1</v>
      </c>
    </row>
    <row r="6839" spans="1:5" ht="15.75" customHeight="1" x14ac:dyDescent="0.25">
      <c r="A6839" s="6" t="s">
        <v>6593</v>
      </c>
      <c r="B6839" s="6" t="str">
        <f ca="1">IFERROR(__xludf.DUMMYFUNCTION("GOOGLETRANSLATE(A6839,""bn"",""en"")"),"Freeman can be seen in various box office successful films")</f>
        <v>Freeman can be seen in various box office successful films</v>
      </c>
      <c r="C6839" s="8" t="s">
        <v>13</v>
      </c>
      <c r="D6839" s="8" t="s">
        <v>14</v>
      </c>
      <c r="E6839" s="8">
        <v>1</v>
      </c>
    </row>
    <row r="6840" spans="1:5" ht="15.75" customHeight="1" x14ac:dyDescent="0.25">
      <c r="A6840" s="6" t="s">
        <v>6594</v>
      </c>
      <c r="B6840" s="6" t="str">
        <f ca="1">IFERROR(__xludf.DUMMYFUNCTION("GOOGLETRANSLATE(A6840,""bn"",""en"")"),"The shipping process was a nightmare my package arrived late and was damaged")</f>
        <v>The shipping process was a nightmare my package arrived late and was damaged</v>
      </c>
      <c r="C6840" s="8" t="s">
        <v>13</v>
      </c>
      <c r="D6840" s="8" t="s">
        <v>14</v>
      </c>
      <c r="E6840" s="8">
        <v>1</v>
      </c>
    </row>
    <row r="6841" spans="1:5" ht="15.75" customHeight="1" x14ac:dyDescent="0.25">
      <c r="A6841" s="6" t="s">
        <v>6595</v>
      </c>
      <c r="B6841" s="6" t="str">
        <f ca="1">IFERROR(__xludf.DUMMYFUNCTION("GOOGLETRANSLATE(A6841,""bn"",""en"")"),"Arthritis causes painful swelling in your joints")</f>
        <v>Arthritis causes painful swelling in your joints</v>
      </c>
      <c r="C6841" s="8" t="s">
        <v>13</v>
      </c>
      <c r="D6841" s="8" t="s">
        <v>14</v>
      </c>
      <c r="E6841" s="8">
        <v>1</v>
      </c>
    </row>
    <row r="6842" spans="1:5" ht="15.75" customHeight="1" x14ac:dyDescent="0.25">
      <c r="A6842" s="6" t="s">
        <v>6596</v>
      </c>
      <c r="B6842" s="6" t="str">
        <f ca="1">IFERROR(__xludf.DUMMYFUNCTION("GOOGLETRANSLATE(A6842,""bn"",""en"")"),"Reading story books has become his habit")</f>
        <v>Reading story books has become his habit</v>
      </c>
      <c r="C6842" s="7" t="s">
        <v>6</v>
      </c>
      <c r="D6842" s="7" t="s">
        <v>7</v>
      </c>
      <c r="E6842" s="7">
        <v>0</v>
      </c>
    </row>
    <row r="6843" spans="1:5" ht="15.75" customHeight="1" x14ac:dyDescent="0.25">
      <c r="A6843" s="6" t="s">
        <v>6597</v>
      </c>
      <c r="B6843" s="6" t="str">
        <f ca="1">IFERROR(__xludf.DUMMYFUNCTION("GOOGLETRANSLATE(A6843,""bn"",""en"")"),"What have I interrupted your study?")</f>
        <v>What have I interrupted your study?</v>
      </c>
      <c r="C6843" s="7" t="s">
        <v>6</v>
      </c>
      <c r="D6843" s="7" t="s">
        <v>7</v>
      </c>
      <c r="E6843" s="7">
        <v>0</v>
      </c>
    </row>
    <row r="6844" spans="1:5" ht="15.75" customHeight="1" x14ac:dyDescent="0.25">
      <c r="A6844" s="6" t="s">
        <v>6598</v>
      </c>
      <c r="B6844" s="6" t="str">
        <f ca="1">IFERROR(__xludf.DUMMYFUNCTION("GOOGLETRANSLATE(A6844,""bn"",""en"")"),"A group of men prepare to chase with their respective weapons to cut down a forest of thick mangrove hair like your beautiful forest.")</f>
        <v>A group of men prepare to chase with their respective weapons to cut down a forest of thick mangrove hair like your beautiful forest.</v>
      </c>
      <c r="C6844" s="7" t="s">
        <v>6</v>
      </c>
      <c r="D6844" s="7" t="s">
        <v>7</v>
      </c>
      <c r="E6844" s="7">
        <v>0</v>
      </c>
    </row>
    <row r="6845" spans="1:5" ht="15.75" customHeight="1" x14ac:dyDescent="0.25">
      <c r="A6845" s="6" t="s">
        <v>6599</v>
      </c>
      <c r="B6845" s="6" t="str">
        <f ca="1">IFERROR(__xludf.DUMMYFUNCTION("GOOGLETRANSLATE(A6845,""bn"",""en"")"),"When the rain stopped in the afternoon, Srinath's daughter dropped the doll after coming here to play")</f>
        <v>When the rain stopped in the afternoon, Srinath's daughter dropped the doll after coming here to play</v>
      </c>
      <c r="C6845" s="7" t="s">
        <v>6</v>
      </c>
      <c r="D6845" s="7" t="s">
        <v>7</v>
      </c>
      <c r="E6845" s="7">
        <v>0</v>
      </c>
    </row>
    <row r="6846" spans="1:5" ht="15.75" customHeight="1" x14ac:dyDescent="0.25">
      <c r="A6846" s="6" t="s">
        <v>4547</v>
      </c>
      <c r="B6846" s="6" t="str">
        <f ca="1">IFERROR(__xludf.DUMMYFUNCTION("GOOGLETRANSLATE(A6846,""bn"",""en"")"),"I gave him a task")</f>
        <v>I gave him a task</v>
      </c>
      <c r="C6846" s="7" t="s">
        <v>6</v>
      </c>
      <c r="D6846" s="7" t="s">
        <v>7</v>
      </c>
      <c r="E6846" s="7">
        <v>0</v>
      </c>
    </row>
    <row r="6847" spans="1:5" ht="15.75" customHeight="1" x14ac:dyDescent="0.25">
      <c r="A6847" s="6" t="s">
        <v>6600</v>
      </c>
      <c r="B6847" s="6" t="str">
        <f ca="1">IFERROR(__xludf.DUMMYFUNCTION("GOOGLETRANSLATE(A6847,""bn"",""en"")"),"Moreover, he encouraged women to write")</f>
        <v>Moreover, he encouraged women to write</v>
      </c>
      <c r="C6847" s="8" t="s">
        <v>13</v>
      </c>
      <c r="D6847" s="8" t="s">
        <v>14</v>
      </c>
      <c r="E6847" s="8">
        <v>1</v>
      </c>
    </row>
    <row r="6848" spans="1:5" ht="15.75" customHeight="1" x14ac:dyDescent="0.25">
      <c r="A6848" s="6" t="s">
        <v>6601</v>
      </c>
      <c r="B6848" s="6" t="str">
        <f ca="1">IFERROR(__xludf.DUMMYFUNCTION("GOOGLETRANSLATE(A6848,""bn"",""en"")"),"Educational policy reforms seek to address systemic problems in education")</f>
        <v>Educational policy reforms seek to address systemic problems in education</v>
      </c>
      <c r="C6848" s="8" t="s">
        <v>13</v>
      </c>
      <c r="D6848" s="8" t="s">
        <v>14</v>
      </c>
      <c r="E6848" s="8">
        <v>1</v>
      </c>
    </row>
    <row r="6849" spans="1:5" ht="15.75" customHeight="1" x14ac:dyDescent="0.25">
      <c r="A6849" s="6" t="s">
        <v>6602</v>
      </c>
      <c r="B6849" s="6" t="str">
        <f ca="1">IFERROR(__xludf.DUMMYFUNCTION("GOOGLETRANSLATE(A6849,""bn"",""en"")"),"Sujan's school should be changed")</f>
        <v>Sujan's school should be changed</v>
      </c>
      <c r="C6849" s="8" t="s">
        <v>13</v>
      </c>
      <c r="D6849" s="8" t="s">
        <v>14</v>
      </c>
      <c r="E6849" s="8">
        <v>1</v>
      </c>
    </row>
    <row r="6850" spans="1:5" ht="15.75" customHeight="1" x14ac:dyDescent="0.25">
      <c r="A6850" s="6" t="s">
        <v>6603</v>
      </c>
      <c r="B6850" s="6" t="str">
        <f ca="1">IFERROR(__xludf.DUMMYFUNCTION("GOOGLETRANSLATE(A6850,""bn"",""en"")"),"The body has become hopeful")</f>
        <v>The body has become hopeful</v>
      </c>
      <c r="C6850" s="8" t="s">
        <v>13</v>
      </c>
      <c r="D6850" s="8" t="s">
        <v>14</v>
      </c>
      <c r="E6850" s="8">
        <v>1</v>
      </c>
    </row>
    <row r="6851" spans="1:5" ht="15.75" customHeight="1" x14ac:dyDescent="0.25">
      <c r="A6851" s="6" t="s">
        <v>6604</v>
      </c>
      <c r="B6851" s="6" t="str">
        <f ca="1">IFERROR(__xludf.DUMMYFUNCTION("GOOGLETRANSLATE(A6851,""bn"",""en"")"),"Family reunions can be messy and always fun")</f>
        <v>Family reunions can be messy and always fun</v>
      </c>
      <c r="C6851" s="8" t="s">
        <v>13</v>
      </c>
      <c r="D6851" s="8" t="s">
        <v>14</v>
      </c>
      <c r="E6851" s="8">
        <v>1</v>
      </c>
    </row>
    <row r="6852" spans="1:5" ht="15.75" customHeight="1" x14ac:dyDescent="0.25">
      <c r="A6852" s="6" t="s">
        <v>6605</v>
      </c>
      <c r="B6852" s="6" t="str">
        <f ca="1">IFERROR(__xludf.DUMMYFUNCTION("GOOGLETRANSLATE(A6852,""bn"",""en"")"),"Rana had come after listening to me")</f>
        <v>Rana had come after listening to me</v>
      </c>
      <c r="C6852" s="7" t="s">
        <v>6</v>
      </c>
      <c r="D6852" s="7" t="s">
        <v>7</v>
      </c>
      <c r="E6852" s="7">
        <v>0</v>
      </c>
    </row>
    <row r="6853" spans="1:5" ht="15.75" customHeight="1" x14ac:dyDescent="0.25">
      <c r="A6853" s="6" t="s">
        <v>6606</v>
      </c>
      <c r="B6853" s="6" t="str">
        <f ca="1">IFERROR(__xludf.DUMMYFUNCTION("GOOGLETRANSLATE(A6853,""bn"",""en"")"),"I started looking for a car to reach the destination")</f>
        <v>I started looking for a car to reach the destination</v>
      </c>
      <c r="C6853" s="7" t="s">
        <v>6</v>
      </c>
      <c r="D6853" s="7" t="s">
        <v>7</v>
      </c>
      <c r="E6853" s="7">
        <v>0</v>
      </c>
    </row>
    <row r="6854" spans="1:5" ht="15.75" customHeight="1" x14ac:dyDescent="0.25">
      <c r="A6854" s="6" t="s">
        <v>6607</v>
      </c>
      <c r="B6854" s="6" t="str">
        <f ca="1">IFERROR(__xludf.DUMMYFUNCTION("GOOGLETRANSLATE(A6854,""bn"",""en"")"),"Their objections became so serious that the sale of the house was suspended")</f>
        <v>Their objections became so serious that the sale of the house was suspended</v>
      </c>
      <c r="C6854" s="7" t="s">
        <v>6</v>
      </c>
      <c r="D6854" s="7" t="s">
        <v>7</v>
      </c>
      <c r="E6854" s="7">
        <v>0</v>
      </c>
    </row>
    <row r="6855" spans="1:5" ht="15.75" customHeight="1" x14ac:dyDescent="0.25">
      <c r="A6855" s="6" t="s">
        <v>6608</v>
      </c>
      <c r="B6855" s="6" t="str">
        <f ca="1">IFERROR(__xludf.DUMMYFUNCTION("GOOGLETRANSLATE(A6855,""bn"",""en"")"),"My elder brother is not home")</f>
        <v>My elder brother is not home</v>
      </c>
      <c r="C6855" s="7" t="s">
        <v>6</v>
      </c>
      <c r="D6855" s="7" t="s">
        <v>7</v>
      </c>
      <c r="E6855" s="7">
        <v>0</v>
      </c>
    </row>
    <row r="6856" spans="1:5" ht="15.75" customHeight="1" x14ac:dyDescent="0.25">
      <c r="A6856" s="6" t="s">
        <v>6609</v>
      </c>
      <c r="B6856" s="6" t="str">
        <f ca="1">IFERROR(__xludf.DUMMYFUNCTION("GOOGLETRANSLATE(A6856,""bn"",""en"")"),"No crop grows in a field where no one travels through it for fear of polluting the air.")</f>
        <v>No crop grows in a field where no one travels through it for fear of polluting the air.</v>
      </c>
      <c r="C6856" s="7" t="s">
        <v>6</v>
      </c>
      <c r="D6856" s="7" t="s">
        <v>7</v>
      </c>
      <c r="E6856" s="7">
        <v>0</v>
      </c>
    </row>
    <row r="6857" spans="1:5" ht="15.75" customHeight="1" x14ac:dyDescent="0.25">
      <c r="A6857" s="6" t="s">
        <v>6610</v>
      </c>
      <c r="B6857" s="6" t="str">
        <f ca="1">IFERROR(__xludf.DUMMYFUNCTION("GOOGLETRANSLATE(A6857,""bn"",""en"")"),"I saw a cat on the street that day")</f>
        <v>I saw a cat on the street that day</v>
      </c>
      <c r="C6857" s="8" t="s">
        <v>13</v>
      </c>
      <c r="D6857" s="8" t="s">
        <v>14</v>
      </c>
      <c r="E6857" s="8">
        <v>1</v>
      </c>
    </row>
    <row r="6858" spans="1:5" ht="15.75" customHeight="1" x14ac:dyDescent="0.25">
      <c r="A6858" s="6" t="s">
        <v>6611</v>
      </c>
      <c r="B6858" s="6" t="str">
        <f ca="1">IFERROR(__xludf.DUMMYFUNCTION("GOOGLETRANSLATE(A6858,""bn"",""en"")"),"Digital literacy is essential to navigating the information age")</f>
        <v>Digital literacy is essential to navigating the information age</v>
      </c>
      <c r="C6858" s="8" t="s">
        <v>13</v>
      </c>
      <c r="D6858" s="8" t="s">
        <v>14</v>
      </c>
      <c r="E6858" s="8">
        <v>1</v>
      </c>
    </row>
    <row r="6859" spans="1:5" ht="15.75" customHeight="1" x14ac:dyDescent="0.25">
      <c r="A6859" s="6" t="s">
        <v>6612</v>
      </c>
      <c r="B6859" s="6" t="str">
        <f ca="1">IFERROR(__xludf.DUMMYFUNCTION("GOOGLETRANSLATE(A6859,""bn"",""en"")"),"The nature of repression is difficult to determine")</f>
        <v>The nature of repression is difficult to determine</v>
      </c>
      <c r="C6859" s="8" t="s">
        <v>13</v>
      </c>
      <c r="D6859" s="8" t="s">
        <v>14</v>
      </c>
      <c r="E6859" s="8">
        <v>1</v>
      </c>
    </row>
    <row r="6860" spans="1:5" ht="15.75" customHeight="1" x14ac:dyDescent="0.25">
      <c r="A6860" s="6" t="s">
        <v>6613</v>
      </c>
      <c r="B6860" s="6" t="str">
        <f ca="1">IFERROR(__xludf.DUMMYFUNCTION("GOOGLETRANSLATE(A6860,""bn"",""en"")"),"Together they received half of that year's prize")</f>
        <v>Together they received half of that year's prize</v>
      </c>
      <c r="C6860" s="8" t="s">
        <v>13</v>
      </c>
      <c r="D6860" s="8" t="s">
        <v>14</v>
      </c>
      <c r="E6860" s="8">
        <v>1</v>
      </c>
    </row>
    <row r="6861" spans="1:5" ht="15.75" customHeight="1" x14ac:dyDescent="0.25">
      <c r="A6861" s="6" t="s">
        <v>6614</v>
      </c>
      <c r="B6861" s="6" t="str">
        <f ca="1">IFERROR(__xludf.DUMMYFUNCTION("GOOGLETRANSLATE(A6861,""bn"",""en"")"),"There is no market in my house now")</f>
        <v>There is no market in my house now</v>
      </c>
      <c r="C6861" s="8" t="s">
        <v>13</v>
      </c>
      <c r="D6861" s="8" t="s">
        <v>14</v>
      </c>
      <c r="E6861" s="8">
        <v>1</v>
      </c>
    </row>
    <row r="6862" spans="1:5" ht="15.75" customHeight="1" x14ac:dyDescent="0.25">
      <c r="A6862" s="6" t="s">
        <v>6615</v>
      </c>
      <c r="B6862" s="6" t="str">
        <f ca="1">IFERROR(__xludf.DUMMYFUNCTION("GOOGLETRANSLATE(A6862,""bn"",""en"")"),"What I have written in the past is not the same as what I have written now")</f>
        <v>What I have written in the past is not the same as what I have written now</v>
      </c>
      <c r="C6862" s="7" t="s">
        <v>6</v>
      </c>
      <c r="D6862" s="7" t="s">
        <v>7</v>
      </c>
      <c r="E6862" s="7">
        <v>0</v>
      </c>
    </row>
    <row r="6863" spans="1:5" ht="15.75" customHeight="1" x14ac:dyDescent="0.25">
      <c r="A6863" s="6" t="s">
        <v>6616</v>
      </c>
      <c r="B6863" s="6" t="str">
        <f ca="1">IFERROR(__xludf.DUMMYFUNCTION("GOOGLETRANSLATE(A6863,""bn"",""en"")"),"I feel very tired")</f>
        <v>I feel very tired</v>
      </c>
      <c r="C6863" s="7" t="s">
        <v>6</v>
      </c>
      <c r="D6863" s="7" t="s">
        <v>7</v>
      </c>
      <c r="E6863" s="7">
        <v>0</v>
      </c>
    </row>
    <row r="6864" spans="1:5" ht="15.75" customHeight="1" x14ac:dyDescent="0.25">
      <c r="A6864" s="6" t="s">
        <v>2071</v>
      </c>
      <c r="B6864" s="6" t="str">
        <f ca="1">IFERROR(__xludf.DUMMYFUNCTION("GOOGLETRANSLATE(A6864,""bn"",""en"")"),"Dad bought me this pen")</f>
        <v>Dad bought me this pen</v>
      </c>
      <c r="C6864" s="7" t="s">
        <v>6</v>
      </c>
      <c r="D6864" s="7" t="s">
        <v>7</v>
      </c>
      <c r="E6864" s="7">
        <v>0</v>
      </c>
    </row>
    <row r="6865" spans="1:5" ht="15.75" customHeight="1" x14ac:dyDescent="0.25">
      <c r="A6865" s="6" t="s">
        <v>6617</v>
      </c>
      <c r="B6865" s="6" t="str">
        <f ca="1">IFERROR(__xludf.DUMMYFUNCTION("GOOGLETRANSLATE(A6865,""bn"",""en"")"),"I am thinking what to write now")</f>
        <v>I am thinking what to write now</v>
      </c>
      <c r="C6865" s="7" t="s">
        <v>6</v>
      </c>
      <c r="D6865" s="7" t="s">
        <v>7</v>
      </c>
      <c r="E6865" s="7">
        <v>0</v>
      </c>
    </row>
    <row r="6866" spans="1:5" ht="15.75" customHeight="1" x14ac:dyDescent="0.25">
      <c r="A6866" s="6" t="s">
        <v>6618</v>
      </c>
      <c r="B6866" s="6" t="str">
        <f ca="1">IFERROR(__xludf.DUMMYFUNCTION("GOOGLETRANSLATE(A6866,""bn"",""en"")"),"Rony Rahim had to walk to the field")</f>
        <v>Rony Rahim had to walk to the field</v>
      </c>
      <c r="C6866" s="7" t="s">
        <v>6</v>
      </c>
      <c r="D6866" s="7" t="s">
        <v>7</v>
      </c>
      <c r="E6866" s="7">
        <v>0</v>
      </c>
    </row>
    <row r="6867" spans="1:5" ht="15.75" customHeight="1" x14ac:dyDescent="0.25">
      <c r="A6867" s="6" t="s">
        <v>6619</v>
      </c>
      <c r="B6867" s="6" t="str">
        <f ca="1">IFERROR(__xludf.DUMMYFUNCTION("GOOGLETRANSLATE(A6867,""bn"",""en"")"),"Shakib asked me to go to him")</f>
        <v>Shakib asked me to go to him</v>
      </c>
      <c r="C6867" s="8" t="s">
        <v>13</v>
      </c>
      <c r="D6867" s="8" t="s">
        <v>14</v>
      </c>
      <c r="E6867" s="8">
        <v>1</v>
      </c>
    </row>
    <row r="6868" spans="1:5" ht="15.75" customHeight="1" x14ac:dyDescent="0.25">
      <c r="A6868" s="6" t="s">
        <v>6620</v>
      </c>
      <c r="B6868" s="6" t="str">
        <f ca="1">IFERROR(__xludf.DUMMYFUNCTION("GOOGLETRANSLATE(A6868,""bn"",""en"")"),"My father is an honest person")</f>
        <v>My father is an honest person</v>
      </c>
      <c r="C6868" s="8" t="s">
        <v>13</v>
      </c>
      <c r="D6868" s="8" t="s">
        <v>14</v>
      </c>
      <c r="E6868" s="8">
        <v>1</v>
      </c>
    </row>
    <row r="6869" spans="1:5" ht="15.75" customHeight="1" x14ac:dyDescent="0.25">
      <c r="A6869" s="6" t="s">
        <v>6621</v>
      </c>
      <c r="B6869" s="6" t="str">
        <f ca="1">IFERROR(__xludf.DUMMYFUNCTION("GOOGLETRANSLATE(A6869,""bn"",""en"")"),"Sujan called your mother")</f>
        <v>Sujan called your mother</v>
      </c>
      <c r="C6869" s="8" t="s">
        <v>13</v>
      </c>
      <c r="D6869" s="8" t="s">
        <v>14</v>
      </c>
      <c r="E6869" s="8">
        <v>1</v>
      </c>
    </row>
    <row r="6870" spans="1:5" ht="15.75" customHeight="1" x14ac:dyDescent="0.25">
      <c r="A6870" s="6" t="s">
        <v>6622</v>
      </c>
      <c r="B6870" s="6" t="str">
        <f ca="1">IFERROR(__xludf.DUMMYFUNCTION("GOOGLETRANSLATE(A6870,""bn"",""en"")"),"This is how he proceeded to achieve his intellectual integrity")</f>
        <v>This is how he proceeded to achieve his intellectual integrity</v>
      </c>
      <c r="C6870" s="8" t="s">
        <v>13</v>
      </c>
      <c r="D6870" s="8" t="s">
        <v>14</v>
      </c>
      <c r="E6870" s="8">
        <v>1</v>
      </c>
    </row>
    <row r="6871" spans="1:5" ht="15.75" customHeight="1" x14ac:dyDescent="0.25">
      <c r="A6871" s="6" t="s">
        <v>6623</v>
      </c>
      <c r="B6871" s="6" t="str">
        <f ca="1">IFERROR(__xludf.DUMMYFUNCTION("GOOGLETRANSLATE(A6871,""bn"",""en"")"),"Everyone will like my work")</f>
        <v>Everyone will like my work</v>
      </c>
      <c r="C6871" s="8" t="s">
        <v>13</v>
      </c>
      <c r="D6871" s="8" t="s">
        <v>14</v>
      </c>
      <c r="E6871" s="8">
        <v>1</v>
      </c>
    </row>
    <row r="6872" spans="1:5" ht="15.75" customHeight="1" x14ac:dyDescent="0.25">
      <c r="A6872" s="6" t="s">
        <v>6624</v>
      </c>
      <c r="B6872" s="6" t="str">
        <f ca="1">IFERROR(__xludf.DUMMYFUNCTION("GOOGLETRANSLATE(A6872,""bn"",""en"")"),"He asked Govardhan to start the boat after not getting any response by shouting")</f>
        <v>He asked Govardhan to start the boat after not getting any response by shouting</v>
      </c>
      <c r="C6872" s="7" t="s">
        <v>6</v>
      </c>
      <c r="D6872" s="7" t="s">
        <v>7</v>
      </c>
      <c r="E6872" s="7">
        <v>0</v>
      </c>
    </row>
    <row r="6873" spans="1:5" ht="15.75" customHeight="1" x14ac:dyDescent="0.25">
      <c r="A6873" s="6" t="s">
        <v>6625</v>
      </c>
      <c r="B6873" s="6" t="str">
        <f ca="1">IFERROR(__xludf.DUMMYFUNCTION("GOOGLETRANSLATE(A6873,""bn"",""en"")"),"I could feel his danger")</f>
        <v>I could feel his danger</v>
      </c>
      <c r="C6873" s="7" t="s">
        <v>6</v>
      </c>
      <c r="D6873" s="7" t="s">
        <v>7</v>
      </c>
      <c r="E6873" s="7">
        <v>0</v>
      </c>
    </row>
    <row r="6874" spans="1:5" ht="15.75" customHeight="1" x14ac:dyDescent="0.25">
      <c r="A6874" s="6" t="s">
        <v>6626</v>
      </c>
      <c r="B6874" s="6" t="str">
        <f ca="1">IFERROR(__xludf.DUMMYFUNCTION("GOOGLETRANSLATE(A6874,""bn"",""en"")"),"Can't stand listening to other people")</f>
        <v>Can't stand listening to other people</v>
      </c>
      <c r="C6874" s="7" t="s">
        <v>6</v>
      </c>
      <c r="D6874" s="7" t="s">
        <v>7</v>
      </c>
      <c r="E6874" s="7">
        <v>0</v>
      </c>
    </row>
    <row r="6875" spans="1:5" ht="15.75" customHeight="1" x14ac:dyDescent="0.25">
      <c r="A6875" s="6" t="s">
        <v>6627</v>
      </c>
      <c r="B6875" s="6" t="str">
        <f ca="1">IFERROR(__xludf.DUMMYFUNCTION("GOOGLETRANSLATE(A6875,""bn"",""en"")"),"Halfway through the night his watchful sleep was broken by his mother's call")</f>
        <v>Halfway through the night his watchful sleep was broken by his mother's call</v>
      </c>
      <c r="C6875" s="7" t="s">
        <v>6</v>
      </c>
      <c r="D6875" s="7" t="s">
        <v>7</v>
      </c>
      <c r="E6875" s="7">
        <v>0</v>
      </c>
    </row>
    <row r="6876" spans="1:5" ht="15.75" customHeight="1" x14ac:dyDescent="0.25">
      <c r="A6876" s="6" t="s">
        <v>6628</v>
      </c>
      <c r="B6876" s="6" t="str">
        <f ca="1">IFERROR(__xludf.DUMMYFUNCTION("GOOGLETRANSLATE(A6876,""bn"",""en"")"),"Soon a small desert covered with semi-arid grass appeared")</f>
        <v>Soon a small desert covered with semi-arid grass appeared</v>
      </c>
      <c r="C6876" s="7" t="s">
        <v>6</v>
      </c>
      <c r="D6876" s="7" t="s">
        <v>7</v>
      </c>
      <c r="E6876" s="7">
        <v>0</v>
      </c>
    </row>
    <row r="6877" spans="1:5" ht="15.75" customHeight="1" x14ac:dyDescent="0.25">
      <c r="A6877" s="6" t="s">
        <v>6629</v>
      </c>
      <c r="B6877" s="6" t="str">
        <f ca="1">IFERROR(__xludf.DUMMYFUNCTION("GOOGLETRANSLATE(A6877,""bn"",""en"")"),"Comment with your favorite hobby")</f>
        <v>Comment with your favorite hobby</v>
      </c>
      <c r="C6877" s="8" t="s">
        <v>13</v>
      </c>
      <c r="D6877" s="8" t="s">
        <v>14</v>
      </c>
      <c r="E6877" s="8">
        <v>1</v>
      </c>
    </row>
    <row r="6878" spans="1:5" ht="15.75" customHeight="1" x14ac:dyDescent="0.25">
      <c r="A6878" s="6" t="s">
        <v>6630</v>
      </c>
      <c r="B6878" s="6" t="str">
        <f ca="1">IFERROR(__xludf.DUMMYFUNCTION("GOOGLETRANSLATE(A6878,""bn"",""en"")"),"Bhupendra died very young")</f>
        <v>Bhupendra died very young</v>
      </c>
      <c r="C6878" s="8" t="s">
        <v>13</v>
      </c>
      <c r="D6878" s="8" t="s">
        <v>14</v>
      </c>
      <c r="E6878" s="8">
        <v>1</v>
      </c>
    </row>
    <row r="6879" spans="1:5" ht="15.75" customHeight="1" x14ac:dyDescent="0.25">
      <c r="A6879" s="6" t="s">
        <v>6631</v>
      </c>
      <c r="B6879" s="6" t="str">
        <f ca="1">IFERROR(__xludf.DUMMYFUNCTION("GOOGLETRANSLATE(A6879,""bn"",""en"")"),"Witness protection programs are crucial to ensuring the safety of whistleblowers")</f>
        <v>Witness protection programs are crucial to ensuring the safety of whistleblowers</v>
      </c>
      <c r="C6879" s="8" t="s">
        <v>13</v>
      </c>
      <c r="D6879" s="8" t="s">
        <v>14</v>
      </c>
      <c r="E6879" s="8">
        <v>1</v>
      </c>
    </row>
    <row r="6880" spans="1:5" ht="15.75" customHeight="1" x14ac:dyDescent="0.25">
      <c r="A6880" s="6" t="s">
        <v>6632</v>
      </c>
      <c r="B6880" s="6" t="str">
        <f ca="1">IFERROR(__xludf.DUMMYFUNCTION("GOOGLETRANSLATE(A6880,""bn"",""en"")"),"Because no such deviation has been demonstrated")</f>
        <v>Because no such deviation has been demonstrated</v>
      </c>
      <c r="C6880" s="8" t="s">
        <v>13</v>
      </c>
      <c r="D6880" s="8" t="s">
        <v>14</v>
      </c>
      <c r="E6880" s="8">
        <v>1</v>
      </c>
    </row>
    <row r="6881" spans="1:5" ht="15.75" customHeight="1" x14ac:dyDescent="0.25">
      <c r="A6881" s="6" t="s">
        <v>6633</v>
      </c>
      <c r="B6881" s="6" t="str">
        <f ca="1">IFERROR(__xludf.DUMMYFUNCTION("GOOGLETRANSLATE(A6881,""bn"",""en"")"),"Now Rafiq is going to the mosque")</f>
        <v>Now Rafiq is going to the mosque</v>
      </c>
      <c r="C6881" s="8" t="s">
        <v>13</v>
      </c>
      <c r="D6881" s="8" t="s">
        <v>14</v>
      </c>
      <c r="E6881" s="8">
        <v>1</v>
      </c>
    </row>
    <row r="6882" spans="1:5" ht="15.75" customHeight="1" x14ac:dyDescent="0.25">
      <c r="A6882" s="6" t="s">
        <v>6634</v>
      </c>
      <c r="B6882" s="6" t="str">
        <f ca="1">IFERROR(__xludf.DUMMYFUNCTION("GOOGLETRANSLATE(A6882,""bn"",""en"")"),"The family also perishes soon in their food")</f>
        <v>The family also perishes soon in their food</v>
      </c>
      <c r="C6882" s="7" t="s">
        <v>6</v>
      </c>
      <c r="D6882" s="7" t="s">
        <v>7</v>
      </c>
      <c r="E6882" s="7">
        <v>0</v>
      </c>
    </row>
    <row r="6883" spans="1:5" ht="15.75" customHeight="1" x14ac:dyDescent="0.25">
      <c r="A6883" s="6" t="s">
        <v>6635</v>
      </c>
      <c r="B6883" s="6" t="str">
        <f ca="1">IFERROR(__xludf.DUMMYFUNCTION("GOOGLETRANSLATE(A6883,""bn"",""en"")"),"Karim will come back with education")</f>
        <v>Karim will come back with education</v>
      </c>
      <c r="C6883" s="7" t="s">
        <v>6</v>
      </c>
      <c r="D6883" s="7" t="s">
        <v>7</v>
      </c>
      <c r="E6883" s="7">
        <v>0</v>
      </c>
    </row>
    <row r="6884" spans="1:5" ht="15.75" customHeight="1" x14ac:dyDescent="0.25">
      <c r="A6884" s="6" t="s">
        <v>6636</v>
      </c>
      <c r="B6884" s="6" t="str">
        <f ca="1">IFERROR(__xludf.DUMMYFUNCTION("GOOGLETRANSLATE(A6884,""bn"",""en"")"),"He was afraid that he would cross the street because he could not recognize it")</f>
        <v>He was afraid that he would cross the street because he could not recognize it</v>
      </c>
      <c r="C6884" s="7" t="s">
        <v>6</v>
      </c>
      <c r="D6884" s="7" t="s">
        <v>7</v>
      </c>
      <c r="E6884" s="7">
        <v>0</v>
      </c>
    </row>
    <row r="6885" spans="1:5" ht="15.75" customHeight="1" x14ac:dyDescent="0.25">
      <c r="A6885" s="6" t="s">
        <v>6637</v>
      </c>
      <c r="B6885" s="6" t="str">
        <f ca="1">IFERROR(__xludf.DUMMYFUNCTION("GOOGLETRANSLATE(A6885,""bn"",""en"")"),"I gifted him a book")</f>
        <v>I gifted him a book</v>
      </c>
      <c r="C6885" s="7" t="s">
        <v>6</v>
      </c>
      <c r="D6885" s="7" t="s">
        <v>7</v>
      </c>
      <c r="E6885" s="7">
        <v>0</v>
      </c>
    </row>
    <row r="6886" spans="1:5" ht="15.75" customHeight="1" x14ac:dyDescent="0.25">
      <c r="A6886" s="6" t="s">
        <v>6638</v>
      </c>
      <c r="B6886" s="6" t="str">
        <f ca="1">IFERROR(__xludf.DUMMYFUNCTION("GOOGLETRANSLATE(A6886,""bn"",""en"")"),"The little child used to cry a lot for his father")</f>
        <v>The little child used to cry a lot for his father</v>
      </c>
      <c r="C6886" s="7" t="s">
        <v>6</v>
      </c>
      <c r="D6886" s="7" t="s">
        <v>7</v>
      </c>
      <c r="E6886" s="7">
        <v>0</v>
      </c>
    </row>
    <row r="6887" spans="1:5" ht="15.75" customHeight="1" x14ac:dyDescent="0.25">
      <c r="A6887" s="6" t="s">
        <v>6639</v>
      </c>
      <c r="B6887" s="6" t="str">
        <f ca="1">IFERROR(__xludf.DUMMYFUNCTION("GOOGLETRANSLATE(A6887,""bn"",""en"")"),"The product did not meet my expectations and I was disappointed")</f>
        <v>The product did not meet my expectations and I was disappointed</v>
      </c>
      <c r="C6887" s="8" t="s">
        <v>13</v>
      </c>
      <c r="D6887" s="8" t="s">
        <v>14</v>
      </c>
      <c r="E6887" s="8">
        <v>1</v>
      </c>
    </row>
    <row r="6888" spans="1:5" ht="15.75" customHeight="1" x14ac:dyDescent="0.25">
      <c r="A6888" s="6" t="s">
        <v>6640</v>
      </c>
      <c r="B6888" s="6" t="str">
        <f ca="1">IFERROR(__xludf.DUMMYFUNCTION("GOOGLETRANSLATE(A6888,""bn"",""en"")"),"Its history is rich and varied")</f>
        <v>Its history is rich and varied</v>
      </c>
      <c r="C6888" s="8" t="s">
        <v>13</v>
      </c>
      <c r="D6888" s="8" t="s">
        <v>14</v>
      </c>
      <c r="E6888" s="8">
        <v>1</v>
      </c>
    </row>
    <row r="6889" spans="1:5" ht="15.75" customHeight="1" x14ac:dyDescent="0.25">
      <c r="A6889" s="6" t="s">
        <v>6641</v>
      </c>
      <c r="B6889" s="6" t="str">
        <f ca="1">IFERROR(__xludf.DUMMYFUNCTION("GOOGLETRANSLATE(A6889,""bn"",""en"")"),"Jigsaw puzzles challenge my mind")</f>
        <v>Jigsaw puzzles challenge my mind</v>
      </c>
      <c r="C6889" s="8" t="s">
        <v>13</v>
      </c>
      <c r="D6889" s="8" t="s">
        <v>14</v>
      </c>
      <c r="E6889" s="8">
        <v>1</v>
      </c>
    </row>
    <row r="6890" spans="1:5" ht="15.75" customHeight="1" x14ac:dyDescent="0.25">
      <c r="A6890" s="6" t="s">
        <v>6642</v>
      </c>
      <c r="B6890" s="6" t="str">
        <f ca="1">IFERROR(__xludf.DUMMYFUNCTION("GOOGLETRANSLATE(A6890,""bn"",""en"")"),"My mother is working at home")</f>
        <v>My mother is working at home</v>
      </c>
      <c r="C6890" s="8" t="s">
        <v>13</v>
      </c>
      <c r="D6890" s="8" t="s">
        <v>14</v>
      </c>
      <c r="E6890" s="8">
        <v>1</v>
      </c>
    </row>
    <row r="6891" spans="1:5" ht="15.75" customHeight="1" x14ac:dyDescent="0.25">
      <c r="A6891" s="6" t="s">
        <v>6643</v>
      </c>
      <c r="B6891" s="6" t="str">
        <f ca="1">IFERROR(__xludf.DUMMYFUNCTION("GOOGLETRANSLATE(A6891,""bn"",""en"")"),"Everything was going well, then a bad chat ruined such a good career")</f>
        <v>Everything was going well, then a bad chat ruined such a good career</v>
      </c>
      <c r="C6891" s="8" t="s">
        <v>13</v>
      </c>
      <c r="D6891" s="8" t="s">
        <v>14</v>
      </c>
      <c r="E6891" s="8">
        <v>1</v>
      </c>
    </row>
    <row r="6892" spans="1:5" ht="15.75" customHeight="1" x14ac:dyDescent="0.25">
      <c r="A6892" s="6" t="s">
        <v>6644</v>
      </c>
      <c r="B6892" s="6" t="str">
        <f ca="1">IFERROR(__xludf.DUMMYFUNCTION("GOOGLETRANSLATE(A6892,""bn"",""en"")"),"Isn't it better to investigate the internal affairs of the society")</f>
        <v>Isn't it better to investigate the internal affairs of the society</v>
      </c>
      <c r="C6892" s="7" t="s">
        <v>6</v>
      </c>
      <c r="D6892" s="7" t="s">
        <v>7</v>
      </c>
      <c r="E6892" s="7">
        <v>0</v>
      </c>
    </row>
    <row r="6893" spans="1:5" ht="15.75" customHeight="1" x14ac:dyDescent="0.25">
      <c r="A6893" s="6" t="s">
        <v>6645</v>
      </c>
      <c r="B6893" s="6" t="str">
        <f ca="1">IFERROR(__xludf.DUMMYFUNCTION("GOOGLETRANSLATE(A6893,""bn"",""en"")"),"He takes the news of Haru's death calmly")</f>
        <v>He takes the news of Haru's death calmly</v>
      </c>
      <c r="C6893" s="7" t="s">
        <v>6</v>
      </c>
      <c r="D6893" s="7" t="s">
        <v>7</v>
      </c>
      <c r="E6893" s="7">
        <v>0</v>
      </c>
    </row>
    <row r="6894" spans="1:5" ht="15.75" customHeight="1" x14ac:dyDescent="0.25">
      <c r="A6894" s="6" t="s">
        <v>6646</v>
      </c>
      <c r="B6894" s="6" t="str">
        <f ca="1">IFERROR(__xludf.DUMMYFUNCTION("GOOGLETRANSLATE(A6894,""bn"",""en"")"),"Brother Suman came to my house")</f>
        <v>Brother Suman came to my house</v>
      </c>
      <c r="C6894" s="7" t="s">
        <v>6</v>
      </c>
      <c r="D6894" s="7" t="s">
        <v>7</v>
      </c>
      <c r="E6894" s="7">
        <v>0</v>
      </c>
    </row>
    <row r="6895" spans="1:5" ht="15.75" customHeight="1" x14ac:dyDescent="0.25">
      <c r="A6895" s="6" t="s">
        <v>6647</v>
      </c>
      <c r="B6895" s="6" t="str">
        <f ca="1">IFERROR(__xludf.DUMMYFUNCTION("GOOGLETRANSLATE(A6895,""bn"",""en"")"),"Sohag came and sat near me")</f>
        <v>Sohag came and sat near me</v>
      </c>
      <c r="C6895" s="7" t="s">
        <v>6</v>
      </c>
      <c r="D6895" s="7" t="s">
        <v>7</v>
      </c>
      <c r="E6895" s="7">
        <v>0</v>
      </c>
    </row>
    <row r="6896" spans="1:5" ht="15.75" customHeight="1" x14ac:dyDescent="0.25">
      <c r="A6896" s="6" t="s">
        <v>6648</v>
      </c>
      <c r="B6896" s="6" t="str">
        <f ca="1">IFERROR(__xludf.DUMMYFUNCTION("GOOGLETRANSLATE(A6896,""bn"",""en"")"),"We went for a walk there and saw a chatak bird")</f>
        <v>We went for a walk there and saw a chatak bird</v>
      </c>
      <c r="C6896" s="7" t="s">
        <v>6</v>
      </c>
      <c r="D6896" s="7" t="s">
        <v>7</v>
      </c>
      <c r="E6896" s="7">
        <v>0</v>
      </c>
    </row>
    <row r="6897" spans="1:5" ht="15.75" customHeight="1" x14ac:dyDescent="0.25">
      <c r="A6897" s="6" t="s">
        <v>6649</v>
      </c>
      <c r="B6897" s="6" t="str">
        <f ca="1">IFERROR(__xludf.DUMMYFUNCTION("GOOGLETRANSLATE(A6897,""bn"",""en"")"),"Educational evaluation should be fair and transparent")</f>
        <v>Educational evaluation should be fair and transparent</v>
      </c>
      <c r="C6897" s="8" t="s">
        <v>13</v>
      </c>
      <c r="D6897" s="8" t="s">
        <v>14</v>
      </c>
      <c r="E6897" s="8">
        <v>1</v>
      </c>
    </row>
    <row r="6898" spans="1:5" ht="15.75" customHeight="1" x14ac:dyDescent="0.25">
      <c r="A6898" s="6" t="s">
        <v>2230</v>
      </c>
      <c r="B6898" s="6" t="str">
        <f ca="1">IFERROR(__xludf.DUMMYFUNCTION("GOOGLETRANSLATE(A6898,""bn"",""en"")"),"He stood aimlessly for a while and suddenly went to his room")</f>
        <v>He stood aimlessly for a while and suddenly went to his room</v>
      </c>
      <c r="C6898" s="8" t="s">
        <v>13</v>
      </c>
      <c r="D6898" s="8" t="s">
        <v>14</v>
      </c>
      <c r="E6898" s="8">
        <v>1</v>
      </c>
    </row>
    <row r="6899" spans="1:5" ht="15.75" customHeight="1" x14ac:dyDescent="0.25">
      <c r="A6899" s="6" t="s">
        <v>6650</v>
      </c>
      <c r="B6899" s="6" t="str">
        <f ca="1">IFERROR(__xludf.DUMMYFUNCTION("GOOGLETRANSLATE(A6899,""bn"",""en"")"),"Sunny asked me to sit in the room")</f>
        <v>Sunny asked me to sit in the room</v>
      </c>
      <c r="C6899" s="8" t="s">
        <v>13</v>
      </c>
      <c r="D6899" s="8" t="s">
        <v>14</v>
      </c>
      <c r="E6899" s="8">
        <v>1</v>
      </c>
    </row>
    <row r="6900" spans="1:5" ht="15.75" customHeight="1" x14ac:dyDescent="0.25">
      <c r="A6900" s="6" t="s">
        <v>6651</v>
      </c>
      <c r="B6900" s="6" t="str">
        <f ca="1">IFERROR(__xludf.DUMMYFUNCTION("GOOGLETRANSLATE(A6900,""bn"",""en"")"),"Shakib called Suman to eat")</f>
        <v>Shakib called Suman to eat</v>
      </c>
      <c r="C6900" s="8" t="s">
        <v>13</v>
      </c>
      <c r="D6900" s="8" t="s">
        <v>14</v>
      </c>
      <c r="E6900" s="8">
        <v>1</v>
      </c>
    </row>
    <row r="6901" spans="1:5" ht="15.75" customHeight="1" x14ac:dyDescent="0.25">
      <c r="A6901" s="6" t="s">
        <v>6652</v>
      </c>
      <c r="B6901" s="6" t="str">
        <f ca="1">IFERROR(__xludf.DUMMYFUNCTION("GOOGLETRANSLATE(A6901,""bn"",""en"")"),"Irtajuddin procured a rickshaw from Kamalapur to Malibagh at a fare of one taka")</f>
        <v>Irtajuddin procured a rickshaw from Kamalapur to Malibagh at a fare of one taka</v>
      </c>
      <c r="C6901" s="8" t="s">
        <v>13</v>
      </c>
      <c r="D6901" s="8" t="s">
        <v>14</v>
      </c>
      <c r="E6901" s="8">
        <v>1</v>
      </c>
    </row>
    <row r="6902" spans="1:5" ht="15.75" customHeight="1" x14ac:dyDescent="0.25">
      <c r="A6902" s="6" t="s">
        <v>6653</v>
      </c>
      <c r="B6902" s="6" t="str">
        <f ca="1">IFERROR(__xludf.DUMMYFUNCTION("GOOGLETRANSLATE(A6902,""bn"",""en"")"),"An idea has come to say to Abbajan that the master has called")</f>
        <v>An idea has come to say to Abbajan that the master has called</v>
      </c>
      <c r="C6902" s="7" t="s">
        <v>6</v>
      </c>
      <c r="D6902" s="7" t="s">
        <v>7</v>
      </c>
      <c r="E6902" s="7">
        <v>0</v>
      </c>
    </row>
    <row r="6903" spans="1:5" ht="15.75" customHeight="1" x14ac:dyDescent="0.25">
      <c r="A6903" s="6" t="s">
        <v>6654</v>
      </c>
      <c r="B6903" s="6" t="str">
        <f ca="1">IFERROR(__xludf.DUMMYFUNCTION("GOOGLETRANSLATE(A6903,""bn"",""en"")"),"Did I expect so much luck even in my dreams?")</f>
        <v>Did I expect so much luck even in my dreams?</v>
      </c>
      <c r="C6903" s="7" t="s">
        <v>6</v>
      </c>
      <c r="D6903" s="7" t="s">
        <v>7</v>
      </c>
      <c r="E6903" s="7">
        <v>0</v>
      </c>
    </row>
    <row r="6904" spans="1:5" ht="15.75" customHeight="1" x14ac:dyDescent="0.25">
      <c r="A6904" s="6" t="s">
        <v>6655</v>
      </c>
      <c r="B6904" s="6" t="str">
        <f ca="1">IFERROR(__xludf.DUMMYFUNCTION("GOOGLETRANSLATE(A6904,""bn"",""en"")"),"That was more on his mind than many serious incidents")</f>
        <v>That was more on his mind than many serious incidents</v>
      </c>
      <c r="C6904" s="7" t="s">
        <v>6</v>
      </c>
      <c r="D6904" s="7" t="s">
        <v>7</v>
      </c>
      <c r="E6904" s="7">
        <v>0</v>
      </c>
    </row>
    <row r="6905" spans="1:5" ht="15.75" customHeight="1" x14ac:dyDescent="0.25">
      <c r="A6905" s="6" t="s">
        <v>6656</v>
      </c>
      <c r="B6905" s="6" t="str">
        <f ca="1">IFERROR(__xludf.DUMMYFUNCTION("GOOGLETRANSLATE(A6905,""bn"",""en"")"),"Three crows were crowing on the roof of the neighboring house")</f>
        <v>Three crows were crowing on the roof of the neighboring house</v>
      </c>
      <c r="C6905" s="7" t="s">
        <v>6</v>
      </c>
      <c r="D6905" s="7" t="s">
        <v>7</v>
      </c>
      <c r="E6905" s="7">
        <v>0</v>
      </c>
    </row>
    <row r="6906" spans="1:5" ht="15.75" customHeight="1" x14ac:dyDescent="0.25">
      <c r="A6906" s="6" t="s">
        <v>6657</v>
      </c>
      <c r="B6906" s="6" t="str">
        <f ca="1">IFERROR(__xludf.DUMMYFUNCTION("GOOGLETRANSLATE(A6906,""bn"",""en"")"),"I can't remember the last time I had a haircut")</f>
        <v>I can't remember the last time I had a haircut</v>
      </c>
      <c r="C6906" s="7" t="s">
        <v>6</v>
      </c>
      <c r="D6906" s="7" t="s">
        <v>7</v>
      </c>
      <c r="E6906" s="7">
        <v>0</v>
      </c>
    </row>
    <row r="6907" spans="1:5" ht="15.75" customHeight="1" x14ac:dyDescent="0.25">
      <c r="A6907" s="6" t="s">
        <v>6658</v>
      </c>
      <c r="B6907" s="6" t="str">
        <f ca="1">IFERROR(__xludf.DUMMYFUNCTION("GOOGLETRANSLATE(A6907,""bn"",""en"")"),"The transaction was authorized by the account holder")</f>
        <v>The transaction was authorized by the account holder</v>
      </c>
      <c r="C6907" s="8" t="s">
        <v>13</v>
      </c>
      <c r="D6907" s="8" t="s">
        <v>14</v>
      </c>
      <c r="E6907" s="8">
        <v>1</v>
      </c>
    </row>
    <row r="6908" spans="1:5" ht="15.75" customHeight="1" x14ac:dyDescent="0.25">
      <c r="A6908" s="6" t="s">
        <v>6659</v>
      </c>
      <c r="B6908" s="6" t="str">
        <f ca="1">IFERROR(__xludf.DUMMYFUNCTION("GOOGLETRANSLATE(A6908,""bn"",""en"")"),"Remembering green")</f>
        <v>Remembering green</v>
      </c>
      <c r="C6908" s="8" t="s">
        <v>13</v>
      </c>
      <c r="D6908" s="8" t="s">
        <v>14</v>
      </c>
      <c r="E6908" s="8">
        <v>1</v>
      </c>
    </row>
    <row r="6909" spans="1:5" ht="15.75" customHeight="1" x14ac:dyDescent="0.25">
      <c r="A6909" s="6" t="s">
        <v>6660</v>
      </c>
      <c r="B6909" s="6" t="str">
        <f ca="1">IFERROR(__xludf.DUMMYFUNCTION("GOOGLETRANSLATE(A6909,""bn"",""en"")"),"I knew that my income was small but it was helping the family")</f>
        <v>I knew that my income was small but it was helping the family</v>
      </c>
      <c r="C6909" s="8" t="s">
        <v>13</v>
      </c>
      <c r="D6909" s="8" t="s">
        <v>14</v>
      </c>
      <c r="E6909" s="8">
        <v>1</v>
      </c>
    </row>
    <row r="6910" spans="1:5" ht="15.75" customHeight="1" x14ac:dyDescent="0.25">
      <c r="A6910" s="6" t="s">
        <v>6661</v>
      </c>
      <c r="B6910" s="6" t="str">
        <f ca="1">IFERROR(__xludf.DUMMYFUNCTION("GOOGLETRANSLATE(A6910,""bn"",""en"")"),"Roasted almonds can be eaten with satisfaction")</f>
        <v>Roasted almonds can be eaten with satisfaction</v>
      </c>
      <c r="C6910" s="8" t="s">
        <v>13</v>
      </c>
      <c r="D6910" s="8" t="s">
        <v>14</v>
      </c>
      <c r="E6910" s="8">
        <v>1</v>
      </c>
    </row>
    <row r="6911" spans="1:5" ht="15.75" customHeight="1" x14ac:dyDescent="0.25">
      <c r="A6911" s="6" t="s">
        <v>6662</v>
      </c>
      <c r="B6911" s="6" t="str">
        <f ca="1">IFERROR(__xludf.DUMMYFUNCTION("GOOGLETRANSLATE(A6911,""bn"",""en"")"),"Playing darts is a strategic delight")</f>
        <v>Playing darts is a strategic delight</v>
      </c>
      <c r="C6911" s="8" t="s">
        <v>13</v>
      </c>
      <c r="D6911" s="8" t="s">
        <v>14</v>
      </c>
      <c r="E6911" s="8">
        <v>1</v>
      </c>
    </row>
    <row r="6912" spans="1:5" ht="15.75" customHeight="1" x14ac:dyDescent="0.25">
      <c r="A6912" s="6" t="s">
        <v>6663</v>
      </c>
      <c r="B6912" s="6" t="str">
        <f ca="1">IFERROR(__xludf.DUMMYFUNCTION("GOOGLETRANSLATE(A6912,""bn"",""en"")"),"Shashi thought that if she had reached the banyan tree fifteen to twenty minutes late, she would not have been able to spot Haru.")</f>
        <v>Shashi thought that if she had reached the banyan tree fifteen to twenty minutes late, she would not have been able to spot Haru.</v>
      </c>
      <c r="C6912" s="7" t="s">
        <v>6</v>
      </c>
      <c r="D6912" s="7" t="s">
        <v>7</v>
      </c>
      <c r="E6912" s="7">
        <v>0</v>
      </c>
    </row>
    <row r="6913" spans="1:5" ht="15.75" customHeight="1" x14ac:dyDescent="0.25">
      <c r="A6913" s="6" t="s">
        <v>6664</v>
      </c>
      <c r="B6913" s="6" t="str">
        <f ca="1">IFERROR(__xludf.DUMMYFUNCTION("GOOGLETRANSLATE(A6913,""bn"",""en"")"),"Shashi could not even think of burning Haru without showing him once")</f>
        <v>Shashi could not even think of burning Haru without showing him once</v>
      </c>
      <c r="C6913" s="7" t="s">
        <v>6</v>
      </c>
      <c r="D6913" s="7" t="s">
        <v>7</v>
      </c>
      <c r="E6913" s="7">
        <v>0</v>
      </c>
    </row>
    <row r="6914" spans="1:5" ht="15.75" customHeight="1" x14ac:dyDescent="0.25">
      <c r="A6914" s="6" t="s">
        <v>6665</v>
      </c>
      <c r="B6914" s="6" t="str">
        <f ca="1">IFERROR(__xludf.DUMMYFUNCTION("GOOGLETRANSLATE(A6914,""bn"",""en"")"),"Sumi asked me to go to Sharif")</f>
        <v>Sumi asked me to go to Sharif</v>
      </c>
      <c r="C6914" s="7" t="s">
        <v>6</v>
      </c>
      <c r="D6914" s="7" t="s">
        <v>7</v>
      </c>
      <c r="E6914" s="7">
        <v>0</v>
      </c>
    </row>
    <row r="6915" spans="1:5" ht="15.75" customHeight="1" x14ac:dyDescent="0.25">
      <c r="A6915" s="6" t="s">
        <v>6666</v>
      </c>
      <c r="B6915" s="6" t="str">
        <f ca="1">IFERROR(__xludf.DUMMYFUNCTION("GOOGLETRANSLATE(A6915,""bn"",""en"")"),"The stranger cursed and made no reply")</f>
        <v>The stranger cursed and made no reply</v>
      </c>
      <c r="C6915" s="7" t="s">
        <v>6</v>
      </c>
      <c r="D6915" s="7" t="s">
        <v>7</v>
      </c>
      <c r="E6915" s="7">
        <v>0</v>
      </c>
    </row>
    <row r="6916" spans="1:5" ht="15.75" customHeight="1" x14ac:dyDescent="0.25">
      <c r="A6916" s="6" t="s">
        <v>3046</v>
      </c>
      <c r="B6916" s="6" t="str">
        <f ca="1">IFERROR(__xludf.DUMMYFUNCTION("GOOGLETRANSLATE(A6916,""bn"",""en"")"),"Those who walk so hard are young again")</f>
        <v>Those who walk so hard are young again</v>
      </c>
      <c r="C6916" s="7" t="s">
        <v>6</v>
      </c>
      <c r="D6916" s="7" t="s">
        <v>7</v>
      </c>
      <c r="E6916" s="7">
        <v>0</v>
      </c>
    </row>
    <row r="6917" spans="1:5" ht="15.75" customHeight="1" x14ac:dyDescent="0.25">
      <c r="A6917" s="6" t="s">
        <v>6667</v>
      </c>
      <c r="B6917" s="6" t="str">
        <f ca="1">IFERROR(__xludf.DUMMYFUNCTION("GOOGLETRANSLATE(A6917,""bn"",""en"")"),"This friend of mine is also a successful translator")</f>
        <v>This friend of mine is also a successful translator</v>
      </c>
      <c r="C6917" s="8" t="s">
        <v>13</v>
      </c>
      <c r="D6917" s="8" t="s">
        <v>14</v>
      </c>
      <c r="E6917" s="8">
        <v>1</v>
      </c>
    </row>
    <row r="6918" spans="1:5" ht="15.75" customHeight="1" x14ac:dyDescent="0.25">
      <c r="A6918" s="6" t="s">
        <v>6668</v>
      </c>
      <c r="B6918" s="6" t="str">
        <f ca="1">IFERROR(__xludf.DUMMYFUNCTION("GOOGLETRANSLATE(A6918,""bn"",""en"")"),"He entered the room with Sir's permission")</f>
        <v>He entered the room with Sir's permission</v>
      </c>
      <c r="C6918" s="8" t="s">
        <v>13</v>
      </c>
      <c r="D6918" s="8" t="s">
        <v>14</v>
      </c>
      <c r="E6918" s="8">
        <v>1</v>
      </c>
    </row>
    <row r="6919" spans="1:5" ht="15.75" customHeight="1" x14ac:dyDescent="0.25">
      <c r="A6919" s="6" t="s">
        <v>6669</v>
      </c>
      <c r="B6919" s="6" t="str">
        <f ca="1">IFERROR(__xludf.DUMMYFUNCTION("GOOGLETRANSLATE(A6919,""bn"",""en"")"),"India was then a British colony")</f>
        <v>India was then a British colony</v>
      </c>
      <c r="C6919" s="8" t="s">
        <v>13</v>
      </c>
      <c r="D6919" s="8" t="s">
        <v>14</v>
      </c>
      <c r="E6919" s="8">
        <v>1</v>
      </c>
    </row>
    <row r="6920" spans="1:5" ht="15.75" customHeight="1" x14ac:dyDescent="0.25">
      <c r="A6920" s="6" t="s">
        <v>6670</v>
      </c>
      <c r="B6920" s="6" t="str">
        <f ca="1">IFERROR(__xludf.DUMMYFUNCTION("GOOGLETRANSLATE(A6920,""bn"",""en"")"),"They were highly prized in Europe as decorative items")</f>
        <v>They were highly prized in Europe as decorative items</v>
      </c>
      <c r="C6920" s="8" t="s">
        <v>13</v>
      </c>
      <c r="D6920" s="8" t="s">
        <v>14</v>
      </c>
      <c r="E6920" s="8">
        <v>1</v>
      </c>
    </row>
    <row r="6921" spans="1:5" ht="15.75" customHeight="1" x14ac:dyDescent="0.25">
      <c r="A6921" s="6" t="s">
        <v>6671</v>
      </c>
      <c r="B6921" s="6" t="str">
        <f ca="1">IFERROR(__xludf.DUMMYFUNCTION("GOOGLETRANSLATE(A6921,""bn"",""en"")"),"Never had any serious trouble")</f>
        <v>Never had any serious trouble</v>
      </c>
      <c r="C6921" s="8" t="s">
        <v>13</v>
      </c>
      <c r="D6921" s="8" t="s">
        <v>14</v>
      </c>
      <c r="E6921" s="8">
        <v>1</v>
      </c>
    </row>
    <row r="6922" spans="1:5" ht="15.75" customHeight="1" x14ac:dyDescent="0.25">
      <c r="A6922" s="6" t="s">
        <v>6672</v>
      </c>
      <c r="B6922" s="6" t="str">
        <f ca="1">IFERROR(__xludf.DUMMYFUNCTION("GOOGLETRANSLATE(A6922,""bn"",""en"")"),"I think there were many thoughts in my mind")</f>
        <v>I think there were many thoughts in my mind</v>
      </c>
      <c r="C6922" s="7" t="s">
        <v>6</v>
      </c>
      <c r="D6922" s="7" t="s">
        <v>7</v>
      </c>
      <c r="E6922" s="7">
        <v>0</v>
      </c>
    </row>
    <row r="6923" spans="1:5" ht="15.75" customHeight="1" x14ac:dyDescent="0.25">
      <c r="A6923" s="6" t="s">
        <v>6673</v>
      </c>
      <c r="B6923" s="6" t="str">
        <f ca="1">IFERROR(__xludf.DUMMYFUNCTION("GOOGLETRANSLATE(A6923,""bn"",""en"")"),"He left saying I don't know anything today you go")</f>
        <v>He left saying I don't know anything today you go</v>
      </c>
      <c r="C6923" s="7" t="s">
        <v>6</v>
      </c>
      <c r="D6923" s="7" t="s">
        <v>7</v>
      </c>
      <c r="E6923" s="7">
        <v>0</v>
      </c>
    </row>
    <row r="6924" spans="1:5" ht="15.75" customHeight="1" x14ac:dyDescent="0.25">
      <c r="A6924" s="6" t="s">
        <v>6674</v>
      </c>
      <c r="B6924" s="6" t="str">
        <f ca="1">IFERROR(__xludf.DUMMYFUNCTION("GOOGLETRANSLATE(A6924,""bn"",""en"")"),"By now it is evening")</f>
        <v>By now it is evening</v>
      </c>
      <c r="C6924" s="7" t="s">
        <v>6</v>
      </c>
      <c r="D6924" s="7" t="s">
        <v>7</v>
      </c>
      <c r="E6924" s="7">
        <v>0</v>
      </c>
    </row>
    <row r="6925" spans="1:5" ht="15.75" customHeight="1" x14ac:dyDescent="0.25">
      <c r="A6925" s="6" t="s">
        <v>6675</v>
      </c>
      <c r="B6925" s="6" t="str">
        <f ca="1">IFERROR(__xludf.DUMMYFUNCTION("GOOGLETRANSLATE(A6925,""bn"",""en"")"),"By now Shashi had mastered the nature of Haru's family's loss of pain")</f>
        <v>By now Shashi had mastered the nature of Haru's family's loss of pain</v>
      </c>
      <c r="C6925" s="7" t="s">
        <v>6</v>
      </c>
      <c r="D6925" s="7" t="s">
        <v>7</v>
      </c>
      <c r="E6925" s="7">
        <v>0</v>
      </c>
    </row>
    <row r="6926" spans="1:5" ht="15.75" customHeight="1" x14ac:dyDescent="0.25">
      <c r="A6926" s="6" t="s">
        <v>6676</v>
      </c>
      <c r="B6926" s="6" t="str">
        <f ca="1">IFERROR(__xludf.DUMMYFUNCTION("GOOGLETRANSLATE(A6926,""bn"",""en"")"),"My son Suman has gone to play in the field")</f>
        <v>My son Suman has gone to play in the field</v>
      </c>
      <c r="C6926" s="7" t="s">
        <v>6</v>
      </c>
      <c r="D6926" s="7" t="s">
        <v>7</v>
      </c>
      <c r="E6926" s="7">
        <v>0</v>
      </c>
    </row>
    <row r="6927" spans="1:5" ht="15.75" customHeight="1" x14ac:dyDescent="0.25">
      <c r="A6927" s="6" t="s">
        <v>6677</v>
      </c>
      <c r="B6927" s="6" t="str">
        <f ca="1">IFERROR(__xludf.DUMMYFUNCTION("GOOGLETRANSLATE(A6927,""bn"",""en"")"),"All previous attempts to recover the Titanic had failed")</f>
        <v>All previous attempts to recover the Titanic had failed</v>
      </c>
      <c r="C6927" s="8" t="s">
        <v>13</v>
      </c>
      <c r="D6927" s="8" t="s">
        <v>14</v>
      </c>
      <c r="E6927" s="8">
        <v>1</v>
      </c>
    </row>
    <row r="6928" spans="1:5" ht="15.75" customHeight="1" x14ac:dyDescent="0.25">
      <c r="A6928" s="6" t="s">
        <v>6678</v>
      </c>
      <c r="B6928" s="6" t="str">
        <f ca="1">IFERROR(__xludf.DUMMYFUNCTION("GOOGLETRANSLATE(A6928,""bn"",""en"")"),"Criminal investigations often involve covert operations of surveillance")</f>
        <v>Criminal investigations often involve covert operations of surveillance</v>
      </c>
      <c r="C6928" s="8" t="s">
        <v>13</v>
      </c>
      <c r="D6928" s="8" t="s">
        <v>14</v>
      </c>
      <c r="E6928" s="8">
        <v>1</v>
      </c>
    </row>
    <row r="6929" spans="1:5" ht="15.75" customHeight="1" x14ac:dyDescent="0.25">
      <c r="A6929" s="6" t="s">
        <v>6679</v>
      </c>
      <c r="B6929" s="6" t="str">
        <f ca="1">IFERROR(__xludf.DUMMYFUNCTION("GOOGLETRANSLATE(A6929,""bn"",""en"")"),"Rakib Suman is playing volleyball in the field")</f>
        <v>Rakib Suman is playing volleyball in the field</v>
      </c>
      <c r="C6929" s="8" t="s">
        <v>13</v>
      </c>
      <c r="D6929" s="8" t="s">
        <v>14</v>
      </c>
      <c r="E6929" s="8">
        <v>1</v>
      </c>
    </row>
    <row r="6930" spans="1:5" ht="15.75" customHeight="1" x14ac:dyDescent="0.25">
      <c r="A6930" s="6" t="s">
        <v>6680</v>
      </c>
      <c r="B6930" s="6" t="str">
        <f ca="1">IFERROR(__xludf.DUMMYFUNCTION("GOOGLETRANSLATE(A6930,""bn"",""en"")"),"Making a scarf blanket is relaxing")</f>
        <v>Making a scarf blanket is relaxing</v>
      </c>
      <c r="C6930" s="8" t="s">
        <v>13</v>
      </c>
      <c r="D6930" s="8" t="s">
        <v>14</v>
      </c>
      <c r="E6930" s="8">
        <v>1</v>
      </c>
    </row>
    <row r="6931" spans="1:5" ht="15.75" customHeight="1" x14ac:dyDescent="0.25">
      <c r="A6931" s="6" t="s">
        <v>6681</v>
      </c>
      <c r="B6931" s="6" t="str">
        <f ca="1">IFERROR(__xludf.DUMMYFUNCTION("GOOGLETRANSLATE(A6931,""bn"",""en"")"),"Besides, the engine can also be started by turning it by hand")</f>
        <v>Besides, the engine can also be started by turning it by hand</v>
      </c>
      <c r="C6931" s="8" t="s">
        <v>13</v>
      </c>
      <c r="D6931" s="8" t="s">
        <v>14</v>
      </c>
      <c r="E6931" s="8">
        <v>1</v>
      </c>
    </row>
    <row r="6932" spans="1:5" ht="15.75" customHeight="1" x14ac:dyDescent="0.25">
      <c r="A6932" s="6" t="s">
        <v>2897</v>
      </c>
      <c r="B6932" s="6" t="str">
        <f ca="1">IFERROR(__xludf.DUMMYFUNCTION("GOOGLETRANSLATE(A6932,""bn"",""en"")"),"You have not lost the habit of giving ripe rice")</f>
        <v>You have not lost the habit of giving ripe rice</v>
      </c>
      <c r="C6932" s="7" t="s">
        <v>6</v>
      </c>
      <c r="D6932" s="7" t="s">
        <v>7</v>
      </c>
      <c r="E6932" s="7">
        <v>0</v>
      </c>
    </row>
    <row r="6933" spans="1:5" ht="15.75" customHeight="1" x14ac:dyDescent="0.25">
      <c r="A6933" s="6" t="s">
        <v>6682</v>
      </c>
      <c r="B6933" s="6" t="str">
        <f ca="1">IFERROR(__xludf.DUMMYFUNCTION("GOOGLETRANSLATE(A6933,""bn"",""en"")"),"Yasartha had made this body big and strong in his mind")</f>
        <v>Yasartha had made this body big and strong in his mind</v>
      </c>
      <c r="C6933" s="7" t="s">
        <v>6</v>
      </c>
      <c r="D6933" s="7" t="s">
        <v>7</v>
      </c>
      <c r="E6933" s="7">
        <v>0</v>
      </c>
    </row>
    <row r="6934" spans="1:5" ht="15.75" customHeight="1" x14ac:dyDescent="0.25">
      <c r="A6934" s="6" t="s">
        <v>6683</v>
      </c>
      <c r="B6934" s="6" t="str">
        <f ca="1">IFERROR(__xludf.DUMMYFUNCTION("GOOGLETRANSLATE(A6934,""bn"",""en"")"),"I requested him to go to school")</f>
        <v>I requested him to go to school</v>
      </c>
      <c r="C6934" s="7" t="s">
        <v>6</v>
      </c>
      <c r="D6934" s="7" t="s">
        <v>7</v>
      </c>
      <c r="E6934" s="7">
        <v>0</v>
      </c>
    </row>
    <row r="6935" spans="1:5" ht="15.75" customHeight="1" x14ac:dyDescent="0.25">
      <c r="A6935" s="6" t="s">
        <v>6684</v>
      </c>
      <c r="B6935" s="6" t="str">
        <f ca="1">IFERROR(__xludf.DUMMYFUNCTION("GOOGLETRANSLATE(A6935,""bn"",""en"")"),"The wild are in the forest, the beautiful children are in the mother's heart")</f>
        <v>The wild are in the forest, the beautiful children are in the mother's heart</v>
      </c>
      <c r="C6935" s="7" t="s">
        <v>6</v>
      </c>
      <c r="D6935" s="7" t="s">
        <v>7</v>
      </c>
      <c r="E6935" s="7">
        <v>0</v>
      </c>
    </row>
    <row r="6936" spans="1:5" ht="15.75" customHeight="1" x14ac:dyDescent="0.25">
      <c r="A6936" s="6" t="s">
        <v>6685</v>
      </c>
      <c r="B6936" s="6" t="str">
        <f ca="1">IFERROR(__xludf.DUMMYFUNCTION("GOOGLETRANSLATE(A6936,""bn"",""en"")"),"The mountain started to feel as if it was a five-minute walk")</f>
        <v>The mountain started to feel as if it was a five-minute walk</v>
      </c>
      <c r="C6936" s="7" t="s">
        <v>6</v>
      </c>
      <c r="D6936" s="7" t="s">
        <v>7</v>
      </c>
      <c r="E6936" s="7">
        <v>0</v>
      </c>
    </row>
    <row r="6937" spans="1:5" ht="15.75" customHeight="1" x14ac:dyDescent="0.25">
      <c r="A6937" s="6" t="s">
        <v>6686</v>
      </c>
      <c r="B6937" s="6" t="str">
        <f ca="1">IFERROR(__xludf.DUMMYFUNCTION("GOOGLETRANSLATE(A6937,""bn"",""en"")"),"Roni called me")</f>
        <v>Roni called me</v>
      </c>
      <c r="C6937" s="8" t="s">
        <v>13</v>
      </c>
      <c r="D6937" s="8" t="s">
        <v>14</v>
      </c>
      <c r="E6937" s="8">
        <v>1</v>
      </c>
    </row>
    <row r="6938" spans="1:5" ht="15.75" customHeight="1" x14ac:dyDescent="0.25">
      <c r="A6938" s="6" t="s">
        <v>6687</v>
      </c>
      <c r="B6938" s="6" t="str">
        <f ca="1">IFERROR(__xludf.DUMMYFUNCTION("GOOGLETRANSLATE(A6938,""bn"",""en"")"),"They had no children")</f>
        <v>They had no children</v>
      </c>
      <c r="C6938" s="8" t="s">
        <v>13</v>
      </c>
      <c r="D6938" s="8" t="s">
        <v>14</v>
      </c>
      <c r="E6938" s="8">
        <v>1</v>
      </c>
    </row>
    <row r="6939" spans="1:5" ht="15.75" customHeight="1" x14ac:dyDescent="0.25">
      <c r="A6939" s="6" t="s">
        <v>6688</v>
      </c>
      <c r="B6939" s="6" t="str">
        <f ca="1">IFERROR(__xludf.DUMMYFUNCTION("GOOGLETRANSLATE(A6939,""bn"",""en"")"),"A bird never falls from a branch of a tree because it trusts in its wings and not in the branch")</f>
        <v>A bird never falls from a branch of a tree because it trusts in its wings and not in the branch</v>
      </c>
      <c r="C6939" s="8" t="s">
        <v>13</v>
      </c>
      <c r="D6939" s="8" t="s">
        <v>14</v>
      </c>
      <c r="E6939" s="8">
        <v>1</v>
      </c>
    </row>
    <row r="6940" spans="1:5" ht="15.75" customHeight="1" x14ac:dyDescent="0.25">
      <c r="A6940" s="6" t="s">
        <v>6689</v>
      </c>
      <c r="B6940" s="6" t="str">
        <f ca="1">IFERROR(__xludf.DUMMYFUNCTION("GOOGLETRANSLATE(A6940,""bn"",""en"")"),"It is very surprising that there is a chatim tree in front of this house")</f>
        <v>It is very surprising that there is a chatim tree in front of this house</v>
      </c>
      <c r="C6940" s="8" t="s">
        <v>13</v>
      </c>
      <c r="D6940" s="8" t="s">
        <v>14</v>
      </c>
      <c r="E6940" s="8">
        <v>1</v>
      </c>
    </row>
    <row r="6941" spans="1:5" ht="15.75" customHeight="1" x14ac:dyDescent="0.25">
      <c r="A6941" s="6" t="s">
        <v>6690</v>
      </c>
      <c r="B6941" s="6" t="str">
        <f ca="1">IFERROR(__xludf.DUMMYFUNCTION("GOOGLETRANSLATE(A6941,""bn"",""en"")"),"Polycystic Ovary Syndrome is a hormonal disorder that affects women's reproductive health resulting in irregular menstrual cycles and fertility problems.")</f>
        <v>Polycystic Ovary Syndrome is a hormonal disorder that affects women's reproductive health resulting in irregular menstrual cycles and fertility problems.</v>
      </c>
      <c r="C6941" s="8" t="s">
        <v>13</v>
      </c>
      <c r="D6941" s="8" t="s">
        <v>14</v>
      </c>
      <c r="E6941" s="8">
        <v>1</v>
      </c>
    </row>
    <row r="6942" spans="1:5" ht="15.75" customHeight="1" x14ac:dyDescent="0.25">
      <c r="A6942" s="6" t="s">
        <v>6691</v>
      </c>
      <c r="B6942" s="6" t="str">
        <f ca="1">IFERROR(__xludf.DUMMYFUNCTION("GOOGLETRANSLATE(A6942,""bn"",""en"")"),"Whatever he earns is the moneylender's")</f>
        <v>Whatever he earns is the moneylender's</v>
      </c>
      <c r="C6942" s="7" t="s">
        <v>6</v>
      </c>
      <c r="D6942" s="7" t="s">
        <v>7</v>
      </c>
      <c r="E6942" s="7">
        <v>0</v>
      </c>
    </row>
    <row r="6943" spans="1:5" ht="15.75" customHeight="1" x14ac:dyDescent="0.25">
      <c r="A6943" s="6" t="s">
        <v>6692</v>
      </c>
      <c r="B6943" s="6" t="str">
        <f ca="1">IFERROR(__xludf.DUMMYFUNCTION("GOOGLETRANSLATE(A6943,""bn"",""en"")"),"The god of the sky looked at him there and glared")</f>
        <v>The god of the sky looked at him there and glared</v>
      </c>
      <c r="C6943" s="7" t="s">
        <v>6</v>
      </c>
      <c r="D6943" s="7" t="s">
        <v>7</v>
      </c>
      <c r="E6943" s="7">
        <v>0</v>
      </c>
    </row>
    <row r="6944" spans="1:5" ht="15.75" customHeight="1" x14ac:dyDescent="0.25">
      <c r="A6944" s="6" t="s">
        <v>6693</v>
      </c>
      <c r="B6944" s="6" t="str">
        <f ca="1">IFERROR(__xludf.DUMMYFUNCTION("GOOGLETRANSLATE(A6944,""bn"",""en"")"),"Outside, the moon began to run away, following him")</f>
        <v>Outside, the moon began to run away, following him</v>
      </c>
      <c r="C6944" s="7" t="s">
        <v>6</v>
      </c>
      <c r="D6944" s="7" t="s">
        <v>7</v>
      </c>
      <c r="E6944" s="7">
        <v>0</v>
      </c>
    </row>
    <row r="6945" spans="1:5" ht="15.75" customHeight="1" x14ac:dyDescent="0.25">
      <c r="A6945" s="6" t="s">
        <v>4767</v>
      </c>
      <c r="B6945" s="6" t="str">
        <f ca="1">IFERROR(__xludf.DUMMYFUNCTION("GOOGLETRANSLATE(A6945,""bn"",""en"")"),"I was ashamed and sat on a nearby banyan tree and began to say many things in anger at the beauties")</f>
        <v>I was ashamed and sat on a nearby banyan tree and began to say many things in anger at the beauties</v>
      </c>
      <c r="C6945" s="7" t="s">
        <v>6</v>
      </c>
      <c r="D6945" s="7" t="s">
        <v>7</v>
      </c>
      <c r="E6945" s="7">
        <v>0</v>
      </c>
    </row>
    <row r="6946" spans="1:5" ht="15.75" customHeight="1" x14ac:dyDescent="0.25">
      <c r="A6946" s="6" t="s">
        <v>6694</v>
      </c>
      <c r="B6946" s="6" t="str">
        <f ca="1">IFERROR(__xludf.DUMMYFUNCTION("GOOGLETRANSLATE(A6946,""bn"",""en"")"),"The better the penal code, the less courage it loses")</f>
        <v>The better the penal code, the less courage it loses</v>
      </c>
      <c r="C6946" s="7" t="s">
        <v>6</v>
      </c>
      <c r="D6946" s="7" t="s">
        <v>7</v>
      </c>
      <c r="E6946" s="7">
        <v>0</v>
      </c>
    </row>
    <row r="6947" spans="1:5" ht="15.75" customHeight="1" x14ac:dyDescent="0.25">
      <c r="A6947" s="6" t="s">
        <v>6695</v>
      </c>
      <c r="B6947" s="6" t="str">
        <f ca="1">IFERROR(__xludf.DUMMYFUNCTION("GOOGLETRANSLATE(A6947,""bn"",""en"")"),"The canopy overhead was alive with monkeys swinging from branch to branch in search of food.")</f>
        <v>The canopy overhead was alive with monkeys swinging from branch to branch in search of food.</v>
      </c>
      <c r="C6947" s="8" t="s">
        <v>13</v>
      </c>
      <c r="D6947" s="8" t="s">
        <v>14</v>
      </c>
      <c r="E6947" s="8">
        <v>1</v>
      </c>
    </row>
    <row r="6948" spans="1:5" ht="15.75" customHeight="1" x14ac:dyDescent="0.25">
      <c r="A6948" s="6" t="s">
        <v>6696</v>
      </c>
      <c r="B6948" s="6" t="str">
        <f ca="1">IFERROR(__xludf.DUMMYFUNCTION("GOOGLETRANSLATE(A6948,""bn"",""en"")"),"Traversing through underground caves, they marveled at the intricate formations carved by nature")</f>
        <v>Traversing through underground caves, they marveled at the intricate formations carved by nature</v>
      </c>
      <c r="C6948" s="8" t="s">
        <v>13</v>
      </c>
      <c r="D6948" s="8" t="s">
        <v>14</v>
      </c>
      <c r="E6948" s="8">
        <v>1</v>
      </c>
    </row>
    <row r="6949" spans="1:5" ht="15.75" customHeight="1" x14ac:dyDescent="0.25">
      <c r="A6949" s="6" t="s">
        <v>2509</v>
      </c>
      <c r="B6949" s="6" t="str">
        <f ca="1">IFERROR(__xludf.DUMMYFUNCTION("GOOGLETRANSLATE(A6949,""bn"",""en"")"),"Father said to his daughter, you are my daughter but you have helped strangers enemies")</f>
        <v>Father said to his daughter, you are my daughter but you have helped strangers enemies</v>
      </c>
      <c r="C6949" s="8" t="s">
        <v>13</v>
      </c>
      <c r="D6949" s="8" t="s">
        <v>14</v>
      </c>
      <c r="E6949" s="8">
        <v>1</v>
      </c>
    </row>
    <row r="6950" spans="1:5" ht="15.75" customHeight="1" x14ac:dyDescent="0.25">
      <c r="A6950" s="6" t="s">
        <v>6697</v>
      </c>
      <c r="B6950" s="6" t="str">
        <f ca="1">IFERROR(__xludf.DUMMYFUNCTION("GOOGLETRANSLATE(A6950,""bn"",""en"")"),"He respects people and does not look down on them")</f>
        <v>He respects people and does not look down on them</v>
      </c>
      <c r="C6950" s="8" t="s">
        <v>13</v>
      </c>
      <c r="D6950" s="8" t="s">
        <v>14</v>
      </c>
      <c r="E6950" s="8">
        <v>1</v>
      </c>
    </row>
    <row r="6951" spans="1:5" ht="15.75" customHeight="1" x14ac:dyDescent="0.25">
      <c r="A6951" s="6" t="s">
        <v>6698</v>
      </c>
      <c r="B6951" s="6" t="str">
        <f ca="1">IFERROR(__xludf.DUMMYFUNCTION("GOOGLETRANSLATE(A6951,""bn"",""en"")"),"Agricultural biotechnology research focuses on the development of genetically modified crops with enhanced traits")</f>
        <v>Agricultural biotechnology research focuses on the development of genetically modified crops with enhanced traits</v>
      </c>
      <c r="C6951" s="8" t="s">
        <v>13</v>
      </c>
      <c r="D6951" s="8" t="s">
        <v>14</v>
      </c>
      <c r="E6951" s="8">
        <v>1</v>
      </c>
    </row>
    <row r="6952" spans="1:5" ht="15.75" customHeight="1" x14ac:dyDescent="0.25">
      <c r="A6952" s="6" t="s">
        <v>6699</v>
      </c>
      <c r="B6952" s="6" t="str">
        <f ca="1">IFERROR(__xludf.DUMMYFUNCTION("GOOGLETRANSLATE(A6952,""bn"",""en"")"),"When the Master began the beating, Varaklant endured as silently as an exhausted donkey")</f>
        <v>When the Master began the beating, Varaklant endured as silently as an exhausted donkey</v>
      </c>
      <c r="C6952" s="7" t="s">
        <v>6</v>
      </c>
      <c r="D6952" s="7" t="s">
        <v>7</v>
      </c>
      <c r="E6952" s="7">
        <v>0</v>
      </c>
    </row>
    <row r="6953" spans="1:5" ht="15.75" customHeight="1" x14ac:dyDescent="0.25">
      <c r="A6953" s="6" t="s">
        <v>6700</v>
      </c>
      <c r="B6953" s="6" t="str">
        <f ca="1">IFERROR(__xludf.DUMMYFUNCTION("GOOGLETRANSLATE(A6953,""bn"",""en"")"),"The father told his daughter that you are my daughter and have helped the unknown enemies")</f>
        <v>The father told his daughter that you are my daughter and have helped the unknown enemies</v>
      </c>
      <c r="C6953" s="7" t="s">
        <v>6</v>
      </c>
      <c r="D6953" s="7" t="s">
        <v>7</v>
      </c>
      <c r="E6953" s="7">
        <v>0</v>
      </c>
    </row>
    <row r="6954" spans="1:5" ht="15.75" customHeight="1" x14ac:dyDescent="0.25">
      <c r="A6954" s="6" t="s">
        <v>6701</v>
      </c>
      <c r="B6954" s="6" t="str">
        <f ca="1">IFERROR(__xludf.DUMMYFUNCTION("GOOGLETRANSLATE(A6954,""bn"",""en"")"),"He kept everyone in control as if his body was gone")</f>
        <v>He kept everyone in control as if his body was gone</v>
      </c>
      <c r="C6954" s="7" t="s">
        <v>6</v>
      </c>
      <c r="D6954" s="7" t="s">
        <v>7</v>
      </c>
      <c r="E6954" s="7">
        <v>0</v>
      </c>
    </row>
    <row r="6955" spans="1:5" ht="15.75" customHeight="1" x14ac:dyDescent="0.25">
      <c r="A6955" s="6" t="s">
        <v>6702</v>
      </c>
      <c r="B6955" s="6" t="str">
        <f ca="1">IFERROR(__xludf.DUMMYFUNCTION("GOOGLETRANSLATE(A6955,""bn"",""en"")"),"Govardhan did not agree at first")</f>
        <v>Govardhan did not agree at first</v>
      </c>
      <c r="C6955" s="7" t="s">
        <v>6</v>
      </c>
      <c r="D6955" s="7" t="s">
        <v>7</v>
      </c>
      <c r="E6955" s="7">
        <v>0</v>
      </c>
    </row>
    <row r="6956" spans="1:5" ht="15.75" customHeight="1" x14ac:dyDescent="0.25">
      <c r="A6956" s="6" t="s">
        <v>6703</v>
      </c>
      <c r="B6956" s="6" t="str">
        <f ca="1">IFERROR(__xludf.DUMMYFUNCTION("GOOGLETRANSLATE(A6956,""bn"",""en"")"),"God forbid any bad news sir zamindar")</f>
        <v>God forbid any bad news sir zamindar</v>
      </c>
      <c r="C6956" s="7" t="s">
        <v>6</v>
      </c>
      <c r="D6956" s="7" t="s">
        <v>7</v>
      </c>
      <c r="E6956" s="7">
        <v>0</v>
      </c>
    </row>
    <row r="6957" spans="1:5" ht="15.75" customHeight="1" x14ac:dyDescent="0.25">
      <c r="A6957" s="6" t="s">
        <v>6704</v>
      </c>
      <c r="B6957" s="6" t="str">
        <f ca="1">IFERROR(__xludf.DUMMYFUNCTION("GOOGLETRANSLATE(A6957,""bn"",""en"")"),"Be aware of your inner dialogue Practice positive self-talk Your thoughts shape your reality")</f>
        <v>Be aware of your inner dialogue Practice positive self-talk Your thoughts shape your reality</v>
      </c>
      <c r="C6957" s="8" t="s">
        <v>13</v>
      </c>
      <c r="D6957" s="8" t="s">
        <v>14</v>
      </c>
      <c r="E6957" s="8">
        <v>1</v>
      </c>
    </row>
    <row r="6958" spans="1:5" ht="15.75" customHeight="1" x14ac:dyDescent="0.25">
      <c r="A6958" s="6" t="s">
        <v>6705</v>
      </c>
      <c r="B6958" s="6" t="str">
        <f ca="1">IFERROR(__xludf.DUMMYFUNCTION("GOOGLETRANSLATE(A6958,""bn"",""en"")"),"Food safety standards ensure that agricultural products meet quality hygiene requirements for consumption")</f>
        <v>Food safety standards ensure that agricultural products meet quality hygiene requirements for consumption</v>
      </c>
      <c r="C6958" s="8" t="s">
        <v>13</v>
      </c>
      <c r="D6958" s="8" t="s">
        <v>14</v>
      </c>
      <c r="E6958" s="8">
        <v>1</v>
      </c>
    </row>
    <row r="6959" spans="1:5" ht="15.75" customHeight="1" x14ac:dyDescent="0.25">
      <c r="A6959" s="6" t="s">
        <v>6706</v>
      </c>
      <c r="B6959" s="6" t="str">
        <f ca="1">IFERROR(__xludf.DUMMYFUNCTION("GOOGLETRANSLATE(A6959,""bn"",""en"")"),"Saddened, Janhvi breaks up with Munna")</f>
        <v>Saddened, Janhvi breaks up with Munna</v>
      </c>
      <c r="C6959" s="8" t="s">
        <v>13</v>
      </c>
      <c r="D6959" s="8" t="s">
        <v>14</v>
      </c>
      <c r="E6959" s="8">
        <v>1</v>
      </c>
    </row>
    <row r="6960" spans="1:5" ht="15.75" customHeight="1" x14ac:dyDescent="0.25">
      <c r="A6960" s="6" t="s">
        <v>6707</v>
      </c>
      <c r="B6960" s="6" t="str">
        <f ca="1">IFERROR(__xludf.DUMMYFUNCTION("GOOGLETRANSLATE(A6960,""bn"",""en"")"),"Integrated pest management strategies combine biological control with cultural practices to reduce reliance on pesticides")</f>
        <v>Integrated pest management strategies combine biological control with cultural practices to reduce reliance on pesticides</v>
      </c>
      <c r="C6960" s="8" t="s">
        <v>13</v>
      </c>
      <c r="D6960" s="8" t="s">
        <v>14</v>
      </c>
      <c r="E6960" s="8">
        <v>1</v>
      </c>
    </row>
    <row r="6961" spans="1:5" ht="15.75" customHeight="1" x14ac:dyDescent="0.25">
      <c r="A6961" s="6" t="s">
        <v>6708</v>
      </c>
      <c r="B6961" s="6" t="str">
        <f ca="1">IFERROR(__xludf.DUMMYFUNCTION("GOOGLETRANSLATE(A6961,""bn"",""en"")"),"I had trouble using it.")</f>
        <v>I had trouble using it.</v>
      </c>
      <c r="C6961" s="8" t="s">
        <v>13</v>
      </c>
      <c r="D6961" s="8" t="s">
        <v>14</v>
      </c>
      <c r="E6961" s="8">
        <v>1</v>
      </c>
    </row>
    <row r="6962" spans="1:5" ht="15.75" customHeight="1" x14ac:dyDescent="0.25">
      <c r="A6962" s="6" t="s">
        <v>6709</v>
      </c>
      <c r="B6962" s="6" t="str">
        <f ca="1">IFERROR(__xludf.DUMMYFUNCTION("GOOGLETRANSLATE(A6962,""bn"",""en"")"),"The shadow is falling in the sky, the color of the earth is returning")</f>
        <v>The shadow is falling in the sky, the color of the earth is returning</v>
      </c>
      <c r="C6962" s="7" t="s">
        <v>6</v>
      </c>
      <c r="D6962" s="7" t="s">
        <v>7</v>
      </c>
      <c r="E6962" s="7">
        <v>0</v>
      </c>
    </row>
    <row r="6963" spans="1:5" ht="15.75" customHeight="1" x14ac:dyDescent="0.25">
      <c r="A6963" s="6" t="s">
        <v>6710</v>
      </c>
      <c r="B6963" s="6" t="str">
        <f ca="1">IFERROR(__xludf.DUMMYFUNCTION("GOOGLETRANSLATE(A6963,""bn"",""en"")"),"She raised the slip on her head and said why are you here mother")</f>
        <v>She raised the slip on her head and said why are you here mother</v>
      </c>
      <c r="C6963" s="7" t="s">
        <v>6</v>
      </c>
      <c r="D6963" s="7" t="s">
        <v>7</v>
      </c>
      <c r="E6963" s="7">
        <v>0</v>
      </c>
    </row>
    <row r="6964" spans="1:5" ht="15.75" customHeight="1" x14ac:dyDescent="0.25">
      <c r="A6964" s="6" t="s">
        <v>6711</v>
      </c>
      <c r="B6964" s="6" t="str">
        <f ca="1">IFERROR(__xludf.DUMMYFUNCTION("GOOGLETRANSLATE(A6964,""bn"",""en"")"),"After going upstairs, the wife came back and said that today mother has gone to Kalibari with Jhi")</f>
        <v>After going upstairs, the wife came back and said that today mother has gone to Kalibari with Jhi</v>
      </c>
      <c r="C6964" s="7" t="s">
        <v>6</v>
      </c>
      <c r="D6964" s="7" t="s">
        <v>7</v>
      </c>
      <c r="E6964" s="7">
        <v>0</v>
      </c>
    </row>
    <row r="6965" spans="1:5" ht="15.75" customHeight="1" x14ac:dyDescent="0.25">
      <c r="A6965" s="6" t="s">
        <v>6712</v>
      </c>
      <c r="B6965" s="6" t="str">
        <f ca="1">IFERROR(__xludf.DUMMYFUNCTION("GOOGLETRANSLATE(A6965,""bn"",""en"")"),"He was not able to fully absorb what he saw today")</f>
        <v>He was not able to fully absorb what he saw today</v>
      </c>
      <c r="C6965" s="7" t="s">
        <v>6</v>
      </c>
      <c r="D6965" s="7" t="s">
        <v>7</v>
      </c>
      <c r="E6965" s="7">
        <v>0</v>
      </c>
    </row>
    <row r="6966" spans="1:5" ht="15.75" customHeight="1" x14ac:dyDescent="0.25">
      <c r="A6966" s="6" t="s">
        <v>6713</v>
      </c>
      <c r="B6966" s="6" t="str">
        <f ca="1">IFERROR(__xludf.DUMMYFUNCTION("GOOGLETRANSLATE(A6966,""bn"",""en"")"),"He quickly went and slapped Makhan with a word and said that he was lying again")</f>
        <v>He quickly went and slapped Makhan with a word and said that he was lying again</v>
      </c>
      <c r="C6966" s="7" t="s">
        <v>6</v>
      </c>
      <c r="D6966" s="7" t="s">
        <v>7</v>
      </c>
      <c r="E6966" s="7">
        <v>0</v>
      </c>
    </row>
    <row r="6967" spans="1:5" ht="15.75" customHeight="1" x14ac:dyDescent="0.25">
      <c r="A6967" s="6" t="s">
        <v>6714</v>
      </c>
      <c r="B6967" s="6" t="str">
        <f ca="1">IFERROR(__xludf.DUMMYFUNCTION("GOOGLETRANSLATE(A6967,""bn"",""en"")"),"Chronic Obstructive Pulmonary Disease COPD is a lung condition that makes it difficult to breathe.")</f>
        <v>Chronic Obstructive Pulmonary Disease COPD is a lung condition that makes it difficult to breathe.</v>
      </c>
      <c r="C6967" s="8" t="s">
        <v>13</v>
      </c>
      <c r="D6967" s="8" t="s">
        <v>14</v>
      </c>
      <c r="E6967" s="8">
        <v>1</v>
      </c>
    </row>
    <row r="6968" spans="1:5" ht="15.75" customHeight="1" x14ac:dyDescent="0.25">
      <c r="A6968" s="6" t="s">
        <v>6715</v>
      </c>
      <c r="B6968" s="6" t="str">
        <f ca="1">IFERROR(__xludf.DUMMYFUNCTION("GOOGLETRANSLATE(A6968,""bn"",""en"")"),"It gave me Robin")</f>
        <v>It gave me Robin</v>
      </c>
      <c r="C6968" s="8" t="s">
        <v>13</v>
      </c>
      <c r="D6968" s="8" t="s">
        <v>14</v>
      </c>
      <c r="E6968" s="8">
        <v>1</v>
      </c>
    </row>
    <row r="6969" spans="1:5" ht="15.75" customHeight="1" x14ac:dyDescent="0.25">
      <c r="A6969" s="6" t="s">
        <v>6716</v>
      </c>
      <c r="B6969" s="6" t="str">
        <f ca="1">IFERROR(__xludf.DUMMYFUNCTION("GOOGLETRANSLATE(A6969,""bn"",""en"")"),"Camping under a blanket of stars, they contemplated the vastness of the universe")</f>
        <v>Camping under a blanket of stars, they contemplated the vastness of the universe</v>
      </c>
      <c r="C6969" s="8" t="s">
        <v>13</v>
      </c>
      <c r="D6969" s="8" t="s">
        <v>14</v>
      </c>
      <c r="E6969" s="8">
        <v>1</v>
      </c>
    </row>
    <row r="6970" spans="1:5" ht="15.75" customHeight="1" x14ac:dyDescent="0.25">
      <c r="A6970" s="6" t="s">
        <v>6717</v>
      </c>
      <c r="B6970" s="6" t="str">
        <f ca="1">IFERROR(__xludf.DUMMYFUNCTION("GOOGLETRANSLATE(A6970,""bn"",""en"")"),"Shakib asked me to eat with him")</f>
        <v>Shakib asked me to eat with him</v>
      </c>
      <c r="C6970" s="8" t="s">
        <v>13</v>
      </c>
      <c r="D6970" s="8" t="s">
        <v>14</v>
      </c>
      <c r="E6970" s="8">
        <v>1</v>
      </c>
    </row>
    <row r="6971" spans="1:5" ht="15.75" customHeight="1" x14ac:dyDescent="0.25">
      <c r="A6971" s="6" t="s">
        <v>6718</v>
      </c>
      <c r="B6971" s="6" t="str">
        <f ca="1">IFERROR(__xludf.DUMMYFUNCTION("GOOGLETRANSLATE(A6971,""bn"",""en"")"),"Always strive for improvement not perfection")</f>
        <v>Always strive for improvement not perfection</v>
      </c>
      <c r="C6971" s="8" t="s">
        <v>13</v>
      </c>
      <c r="D6971" s="8" t="s">
        <v>14</v>
      </c>
      <c r="E6971" s="8">
        <v>1</v>
      </c>
    </row>
    <row r="6972" spans="1:5" ht="15.75" customHeight="1" x14ac:dyDescent="0.25">
      <c r="A6972" s="6" t="s">
        <v>6719</v>
      </c>
      <c r="B6972" s="6" t="str">
        <f ca="1">IFERROR(__xludf.DUMMYFUNCTION("GOOGLETRANSLATE(A6972,""bn"",""en"")"),"Waves of young women's tunes began to travel to the nearby hills")</f>
        <v>Waves of young women's tunes began to travel to the nearby hills</v>
      </c>
      <c r="C6972" s="7" t="s">
        <v>6</v>
      </c>
      <c r="D6972" s="7" t="s">
        <v>7</v>
      </c>
      <c r="E6972" s="7">
        <v>0</v>
      </c>
    </row>
    <row r="6973" spans="1:5" ht="15.75" customHeight="1" x14ac:dyDescent="0.25">
      <c r="A6973" s="6" t="s">
        <v>6720</v>
      </c>
      <c r="B6973" s="6" t="str">
        <f ca="1">IFERROR(__xludf.DUMMYFUNCTION("GOOGLETRANSLATE(A6973,""bn"",""en"")"),"Kakima noticed coming in front of the door")</f>
        <v>Kakima noticed coming in front of the door</v>
      </c>
      <c r="C6973" s="7" t="s">
        <v>6</v>
      </c>
      <c r="D6973" s="7" t="s">
        <v>7</v>
      </c>
      <c r="E6973" s="7">
        <v>0</v>
      </c>
    </row>
    <row r="6974" spans="1:5" ht="15.75" customHeight="1" x14ac:dyDescent="0.25">
      <c r="A6974" s="6" t="s">
        <v>6721</v>
      </c>
      <c r="B6974" s="6" t="str">
        <f ca="1">IFERROR(__xludf.DUMMYFUNCTION("GOOGLETRANSLATE(A6974,""bn"",""en"")"),"I couldn't understand one thing, why couldn't you throw me away even when I was at home?")</f>
        <v>I couldn't understand one thing, why couldn't you throw me away even when I was at home?</v>
      </c>
      <c r="C6974" s="7" t="s">
        <v>6</v>
      </c>
      <c r="D6974" s="7" t="s">
        <v>7</v>
      </c>
      <c r="E6974" s="7">
        <v>0</v>
      </c>
    </row>
    <row r="6975" spans="1:5" ht="15.75" customHeight="1" x14ac:dyDescent="0.25">
      <c r="A6975" s="6" t="s">
        <v>6722</v>
      </c>
      <c r="B6975" s="6" t="str">
        <f ca="1">IFERROR(__xludf.DUMMYFUNCTION("GOOGLETRANSLATE(A6975,""bn"",""en"")"),"As if everyone's vitality has decreased")</f>
        <v>As if everyone's vitality has decreased</v>
      </c>
      <c r="C6975" s="7" t="s">
        <v>6</v>
      </c>
      <c r="D6975" s="7" t="s">
        <v>7</v>
      </c>
      <c r="E6975" s="7">
        <v>0</v>
      </c>
    </row>
    <row r="6976" spans="1:5" ht="15.75" customHeight="1" x14ac:dyDescent="0.25">
      <c r="A6976" s="6" t="s">
        <v>6723</v>
      </c>
      <c r="B6976" s="6" t="str">
        <f ca="1">IFERROR(__xludf.DUMMYFUNCTION("GOOGLETRANSLATE(A6976,""bn"",""en"")"),"Don't go back empty-handed to remind me of you")</f>
        <v>Don't go back empty-handed to remind me of you</v>
      </c>
      <c r="C6976" s="7" t="s">
        <v>6</v>
      </c>
      <c r="D6976" s="7" t="s">
        <v>7</v>
      </c>
      <c r="E6976" s="7">
        <v>0</v>
      </c>
    </row>
    <row r="6977" spans="1:5" ht="15.75" customHeight="1" x14ac:dyDescent="0.25">
      <c r="A6977" s="6" t="s">
        <v>6724</v>
      </c>
      <c r="B6977" s="6" t="str">
        <f ca="1">IFERROR(__xludf.DUMMYFUNCTION("GOOGLETRANSLATE(A6977,""bn"",""en"")"),"They were all busy with their own work")</f>
        <v>They were all busy with their own work</v>
      </c>
      <c r="C6977" s="8" t="s">
        <v>13</v>
      </c>
      <c r="D6977" s="8" t="s">
        <v>14</v>
      </c>
      <c r="E6977" s="8">
        <v>1</v>
      </c>
    </row>
    <row r="6978" spans="1:5" ht="15.75" customHeight="1" x14ac:dyDescent="0.25">
      <c r="A6978" s="6" t="s">
        <v>6725</v>
      </c>
      <c r="B6978" s="6" t="str">
        <f ca="1">IFERROR(__xludf.DUMMYFUNCTION("GOOGLETRANSLATE(A6978,""bn"",""en"")"),"He was the first Japanese to win the Nobel Prize")</f>
        <v>He was the first Japanese to win the Nobel Prize</v>
      </c>
      <c r="C6978" s="8" t="s">
        <v>13</v>
      </c>
      <c r="D6978" s="8" t="s">
        <v>14</v>
      </c>
      <c r="E6978" s="8">
        <v>1</v>
      </c>
    </row>
    <row r="6979" spans="1:5" ht="15.75" customHeight="1" x14ac:dyDescent="0.25">
      <c r="A6979" s="6" t="s">
        <v>6726</v>
      </c>
      <c r="B6979" s="6" t="str">
        <f ca="1">IFERROR(__xludf.DUMMYFUNCTION("GOOGLETRANSLATE(A6979,""bn"",""en"")"),"I always carry jumper wires in my trunk just in case")</f>
        <v>I always carry jumper wires in my trunk just in case</v>
      </c>
      <c r="C6979" s="8" t="s">
        <v>13</v>
      </c>
      <c r="D6979" s="8" t="s">
        <v>14</v>
      </c>
      <c r="E6979" s="8">
        <v>1</v>
      </c>
    </row>
    <row r="6980" spans="1:5" ht="15.75" customHeight="1" x14ac:dyDescent="0.25">
      <c r="A6980" s="6" t="s">
        <v>6727</v>
      </c>
      <c r="B6980" s="6" t="str">
        <f ca="1">IFERROR(__xludf.DUMMYFUNCTION("GOOGLETRANSLATE(A6980,""bn"",""en"")"),"Abahani used to play in the eighties")</f>
        <v>Abahani used to play in the eighties</v>
      </c>
      <c r="C6980" s="8" t="s">
        <v>13</v>
      </c>
      <c r="D6980" s="8" t="s">
        <v>14</v>
      </c>
      <c r="E6980" s="8">
        <v>1</v>
      </c>
    </row>
    <row r="6981" spans="1:5" ht="15.75" customHeight="1" x14ac:dyDescent="0.25">
      <c r="A6981" s="6" t="s">
        <v>6728</v>
      </c>
      <c r="B6981" s="6" t="str">
        <f ca="1">IFERROR(__xludf.DUMMYFUNCTION("GOOGLETRANSLATE(A6981,""bn"",""en"")"),"At this young age I will be able to help the family at least with my small income")</f>
        <v>At this young age I will be able to help the family at least with my small income</v>
      </c>
      <c r="C6981" s="8" t="s">
        <v>13</v>
      </c>
      <c r="D6981" s="8" t="s">
        <v>14</v>
      </c>
      <c r="E6981" s="8">
        <v>1</v>
      </c>
    </row>
    <row r="6982" spans="1:5" ht="15.75" customHeight="1" x14ac:dyDescent="0.25">
      <c r="A6982" s="6" t="s">
        <v>6729</v>
      </c>
      <c r="B6982" s="6" t="str">
        <f ca="1">IFERROR(__xludf.DUMMYFUNCTION("GOOGLETRANSLATE(A6982,""bn"",""en"")"),"Famous and valuable writers of the country are trying to come with educational materials in both hands to help children like you in every way.")</f>
        <v>Famous and valuable writers of the country are trying to come with educational materials in both hands to help children like you in every way.</v>
      </c>
      <c r="C6982" s="7" t="s">
        <v>6</v>
      </c>
      <c r="D6982" s="7" t="s">
        <v>7</v>
      </c>
      <c r="E6982" s="7">
        <v>0</v>
      </c>
    </row>
    <row r="6983" spans="1:5" ht="15.75" customHeight="1" x14ac:dyDescent="0.25">
      <c r="A6983" s="6" t="s">
        <v>6730</v>
      </c>
      <c r="B6983" s="6" t="str">
        <f ca="1">IFERROR(__xludf.DUMMYFUNCTION("GOOGLETRANSLATE(A6983,""bn"",""en"")"),"He could not keep his promise")</f>
        <v>He could not keep his promise</v>
      </c>
      <c r="C6983" s="7" t="s">
        <v>6</v>
      </c>
      <c r="D6983" s="7" t="s">
        <v>7</v>
      </c>
      <c r="E6983" s="7">
        <v>0</v>
      </c>
    </row>
    <row r="6984" spans="1:5" ht="15.75" customHeight="1" x14ac:dyDescent="0.25">
      <c r="A6984" s="6" t="s">
        <v>6731</v>
      </c>
      <c r="B6984" s="6" t="str">
        <f ca="1">IFERROR(__xludf.DUMMYFUNCTION("GOOGLETRANSLATE(A6984,""bn"",""en"")"),"I have been asking for so long to hear what money it is")</f>
        <v>I have been asking for so long to hear what money it is</v>
      </c>
      <c r="C6984" s="7" t="s">
        <v>6</v>
      </c>
      <c r="D6984" s="7" t="s">
        <v>7</v>
      </c>
      <c r="E6984" s="7">
        <v>0</v>
      </c>
    </row>
    <row r="6985" spans="1:5" ht="15.75" customHeight="1" x14ac:dyDescent="0.25">
      <c r="A6985" s="6" t="s">
        <v>6732</v>
      </c>
      <c r="B6985" s="6" t="str">
        <f ca="1">IFERROR(__xludf.DUMMYFUNCTION("GOOGLETRANSLATE(A6985,""bn"",""en"")"),"He saw a beautiful beauty standing in front of him from inside the forest")</f>
        <v>He saw a beautiful beauty standing in front of him from inside the forest</v>
      </c>
      <c r="C6985" s="7" t="s">
        <v>6</v>
      </c>
      <c r="D6985" s="7" t="s">
        <v>7</v>
      </c>
      <c r="E6985" s="7">
        <v>0</v>
      </c>
    </row>
    <row r="6986" spans="1:5" ht="15.75" customHeight="1" x14ac:dyDescent="0.25">
      <c r="A6986" s="6" t="s">
        <v>6733</v>
      </c>
      <c r="B6986" s="6" t="str">
        <f ca="1">IFERROR(__xludf.DUMMYFUNCTION("GOOGLETRANSLATE(A6986,""bn"",""en"")"),"I did not believe this at all")</f>
        <v>I did not believe this at all</v>
      </c>
      <c r="C6986" s="7" t="s">
        <v>6</v>
      </c>
      <c r="D6986" s="7" t="s">
        <v>7</v>
      </c>
      <c r="E6986" s="7">
        <v>0</v>
      </c>
    </row>
    <row r="6987" spans="1:5" ht="15.75" customHeight="1" x14ac:dyDescent="0.25">
      <c r="A6987" s="6" t="s">
        <v>6734</v>
      </c>
      <c r="B6987" s="6" t="str">
        <f ca="1">IFERROR(__xludf.DUMMYFUNCTION("GOOGLETRANSLATE(A6987,""bn"",""en"")"),"Agroecosystems are complex networks of interactions between organisms in an agricultural landscape")</f>
        <v>Agroecosystems are complex networks of interactions between organisms in an agricultural landscape</v>
      </c>
      <c r="C6987" s="8" t="s">
        <v>13</v>
      </c>
      <c r="D6987" s="8" t="s">
        <v>14</v>
      </c>
      <c r="E6987" s="8">
        <v>1</v>
      </c>
    </row>
    <row r="6988" spans="1:5" ht="15.75" customHeight="1" x14ac:dyDescent="0.25">
      <c r="A6988" s="6" t="s">
        <v>6735</v>
      </c>
      <c r="B6988" s="6" t="str">
        <f ca="1">IFERROR(__xludf.DUMMYFUNCTION("GOOGLETRANSLATE(A6988,""bn"",""en"")"),"Shakespeare probably loved Hathaway early on")</f>
        <v>Shakespeare probably loved Hathaway early on</v>
      </c>
      <c r="C6988" s="8" t="s">
        <v>13</v>
      </c>
      <c r="D6988" s="8" t="s">
        <v>14</v>
      </c>
      <c r="E6988" s="8">
        <v>1</v>
      </c>
    </row>
    <row r="6989" spans="1:5" ht="15.75" customHeight="1" x14ac:dyDescent="0.25">
      <c r="A6989" s="6" t="s">
        <v>6736</v>
      </c>
      <c r="B6989" s="6" t="str">
        <f ca="1">IFERROR(__xludf.DUMMYFUNCTION("GOOGLETRANSLATE(A6989,""bn"",""en"")"),"He was quietly thinking about something.")</f>
        <v>He was quietly thinking about something.</v>
      </c>
      <c r="C6989" s="8" t="s">
        <v>13</v>
      </c>
      <c r="D6989" s="8" t="s">
        <v>14</v>
      </c>
      <c r="E6989" s="8">
        <v>1</v>
      </c>
    </row>
    <row r="6990" spans="1:5" ht="15.75" customHeight="1" x14ac:dyDescent="0.25">
      <c r="A6990" s="6" t="s">
        <v>6737</v>
      </c>
      <c r="B6990" s="6" t="str">
        <f ca="1">IFERROR(__xludf.DUMMYFUNCTION("GOOGLETRANSLATE(A6990,""bn"",""en"")"),"Embrace uncertainty as an opportunity to grow boldly")</f>
        <v>Embrace uncertainty as an opportunity to grow boldly</v>
      </c>
      <c r="C6990" s="8" t="s">
        <v>13</v>
      </c>
      <c r="D6990" s="8" t="s">
        <v>14</v>
      </c>
      <c r="E6990" s="8">
        <v>1</v>
      </c>
    </row>
    <row r="6991" spans="1:5" ht="15.75" customHeight="1" x14ac:dyDescent="0.25">
      <c r="A6991" s="6" t="s">
        <v>6738</v>
      </c>
      <c r="B6991" s="6" t="str">
        <f ca="1">IFERROR(__xludf.DUMMYFUNCTION("GOOGLETRANSLATE(A6991,""bn"",""en"")"),"Crispy fries make food delightful")</f>
        <v>Crispy fries make food delightful</v>
      </c>
      <c r="C6991" s="8" t="s">
        <v>13</v>
      </c>
      <c r="D6991" s="8" t="s">
        <v>14</v>
      </c>
      <c r="E6991" s="8">
        <v>1</v>
      </c>
    </row>
    <row r="6992" spans="1:5" ht="15.75" customHeight="1" x14ac:dyDescent="0.25">
      <c r="A6992" s="6" t="s">
        <v>6739</v>
      </c>
      <c r="B6992" s="6" t="str">
        <f ca="1">IFERROR(__xludf.DUMMYFUNCTION("GOOGLETRANSLATE(A6992,""bn"",""en"")"),"He felt that if he prevented anything, he would not survive")</f>
        <v>He felt that if he prevented anything, he would not survive</v>
      </c>
      <c r="C6992" s="7" t="s">
        <v>6</v>
      </c>
      <c r="D6992" s="7" t="s">
        <v>7</v>
      </c>
      <c r="E6992" s="7">
        <v>0</v>
      </c>
    </row>
    <row r="6993" spans="1:5" ht="15.75" customHeight="1" x14ac:dyDescent="0.25">
      <c r="A6993" s="6" t="s">
        <v>6740</v>
      </c>
      <c r="B6993" s="6" t="str">
        <f ca="1">IFERROR(__xludf.DUMMYFUNCTION("GOOGLETRANSLATE(A6993,""bn"",""en"")"),"So Khatak was sold to the moneylender as born")</f>
        <v>So Khatak was sold to the moneylender as born</v>
      </c>
      <c r="C6993" s="7" t="s">
        <v>6</v>
      </c>
      <c r="D6993" s="7" t="s">
        <v>7</v>
      </c>
      <c r="E6993" s="7">
        <v>0</v>
      </c>
    </row>
    <row r="6994" spans="1:5" ht="15.75" customHeight="1" x14ac:dyDescent="0.25">
      <c r="A6994" s="6" t="s">
        <v>6741</v>
      </c>
      <c r="B6994" s="6" t="str">
        <f ca="1">IFERROR(__xludf.DUMMYFUNCTION("GOOGLETRANSLATE(A6994,""bn"",""en"")"),"Sometimes poetry is also written in Kumud")</f>
        <v>Sometimes poetry is also written in Kumud</v>
      </c>
      <c r="C6994" s="7" t="s">
        <v>6</v>
      </c>
      <c r="D6994" s="7" t="s">
        <v>7</v>
      </c>
      <c r="E6994" s="7">
        <v>0</v>
      </c>
    </row>
    <row r="6995" spans="1:5" ht="15.75" customHeight="1" x14ac:dyDescent="0.25">
      <c r="A6995" s="6" t="s">
        <v>6742</v>
      </c>
      <c r="B6995" s="6" t="str">
        <f ca="1">IFERROR(__xludf.DUMMYFUNCTION("GOOGLETRANSLATE(A6995,""bn"",""en"")"),"But the evening lamp is not lit")</f>
        <v>But the evening lamp is not lit</v>
      </c>
      <c r="C6995" s="7" t="s">
        <v>6</v>
      </c>
      <c r="D6995" s="7" t="s">
        <v>7</v>
      </c>
      <c r="E6995" s="7">
        <v>0</v>
      </c>
    </row>
    <row r="6996" spans="1:5" ht="15.75" customHeight="1" x14ac:dyDescent="0.25">
      <c r="A6996" s="6" t="s">
        <v>6743</v>
      </c>
      <c r="B6996" s="6" t="str">
        <f ca="1">IFERROR(__xludf.DUMMYFUNCTION("GOOGLETRANSLATE(A6996,""bn"",""en"")"),"If your Majesty orders, I will leave for a long journey")</f>
        <v>If your Majesty orders, I will leave for a long journey</v>
      </c>
      <c r="C6996" s="7" t="s">
        <v>6</v>
      </c>
      <c r="D6996" s="7" t="s">
        <v>7</v>
      </c>
      <c r="E6996" s="7">
        <v>0</v>
      </c>
    </row>
    <row r="6997" spans="1:5" ht="15.75" customHeight="1" x14ac:dyDescent="0.25">
      <c r="A6997" s="6" t="s">
        <v>6744</v>
      </c>
      <c r="B6997" s="6" t="str">
        <f ca="1">IFERROR(__xludf.DUMMYFUNCTION("GOOGLETRANSLATE(A6997,""bn"",""en"")"),"Educational achievement correlates with socioeconomic outcomes")</f>
        <v>Educational achievement correlates with socioeconomic outcomes</v>
      </c>
      <c r="C6997" s="8" t="s">
        <v>13</v>
      </c>
      <c r="D6997" s="8" t="s">
        <v>14</v>
      </c>
      <c r="E6997" s="8">
        <v>1</v>
      </c>
    </row>
    <row r="6998" spans="1:5" ht="15.75" customHeight="1" x14ac:dyDescent="0.25">
      <c r="A6998" s="6" t="s">
        <v>6745</v>
      </c>
      <c r="B6998" s="6" t="str">
        <f ca="1">IFERROR(__xludf.DUMMYFUNCTION("GOOGLETRANSLATE(A6998,""bn"",""en"")"),"I love to pet animals no one in the family likes")</f>
        <v>I love to pet animals no one in the family likes</v>
      </c>
      <c r="C6998" s="8" t="s">
        <v>13</v>
      </c>
      <c r="D6998" s="8" t="s">
        <v>14</v>
      </c>
      <c r="E6998" s="8">
        <v>1</v>
      </c>
    </row>
    <row r="6999" spans="1:5" ht="15.75" customHeight="1" x14ac:dyDescent="0.25">
      <c r="A6999" s="6" t="s">
        <v>6746</v>
      </c>
      <c r="B6999" s="6" t="str">
        <f ca="1">IFERROR(__xludf.DUMMYFUNCTION("GOOGLETRANSLATE(A6999,""bn"",""en"")"),"Throat itches from wearing muffler for so long")</f>
        <v>Throat itches from wearing muffler for so long</v>
      </c>
      <c r="C6999" s="8" t="s">
        <v>13</v>
      </c>
      <c r="D6999" s="8" t="s">
        <v>14</v>
      </c>
      <c r="E6999" s="8">
        <v>1</v>
      </c>
    </row>
    <row r="7000" spans="1:5" ht="15.75" customHeight="1" x14ac:dyDescent="0.25">
      <c r="A7000" s="6" t="s">
        <v>6747</v>
      </c>
      <c r="B7000" s="6" t="str">
        <f ca="1">IFERROR(__xludf.DUMMYFUNCTION("GOOGLETRANSLATE(A7000,""bn"",""en"")"),"One will find the other")</f>
        <v>One will find the other</v>
      </c>
      <c r="C7000" s="8" t="s">
        <v>13</v>
      </c>
      <c r="D7000" s="8" t="s">
        <v>14</v>
      </c>
      <c r="E7000" s="8">
        <v>1</v>
      </c>
    </row>
    <row r="7001" spans="1:5" ht="15.75" customHeight="1" x14ac:dyDescent="0.25">
      <c r="A7001" s="6" t="s">
        <v>6748</v>
      </c>
      <c r="B7001" s="6" t="str">
        <f ca="1">IFERROR(__xludf.DUMMYFUNCTION("GOOGLETRANSLATE(A7001,""bn"",""en"")"),"Shahed also got this disease on the fifteenth day of his birth")</f>
        <v>Shahed also got this disease on the fifteenth day of his birth</v>
      </c>
      <c r="C7001" s="8" t="s">
        <v>13</v>
      </c>
      <c r="D7001" s="8" t="s">
        <v>14</v>
      </c>
      <c r="E7001" s="8">
        <v>1</v>
      </c>
    </row>
    <row r="7002" spans="1:5" ht="15.75" customHeight="1" x14ac:dyDescent="0.25">
      <c r="A7002" s="6" t="s">
        <v>6749</v>
      </c>
      <c r="B7002" s="6" t="str">
        <f ca="1">IFERROR(__xludf.DUMMYFUNCTION("GOOGLETRANSLATE(A7002,""bn"",""en"")"),"When the bath was over, Ratan called")</f>
        <v>When the bath was over, Ratan called</v>
      </c>
      <c r="C7002" s="7" t="s">
        <v>6</v>
      </c>
      <c r="D7002" s="7" t="s">
        <v>7</v>
      </c>
      <c r="E7002" s="7">
        <v>0</v>
      </c>
    </row>
    <row r="7003" spans="1:5" ht="15.75" customHeight="1" x14ac:dyDescent="0.25">
      <c r="A7003" s="6" t="s">
        <v>6750</v>
      </c>
      <c r="B7003" s="6" t="str">
        <f ca="1">IFERROR(__xludf.DUMMYFUNCTION("GOOGLETRANSLATE(A7003,""bn"",""en"")"),"Rumi was listening attentively to Suma")</f>
        <v>Rumi was listening attentively to Suma</v>
      </c>
      <c r="C7003" s="7" t="s">
        <v>6</v>
      </c>
      <c r="D7003" s="7" t="s">
        <v>7</v>
      </c>
      <c r="E7003" s="7">
        <v>0</v>
      </c>
    </row>
    <row r="7004" spans="1:5" ht="15.75" customHeight="1" x14ac:dyDescent="0.25">
      <c r="A7004" s="6" t="s">
        <v>6751</v>
      </c>
      <c r="B7004" s="6" t="str">
        <f ca="1">IFERROR(__xludf.DUMMYFUNCTION("GOOGLETRANSLATE(A7004,""bn"",""en"")"),"The man bowed and left")</f>
        <v>The man bowed and left</v>
      </c>
      <c r="C7004" s="7" t="s">
        <v>6</v>
      </c>
      <c r="D7004" s="7" t="s">
        <v>7</v>
      </c>
      <c r="E7004" s="7">
        <v>0</v>
      </c>
    </row>
    <row r="7005" spans="1:5" ht="15.75" customHeight="1" x14ac:dyDescent="0.25">
      <c r="A7005" s="6" t="s">
        <v>6752</v>
      </c>
      <c r="B7005" s="6" t="str">
        <f ca="1">IFERROR(__xludf.DUMMYFUNCTION("GOOGLETRANSLATE(A7005,""bn"",""en"")"),"When asked, the boys said that four of us sleep in the four corners and the master stays in the middle.")</f>
        <v>When asked, the boys said that four of us sleep in the four corners and the master stays in the middle.</v>
      </c>
      <c r="C7005" s="7" t="s">
        <v>6</v>
      </c>
      <c r="D7005" s="7" t="s">
        <v>7</v>
      </c>
      <c r="E7005" s="7">
        <v>0</v>
      </c>
    </row>
    <row r="7006" spans="1:5" ht="15.75" customHeight="1" x14ac:dyDescent="0.25">
      <c r="A7006" s="6" t="s">
        <v>6753</v>
      </c>
      <c r="B7006" s="6" t="str">
        <f ca="1">IFERROR(__xludf.DUMMYFUNCTION("GOOGLETRANSLATE(A7006,""bn"",""en"")"),"Finally he found a tree that could be felled and collected the necessary wood from it")</f>
        <v>Finally he found a tree that could be felled and collected the necessary wood from it</v>
      </c>
      <c r="C7006" s="7" t="s">
        <v>6</v>
      </c>
      <c r="D7006" s="7" t="s">
        <v>7</v>
      </c>
      <c r="E7006" s="7">
        <v>0</v>
      </c>
    </row>
    <row r="7007" spans="1:5" ht="15.75" customHeight="1" x14ac:dyDescent="0.25">
      <c r="A7007" s="6" t="s">
        <v>6754</v>
      </c>
      <c r="B7007" s="6" t="str">
        <f ca="1">IFERROR(__xludf.DUMMYFUNCTION("GOOGLETRANSLATE(A7007,""bn"",""en"")"),"A record number of Indian troops were deployed in various battlefields")</f>
        <v>A record number of Indian troops were deployed in various battlefields</v>
      </c>
      <c r="C7007" s="8" t="s">
        <v>13</v>
      </c>
      <c r="D7007" s="8" t="s">
        <v>14</v>
      </c>
      <c r="E7007" s="8">
        <v>1</v>
      </c>
    </row>
    <row r="7008" spans="1:5" ht="15.75" customHeight="1" x14ac:dyDescent="0.25">
      <c r="A7008" s="6" t="s">
        <v>6755</v>
      </c>
      <c r="B7008" s="6" t="str">
        <f ca="1">IFERROR(__xludf.DUMMYFUNCTION("GOOGLETRANSLATE(A7008,""bn"",""en"")"),"Niaz is one of those few friends")</f>
        <v>Niaz is one of those few friends</v>
      </c>
      <c r="C7008" s="8" t="s">
        <v>13</v>
      </c>
      <c r="D7008" s="8" t="s">
        <v>14</v>
      </c>
      <c r="E7008" s="8">
        <v>1</v>
      </c>
    </row>
    <row r="7009" spans="1:5" ht="15.75" customHeight="1" x14ac:dyDescent="0.25">
      <c r="A7009" s="6" t="s">
        <v>6756</v>
      </c>
      <c r="B7009" s="6" t="str">
        <f ca="1">IFERROR(__xludf.DUMMYFUNCTION("GOOGLETRANSLATE(A7009,""bn"",""en"")"),"Mickelson's mastery of micro-scales was remarkable")</f>
        <v>Mickelson's mastery of micro-scales was remarkable</v>
      </c>
      <c r="C7009" s="8" t="s">
        <v>13</v>
      </c>
      <c r="D7009" s="8" t="s">
        <v>14</v>
      </c>
      <c r="E7009" s="8">
        <v>1</v>
      </c>
    </row>
    <row r="7010" spans="1:5" ht="15.75" customHeight="1" x14ac:dyDescent="0.25">
      <c r="A7010" s="6" t="s">
        <v>6757</v>
      </c>
      <c r="B7010" s="6" t="str">
        <f ca="1">IFERROR(__xludf.DUMMYFUNCTION("GOOGLETRANSLATE(A7010,""bn"",""en"")"),"My father worked in the fields")</f>
        <v>My father worked in the fields</v>
      </c>
      <c r="C7010" s="8" t="s">
        <v>13</v>
      </c>
      <c r="D7010" s="8" t="s">
        <v>14</v>
      </c>
      <c r="E7010" s="8">
        <v>1</v>
      </c>
    </row>
    <row r="7011" spans="1:5" ht="15.75" customHeight="1" x14ac:dyDescent="0.25">
      <c r="A7011" s="6" t="s">
        <v>6758</v>
      </c>
      <c r="B7011" s="6" t="str">
        <f ca="1">IFERROR(__xludf.DUMMYFUNCTION("GOOGLETRANSLATE(A7011,""bn"",""en"")"),"The age of the tree will be more than a hundred")</f>
        <v>The age of the tree will be more than a hundred</v>
      </c>
      <c r="C7011" s="8" t="s">
        <v>13</v>
      </c>
      <c r="D7011" s="8" t="s">
        <v>14</v>
      </c>
      <c r="E7011" s="8">
        <v>1</v>
      </c>
    </row>
    <row r="7012" spans="1:5" ht="15.75" customHeight="1" x14ac:dyDescent="0.25">
      <c r="A7012" s="6" t="s">
        <v>1176</v>
      </c>
      <c r="B7012" s="6" t="str">
        <f ca="1">IFERROR(__xludf.DUMMYFUNCTION("GOOGLETRANSLATE(A7012,""bn"",""en"")"),"Before the night was over he went out in search of work")</f>
        <v>Before the night was over he went out in search of work</v>
      </c>
      <c r="C7012" s="7" t="s">
        <v>6</v>
      </c>
      <c r="D7012" s="7" t="s">
        <v>7</v>
      </c>
      <c r="E7012" s="7">
        <v>0</v>
      </c>
    </row>
    <row r="7013" spans="1:5" ht="15.75" customHeight="1" x14ac:dyDescent="0.25">
      <c r="A7013" s="6" t="s">
        <v>6759</v>
      </c>
      <c r="B7013" s="6" t="str">
        <f ca="1">IFERROR(__xludf.DUMMYFUNCTION("GOOGLETRANSLATE(A7013,""bn"",""en"")"),"Before bringing hilsa from the market, Ginny has made all the arrangements to eat it")</f>
        <v>Before bringing hilsa from the market, Ginny has made all the arrangements to eat it</v>
      </c>
      <c r="C7013" s="7" t="s">
        <v>6</v>
      </c>
      <c r="D7013" s="7" t="s">
        <v>7</v>
      </c>
      <c r="E7013" s="7">
        <v>0</v>
      </c>
    </row>
    <row r="7014" spans="1:5" ht="15.75" customHeight="1" x14ac:dyDescent="0.25">
      <c r="A7014" s="6" t="s">
        <v>6760</v>
      </c>
      <c r="B7014" s="6" t="str">
        <f ca="1">IFERROR(__xludf.DUMMYFUNCTION("GOOGLETRANSLATE(A7014,""bn"",""en"")"),"Mezmeye Bindubasini is married to Nandalal of Nandalal &amp; Co. of Barabazar in Khas Kolkata.")</f>
        <v>Mezmeye Bindubasini is married to Nandalal of Nandalal &amp; Co. of Barabazar in Khas Kolkata.</v>
      </c>
      <c r="C7014" s="7" t="s">
        <v>6</v>
      </c>
      <c r="D7014" s="7" t="s">
        <v>7</v>
      </c>
      <c r="E7014" s="7">
        <v>0</v>
      </c>
    </row>
    <row r="7015" spans="1:5" ht="15.75" customHeight="1" x14ac:dyDescent="0.25">
      <c r="A7015" s="6" t="s">
        <v>6761</v>
      </c>
      <c r="B7015" s="6" t="str">
        <f ca="1">IFERROR(__xludf.DUMMYFUNCTION("GOOGLETRANSLATE(A7015,""bn"",""en"")"),"At the same time Karna also had his work done")</f>
        <v>At the same time Karna also had his work done</v>
      </c>
      <c r="C7015" s="7" t="s">
        <v>6</v>
      </c>
      <c r="D7015" s="7" t="s">
        <v>7</v>
      </c>
      <c r="E7015" s="7">
        <v>0</v>
      </c>
    </row>
    <row r="7016" spans="1:5" ht="15.75" customHeight="1" x14ac:dyDescent="0.25">
      <c r="A7016" s="6" t="s">
        <v>6762</v>
      </c>
      <c r="B7016" s="6" t="str">
        <f ca="1">IFERROR(__xludf.DUMMYFUNCTION("GOOGLETRANSLATE(A7016,""bn"",""en"")"),"We have to push the car to cross, Garwan went to call the porter")</f>
        <v>We have to push the car to cross, Garwan went to call the porter</v>
      </c>
      <c r="C7016" s="7" t="s">
        <v>6</v>
      </c>
      <c r="D7016" s="7" t="s">
        <v>7</v>
      </c>
      <c r="E7016" s="7">
        <v>0</v>
      </c>
    </row>
    <row r="7017" spans="1:5" ht="15.75" customHeight="1" x14ac:dyDescent="0.25">
      <c r="A7017" s="6" t="s">
        <v>6763</v>
      </c>
      <c r="B7017" s="6" t="str">
        <f ca="1">IFERROR(__xludf.DUMMYFUNCTION("GOOGLETRANSLATE(A7017,""bn"",""en"")"),"Hairstylists transform clients' hair with precise cuts and vibrant colors")</f>
        <v>Hairstylists transform clients' hair with precise cuts and vibrant colors</v>
      </c>
      <c r="C7017" s="8" t="s">
        <v>13</v>
      </c>
      <c r="D7017" s="8" t="s">
        <v>14</v>
      </c>
      <c r="E7017" s="8">
        <v>1</v>
      </c>
    </row>
    <row r="7018" spans="1:5" ht="15.75" customHeight="1" x14ac:dyDescent="0.25">
      <c r="A7018" s="6" t="s">
        <v>6764</v>
      </c>
      <c r="B7018" s="6" t="str">
        <f ca="1">IFERROR(__xludf.DUMMYFUNCTION("GOOGLETRANSLATE(A7018,""bn"",""en"")"),"I'm thinking of buying an electric car to save gas")</f>
        <v>I'm thinking of buying an electric car to save gas</v>
      </c>
      <c r="C7018" s="8" t="s">
        <v>13</v>
      </c>
      <c r="D7018" s="8" t="s">
        <v>14</v>
      </c>
      <c r="E7018" s="8">
        <v>1</v>
      </c>
    </row>
    <row r="7019" spans="1:5" ht="15.75" customHeight="1" x14ac:dyDescent="0.25">
      <c r="A7019" s="6" t="s">
        <v>6765</v>
      </c>
      <c r="B7019" s="6" t="str">
        <f ca="1">IFERROR(__xludf.DUMMYFUNCTION("GOOGLETRANSLATE(A7019,""bn"",""en"")"),"Alhamdulillah It felt so good today with the car keys in mom's hands")</f>
        <v>Alhamdulillah It felt so good today with the car keys in mom's hands</v>
      </c>
      <c r="C7019" s="8" t="s">
        <v>13</v>
      </c>
      <c r="D7019" s="8" t="s">
        <v>14</v>
      </c>
      <c r="E7019" s="8">
        <v>1</v>
      </c>
    </row>
    <row r="7020" spans="1:5" ht="15.75" customHeight="1" x14ac:dyDescent="0.25">
      <c r="A7020" s="6" t="s">
        <v>6766</v>
      </c>
      <c r="B7020" s="6" t="str">
        <f ca="1">IFERROR(__xludf.DUMMYFUNCTION("GOOGLETRANSLATE(A7020,""bn"",""en"")"),"Migraines are severe headaches often accompanied by nausea and sensitivity to light")</f>
        <v>Migraines are severe headaches often accompanied by nausea and sensitivity to light</v>
      </c>
      <c r="C7020" s="8" t="s">
        <v>13</v>
      </c>
      <c r="D7020" s="8" t="s">
        <v>14</v>
      </c>
      <c r="E7020" s="8">
        <v>1</v>
      </c>
    </row>
    <row r="7021" spans="1:5" ht="15.75" customHeight="1" x14ac:dyDescent="0.25">
      <c r="A7021" s="6" t="s">
        <v>5840</v>
      </c>
      <c r="B7021" s="6" t="str">
        <f ca="1">IFERROR(__xludf.DUMMYFUNCTION("GOOGLETRANSLATE(A7021,""bn"",""en"")"),"I can't think of anyone but this friend")</f>
        <v>I can't think of anyone but this friend</v>
      </c>
      <c r="C7021" s="8" t="s">
        <v>13</v>
      </c>
      <c r="D7021" s="8" t="s">
        <v>14</v>
      </c>
      <c r="E7021" s="8">
        <v>1</v>
      </c>
    </row>
    <row r="7022" spans="1:5" ht="15.75" customHeight="1" x14ac:dyDescent="0.25">
      <c r="A7022" s="6" t="s">
        <v>6767</v>
      </c>
      <c r="B7022" s="6" t="str">
        <f ca="1">IFERROR(__xludf.DUMMYFUNCTION("GOOGLETRANSLATE(A7022,""bn"",""en"")"),"They should continue as before")</f>
        <v>They should continue as before</v>
      </c>
      <c r="C7022" s="7" t="s">
        <v>6</v>
      </c>
      <c r="D7022" s="7" t="s">
        <v>7</v>
      </c>
      <c r="E7022" s="7">
        <v>0</v>
      </c>
    </row>
    <row r="7023" spans="1:5" ht="15.75" customHeight="1" x14ac:dyDescent="0.25">
      <c r="A7023" s="6" t="s">
        <v>5849</v>
      </c>
      <c r="B7023" s="6" t="str">
        <f ca="1">IFERROR(__xludf.DUMMYFUNCTION("GOOGLETRANSLATE(A7023,""bn"",""en"")"),"So I was very surprised to hear the rhythm in the mouth of the wild bird")</f>
        <v>So I was very surprised to hear the rhythm in the mouth of the wild bird</v>
      </c>
      <c r="C7023" s="7" t="s">
        <v>6</v>
      </c>
      <c r="D7023" s="7" t="s">
        <v>7</v>
      </c>
      <c r="E7023" s="7">
        <v>0</v>
      </c>
    </row>
    <row r="7024" spans="1:5" ht="15.75" customHeight="1" x14ac:dyDescent="0.25">
      <c r="A7024" s="6" t="s">
        <v>2200</v>
      </c>
      <c r="B7024" s="6" t="str">
        <f ca="1">IFERROR(__xludf.DUMMYFUNCTION("GOOGLETRANSLATE(A7024,""bn"",""en"")"),"The level where the sound rises or falls also rises and falls")</f>
        <v>The level where the sound rises or falls also rises and falls</v>
      </c>
      <c r="C7024" s="7" t="s">
        <v>6</v>
      </c>
      <c r="D7024" s="7" t="s">
        <v>7</v>
      </c>
      <c r="E7024" s="7">
        <v>0</v>
      </c>
    </row>
    <row r="7025" spans="1:5" ht="15.75" customHeight="1" x14ac:dyDescent="0.25">
      <c r="A7025" s="6" t="s">
        <v>6768</v>
      </c>
      <c r="B7025" s="6" t="str">
        <f ca="1">IFERROR(__xludf.DUMMYFUNCTION("GOOGLETRANSLATE(A7025,""bn"",""en"")"),"As soon as the boy left, he took the bed like a dead man and said with a sigh, Lord")</f>
        <v>As soon as the boy left, he took the bed like a dead man and said with a sigh, Lord</v>
      </c>
      <c r="C7025" s="7" t="s">
        <v>6</v>
      </c>
      <c r="D7025" s="7" t="s">
        <v>7</v>
      </c>
      <c r="E7025" s="7">
        <v>0</v>
      </c>
    </row>
    <row r="7026" spans="1:5" ht="15.75" customHeight="1" x14ac:dyDescent="0.25">
      <c r="A7026" s="6" t="s">
        <v>6769</v>
      </c>
      <c r="B7026" s="6" t="str">
        <f ca="1">IFERROR(__xludf.DUMMYFUNCTION("GOOGLETRANSLATE(A7026,""bn"",""en"")"),"As soon as they arrived, they started mocking the youth")</f>
        <v>As soon as they arrived, they started mocking the youth</v>
      </c>
      <c r="C7026" s="7" t="s">
        <v>6</v>
      </c>
      <c r="D7026" s="7" t="s">
        <v>7</v>
      </c>
      <c r="E7026" s="7">
        <v>0</v>
      </c>
    </row>
    <row r="7027" spans="1:5" ht="15.75" customHeight="1" x14ac:dyDescent="0.25">
      <c r="A7027" s="6" t="s">
        <v>6770</v>
      </c>
      <c r="B7027" s="6" t="str">
        <f ca="1">IFERROR(__xludf.DUMMYFUNCTION("GOOGLETRANSLATE(A7027,""bn"",""en"")"),"Use proper equipment for safety")</f>
        <v>Use proper equipment for safety</v>
      </c>
      <c r="C7027" s="8" t="s">
        <v>13</v>
      </c>
      <c r="D7027" s="8" t="s">
        <v>14</v>
      </c>
      <c r="E7027" s="8">
        <v>1</v>
      </c>
    </row>
    <row r="7028" spans="1:5" ht="15.75" customHeight="1" x14ac:dyDescent="0.25">
      <c r="A7028" s="6" t="s">
        <v>6771</v>
      </c>
      <c r="B7028" s="6" t="str">
        <f ca="1">IFERROR(__xludf.DUMMYFUNCTION("GOOGLETRANSLATE(A7028,""bn"",""en"")"),"Outdoor adventures like hiking and camping connect people with nature")</f>
        <v>Outdoor adventures like hiking and camping connect people with nature</v>
      </c>
      <c r="C7028" s="8" t="s">
        <v>13</v>
      </c>
      <c r="D7028" s="8" t="s">
        <v>14</v>
      </c>
      <c r="E7028" s="8">
        <v>1</v>
      </c>
    </row>
    <row r="7029" spans="1:5" ht="15.75" customHeight="1" x14ac:dyDescent="0.25">
      <c r="A7029" s="6" t="s">
        <v>6772</v>
      </c>
      <c r="B7029" s="6" t="str">
        <f ca="1">IFERROR(__xludf.DUMMYFUNCTION("GOOGLETRANSLATE(A7029,""bn"",""en"")"),"The Cuban Revolution promised centralized democracy")</f>
        <v>The Cuban Revolution promised centralized democracy</v>
      </c>
      <c r="C7029" s="8" t="s">
        <v>13</v>
      </c>
      <c r="D7029" s="8" t="s">
        <v>14</v>
      </c>
      <c r="E7029" s="8">
        <v>1</v>
      </c>
    </row>
    <row r="7030" spans="1:5" ht="15.75" customHeight="1" x14ac:dyDescent="0.25">
      <c r="A7030" s="6" t="s">
        <v>6773</v>
      </c>
      <c r="B7030" s="6" t="str">
        <f ca="1">IFERROR(__xludf.DUMMYFUNCTION("GOOGLETRANSLATE(A7030,""bn"",""en"")"),"My math teacher had only one condition")</f>
        <v>My math teacher had only one condition</v>
      </c>
      <c r="C7030" s="8" t="s">
        <v>13</v>
      </c>
      <c r="D7030" s="8" t="s">
        <v>14</v>
      </c>
      <c r="E7030" s="8">
        <v>1</v>
      </c>
    </row>
    <row r="7031" spans="1:5" ht="15.75" customHeight="1" x14ac:dyDescent="0.25">
      <c r="A7031" s="6" t="s">
        <v>6774</v>
      </c>
      <c r="B7031" s="6" t="str">
        <f ca="1">IFERROR(__xludf.DUMMYFUNCTION("GOOGLETRANSLATE(A7031,""bn"",""en"")"),"Take small steps every day towards your dreams")</f>
        <v>Take small steps every day towards your dreams</v>
      </c>
      <c r="C7031" s="8" t="s">
        <v>13</v>
      </c>
      <c r="D7031" s="8" t="s">
        <v>14</v>
      </c>
      <c r="E7031" s="8">
        <v>1</v>
      </c>
    </row>
    <row r="7032" spans="1:5" ht="15.75" customHeight="1" x14ac:dyDescent="0.25">
      <c r="A7032" s="6" t="s">
        <v>6775</v>
      </c>
      <c r="B7032" s="6" t="str">
        <f ca="1">IFERROR(__xludf.DUMMYFUNCTION("GOOGLETRANSLATE(A7032,""bn"",""en"")"),"Sunny asked me to go home and sit")</f>
        <v>Sunny asked me to go home and sit</v>
      </c>
      <c r="C7032" s="7" t="s">
        <v>6</v>
      </c>
      <c r="D7032" s="7" t="s">
        <v>7</v>
      </c>
      <c r="E7032" s="7">
        <v>0</v>
      </c>
    </row>
    <row r="7033" spans="1:5" ht="15.75" customHeight="1" x14ac:dyDescent="0.25">
      <c r="A7033" s="6" t="s">
        <v>6776</v>
      </c>
      <c r="B7033" s="6" t="str">
        <f ca="1">IFERROR(__xludf.DUMMYFUNCTION("GOOGLETRANSLATE(A7033,""bn"",""en"")"),"Bindubasini may be happy with Nandalal")</f>
        <v>Bindubasini may be happy with Nandalal</v>
      </c>
      <c r="C7033" s="7" t="s">
        <v>6</v>
      </c>
      <c r="D7033" s="7" t="s">
        <v>7</v>
      </c>
      <c r="E7033" s="7">
        <v>0</v>
      </c>
    </row>
    <row r="7034" spans="1:5" ht="15.75" customHeight="1" x14ac:dyDescent="0.25">
      <c r="A7034" s="6" t="s">
        <v>6777</v>
      </c>
      <c r="B7034" s="6" t="str">
        <f ca="1">IFERROR(__xludf.DUMMYFUNCTION("GOOGLETRANSLATE(A7034,""bn"",""en"")"),"He took the lamp in his hand and came to the edge of the balcony and shouted, ""Are you going to eat the head of the ear?""")</f>
        <v>He took the lamp in his hand and came to the edge of the balcony and shouted, "Are you going to eat the head of the ear?"</v>
      </c>
      <c r="C7034" s="7" t="s">
        <v>6</v>
      </c>
      <c r="D7034" s="7" t="s">
        <v>7</v>
      </c>
      <c r="E7034" s="7">
        <v>0</v>
      </c>
    </row>
    <row r="7035" spans="1:5" ht="15.75" customHeight="1" x14ac:dyDescent="0.25">
      <c r="A7035" s="6" t="s">
        <v>6778</v>
      </c>
      <c r="B7035" s="6" t="str">
        <f ca="1">IFERROR(__xludf.DUMMYFUNCTION("GOOGLETRANSLATE(A7035,""bn"",""en"")"),"How many times I walked with the bird, how many times I heard this rhythm")</f>
        <v>How many times I walked with the bird, how many times I heard this rhythm</v>
      </c>
      <c r="C7035" s="7" t="s">
        <v>6</v>
      </c>
      <c r="D7035" s="7" t="s">
        <v>7</v>
      </c>
      <c r="E7035" s="7">
        <v>0</v>
      </c>
    </row>
    <row r="7036" spans="1:5" ht="15.75" customHeight="1" x14ac:dyDescent="0.25">
      <c r="A7036" s="6" t="s">
        <v>6779</v>
      </c>
      <c r="B7036" s="6" t="str">
        <f ca="1">IFERROR(__xludf.DUMMYFUNCTION("GOOGLETRANSLATE(A7036,""bn"",""en"")"),"As we were talking, I told him about the young woman")</f>
        <v>As we were talking, I told him about the young woman</v>
      </c>
      <c r="C7036" s="7" t="s">
        <v>6</v>
      </c>
      <c r="D7036" s="7" t="s">
        <v>7</v>
      </c>
      <c r="E7036" s="7">
        <v>0</v>
      </c>
    </row>
    <row r="7037" spans="1:5" ht="15.75" customHeight="1" x14ac:dyDescent="0.25">
      <c r="A7037" s="6" t="s">
        <v>6780</v>
      </c>
      <c r="B7037" s="6" t="str">
        <f ca="1">IFERROR(__xludf.DUMMYFUNCTION("GOOGLETRANSLATE(A7037,""bn"",""en"")"),"Rumi started laughing seeing me")</f>
        <v>Rumi started laughing seeing me</v>
      </c>
      <c r="C7037" s="8" t="s">
        <v>13</v>
      </c>
      <c r="D7037" s="8" t="s">
        <v>14</v>
      </c>
      <c r="E7037" s="8">
        <v>1</v>
      </c>
    </row>
    <row r="7038" spans="1:5" ht="15.75" customHeight="1" x14ac:dyDescent="0.25">
      <c r="A7038" s="6" t="s">
        <v>6781</v>
      </c>
      <c r="B7038" s="6" t="str">
        <f ca="1">IFERROR(__xludf.DUMMYFUNCTION("GOOGLETRANSLATE(A7038,""bn"",""en"")"),"Be consistent for lifelong benefits")</f>
        <v>Be consistent for lifelong benefits</v>
      </c>
      <c r="C7038" s="8" t="s">
        <v>13</v>
      </c>
      <c r="D7038" s="8" t="s">
        <v>14</v>
      </c>
      <c r="E7038" s="8">
        <v>1</v>
      </c>
    </row>
    <row r="7039" spans="1:5" ht="15.75" customHeight="1" x14ac:dyDescent="0.25">
      <c r="A7039" s="6" t="s">
        <v>6782</v>
      </c>
      <c r="B7039" s="6" t="str">
        <f ca="1">IFERROR(__xludf.DUMMYFUNCTION("GOOGLETRANSLATE(A7039,""bn"",""en"")"),"Dad bought me this pen")</f>
        <v>Dad bought me this pen</v>
      </c>
      <c r="C7039" s="8" t="s">
        <v>13</v>
      </c>
      <c r="D7039" s="8" t="s">
        <v>14</v>
      </c>
      <c r="E7039" s="8">
        <v>1</v>
      </c>
    </row>
    <row r="7040" spans="1:5" ht="15.75" customHeight="1" x14ac:dyDescent="0.25">
      <c r="A7040" s="6" t="s">
        <v>6783</v>
      </c>
      <c r="B7040" s="6" t="str">
        <f ca="1">IFERROR(__xludf.DUMMYFUNCTION("GOOGLETRANSLATE(A7040,""bn"",""en"")"),"Focus on what you can control Let go of what you can't Surrender to the flow of life")</f>
        <v>Focus on what you can control Let go of what you can't Surrender to the flow of life</v>
      </c>
      <c r="C7040" s="8" t="s">
        <v>13</v>
      </c>
      <c r="D7040" s="8" t="s">
        <v>14</v>
      </c>
      <c r="E7040" s="8">
        <v>1</v>
      </c>
    </row>
    <row r="7041" spans="1:5" ht="15.75" customHeight="1" x14ac:dyDescent="0.25">
      <c r="A7041" s="6" t="s">
        <v>6784</v>
      </c>
      <c r="B7041" s="6" t="str">
        <f ca="1">IFERROR(__xludf.DUMMYFUNCTION("GOOGLETRANSLATE(A7041,""bn"",""en"")"),"City people consider everything with a price")</f>
        <v>City people consider everything with a price</v>
      </c>
      <c r="C7041" s="8" t="s">
        <v>13</v>
      </c>
      <c r="D7041" s="8" t="s">
        <v>14</v>
      </c>
      <c r="E7041" s="8">
        <v>1</v>
      </c>
    </row>
    <row r="7042" spans="1:5" ht="15.75" customHeight="1" x14ac:dyDescent="0.25">
      <c r="A7042" s="6" t="s">
        <v>6785</v>
      </c>
      <c r="B7042" s="6" t="str">
        <f ca="1">IFERROR(__xludf.DUMMYFUNCTION("GOOGLETRANSLATE(A7042,""bn"",""en"")"),"Rana saw me and left")</f>
        <v>Rana saw me and left</v>
      </c>
      <c r="C7042" s="7" t="s">
        <v>6</v>
      </c>
      <c r="D7042" s="7" t="s">
        <v>7</v>
      </c>
      <c r="E7042" s="7">
        <v>0</v>
      </c>
    </row>
    <row r="7043" spans="1:5" ht="15.75" customHeight="1" x14ac:dyDescent="0.25">
      <c r="A7043" s="6" t="s">
        <v>6786</v>
      </c>
      <c r="B7043" s="6" t="str">
        <f ca="1">IFERROR(__xludf.DUMMYFUNCTION("GOOGLETRANSLATE(A7043,""bn"",""en"")"),"When he came back, I was getting my hair cut")</f>
        <v>When he came back, I was getting my hair cut</v>
      </c>
      <c r="C7043" s="7" t="s">
        <v>6</v>
      </c>
      <c r="D7043" s="7" t="s">
        <v>7</v>
      </c>
      <c r="E7043" s="7">
        <v>0</v>
      </c>
    </row>
    <row r="7044" spans="1:5" ht="15.75" customHeight="1" x14ac:dyDescent="0.25">
      <c r="A7044" s="6" t="s">
        <v>6787</v>
      </c>
      <c r="B7044" s="6" t="str">
        <f ca="1">IFERROR(__xludf.DUMMYFUNCTION("GOOGLETRANSLATE(A7044,""bn"",""en"")"),"He stood where he was standing and began to step")</f>
        <v>He stood where he was standing and began to step</v>
      </c>
      <c r="C7044" s="7" t="s">
        <v>6</v>
      </c>
      <c r="D7044" s="7" t="s">
        <v>7</v>
      </c>
      <c r="E7044" s="7">
        <v>0</v>
      </c>
    </row>
    <row r="7045" spans="1:5" ht="15.75" customHeight="1" x14ac:dyDescent="0.25">
      <c r="A7045" s="6" t="s">
        <v>6788</v>
      </c>
      <c r="B7045" s="6" t="str">
        <f ca="1">IFERROR(__xludf.DUMMYFUNCTION("GOOGLETRANSLATE(A7045,""bn"",""en"")"),"The moneylender will have to bring what he earns")</f>
        <v>The moneylender will have to bring what he earns</v>
      </c>
      <c r="C7045" s="7" t="s">
        <v>6</v>
      </c>
      <c r="D7045" s="7" t="s">
        <v>7</v>
      </c>
      <c r="E7045" s="7">
        <v>0</v>
      </c>
    </row>
    <row r="7046" spans="1:5" ht="15.75" customHeight="1" x14ac:dyDescent="0.25">
      <c r="A7046" s="6" t="s">
        <v>6789</v>
      </c>
      <c r="B7046" s="6" t="str">
        <f ca="1">IFERROR(__xludf.DUMMYFUNCTION("GOOGLETRANSLATE(A7046,""bn"",""en"")"),"I used to see in the English newspaper Harkara of that time that a military gentleman wrote various things from Palamau about parade band's musical notes etc.")</f>
        <v>I used to see in the English newspaper Harkara of that time that a military gentleman wrote various things from Palamau about parade band's musical notes etc.</v>
      </c>
      <c r="C7046" s="7" t="s">
        <v>6</v>
      </c>
      <c r="D7046" s="7" t="s">
        <v>7</v>
      </c>
      <c r="E7046" s="7">
        <v>0</v>
      </c>
    </row>
    <row r="7047" spans="1:5" ht="15.75" customHeight="1" x14ac:dyDescent="0.25">
      <c r="A7047" s="6" t="s">
        <v>6790</v>
      </c>
      <c r="B7047" s="6" t="str">
        <f ca="1">IFERROR(__xludf.DUMMYFUNCTION("GOOGLETRANSLATE(A7047,""bn"",""en"")"),"Education is a lifelong journey of discovery and growth")</f>
        <v>Education is a lifelong journey of discovery and growth</v>
      </c>
      <c r="C7047" s="8" t="s">
        <v>13</v>
      </c>
      <c r="D7047" s="8" t="s">
        <v>14</v>
      </c>
      <c r="E7047" s="8">
        <v>1</v>
      </c>
    </row>
    <row r="7048" spans="1:5" ht="15.75" customHeight="1" x14ac:dyDescent="0.25">
      <c r="A7048" s="6" t="s">
        <v>6791</v>
      </c>
      <c r="B7048" s="6" t="str">
        <f ca="1">IFERROR(__xludf.DUMMYFUNCTION("GOOGLETRANSLATE(A7048,""bn"",""en"")"),"Surround yourself with people who inspire and support you")</f>
        <v>Surround yourself with people who inspire and support you</v>
      </c>
      <c r="C7048" s="8" t="s">
        <v>13</v>
      </c>
      <c r="D7048" s="8" t="s">
        <v>14</v>
      </c>
      <c r="E7048" s="8">
        <v>1</v>
      </c>
    </row>
    <row r="7049" spans="1:5" ht="15.75" customHeight="1" x14ac:dyDescent="0.25">
      <c r="A7049" s="6" t="s">
        <v>6792</v>
      </c>
      <c r="B7049" s="6" t="str">
        <f ca="1">IFERROR(__xludf.DUMMYFUNCTION("GOOGLETRANSLATE(A7049,""bn"",""en"")"),"Arts education encourages creativity and self-expression")</f>
        <v>Arts education encourages creativity and self-expression</v>
      </c>
      <c r="C7049" s="8" t="s">
        <v>13</v>
      </c>
      <c r="D7049" s="8" t="s">
        <v>14</v>
      </c>
      <c r="E7049" s="8">
        <v>1</v>
      </c>
    </row>
    <row r="7050" spans="1:5" ht="15.75" customHeight="1" x14ac:dyDescent="0.25">
      <c r="A7050" s="6" t="s">
        <v>6793</v>
      </c>
      <c r="B7050" s="6" t="str">
        <f ca="1">IFERROR(__xludf.DUMMYFUNCTION("GOOGLETRANSLATE(A7050,""bn"",""en"")"),"The transaction is approved by the financial institution")</f>
        <v>The transaction is approved by the financial institution</v>
      </c>
      <c r="C7050" s="8" t="s">
        <v>13</v>
      </c>
      <c r="D7050" s="8" t="s">
        <v>14</v>
      </c>
      <c r="E7050" s="8">
        <v>1</v>
      </c>
    </row>
    <row r="7051" spans="1:5" ht="15.75" customHeight="1" x14ac:dyDescent="0.25">
      <c r="A7051" s="6" t="s">
        <v>6794</v>
      </c>
      <c r="B7051" s="6" t="str">
        <f ca="1">IFERROR(__xludf.DUMMYFUNCTION("GOOGLETRANSLATE(A7051,""bn"",""en"")"),"The man appreciated my work")</f>
        <v>The man appreciated my work</v>
      </c>
      <c r="C7051" s="8" t="s">
        <v>13</v>
      </c>
      <c r="D7051" s="8" t="s">
        <v>14</v>
      </c>
      <c r="E7051" s="8">
        <v>1</v>
      </c>
    </row>
    <row r="7052" spans="1:5" ht="15.75" customHeight="1" x14ac:dyDescent="0.25">
      <c r="A7052" s="6" t="s">
        <v>6795</v>
      </c>
      <c r="B7052" s="6" t="str">
        <f ca="1">IFERROR(__xludf.DUMMYFUNCTION("GOOGLETRANSLATE(A7052,""bn"",""en"")"),"I had given up hope of happiness from the beginning")</f>
        <v>I had given up hope of happiness from the beginning</v>
      </c>
      <c r="C7052" s="7" t="s">
        <v>6</v>
      </c>
      <c r="D7052" s="7" t="s">
        <v>7</v>
      </c>
      <c r="E7052" s="7">
        <v>0</v>
      </c>
    </row>
    <row r="7053" spans="1:5" ht="15.75" customHeight="1" x14ac:dyDescent="0.25">
      <c r="A7053" s="6" t="s">
        <v>6796</v>
      </c>
      <c r="B7053" s="6" t="str">
        <f ca="1">IFERROR(__xludf.DUMMYFUNCTION("GOOGLETRANSLATE(A7053,""bn"",""en"")"),"One morning sitting in my small room correcting the proof sheet")</f>
        <v>One morning sitting in my small room correcting the proof sheet</v>
      </c>
      <c r="C7053" s="7" t="s">
        <v>6</v>
      </c>
      <c r="D7053" s="7" t="s">
        <v>7</v>
      </c>
      <c r="E7053" s="7">
        <v>0</v>
      </c>
    </row>
    <row r="7054" spans="1:5" ht="15.75" customHeight="1" x14ac:dyDescent="0.25">
      <c r="A7054" s="6" t="s">
        <v>6797</v>
      </c>
      <c r="B7054" s="6" t="str">
        <f ca="1">IFERROR(__xludf.DUMMYFUNCTION("GOOGLETRANSLATE(A7054,""bn"",""en"")"),"Now what I will write is about my haircut")</f>
        <v>Now what I will write is about my haircut</v>
      </c>
      <c r="C7054" s="7" t="s">
        <v>6</v>
      </c>
      <c r="D7054" s="7" t="s">
        <v>7</v>
      </c>
      <c r="E7054" s="7">
        <v>0</v>
      </c>
    </row>
    <row r="7055" spans="1:5" ht="15.75" customHeight="1" x14ac:dyDescent="0.25">
      <c r="A7055" s="6" t="s">
        <v>6798</v>
      </c>
      <c r="B7055" s="6" t="str">
        <f ca="1">IFERROR(__xludf.DUMMYFUNCTION("GOOGLETRANSLATE(A7055,""bn"",""en"")"),"His imaginative part is secretly dumb")</f>
        <v>His imaginative part is secretly dumb</v>
      </c>
      <c r="C7055" s="7" t="s">
        <v>6</v>
      </c>
      <c r="D7055" s="7" t="s">
        <v>7</v>
      </c>
      <c r="E7055" s="7">
        <v>0</v>
      </c>
    </row>
    <row r="7056" spans="1:5" ht="15.75" customHeight="1" x14ac:dyDescent="0.25">
      <c r="A7056" s="6" t="s">
        <v>6799</v>
      </c>
      <c r="B7056" s="6" t="str">
        <f ca="1">IFERROR(__xludf.DUMMYFUNCTION("GOOGLETRANSLATE(A7056,""bn"",""en"")"),"These two people could easily understand my deep thoughts and emotions")</f>
        <v>These two people could easily understand my deep thoughts and emotions</v>
      </c>
      <c r="C7056" s="7" t="s">
        <v>6</v>
      </c>
      <c r="D7056" s="7" t="s">
        <v>7</v>
      </c>
      <c r="E7056" s="7">
        <v>0</v>
      </c>
    </row>
    <row r="7057" spans="1:5" ht="15.75" customHeight="1" x14ac:dyDescent="0.25">
      <c r="A7057" s="6" t="s">
        <v>6800</v>
      </c>
      <c r="B7057" s="6" t="str">
        <f ca="1">IFERROR(__xludf.DUMMYFUNCTION("GOOGLETRANSLATE(A7057,""bn"",""en"")"),"Social media is also buzzing with it")</f>
        <v>Social media is also buzzing with it</v>
      </c>
      <c r="C7057" s="8" t="s">
        <v>13</v>
      </c>
      <c r="D7057" s="8" t="s">
        <v>14</v>
      </c>
      <c r="E7057" s="8">
        <v>1</v>
      </c>
    </row>
    <row r="7058" spans="1:5" ht="15.75" customHeight="1" x14ac:dyDescent="0.25">
      <c r="A7058" s="6" t="s">
        <v>6801</v>
      </c>
      <c r="B7058" s="6" t="str">
        <f ca="1">IFERROR(__xludf.DUMMYFUNCTION("GOOGLETRANSLATE(A7058,""bn"",""en"")"),"Family vacations create memories that last a lifetime")</f>
        <v>Family vacations create memories that last a lifetime</v>
      </c>
      <c r="C7058" s="8" t="s">
        <v>13</v>
      </c>
      <c r="D7058" s="8" t="s">
        <v>14</v>
      </c>
      <c r="E7058" s="8">
        <v>1</v>
      </c>
    </row>
    <row r="7059" spans="1:5" ht="15.75" customHeight="1" x14ac:dyDescent="0.25">
      <c r="A7059" s="6" t="s">
        <v>6802</v>
      </c>
      <c r="B7059" s="6" t="str">
        <f ca="1">IFERROR(__xludf.DUMMYFUNCTION("GOOGLETRANSLATE(A7059,""bn"",""en"")"),"The photographer captured the beautiful moments of a wedding ceremony")</f>
        <v>The photographer captured the beautiful moments of a wedding ceremony</v>
      </c>
      <c r="C7059" s="8" t="s">
        <v>13</v>
      </c>
      <c r="D7059" s="8" t="s">
        <v>14</v>
      </c>
      <c r="E7059" s="8">
        <v>1</v>
      </c>
    </row>
    <row r="7060" spans="1:5" ht="15.75" customHeight="1" x14ac:dyDescent="0.25">
      <c r="A7060" s="6" t="s">
        <v>6803</v>
      </c>
      <c r="B7060" s="6" t="str">
        <f ca="1">IFERROR(__xludf.DUMMYFUNCTION("GOOGLETRANSLATE(A7060,""bn"",""en"")"),"After finishing the work, we went for a walk.")</f>
        <v>After finishing the work, we went for a walk.</v>
      </c>
      <c r="C7060" s="8" t="s">
        <v>13</v>
      </c>
      <c r="D7060" s="8" t="s">
        <v>14</v>
      </c>
      <c r="E7060" s="8">
        <v>1</v>
      </c>
    </row>
    <row r="7061" spans="1:5" ht="15.75" customHeight="1" x14ac:dyDescent="0.25">
      <c r="A7061" s="6" t="s">
        <v>6804</v>
      </c>
      <c r="B7061" s="6" t="str">
        <f ca="1">IFERROR(__xludf.DUMMYFUNCTION("GOOGLETRANSLATE(A7061,""bn"",""en"")"),"Criminal investigation relies on cooperation between law enforcement agencies and forensic experts")</f>
        <v>Criminal investigation relies on cooperation between law enforcement agencies and forensic experts</v>
      </c>
      <c r="C7061" s="8" t="s">
        <v>13</v>
      </c>
      <c r="D7061" s="8" t="s">
        <v>14</v>
      </c>
      <c r="E7061" s="8">
        <v>1</v>
      </c>
    </row>
    <row r="7062" spans="1:5" ht="15.75" customHeight="1" x14ac:dyDescent="0.25">
      <c r="A7062" s="6" t="s">
        <v>6805</v>
      </c>
      <c r="B7062" s="6" t="str">
        <f ca="1">IFERROR(__xludf.DUMMYFUNCTION("GOOGLETRANSLATE(A7062,""bn"",""en"")"),"The young women danced to the beat")</f>
        <v>The young women danced to the beat</v>
      </c>
      <c r="C7062" s="7" t="s">
        <v>6</v>
      </c>
      <c r="D7062" s="7" t="s">
        <v>7</v>
      </c>
      <c r="E7062" s="7">
        <v>0</v>
      </c>
    </row>
    <row r="7063" spans="1:5" ht="15.75" customHeight="1" x14ac:dyDescent="0.25">
      <c r="A7063" s="6" t="s">
        <v>6806</v>
      </c>
      <c r="B7063" s="6" t="str">
        <f ca="1">IFERROR(__xludf.DUMMYFUNCTION("GOOGLETRANSLATE(A7063,""bn"",""en"")"),"Ronnie smiled at me")</f>
        <v>Ronnie smiled at me</v>
      </c>
      <c r="C7063" s="7" t="s">
        <v>6</v>
      </c>
      <c r="D7063" s="7" t="s">
        <v>7</v>
      </c>
      <c r="E7063" s="7">
        <v>0</v>
      </c>
    </row>
    <row r="7064" spans="1:5" ht="15.75" customHeight="1" x14ac:dyDescent="0.25">
      <c r="A7064" s="6" t="s">
        <v>6807</v>
      </c>
      <c r="B7064" s="6" t="str">
        <f ca="1">IFERROR(__xludf.DUMMYFUNCTION("GOOGLETRANSLATE(A7064,""bn"",""en"")"),"Why did he burn the thunderbolt only?")</f>
        <v>Why did he burn the thunderbolt only?</v>
      </c>
      <c r="C7064" s="7" t="s">
        <v>6</v>
      </c>
      <c r="D7064" s="7" t="s">
        <v>7</v>
      </c>
      <c r="E7064" s="7">
        <v>0</v>
      </c>
    </row>
    <row r="7065" spans="1:5" ht="15.75" customHeight="1" x14ac:dyDescent="0.25">
      <c r="A7065" s="6" t="s">
        <v>6808</v>
      </c>
      <c r="B7065" s="6" t="str">
        <f ca="1">IFERROR(__xludf.DUMMYFUNCTION("GOOGLETRANSLATE(A7065,""bn"",""en"")"),"I couldn't think of it at all")</f>
        <v>I couldn't think of it at all</v>
      </c>
      <c r="C7065" s="7" t="s">
        <v>6</v>
      </c>
      <c r="D7065" s="7" t="s">
        <v>7</v>
      </c>
      <c r="E7065" s="7">
        <v>0</v>
      </c>
    </row>
    <row r="7066" spans="1:5" ht="15.75" customHeight="1" x14ac:dyDescent="0.25">
      <c r="A7066" s="6" t="s">
        <v>6809</v>
      </c>
      <c r="B7066" s="6" t="str">
        <f ca="1">IFERROR(__xludf.DUMMYFUNCTION("GOOGLETRANSLATE(A7066,""bn"",""en"")"),"He has spent poison money on his mobile from the money given by his mother")</f>
        <v>He has spent poison money on his mobile from the money given by his mother</v>
      </c>
      <c r="C7066" s="7" t="s">
        <v>6</v>
      </c>
      <c r="D7066" s="7" t="s">
        <v>7</v>
      </c>
      <c r="E7066" s="7">
        <v>0</v>
      </c>
    </row>
    <row r="7067" spans="1:5" ht="15.75" customHeight="1" x14ac:dyDescent="0.25">
      <c r="A7067" s="6" t="s">
        <v>6810</v>
      </c>
      <c r="B7067" s="6" t="str">
        <f ca="1">IFERROR(__xludf.DUMMYFUNCTION("GOOGLETRANSLATE(A7067,""bn"",""en"")"),"Transactions were initiated through contactless payments")</f>
        <v>Transactions were initiated through contactless payments</v>
      </c>
      <c r="C7067" s="8" t="s">
        <v>13</v>
      </c>
      <c r="D7067" s="8" t="s">
        <v>14</v>
      </c>
      <c r="E7067" s="8">
        <v>1</v>
      </c>
    </row>
    <row r="7068" spans="1:5" ht="15.75" customHeight="1" x14ac:dyDescent="0.25">
      <c r="A7068" s="6" t="s">
        <v>6811</v>
      </c>
      <c r="B7068" s="6" t="str">
        <f ca="1">IFERROR(__xludf.DUMMYFUNCTION("GOOGLETRANSLATE(A7068,""bn"",""en"")"),"Dark chocolate indulges the sophisticated palate")</f>
        <v>Dark chocolate indulges the sophisticated palate</v>
      </c>
      <c r="C7068" s="8" t="s">
        <v>13</v>
      </c>
      <c r="D7068" s="8" t="s">
        <v>14</v>
      </c>
      <c r="E7068" s="8">
        <v>1</v>
      </c>
    </row>
    <row r="7069" spans="1:5" ht="15.75" customHeight="1" x14ac:dyDescent="0.25">
      <c r="A7069" s="6" t="s">
        <v>6812</v>
      </c>
      <c r="B7069" s="6" t="str">
        <f ca="1">IFERROR(__xludf.DUMMYFUNCTION("GOOGLETRANSLATE(A7069,""bn"",""en"")"),"This book won the Pulitzer Prize")</f>
        <v>This book won the Pulitzer Prize</v>
      </c>
      <c r="C7069" s="8" t="s">
        <v>13</v>
      </c>
      <c r="D7069" s="8" t="s">
        <v>14</v>
      </c>
      <c r="E7069" s="8">
        <v>1</v>
      </c>
    </row>
    <row r="7070" spans="1:5" ht="15.75" customHeight="1" x14ac:dyDescent="0.25">
      <c r="A7070" s="6" t="s">
        <v>6813</v>
      </c>
      <c r="B7070" s="6" t="str">
        <f ca="1">IFERROR(__xludf.DUMMYFUNCTION("GOOGLETRANSLATE(A7070,""bn"",""en"")"),"Chou is basically a festival dance")</f>
        <v>Chou is basically a festival dance</v>
      </c>
      <c r="C7070" s="8" t="s">
        <v>13</v>
      </c>
      <c r="D7070" s="8" t="s">
        <v>14</v>
      </c>
      <c r="E7070" s="8">
        <v>1</v>
      </c>
    </row>
    <row r="7071" spans="1:5" ht="15.75" customHeight="1" x14ac:dyDescent="0.25">
      <c r="A7071" s="6" t="s">
        <v>6814</v>
      </c>
      <c r="B7071" s="6" t="str">
        <f ca="1">IFERROR(__xludf.DUMMYFUNCTION("GOOGLETRANSLATE(A7071,""bn"",""en"")"),"I was very happy to hear his proposal")</f>
        <v>I was very happy to hear his proposal</v>
      </c>
      <c r="C7071" s="8" t="s">
        <v>13</v>
      </c>
      <c r="D7071" s="8" t="s">
        <v>14</v>
      </c>
      <c r="E7071" s="8">
        <v>1</v>
      </c>
    </row>
    <row r="7072" spans="1:5" ht="15.75" customHeight="1" x14ac:dyDescent="0.25">
      <c r="A7072" s="6" t="s">
        <v>6815</v>
      </c>
      <c r="B7072" s="6" t="str">
        <f ca="1">IFERROR(__xludf.DUMMYFUNCTION("GOOGLETRANSLATE(A7072,""bn"",""en"")"),"One day Astur sat in the market there")</f>
        <v>One day Astur sat in the market there</v>
      </c>
      <c r="C7072" s="7" t="s">
        <v>6</v>
      </c>
      <c r="D7072" s="7" t="s">
        <v>7</v>
      </c>
      <c r="E7072" s="7">
        <v>0</v>
      </c>
    </row>
    <row r="7073" spans="1:5" ht="15.75" customHeight="1" x14ac:dyDescent="0.25">
      <c r="A7073" s="6" t="s">
        <v>6816</v>
      </c>
      <c r="B7073" s="6" t="str">
        <f ca="1">IFERROR(__xludf.DUMMYFUNCTION("GOOGLETRANSLATE(A7073,""bn"",""en"")"),"Bloodstains on Mercy's robes A bloody dagger in the hands of a guard")</f>
        <v>Bloodstains on Mercy's robes A bloody dagger in the hands of a guard</v>
      </c>
      <c r="C7073" s="7" t="s">
        <v>6</v>
      </c>
      <c r="D7073" s="7" t="s">
        <v>7</v>
      </c>
      <c r="E7073" s="7">
        <v>0</v>
      </c>
    </row>
    <row r="7074" spans="1:5" ht="15.75" customHeight="1" x14ac:dyDescent="0.25">
      <c r="A7074" s="6" t="s">
        <v>6817</v>
      </c>
      <c r="B7074" s="6" t="str">
        <f ca="1">IFERROR(__xludf.DUMMYFUNCTION("GOOGLETRANSLATE(A7074,""bn"",""en"")"),"Suman will eat rice and pray")</f>
        <v>Suman will eat rice and pray</v>
      </c>
      <c r="C7074" s="7" t="s">
        <v>6</v>
      </c>
      <c r="D7074" s="7" t="s">
        <v>7</v>
      </c>
      <c r="E7074" s="7">
        <v>0</v>
      </c>
    </row>
    <row r="7075" spans="1:5" ht="15.75" customHeight="1" x14ac:dyDescent="0.25">
      <c r="A7075" s="6" t="s">
        <v>6818</v>
      </c>
      <c r="B7075" s="6" t="str">
        <f ca="1">IFERROR(__xludf.DUMMYFUNCTION("GOOGLETRANSLATE(A7075,""bn"",""en"")"),"Finally, not finding anywhere, Biswambharbabu informed the police")</f>
        <v>Finally, not finding anywhere, Biswambharbabu informed the police</v>
      </c>
      <c r="C7075" s="7" t="s">
        <v>6</v>
      </c>
      <c r="D7075" s="7" t="s">
        <v>7</v>
      </c>
      <c r="E7075" s="7">
        <v>0</v>
      </c>
    </row>
    <row r="7076" spans="1:5" ht="15.75" customHeight="1" x14ac:dyDescent="0.25">
      <c r="A7076" s="6" t="s">
        <v>6819</v>
      </c>
      <c r="B7076" s="6" t="str">
        <f ca="1">IFERROR(__xludf.DUMMYFUNCTION("GOOGLETRANSLATE(A7076,""bn"",""en"")"),"Roni asks Rana to go on a trip")</f>
        <v>Roni asks Rana to go on a trip</v>
      </c>
      <c r="C7076" s="7" t="s">
        <v>6</v>
      </c>
      <c r="D7076" s="7" t="s">
        <v>7</v>
      </c>
      <c r="E7076" s="7">
        <v>0</v>
      </c>
    </row>
    <row r="7077" spans="1:5" ht="15.75" customHeight="1" x14ac:dyDescent="0.25">
      <c r="A7077" s="6" t="s">
        <v>6820</v>
      </c>
      <c r="B7077" s="6" t="str">
        <f ca="1">IFERROR(__xludf.DUMMYFUNCTION("GOOGLETRANSLATE(A7077,""bn"",""en"")"),"After the year they played only once in the top division")</f>
        <v>After the year they played only once in the top division</v>
      </c>
      <c r="C7077" s="8" t="s">
        <v>13</v>
      </c>
      <c r="D7077" s="8" t="s">
        <v>14</v>
      </c>
      <c r="E7077" s="8">
        <v>1</v>
      </c>
    </row>
    <row r="7078" spans="1:5" ht="15.75" customHeight="1" x14ac:dyDescent="0.25">
      <c r="A7078" s="6" t="s">
        <v>6821</v>
      </c>
      <c r="B7078" s="6" t="str">
        <f ca="1">IFERROR(__xludf.DUMMYFUNCTION("GOOGLETRANSLATE(A7078,""bn"",""en"")"),"The level of detail in the craftsmanship of this item was impressive")</f>
        <v>The level of detail in the craftsmanship of this item was impressive</v>
      </c>
      <c r="C7078" s="8" t="s">
        <v>13</v>
      </c>
      <c r="D7078" s="8" t="s">
        <v>14</v>
      </c>
      <c r="E7078" s="8">
        <v>1</v>
      </c>
    </row>
    <row r="7079" spans="1:5" ht="15.75" customHeight="1" x14ac:dyDescent="0.25">
      <c r="A7079" s="6" t="s">
        <v>6822</v>
      </c>
      <c r="B7079" s="6" t="str">
        <f ca="1">IFERROR(__xludf.DUMMYFUNCTION("GOOGLETRANSLATE(A7079,""bn"",""en"")"),"He became interested in architecture")</f>
        <v>He became interested in architecture</v>
      </c>
      <c r="C7079" s="8" t="s">
        <v>13</v>
      </c>
      <c r="D7079" s="8" t="s">
        <v>14</v>
      </c>
      <c r="E7079" s="8">
        <v>1</v>
      </c>
    </row>
    <row r="7080" spans="1:5" ht="15.75" customHeight="1" x14ac:dyDescent="0.25">
      <c r="A7080" s="6" t="s">
        <v>6823</v>
      </c>
      <c r="B7080" s="6" t="str">
        <f ca="1">IFERROR(__xludf.DUMMYFUNCTION("GOOGLETRANSLATE(A7080,""bn"",""en"")"),"Besides, two bronze medalists were decided by repoché method")</f>
        <v>Besides, two bronze medalists were decided by repoché method</v>
      </c>
      <c r="C7080" s="8" t="s">
        <v>13</v>
      </c>
      <c r="D7080" s="8" t="s">
        <v>14</v>
      </c>
      <c r="E7080" s="8">
        <v>1</v>
      </c>
    </row>
    <row r="7081" spans="1:5" ht="15.75" customHeight="1" x14ac:dyDescent="0.25">
      <c r="A7081" s="6" t="s">
        <v>6824</v>
      </c>
      <c r="B7081" s="6" t="str">
        <f ca="1">IFERROR(__xludf.DUMMYFUNCTION("GOOGLETRANSLATE(A7081,""bn"",""en"")"),"I went to buy new clothes")</f>
        <v>I went to buy new clothes</v>
      </c>
      <c r="C7081" s="8" t="s">
        <v>13</v>
      </c>
      <c r="D7081" s="8" t="s">
        <v>14</v>
      </c>
      <c r="E7081" s="8">
        <v>1</v>
      </c>
    </row>
    <row r="7082" spans="1:5" ht="15.75" customHeight="1" x14ac:dyDescent="0.25">
      <c r="A7082" s="6" t="s">
        <v>6825</v>
      </c>
      <c r="B7082" s="6" t="str">
        <f ca="1">IFERROR(__xludf.DUMMYFUNCTION("GOOGLETRANSLATE(A7082,""bn"",""en"")"),"He pressed his teeth against his teeth and said softly what do you think")</f>
        <v>He pressed his teeth against his teeth and said softly what do you think</v>
      </c>
      <c r="C7082" s="7" t="s">
        <v>6</v>
      </c>
      <c r="D7082" s="7" t="s">
        <v>7</v>
      </c>
      <c r="E7082" s="7">
        <v>0</v>
      </c>
    </row>
    <row r="7083" spans="1:5" ht="15.75" customHeight="1" x14ac:dyDescent="0.25">
      <c r="A7083" s="6" t="s">
        <v>6826</v>
      </c>
      <c r="B7083" s="6" t="str">
        <f ca="1">IFERROR(__xludf.DUMMYFUNCTION("GOOGLETRANSLATE(A7083,""bn"",""en"")"),"He didn't recognize me at first")</f>
        <v>He didn't recognize me at first</v>
      </c>
      <c r="C7083" s="7" t="s">
        <v>6</v>
      </c>
      <c r="D7083" s="7" t="s">
        <v>7</v>
      </c>
      <c r="E7083" s="7">
        <v>0</v>
      </c>
    </row>
    <row r="7084" spans="1:5" ht="15.75" customHeight="1" x14ac:dyDescent="0.25">
      <c r="A7084" s="6" t="s">
        <v>6827</v>
      </c>
      <c r="B7084" s="6" t="str">
        <f ca="1">IFERROR(__xludf.DUMMYFUNCTION("GOOGLETRANSLATE(A7084,""bn"",""en"")"),"Nazrul cannot run away from school")</f>
        <v>Nazrul cannot run away from school</v>
      </c>
      <c r="C7084" s="7" t="s">
        <v>6</v>
      </c>
      <c r="D7084" s="7" t="s">
        <v>7</v>
      </c>
      <c r="E7084" s="7">
        <v>0</v>
      </c>
    </row>
    <row r="7085" spans="1:5" ht="15.75" customHeight="1" x14ac:dyDescent="0.25">
      <c r="A7085" s="6" t="s">
        <v>4022</v>
      </c>
      <c r="B7085" s="6" t="str">
        <f ca="1">IFERROR(__xludf.DUMMYFUNCTION("GOOGLETRANSLATE(A7085,""bn"",""en"")"),"The young man stood at a place near the hole and showed the tiger very carefully")</f>
        <v>The young man stood at a place near the hole and showed the tiger very carefully</v>
      </c>
      <c r="C7085" s="7" t="s">
        <v>6</v>
      </c>
      <c r="D7085" s="7" t="s">
        <v>7</v>
      </c>
      <c r="E7085" s="7">
        <v>0</v>
      </c>
    </row>
    <row r="7086" spans="1:5" ht="15.75" customHeight="1" x14ac:dyDescent="0.25">
      <c r="A7086" s="6" t="s">
        <v>5797</v>
      </c>
      <c r="B7086" s="6" t="str">
        <f ca="1">IFERROR(__xludf.DUMMYFUNCTION("GOOGLETRANSLATE(A7086,""bn"",""en"")"),"Then I realized my delusion and came back to the car")</f>
        <v>Then I realized my delusion and came back to the car</v>
      </c>
      <c r="C7086" s="7" t="s">
        <v>6</v>
      </c>
      <c r="D7086" s="7" t="s">
        <v>7</v>
      </c>
      <c r="E7086" s="7">
        <v>0</v>
      </c>
    </row>
    <row r="7087" spans="1:5" ht="15.75" customHeight="1" x14ac:dyDescent="0.25">
      <c r="A7087" s="6" t="s">
        <v>6828</v>
      </c>
      <c r="B7087" s="6" t="str">
        <f ca="1">IFERROR(__xludf.DUMMYFUNCTION("GOOGLETRANSLATE(A7087,""bn"",""en"")"),"Fitness is the ability of an organism to reproduce")</f>
        <v>Fitness is the ability of an organism to reproduce</v>
      </c>
      <c r="C7087" s="8" t="s">
        <v>13</v>
      </c>
      <c r="D7087" s="8" t="s">
        <v>14</v>
      </c>
      <c r="E7087" s="8">
        <v>1</v>
      </c>
    </row>
    <row r="7088" spans="1:5" ht="15.75" customHeight="1" x14ac:dyDescent="0.25">
      <c r="A7088" s="6" t="s">
        <v>6829</v>
      </c>
      <c r="B7088" s="6" t="str">
        <f ca="1">IFERROR(__xludf.DUMMYFUNCTION("GOOGLETRANSLATE(A7088,""bn"",""en"")"),"Traveling to foreign destinations is a popular form of adventure")</f>
        <v>Traveling to foreign destinations is a popular form of adventure</v>
      </c>
      <c r="C7088" s="8" t="s">
        <v>13</v>
      </c>
      <c r="D7088" s="8" t="s">
        <v>14</v>
      </c>
      <c r="E7088" s="8">
        <v>1</v>
      </c>
    </row>
    <row r="7089" spans="1:5" ht="15.75" customHeight="1" x14ac:dyDescent="0.25">
      <c r="A7089" s="6" t="s">
        <v>6830</v>
      </c>
      <c r="B7089" s="6" t="str">
        <f ca="1">IFERROR(__xludf.DUMMYFUNCTION("GOOGLETRANSLATE(A7089,""bn"",""en"")"),"This discontinuity has strangely affected my life in the newspaper distribution business")</f>
        <v>This discontinuity has strangely affected my life in the newspaper distribution business</v>
      </c>
      <c r="C7089" s="8" t="s">
        <v>13</v>
      </c>
      <c r="D7089" s="8" t="s">
        <v>14</v>
      </c>
      <c r="E7089" s="8">
        <v>1</v>
      </c>
    </row>
    <row r="7090" spans="1:5" ht="15.75" customHeight="1" x14ac:dyDescent="0.25">
      <c r="A7090" s="6" t="s">
        <v>6831</v>
      </c>
      <c r="B7090" s="6" t="str">
        <f ca="1">IFERROR(__xludf.DUMMYFUNCTION("GOOGLETRANSLATE(A7090,""bn"",""en"")"),"With each step they ventured deeper into the unknown driven by the fascination of discovery")</f>
        <v>With each step they ventured deeper into the unknown driven by the fascination of discovery</v>
      </c>
      <c r="C7090" s="8" t="s">
        <v>13</v>
      </c>
      <c r="D7090" s="8" t="s">
        <v>14</v>
      </c>
      <c r="E7090" s="8">
        <v>1</v>
      </c>
    </row>
    <row r="7091" spans="1:5" ht="15.75" customHeight="1" x14ac:dyDescent="0.25">
      <c r="A7091" s="6" t="s">
        <v>6832</v>
      </c>
      <c r="B7091" s="6" t="str">
        <f ca="1">IFERROR(__xludf.DUMMYFUNCTION("GOOGLETRANSLATE(A7091,""bn"",""en"")"),"Bangladesh is very rich in terms of fish")</f>
        <v>Bangladesh is very rich in terms of fish</v>
      </c>
      <c r="C7091" s="8" t="s">
        <v>13</v>
      </c>
      <c r="D7091" s="8" t="s">
        <v>14</v>
      </c>
      <c r="E7091" s="8">
        <v>1</v>
      </c>
    </row>
    <row r="7092" spans="1:5" ht="15.75" customHeight="1" x14ac:dyDescent="0.25">
      <c r="A7092" s="6" t="s">
        <v>6833</v>
      </c>
      <c r="B7092" s="6" t="str">
        <f ca="1">IFERROR(__xludf.DUMMYFUNCTION("GOOGLETRANSLATE(A7092,""bn"",""en"")"),"He may come sometime and say that the two handsome Bengalis are going to see Trikut through the beautiful road.")</f>
        <v>He may come sometime and say that the two handsome Bengalis are going to see Trikut through the beautiful road.</v>
      </c>
      <c r="C7092" s="7" t="s">
        <v>6</v>
      </c>
      <c r="D7092" s="7" t="s">
        <v>7</v>
      </c>
      <c r="E7092" s="7">
        <v>0</v>
      </c>
    </row>
    <row r="7093" spans="1:5" ht="15.75" customHeight="1" x14ac:dyDescent="0.25">
      <c r="A7093" s="6" t="s">
        <v>6834</v>
      </c>
      <c r="B7093" s="6" t="str">
        <f ca="1">IFERROR(__xludf.DUMMYFUNCTION("GOOGLETRANSLATE(A7093,""bn"",""en"")"),"Will the desire to meet disappear when the friendship megabyte runs out?")</f>
        <v>Will the desire to meet disappear when the friendship megabyte runs out?</v>
      </c>
      <c r="C7093" s="7" t="s">
        <v>6</v>
      </c>
      <c r="D7093" s="7" t="s">
        <v>7</v>
      </c>
      <c r="E7093" s="7">
        <v>0</v>
      </c>
    </row>
    <row r="7094" spans="1:5" ht="15.75" customHeight="1" x14ac:dyDescent="0.25">
      <c r="A7094" s="6" t="s">
        <v>6835</v>
      </c>
      <c r="B7094" s="6" t="str">
        <f ca="1">IFERROR(__xludf.DUMMYFUNCTION("GOOGLETRANSLATE(A7094,""bn"",""en"")"),"Malaya is flowing with great speed")</f>
        <v>Malaya is flowing with great speed</v>
      </c>
      <c r="C7094" s="7" t="s">
        <v>6</v>
      </c>
      <c r="D7094" s="7" t="s">
        <v>7</v>
      </c>
      <c r="E7094" s="7">
        <v>0</v>
      </c>
    </row>
    <row r="7095" spans="1:5" ht="15.75" customHeight="1" x14ac:dyDescent="0.25">
      <c r="A7095" s="6" t="s">
        <v>6836</v>
      </c>
      <c r="B7095" s="6" t="str">
        <f ca="1">IFERROR(__xludf.DUMMYFUNCTION("GOOGLETRANSLATE(A7095,""bn"",""en"")"),"I woke up in the morning and went to my friends house")</f>
        <v>I woke up in the morning and went to my friends house</v>
      </c>
      <c r="C7095" s="7" t="s">
        <v>6</v>
      </c>
      <c r="D7095" s="7" t="s">
        <v>7</v>
      </c>
      <c r="E7095" s="7">
        <v>0</v>
      </c>
    </row>
    <row r="7096" spans="1:5" ht="15.75" customHeight="1" x14ac:dyDescent="0.25">
      <c r="A7096" s="6" t="s">
        <v>6837</v>
      </c>
      <c r="B7096" s="6" t="str">
        <f ca="1">IFERROR(__xludf.DUMMYFUNCTION("GOOGLETRANSLATE(A7096,""bn"",""en"")"),"He stood with his arms around me and cast suspicious glances at Kabuli's face.")</f>
        <v>He stood with his arms around me and cast suspicious glances at Kabuli's face.</v>
      </c>
      <c r="C7096" s="7" t="s">
        <v>6</v>
      </c>
      <c r="D7096" s="7" t="s">
        <v>7</v>
      </c>
      <c r="E7096" s="7">
        <v>0</v>
      </c>
    </row>
    <row r="7097" spans="1:5" ht="15.75" customHeight="1" x14ac:dyDescent="0.25">
      <c r="A7097" s="6" t="s">
        <v>6838</v>
      </c>
      <c r="B7097" s="6" t="str">
        <f ca="1">IFERROR(__xludf.DUMMYFUNCTION("GOOGLETRANSLATE(A7097,""bn"",""en"")"),"He had great enthusiasm for swimming since his childhood")</f>
        <v>He had great enthusiasm for swimming since his childhood</v>
      </c>
      <c r="C7097" s="8" t="s">
        <v>13</v>
      </c>
      <c r="D7097" s="8" t="s">
        <v>14</v>
      </c>
      <c r="E7097" s="8">
        <v>1</v>
      </c>
    </row>
    <row r="7098" spans="1:5" ht="15.75" customHeight="1" x14ac:dyDescent="0.25">
      <c r="A7098" s="6" t="s">
        <v>6839</v>
      </c>
      <c r="B7098" s="6" t="str">
        <f ca="1">IFERROR(__xludf.DUMMYFUNCTION("GOOGLETRANSLATE(A7098,""bn"",""en"")"),"Just opening a daily newspaper, one could see the news of communal riots")</f>
        <v>Just opening a daily newspaper, one could see the news of communal riots</v>
      </c>
      <c r="C7098" s="8" t="s">
        <v>13</v>
      </c>
      <c r="D7098" s="8" t="s">
        <v>14</v>
      </c>
      <c r="E7098" s="8">
        <v>1</v>
      </c>
    </row>
    <row r="7099" spans="1:5" ht="15.75" customHeight="1" x14ac:dyDescent="0.25">
      <c r="A7099" s="6" t="s">
        <v>6840</v>
      </c>
      <c r="B7099" s="6" t="str">
        <f ca="1">IFERROR(__xludf.DUMMYFUNCTION("GOOGLETRANSLATE(A7099,""bn"",""en"")"),"Engage in regular outdoor activities")</f>
        <v>Engage in regular outdoor activities</v>
      </c>
      <c r="C7099" s="8" t="s">
        <v>13</v>
      </c>
      <c r="D7099" s="8" t="s">
        <v>14</v>
      </c>
      <c r="E7099" s="8">
        <v>1</v>
      </c>
    </row>
    <row r="7100" spans="1:5" ht="15.75" customHeight="1" x14ac:dyDescent="0.25">
      <c r="A7100" s="6" t="s">
        <v>6841</v>
      </c>
      <c r="B7100" s="6" t="str">
        <f ca="1">IFERROR(__xludf.DUMMYFUNCTION("GOOGLETRANSLATE(A7100,""bn"",""en"")"),"Rameswaram is the holiest religious site for many Indians")</f>
        <v>Rameswaram is the holiest religious site for many Indians</v>
      </c>
      <c r="C7100" s="8" t="s">
        <v>13</v>
      </c>
      <c r="D7100" s="8" t="s">
        <v>14</v>
      </c>
      <c r="E7100" s="8">
        <v>1</v>
      </c>
    </row>
    <row r="7101" spans="1:5" ht="15.75" customHeight="1" x14ac:dyDescent="0.25">
      <c r="A7101" s="6" t="s">
        <v>6842</v>
      </c>
      <c r="B7101" s="6" t="str">
        <f ca="1">IFERROR(__xludf.DUMMYFUNCTION("GOOGLETRANSLATE(A7101,""bn"",""en"")"),"I received a notification confirming successful transaction")</f>
        <v>I received a notification confirming successful transaction</v>
      </c>
      <c r="C7101" s="8" t="s">
        <v>13</v>
      </c>
      <c r="D7101" s="8" t="s">
        <v>14</v>
      </c>
      <c r="E7101" s="8">
        <v>1</v>
      </c>
    </row>
    <row r="7102" spans="1:5" ht="15.75" customHeight="1" x14ac:dyDescent="0.25">
      <c r="A7102" s="6" t="s">
        <v>6843</v>
      </c>
      <c r="B7102" s="6" t="str">
        <f ca="1">IFERROR(__xludf.DUMMYFUNCTION("GOOGLETRANSLATE(A7102,""bn"",""en"")"),"Rakib Suman is playing volleyball in the field")</f>
        <v>Rakib Suman is playing volleyball in the field</v>
      </c>
      <c r="C7102" s="7" t="s">
        <v>6</v>
      </c>
      <c r="D7102" s="7" t="s">
        <v>7</v>
      </c>
      <c r="E7102" s="7">
        <v>0</v>
      </c>
    </row>
    <row r="7103" spans="1:5" ht="15.75" customHeight="1" x14ac:dyDescent="0.25">
      <c r="A7103" s="6" t="s">
        <v>3017</v>
      </c>
      <c r="B7103" s="6" t="str">
        <f ca="1">IFERROR(__xludf.DUMMYFUNCTION("GOOGLETRANSLATE(A7103,""bn"",""en"")"),"Again, it seems as if Avni's inner fire had raised that wave in one day")</f>
        <v>Again, it seems as if Avni's inner fire had raised that wave in one day</v>
      </c>
      <c r="C7103" s="7" t="s">
        <v>6</v>
      </c>
      <c r="D7103" s="7" t="s">
        <v>7</v>
      </c>
      <c r="E7103" s="7">
        <v>0</v>
      </c>
    </row>
    <row r="7104" spans="1:5" ht="15.75" customHeight="1" x14ac:dyDescent="0.25">
      <c r="A7104" s="6" t="s">
        <v>6844</v>
      </c>
      <c r="B7104" s="6" t="str">
        <f ca="1">IFERROR(__xludf.DUMMYFUNCTION("GOOGLETRANSLATE(A7104,""bn"",""en"")"),"Who knows what has happened to him in these eight years")</f>
        <v>Who knows what has happened to him in these eight years</v>
      </c>
      <c r="C7104" s="7" t="s">
        <v>6</v>
      </c>
      <c r="D7104" s="7" t="s">
        <v>7</v>
      </c>
      <c r="E7104" s="7">
        <v>0</v>
      </c>
    </row>
    <row r="7105" spans="1:5" ht="15.75" customHeight="1" x14ac:dyDescent="0.25">
      <c r="A7105" s="6" t="s">
        <v>6845</v>
      </c>
      <c r="B7105" s="6" t="str">
        <f ca="1">IFERROR(__xludf.DUMMYFUNCTION("GOOGLETRANSLATE(A7105,""bn"",""en"")"),"After taking a seat and arranging the food on the plate, he sat near and said with great interest.")</f>
        <v>After taking a seat and arranging the food on the plate, he sat near and said with great interest.</v>
      </c>
      <c r="C7105" s="7" t="s">
        <v>6</v>
      </c>
      <c r="D7105" s="7" t="s">
        <v>7</v>
      </c>
      <c r="E7105" s="7">
        <v>0</v>
      </c>
    </row>
    <row r="7106" spans="1:5" ht="15.75" customHeight="1" x14ac:dyDescent="0.25">
      <c r="A7106" s="6" t="s">
        <v>6846</v>
      </c>
      <c r="B7106" s="6" t="str">
        <f ca="1">IFERROR(__xludf.DUMMYFUNCTION("GOOGLETRANSLATE(A7106,""bn"",""en"")"),"will you come to me")</f>
        <v>will you come to me</v>
      </c>
      <c r="C7106" s="7" t="s">
        <v>6</v>
      </c>
      <c r="D7106" s="7" t="s">
        <v>7</v>
      </c>
      <c r="E7106" s="7">
        <v>0</v>
      </c>
    </row>
    <row r="7107" spans="1:5" ht="15.75" customHeight="1" x14ac:dyDescent="0.25">
      <c r="A7107" s="6" t="s">
        <v>6847</v>
      </c>
      <c r="B7107" s="6" t="str">
        <f ca="1">IFERROR(__xludf.DUMMYFUNCTION("GOOGLETRANSLATE(A7107,""bn"",""en"")"),"Anemia occurs when your body lacks enough healthy red blood cells")</f>
        <v>Anemia occurs when your body lacks enough healthy red blood cells</v>
      </c>
      <c r="C7107" s="8" t="s">
        <v>13</v>
      </c>
      <c r="D7107" s="8" t="s">
        <v>14</v>
      </c>
      <c r="E7107" s="8">
        <v>1</v>
      </c>
    </row>
    <row r="7108" spans="1:5" ht="15.75" customHeight="1" x14ac:dyDescent="0.25">
      <c r="A7108" s="6" t="s">
        <v>6848</v>
      </c>
      <c r="B7108" s="6" t="str">
        <f ca="1">IFERROR(__xludf.DUMMYFUNCTION("GOOGLETRANSLATE(A7108,""bn"",""en"")"),"He won the Nobel Prize in Literature")</f>
        <v>He won the Nobel Prize in Literature</v>
      </c>
      <c r="C7108" s="8" t="s">
        <v>13</v>
      </c>
      <c r="D7108" s="8" t="s">
        <v>14</v>
      </c>
      <c r="E7108" s="8">
        <v>1</v>
      </c>
    </row>
    <row r="7109" spans="1:5" ht="15.75" customHeight="1" x14ac:dyDescent="0.25">
      <c r="A7109" s="6" t="s">
        <v>6849</v>
      </c>
      <c r="B7109" s="6" t="str">
        <f ca="1">IFERROR(__xludf.DUMMYFUNCTION("GOOGLETRANSLATE(A7109,""bn"",""en"")"),"He confirmed the matter very discreetly")</f>
        <v>He confirmed the matter very discreetly</v>
      </c>
      <c r="C7109" s="8" t="s">
        <v>13</v>
      </c>
      <c r="D7109" s="8" t="s">
        <v>14</v>
      </c>
      <c r="E7109" s="8">
        <v>1</v>
      </c>
    </row>
    <row r="7110" spans="1:5" ht="15.75" customHeight="1" x14ac:dyDescent="0.25">
      <c r="A7110" s="6" t="s">
        <v>6850</v>
      </c>
      <c r="B7110" s="6" t="str">
        <f ca="1">IFERROR(__xludf.DUMMYFUNCTION("GOOGLETRANSLATE(A7110,""bn"",""en"")"),"The Crocodile Hunter was a success in the US and UK")</f>
        <v>The Crocodile Hunter was a success in the US and UK</v>
      </c>
      <c r="C7110" s="8" t="s">
        <v>13</v>
      </c>
      <c r="D7110" s="8" t="s">
        <v>14</v>
      </c>
      <c r="E7110" s="8">
        <v>1</v>
      </c>
    </row>
    <row r="7111" spans="1:5" ht="15.75" customHeight="1" x14ac:dyDescent="0.25">
      <c r="A7111" s="6" t="s">
        <v>6851</v>
      </c>
      <c r="B7111" s="6" t="str">
        <f ca="1">IFERROR(__xludf.DUMMYFUNCTION("GOOGLETRANSLATE(A7111,""bn"",""en"")"),"Sumi I will go for a walk")</f>
        <v>Sumi I will go for a walk</v>
      </c>
      <c r="C7111" s="8" t="s">
        <v>13</v>
      </c>
      <c r="D7111" s="8" t="s">
        <v>14</v>
      </c>
      <c r="E7111" s="8">
        <v>1</v>
      </c>
    </row>
    <row r="7112" spans="1:5" ht="15.75" customHeight="1" x14ac:dyDescent="0.25">
      <c r="A7112" s="6" t="s">
        <v>6852</v>
      </c>
      <c r="B7112" s="6" t="str">
        <f ca="1">IFERROR(__xludf.DUMMYFUNCTION("GOOGLETRANSLATE(A7112,""bn"",""en"")"),"I see nothing of regret or irony in it")</f>
        <v>I see nothing of regret or irony in it</v>
      </c>
      <c r="C7112" s="7" t="s">
        <v>6</v>
      </c>
      <c r="D7112" s="7" t="s">
        <v>7</v>
      </c>
      <c r="E7112" s="7">
        <v>0</v>
      </c>
    </row>
    <row r="7113" spans="1:5" ht="15.75" customHeight="1" x14ac:dyDescent="0.25">
      <c r="A7113" s="6" t="s">
        <v>6853</v>
      </c>
      <c r="B7113" s="6" t="str">
        <f ca="1">IFERROR(__xludf.DUMMYFUNCTION("GOOGLETRANSLATE(A7113,""bn"",""en"")"),"Sumi asks Sharif to do this")</f>
        <v>Sumi asks Sharif to do this</v>
      </c>
      <c r="C7113" s="7" t="s">
        <v>6</v>
      </c>
      <c r="D7113" s="7" t="s">
        <v>7</v>
      </c>
      <c r="E7113" s="7">
        <v>0</v>
      </c>
    </row>
    <row r="7114" spans="1:5" ht="15.75" customHeight="1" x14ac:dyDescent="0.25">
      <c r="A7114" s="6" t="s">
        <v>2511</v>
      </c>
      <c r="B7114" s="6" t="str">
        <f ca="1">IFERROR(__xludf.DUMMYFUNCTION("GOOGLETRANSLATE(A7114,""bn"",""en"")"),"I am happy to write about that mountain again")</f>
        <v>I am happy to write about that mountain again</v>
      </c>
      <c r="C7114" s="7" t="s">
        <v>6</v>
      </c>
      <c r="D7114" s="7" t="s">
        <v>7</v>
      </c>
      <c r="E7114" s="7">
        <v>0</v>
      </c>
    </row>
    <row r="7115" spans="1:5" ht="15.75" customHeight="1" x14ac:dyDescent="0.25">
      <c r="A7115" s="6" t="s">
        <v>6854</v>
      </c>
      <c r="B7115" s="6" t="str">
        <f ca="1">IFERROR(__xludf.DUMMYFUNCTION("GOOGLETRANSLATE(A7115,""bn"",""en"")"),"It seems that there is no great criticism about it")</f>
        <v>It seems that there is no great criticism about it</v>
      </c>
      <c r="C7115" s="7" t="s">
        <v>6</v>
      </c>
      <c r="D7115" s="7" t="s">
        <v>7</v>
      </c>
      <c r="E7115" s="7">
        <v>0</v>
      </c>
    </row>
    <row r="7116" spans="1:5" ht="15.75" customHeight="1" x14ac:dyDescent="0.25">
      <c r="A7116" s="6" t="s">
        <v>6855</v>
      </c>
      <c r="B7116" s="6" t="str">
        <f ca="1">IFERROR(__xludf.DUMMYFUNCTION("GOOGLETRANSLATE(A7116,""bn"",""en"")"),"After talking like this, we came to a corner of the garden")</f>
        <v>After talking like this, we came to a corner of the garden</v>
      </c>
      <c r="C7116" s="7" t="s">
        <v>6</v>
      </c>
      <c r="D7116" s="7" t="s">
        <v>7</v>
      </c>
      <c r="E7116" s="7">
        <v>0</v>
      </c>
    </row>
    <row r="7117" spans="1:5" ht="15.75" customHeight="1" x14ac:dyDescent="0.25">
      <c r="A7117" s="6" t="s">
        <v>67</v>
      </c>
      <c r="B7117" s="6" t="str">
        <f ca="1">IFERROR(__xludf.DUMMYFUNCTION("GOOGLETRANSLATE(A7117,""bn"",""en"")"),"I also remembered the people involved in my childhood memories")</f>
        <v>I also remembered the people involved in my childhood memories</v>
      </c>
      <c r="C7117" s="8" t="s">
        <v>13</v>
      </c>
      <c r="D7117" s="8" t="s">
        <v>14</v>
      </c>
      <c r="E7117" s="8">
        <v>1</v>
      </c>
    </row>
    <row r="7118" spans="1:5" ht="15.75" customHeight="1" x14ac:dyDescent="0.25">
      <c r="A7118" s="6" t="s">
        <v>6856</v>
      </c>
      <c r="B7118" s="6" t="str">
        <f ca="1">IFERROR(__xludf.DUMMYFUNCTION("GOOGLETRANSLATE(A7118,""bn"",""en"")"),"Suman wanted to eat rice")</f>
        <v>Suman wanted to eat rice</v>
      </c>
      <c r="C7118" s="8" t="s">
        <v>13</v>
      </c>
      <c r="D7118" s="8" t="s">
        <v>14</v>
      </c>
      <c r="E7118" s="8">
        <v>1</v>
      </c>
    </row>
    <row r="7119" spans="1:5" ht="15.75" customHeight="1" x14ac:dyDescent="0.25">
      <c r="A7119" s="6" t="s">
        <v>6857</v>
      </c>
      <c r="B7119" s="6" t="str">
        <f ca="1">IFERROR(__xludf.DUMMYFUNCTION("GOOGLETRANSLATE(A7119,""bn"",""en"")"),"The zest of the lemon brightens the delights of the dessert")</f>
        <v>The zest of the lemon brightens the delights of the dessert</v>
      </c>
      <c r="C7119" s="8" t="s">
        <v>13</v>
      </c>
      <c r="D7119" s="8" t="s">
        <v>14</v>
      </c>
      <c r="E7119" s="8">
        <v>1</v>
      </c>
    </row>
    <row r="7120" spans="1:5" ht="15.75" customHeight="1" x14ac:dyDescent="0.25">
      <c r="A7120" s="6" t="s">
        <v>6858</v>
      </c>
      <c r="B7120" s="6" t="str">
        <f ca="1">IFERROR(__xludf.DUMMYFUNCTION("GOOGLETRANSLATE(A7120,""bn"",""en"")"),"He wrote a poem titled Man")</f>
        <v>He wrote a poem titled Man</v>
      </c>
      <c r="C7120" s="8" t="s">
        <v>13</v>
      </c>
      <c r="D7120" s="8" t="s">
        <v>14</v>
      </c>
      <c r="E7120" s="8">
        <v>1</v>
      </c>
    </row>
    <row r="7121" spans="1:5" ht="15.75" customHeight="1" x14ac:dyDescent="0.25">
      <c r="A7121" s="6" t="s">
        <v>6859</v>
      </c>
      <c r="B7121" s="6" t="str">
        <f ca="1">IFERROR(__xludf.DUMMYFUNCTION("GOOGLETRANSLATE(A7121,""bn"",""en"")"),"I held Shawn close to me")</f>
        <v>I held Shawn close to me</v>
      </c>
      <c r="C7121" s="8" t="s">
        <v>13</v>
      </c>
      <c r="D7121" s="8" t="s">
        <v>14</v>
      </c>
      <c r="E7121" s="8">
        <v>1</v>
      </c>
    </row>
    <row r="7122" spans="1:5" ht="15.75" customHeight="1" x14ac:dyDescent="0.25">
      <c r="A7122" s="6" t="s">
        <v>6860</v>
      </c>
      <c r="B7122" s="6" t="str">
        <f ca="1">IFERROR(__xludf.DUMMYFUNCTION("GOOGLETRANSLATE(A7122,""bn"",""en"")"),"Suman asked me to go play in the field")</f>
        <v>Suman asked me to go play in the field</v>
      </c>
      <c r="C7122" s="7" t="s">
        <v>6</v>
      </c>
      <c r="D7122" s="7" t="s">
        <v>7</v>
      </c>
      <c r="E7122" s="7">
        <v>0</v>
      </c>
    </row>
    <row r="7123" spans="1:5" ht="15.75" customHeight="1" x14ac:dyDescent="0.25">
      <c r="A7123" s="6" t="s">
        <v>6861</v>
      </c>
      <c r="B7123" s="6" t="str">
        <f ca="1">IFERROR(__xludf.DUMMYFUNCTION("GOOGLETRANSLATE(A7123,""bn"",""en"")"),"I have learned through life that you have to take care of yourself")</f>
        <v>I have learned through life that you have to take care of yourself</v>
      </c>
      <c r="C7123" s="7" t="s">
        <v>6</v>
      </c>
      <c r="D7123" s="7" t="s">
        <v>7</v>
      </c>
      <c r="E7123" s="7">
        <v>0</v>
      </c>
    </row>
    <row r="7124" spans="1:5" ht="15.75" customHeight="1" x14ac:dyDescent="0.25">
      <c r="A7124" s="6" t="s">
        <v>6862</v>
      </c>
      <c r="B7124" s="6" t="str">
        <f ca="1">IFERROR(__xludf.DUMMYFUNCTION("GOOGLETRANSLATE(A7124,""bn"",""en"")"),"I went to play in the field")</f>
        <v>I went to play in the field</v>
      </c>
      <c r="C7124" s="7" t="s">
        <v>6</v>
      </c>
      <c r="D7124" s="7" t="s">
        <v>7</v>
      </c>
      <c r="E7124" s="7">
        <v>0</v>
      </c>
    </row>
    <row r="7125" spans="1:5" ht="15.75" customHeight="1" x14ac:dyDescent="0.25">
      <c r="A7125" s="6" t="s">
        <v>6863</v>
      </c>
      <c r="B7125" s="6" t="str">
        <f ca="1">IFERROR(__xludf.DUMMYFUNCTION("GOOGLETRANSLATE(A7125,""bn"",""en"")"),"He told me that you have come to the end of the city, there is no place to wait")</f>
        <v>He told me that you have come to the end of the city, there is no place to wait</v>
      </c>
      <c r="C7125" s="7" t="s">
        <v>6</v>
      </c>
      <c r="D7125" s="7" t="s">
        <v>7</v>
      </c>
      <c r="E7125" s="7">
        <v>0</v>
      </c>
    </row>
    <row r="7126" spans="1:5" ht="15.75" customHeight="1" x14ac:dyDescent="0.25">
      <c r="A7126" s="6" t="s">
        <v>4306</v>
      </c>
      <c r="B7126" s="6" t="str">
        <f ca="1">IFERROR(__xludf.DUMMYFUNCTION("GOOGLETRANSLATE(A7126,""bn"",""en"")"),"Irtazuddin's heart was upset")</f>
        <v>Irtazuddin's heart was upset</v>
      </c>
      <c r="C7126" s="7" t="s">
        <v>6</v>
      </c>
      <c r="D7126" s="7" t="s">
        <v>7</v>
      </c>
      <c r="E7126" s="7">
        <v>0</v>
      </c>
    </row>
    <row r="7127" spans="1:5" ht="15.75" customHeight="1" x14ac:dyDescent="0.25">
      <c r="A7127" s="6" t="s">
        <v>6864</v>
      </c>
      <c r="B7127" s="6" t="str">
        <f ca="1">IFERROR(__xludf.DUMMYFUNCTION("GOOGLETRANSLATE(A7127,""bn"",""en"")"),"Resistance training builds muscle mass")</f>
        <v>Resistance training builds muscle mass</v>
      </c>
      <c r="C7127" s="8" t="s">
        <v>13</v>
      </c>
      <c r="D7127" s="8" t="s">
        <v>14</v>
      </c>
      <c r="E7127" s="8">
        <v>1</v>
      </c>
    </row>
    <row r="7128" spans="1:5" ht="15.75" customHeight="1" x14ac:dyDescent="0.25">
      <c r="A7128" s="6" t="s">
        <v>6865</v>
      </c>
      <c r="B7128" s="6" t="str">
        <f ca="1">IFERROR(__xludf.DUMMYFUNCTION("GOOGLETRANSLATE(A7128,""bn"",""en"")"),"These love poems are meant for a so called dark lady")</f>
        <v>These love poems are meant for a so called dark lady</v>
      </c>
      <c r="C7128" s="8" t="s">
        <v>13</v>
      </c>
      <c r="D7128" s="8" t="s">
        <v>14</v>
      </c>
      <c r="E7128" s="8">
        <v>1</v>
      </c>
    </row>
    <row r="7129" spans="1:5" ht="15.75" customHeight="1" x14ac:dyDescent="0.25">
      <c r="A7129" s="6" t="s">
        <v>6866</v>
      </c>
      <c r="B7129" s="6" t="str">
        <f ca="1">IFERROR(__xludf.DUMMYFUNCTION("GOOGLETRANSLATE(A7129,""bn"",""en"")"),"He was standing with his friend by the river in front of their house")</f>
        <v>He was standing with his friend by the river in front of their house</v>
      </c>
      <c r="C7129" s="8" t="s">
        <v>13</v>
      </c>
      <c r="D7129" s="8" t="s">
        <v>14</v>
      </c>
      <c r="E7129" s="8">
        <v>1</v>
      </c>
    </row>
    <row r="7130" spans="1:5" ht="15.75" customHeight="1" x14ac:dyDescent="0.25">
      <c r="A7130" s="6" t="s">
        <v>6867</v>
      </c>
      <c r="B7130" s="6" t="str">
        <f ca="1">IFERROR(__xludf.DUMMYFUNCTION("GOOGLETRANSLATE(A7130,""bn"",""en"")"),"This is a special designation")</f>
        <v>This is a special designation</v>
      </c>
      <c r="C7130" s="8" t="s">
        <v>13</v>
      </c>
      <c r="D7130" s="8" t="s">
        <v>14</v>
      </c>
      <c r="E7130" s="8">
        <v>1</v>
      </c>
    </row>
    <row r="7131" spans="1:5" ht="15.75" customHeight="1" x14ac:dyDescent="0.25">
      <c r="A7131" s="6" t="s">
        <v>6868</v>
      </c>
      <c r="B7131" s="6" t="str">
        <f ca="1">IFERROR(__xludf.DUMMYFUNCTION("GOOGLETRANSLATE(A7131,""bn"",""en"")"),"They have done their best to maintain peaceful communication")</f>
        <v>They have done their best to maintain peaceful communication</v>
      </c>
      <c r="C7131" s="8" t="s">
        <v>13</v>
      </c>
      <c r="D7131" s="8" t="s">
        <v>14</v>
      </c>
      <c r="E7131" s="8">
        <v>1</v>
      </c>
    </row>
    <row r="7132" spans="1:5" ht="15.75" customHeight="1" x14ac:dyDescent="0.25">
      <c r="A7132" s="6" t="s">
        <v>6869</v>
      </c>
      <c r="B7132" s="6" t="str">
        <f ca="1">IFERROR(__xludf.DUMMYFUNCTION("GOOGLETRANSLATE(A7132,""bn"",""en"")"),"If he sees a light burning in a house along the road, he wants to shout and get the response of the people of the house")</f>
        <v>If he sees a light burning in a house along the road, he wants to shout and get the response of the people of the house</v>
      </c>
      <c r="C7132" s="7" t="s">
        <v>6</v>
      </c>
      <c r="D7132" s="7" t="s">
        <v>7</v>
      </c>
      <c r="E7132" s="7">
        <v>0</v>
      </c>
    </row>
    <row r="7133" spans="1:5" ht="15.75" customHeight="1" x14ac:dyDescent="0.25">
      <c r="A7133" s="6" t="s">
        <v>6870</v>
      </c>
      <c r="B7133" s="6" t="str">
        <f ca="1">IFERROR(__xludf.DUMMYFUNCTION("GOOGLETRANSLATE(A7133,""bn"",""en"")"),"Those who should be accompanied by justice are doing injustice")</f>
        <v>Those who should be accompanied by justice are doing injustice</v>
      </c>
      <c r="C7133" s="7" t="s">
        <v>6</v>
      </c>
      <c r="D7133" s="7" t="s">
        <v>7</v>
      </c>
      <c r="E7133" s="7">
        <v>0</v>
      </c>
    </row>
    <row r="7134" spans="1:5" ht="15.75" customHeight="1" x14ac:dyDescent="0.25">
      <c r="A7134" s="6" t="s">
        <v>6871</v>
      </c>
      <c r="B7134" s="6" t="str">
        <f ca="1">IFERROR(__xludf.DUMMYFUNCTION("GOOGLETRANSLATE(A7134,""bn"",""en"")"),"Neeru's interviews with the relatives of his father's house are completely forbidden")</f>
        <v>Neeru's interviews with the relatives of his father's house are completely forbidden</v>
      </c>
      <c r="C7134" s="7" t="s">
        <v>6</v>
      </c>
      <c r="D7134" s="7" t="s">
        <v>7</v>
      </c>
      <c r="E7134" s="7">
        <v>0</v>
      </c>
    </row>
    <row r="7135" spans="1:5" ht="15.75" customHeight="1" x14ac:dyDescent="0.25">
      <c r="A7135" s="6" t="s">
        <v>6872</v>
      </c>
      <c r="B7135" s="6" t="str">
        <f ca="1">IFERROR(__xludf.DUMMYFUNCTION("GOOGLETRANSLATE(A7135,""bn"",""en"")"),"We call people of ancient times barbarians")</f>
        <v>We call people of ancient times barbarians</v>
      </c>
      <c r="C7135" s="7" t="s">
        <v>6</v>
      </c>
      <c r="D7135" s="7" t="s">
        <v>7</v>
      </c>
      <c r="E7135" s="7">
        <v>0</v>
      </c>
    </row>
    <row r="7136" spans="1:5" ht="15.75" customHeight="1" x14ac:dyDescent="0.25">
      <c r="A7136" s="6" t="s">
        <v>6873</v>
      </c>
      <c r="B7136" s="6" t="str">
        <f ca="1">IFERROR(__xludf.DUMMYFUNCTION("GOOGLETRANSLATE(A7136,""bn"",""en"")"),"The great people of the society are constantly struggling for our self development")</f>
        <v>The great people of the society are constantly struggling for our self development</v>
      </c>
      <c r="C7136" s="7" t="s">
        <v>6</v>
      </c>
      <c r="D7136" s="7" t="s">
        <v>7</v>
      </c>
      <c r="E7136" s="7">
        <v>0</v>
      </c>
    </row>
    <row r="7137" spans="1:5" ht="15.75" customHeight="1" x14ac:dyDescent="0.25">
      <c r="A7137" s="6" t="s">
        <v>6874</v>
      </c>
      <c r="B7137" s="6" t="str">
        <f ca="1">IFERROR(__xludf.DUMMYFUNCTION("GOOGLETRANSLATE(A7137,""bn"",""en"")"),"Birds eat ripe papaya")</f>
        <v>Birds eat ripe papaya</v>
      </c>
      <c r="C7137" s="8" t="s">
        <v>13</v>
      </c>
      <c r="D7137" s="8" t="s">
        <v>14</v>
      </c>
      <c r="E7137" s="8">
        <v>1</v>
      </c>
    </row>
    <row r="7138" spans="1:5" ht="15.75" customHeight="1" x14ac:dyDescent="0.25">
      <c r="A7138" s="6" t="s">
        <v>6875</v>
      </c>
      <c r="B7138" s="6" t="str">
        <f ca="1">IFERROR(__xludf.DUMMYFUNCTION("GOOGLETRANSLATE(A7138,""bn"",""en"")"),"Criminal organizations operate with secrecy sophistication")</f>
        <v>Criminal organizations operate with secrecy sophistication</v>
      </c>
      <c r="C7138" s="8" t="s">
        <v>13</v>
      </c>
      <c r="D7138" s="8" t="s">
        <v>14</v>
      </c>
      <c r="E7138" s="8">
        <v>1</v>
      </c>
    </row>
    <row r="7139" spans="1:5" ht="15.75" customHeight="1" x14ac:dyDescent="0.25">
      <c r="A7139" s="6" t="s">
        <v>6876</v>
      </c>
      <c r="B7139" s="6" t="str">
        <f ca="1">IFERROR(__xludf.DUMMYFUNCTION("GOOGLETRANSLATE(A7139,""bn"",""en"")"),"No teaching experience")</f>
        <v>No teaching experience</v>
      </c>
      <c r="C7139" s="8" t="s">
        <v>13</v>
      </c>
      <c r="D7139" s="8" t="s">
        <v>14</v>
      </c>
      <c r="E7139" s="8">
        <v>1</v>
      </c>
    </row>
    <row r="7140" spans="1:5" ht="15.75" customHeight="1" x14ac:dyDescent="0.25">
      <c r="A7140" s="6" t="s">
        <v>6877</v>
      </c>
      <c r="B7140" s="6" t="str">
        <f ca="1">IFERROR(__xludf.DUMMYFUNCTION("GOOGLETRANSLATE(A7140,""bn"",""en"")"),"I had declared war on him for his use")</f>
        <v>I had declared war on him for his use</v>
      </c>
      <c r="C7140" s="8" t="s">
        <v>13</v>
      </c>
      <c r="D7140" s="8" t="s">
        <v>14</v>
      </c>
      <c r="E7140" s="8">
        <v>1</v>
      </c>
    </row>
    <row r="7141" spans="1:5" ht="15.75" customHeight="1" x14ac:dyDescent="0.25">
      <c r="A7141" s="6" t="s">
        <v>6878</v>
      </c>
      <c r="B7141" s="6" t="str">
        <f ca="1">IFERROR(__xludf.DUMMYFUNCTION("GOOGLETRANSLATE(A7141,""bn"",""en"")"),"Green asked me to go to the field")</f>
        <v>Green asked me to go to the field</v>
      </c>
      <c r="C7141" s="8" t="s">
        <v>13</v>
      </c>
      <c r="D7141" s="8" t="s">
        <v>14</v>
      </c>
      <c r="E7141" s="8">
        <v>1</v>
      </c>
    </row>
    <row r="7142" spans="1:5" ht="15.75" customHeight="1" x14ac:dyDescent="0.25">
      <c r="A7142" s="6" t="s">
        <v>6879</v>
      </c>
      <c r="B7142" s="6" t="str">
        <f ca="1">IFERROR(__xludf.DUMMYFUNCTION("GOOGLETRANSLATE(A7142,""bn"",""en"")"),"Then the shed remains empty for the whole year")</f>
        <v>Then the shed remains empty for the whole year</v>
      </c>
      <c r="C7142" s="7" t="s">
        <v>6</v>
      </c>
      <c r="D7142" s="7" t="s">
        <v>7</v>
      </c>
      <c r="E7142" s="7">
        <v>0</v>
      </c>
    </row>
    <row r="7143" spans="1:5" ht="15.75" customHeight="1" x14ac:dyDescent="0.25">
      <c r="A7143" s="6" t="s">
        <v>6880</v>
      </c>
      <c r="B7143" s="6" t="str">
        <f ca="1">IFERROR(__xludf.DUMMYFUNCTION("GOOGLETRANSLATE(A7143,""bn"",""en"")"),"A girl who can sleep after hearing so much bad news")</f>
        <v>A girl who can sleep after hearing so much bad news</v>
      </c>
      <c r="C7143" s="7" t="s">
        <v>6</v>
      </c>
      <c r="D7143" s="7" t="s">
        <v>7</v>
      </c>
      <c r="E7143" s="7">
        <v>0</v>
      </c>
    </row>
    <row r="7144" spans="1:5" ht="15.75" customHeight="1" x14ac:dyDescent="0.25">
      <c r="A7144" s="6" t="s">
        <v>6881</v>
      </c>
      <c r="B7144" s="6" t="str">
        <f ca="1">IFERROR(__xludf.DUMMYFUNCTION("GOOGLETRANSLATE(A7144,""bn"",""en"")"),"Father asked me to go to the mosque")</f>
        <v>Father asked me to go to the mosque</v>
      </c>
      <c r="C7144" s="7" t="s">
        <v>6</v>
      </c>
      <c r="D7144" s="7" t="s">
        <v>7</v>
      </c>
      <c r="E7144" s="7">
        <v>0</v>
      </c>
    </row>
    <row r="7145" spans="1:5" ht="15.75" customHeight="1" x14ac:dyDescent="0.25">
      <c r="A7145" s="6" t="s">
        <v>6882</v>
      </c>
      <c r="B7145" s="6" t="str">
        <f ca="1">IFERROR(__xludf.DUMMYFUNCTION("GOOGLETRANSLATE(A7145,""bn"",""en"")"),"Even if I were left outside your door, would I fall in your eyes?")</f>
        <v>Even if I were left outside your door, would I fall in your eyes?</v>
      </c>
      <c r="C7145" s="7" t="s">
        <v>6</v>
      </c>
      <c r="D7145" s="7" t="s">
        <v>7</v>
      </c>
      <c r="E7145" s="7">
        <v>0</v>
      </c>
    </row>
    <row r="7146" spans="1:5" ht="15.75" customHeight="1" x14ac:dyDescent="0.25">
      <c r="A7146" s="6" t="s">
        <v>6883</v>
      </c>
      <c r="B7146" s="6" t="str">
        <f ca="1">IFERROR(__xludf.DUMMYFUNCTION("GOOGLETRANSLATE(A7146,""bn"",""en"")"),"My mini's marriage is fixed")</f>
        <v>My mini's marriage is fixed</v>
      </c>
      <c r="C7146" s="7" t="s">
        <v>6</v>
      </c>
      <c r="D7146" s="7" t="s">
        <v>7</v>
      </c>
      <c r="E7146" s="7">
        <v>0</v>
      </c>
    </row>
    <row r="7147" spans="1:5" ht="15.75" customHeight="1" x14ac:dyDescent="0.25">
      <c r="A7147" s="6" t="s">
        <v>4496</v>
      </c>
      <c r="B7147" s="6" t="str">
        <f ca="1">IFERROR(__xludf.DUMMYFUNCTION("GOOGLETRANSLATE(A7147,""bn"",""en"")"),"When I got up, mother would give me a bath")</f>
        <v>When I got up, mother would give me a bath</v>
      </c>
      <c r="C7147" s="8" t="s">
        <v>13</v>
      </c>
      <c r="D7147" s="8" t="s">
        <v>14</v>
      </c>
      <c r="E7147" s="8">
        <v>1</v>
      </c>
    </row>
    <row r="7148" spans="1:5" ht="15.75" customHeight="1" x14ac:dyDescent="0.25">
      <c r="A7148" s="6" t="s">
        <v>6884</v>
      </c>
      <c r="B7148" s="6" t="str">
        <f ca="1">IFERROR(__xludf.DUMMYFUNCTION("GOOGLETRANSLATE(A7148,""bn"",""en"")"),"I want to enrich my life in the future")</f>
        <v>I want to enrich my life in the future</v>
      </c>
      <c r="C7148" s="8" t="s">
        <v>13</v>
      </c>
      <c r="D7148" s="8" t="s">
        <v>14</v>
      </c>
      <c r="E7148" s="8">
        <v>1</v>
      </c>
    </row>
    <row r="7149" spans="1:5" ht="15.75" customHeight="1" x14ac:dyDescent="0.25">
      <c r="A7149" s="6" t="s">
        <v>6885</v>
      </c>
      <c r="B7149" s="6" t="str">
        <f ca="1">IFERROR(__xludf.DUMMYFUNCTION("GOOGLETRANSLATE(A7149,""bn"",""en"")"),"While using the software I encountered several errors which were frustrating")</f>
        <v>While using the software I encountered several errors which were frustrating</v>
      </c>
      <c r="C7149" s="8" t="s">
        <v>13</v>
      </c>
      <c r="D7149" s="8" t="s">
        <v>14</v>
      </c>
      <c r="E7149" s="8">
        <v>1</v>
      </c>
    </row>
    <row r="7150" spans="1:5" ht="15.75" customHeight="1" x14ac:dyDescent="0.25">
      <c r="A7150" s="6" t="s">
        <v>6886</v>
      </c>
      <c r="B7150" s="6" t="str">
        <f ca="1">IFERROR(__xludf.DUMMYFUNCTION("GOOGLETRANSLATE(A7150,""bn"",""en"")"),"Leishmaniasis kills about 500,000 people worldwide every year")</f>
        <v>Leishmaniasis kills about 500,000 people worldwide every year</v>
      </c>
      <c r="C7150" s="8" t="s">
        <v>13</v>
      </c>
      <c r="D7150" s="8" t="s">
        <v>14</v>
      </c>
      <c r="E7150" s="8">
        <v>1</v>
      </c>
    </row>
    <row r="7151" spans="1:5" ht="15.75" customHeight="1" x14ac:dyDescent="0.25">
      <c r="A7151" s="6" t="s">
        <v>6887</v>
      </c>
      <c r="B7151" s="6" t="str">
        <f ca="1">IFERROR(__xludf.DUMMYFUNCTION("GOOGLETRANSLATE(A7151,""bn"",""en"")"),"Rahim asked Karim about it")</f>
        <v>Rahim asked Karim about it</v>
      </c>
      <c r="C7151" s="8" t="s">
        <v>13</v>
      </c>
      <c r="D7151" s="8" t="s">
        <v>14</v>
      </c>
      <c r="E7151" s="8">
        <v>1</v>
      </c>
    </row>
    <row r="7152" spans="1:5" ht="15.75" customHeight="1" x14ac:dyDescent="0.25">
      <c r="A7152" s="6" t="s">
        <v>6888</v>
      </c>
      <c r="B7152" s="6" t="str">
        <f ca="1">IFERROR(__xludf.DUMMYFUNCTION("GOOGLETRANSLATE(A7152,""bn"",""en"")"),"At that time it seemed that such love did not exist in these people")</f>
        <v>At that time it seemed that such love did not exist in these people</v>
      </c>
      <c r="C7152" s="7" t="s">
        <v>6</v>
      </c>
      <c r="D7152" s="7" t="s">
        <v>7</v>
      </c>
      <c r="E7152" s="7">
        <v>0</v>
      </c>
    </row>
    <row r="7153" spans="1:5" ht="15.75" customHeight="1" x14ac:dyDescent="0.25">
      <c r="A7153" s="6" t="s">
        <v>6889</v>
      </c>
      <c r="B7153" s="6" t="str">
        <f ca="1">IFERROR(__xludf.DUMMYFUNCTION("GOOGLETRANSLATE(A7153,""bn"",""en"")"),"The Maurinak primitive caste known as strong intelligent workers are also gradually disappearing under the rule of the Sahebs.")</f>
        <v>The Maurinak primitive caste known as strong intelligent workers are also gradually disappearing under the rule of the Sahebs.</v>
      </c>
      <c r="C7153" s="7" t="s">
        <v>6</v>
      </c>
      <c r="D7153" s="7" t="s">
        <v>7</v>
      </c>
      <c r="E7153" s="7">
        <v>0</v>
      </c>
    </row>
    <row r="7154" spans="1:5" ht="15.75" customHeight="1" x14ac:dyDescent="0.25">
      <c r="A7154" s="6" t="s">
        <v>5653</v>
      </c>
      <c r="B7154" s="6" t="str">
        <f ca="1">IFERROR(__xludf.DUMMYFUNCTION("GOOGLETRANSLATE(A7154,""bn"",""en"")"),"For many years, Shahed could not sleep without lying on Irtajuddin's chest")</f>
        <v>For many years, Shahed could not sleep without lying on Irtajuddin's chest</v>
      </c>
      <c r="C7154" s="7" t="s">
        <v>6</v>
      </c>
      <c r="D7154" s="7" t="s">
        <v>7</v>
      </c>
      <c r="E7154" s="7">
        <v>0</v>
      </c>
    </row>
    <row r="7155" spans="1:5" ht="15.75" customHeight="1" x14ac:dyDescent="0.25">
      <c r="A7155" s="6" t="s">
        <v>6890</v>
      </c>
      <c r="B7155" s="6" t="str">
        <f ca="1">IFERROR(__xludf.DUMMYFUNCTION("GOOGLETRANSLATE(A7155,""bn"",""en"")"),"Hindustani moneylenders live one in every two or four villages")</f>
        <v>Hindustani moneylenders live one in every two or four villages</v>
      </c>
      <c r="C7155" s="7" t="s">
        <v>6</v>
      </c>
      <c r="D7155" s="7" t="s">
        <v>7</v>
      </c>
      <c r="E7155" s="7">
        <v>0</v>
      </c>
    </row>
    <row r="7156" spans="1:5" ht="15.75" customHeight="1" x14ac:dyDescent="0.25">
      <c r="A7156" s="6" t="s">
        <v>6891</v>
      </c>
      <c r="B7156" s="6" t="str">
        <f ca="1">IFERROR(__xludf.DUMMYFUNCTION("GOOGLETRANSLATE(A7156,""bn"",""en"")"),"He was dying to get her back")</f>
        <v>He was dying to get her back</v>
      </c>
      <c r="C7156" s="7" t="s">
        <v>6</v>
      </c>
      <c r="D7156" s="7" t="s">
        <v>7</v>
      </c>
      <c r="E7156" s="7">
        <v>0</v>
      </c>
    </row>
    <row r="7157" spans="1:5" ht="15.75" customHeight="1" x14ac:dyDescent="0.25">
      <c r="A7157" s="6" t="s">
        <v>6892</v>
      </c>
      <c r="B7157" s="6" t="str">
        <f ca="1">IFERROR(__xludf.DUMMYFUNCTION("GOOGLETRANSLATE(A7157,""bn"",""en"")"),"Last holiday he went for a hike in the hills")</f>
        <v>Last holiday he went for a hike in the hills</v>
      </c>
      <c r="C7157" s="8" t="s">
        <v>13</v>
      </c>
      <c r="D7157" s="8" t="s">
        <v>14</v>
      </c>
      <c r="E7157" s="8">
        <v>1</v>
      </c>
    </row>
    <row r="7158" spans="1:5" ht="15.75" customHeight="1" x14ac:dyDescent="0.25">
      <c r="A7158" s="6" t="s">
        <v>6893</v>
      </c>
      <c r="B7158" s="6" t="str">
        <f ca="1">IFERROR(__xludf.DUMMYFUNCTION("GOOGLETRANSLATE(A7158,""bn"",""en"")"),"Train consistently for best results")</f>
        <v>Train consistently for best results</v>
      </c>
      <c r="C7158" s="8" t="s">
        <v>13</v>
      </c>
      <c r="D7158" s="8" t="s">
        <v>14</v>
      </c>
      <c r="E7158" s="8">
        <v>1</v>
      </c>
    </row>
    <row r="7159" spans="1:5" ht="15.75" customHeight="1" x14ac:dyDescent="0.25">
      <c r="A7159" s="6" t="s">
        <v>6894</v>
      </c>
      <c r="B7159" s="6" t="str">
        <f ca="1">IFERROR(__xludf.DUMMYFUNCTION("GOOGLETRANSLATE(A7159,""bn"",""en"")"),"Blood begins to clot shortly after death")</f>
        <v>Blood begins to clot shortly after death</v>
      </c>
      <c r="C7159" s="8" t="s">
        <v>13</v>
      </c>
      <c r="D7159" s="8" t="s">
        <v>14</v>
      </c>
      <c r="E7159" s="8">
        <v>1</v>
      </c>
    </row>
    <row r="7160" spans="1:5" ht="15.75" customHeight="1" x14ac:dyDescent="0.25">
      <c r="A7160" s="6" t="s">
        <v>6895</v>
      </c>
      <c r="B7160" s="6" t="str">
        <f ca="1">IFERROR(__xludf.DUMMYFUNCTION("GOOGLETRANSLATE(A7160,""bn"",""en"")"),"Follow us for fashion trends")</f>
        <v>Follow us for fashion trends</v>
      </c>
      <c r="C7160" s="8" t="s">
        <v>13</v>
      </c>
      <c r="D7160" s="8" t="s">
        <v>14</v>
      </c>
      <c r="E7160" s="8">
        <v>1</v>
      </c>
    </row>
    <row r="7161" spans="1:5" ht="15.75" customHeight="1" x14ac:dyDescent="0.25">
      <c r="A7161" s="6" t="s">
        <v>6896</v>
      </c>
      <c r="B7161" s="6" t="str">
        <f ca="1">IFERROR(__xludf.DUMMYFUNCTION("GOOGLETRANSLATE(A7161,""bn"",""en"")"),"Gardening is a therapeutic connecting hobby")</f>
        <v>Gardening is a therapeutic connecting hobby</v>
      </c>
      <c r="C7161" s="8" t="s">
        <v>13</v>
      </c>
      <c r="D7161" s="8" t="s">
        <v>14</v>
      </c>
      <c r="E7161" s="8">
        <v>1</v>
      </c>
    </row>
    <row r="7162" spans="1:5" ht="15.75" customHeight="1" x14ac:dyDescent="0.25">
      <c r="A7162" s="6" t="s">
        <v>6897</v>
      </c>
      <c r="B7162" s="6" t="str">
        <f ca="1">IFERROR(__xludf.DUMMYFUNCTION("GOOGLETRANSLATE(A7162,""bn"",""en"")"),"My baby, is your satin eating the head")</f>
        <v>My baby, is your satin eating the head</v>
      </c>
      <c r="C7162" s="7" t="s">
        <v>6</v>
      </c>
      <c r="D7162" s="7" t="s">
        <v>7</v>
      </c>
      <c r="E7162" s="7">
        <v>0</v>
      </c>
    </row>
    <row r="7163" spans="1:5" ht="15.75" customHeight="1" x14ac:dyDescent="0.25">
      <c r="A7163" s="6" t="s">
        <v>6898</v>
      </c>
      <c r="B7163" s="6" t="str">
        <f ca="1">IFERROR(__xludf.DUMMYFUNCTION("GOOGLETRANSLATE(A7163,""bn"",""en"")"),"Do we notice that the person sitting behind me is a woman or a young woman?")</f>
        <v>Do we notice that the person sitting behind me is a woman or a young woman?</v>
      </c>
      <c r="C7163" s="7" t="s">
        <v>6</v>
      </c>
      <c r="D7163" s="7" t="s">
        <v>7</v>
      </c>
      <c r="E7163" s="7">
        <v>0</v>
      </c>
    </row>
    <row r="7164" spans="1:5" ht="15.75" customHeight="1" x14ac:dyDescent="0.25">
      <c r="A7164" s="6" t="s">
        <v>6899</v>
      </c>
      <c r="B7164" s="6" t="str">
        <f ca="1">IFERROR(__xludf.DUMMYFUNCTION("GOOGLETRANSLATE(A7164,""bn"",""en"")"),"Rahim Karim will travel to Chittagong today")</f>
        <v>Rahim Karim will travel to Chittagong today</v>
      </c>
      <c r="C7164" s="7" t="s">
        <v>6</v>
      </c>
      <c r="D7164" s="7" t="s">
        <v>7</v>
      </c>
      <c r="E7164" s="7">
        <v>0</v>
      </c>
    </row>
    <row r="7165" spans="1:5" ht="15.75" customHeight="1" x14ac:dyDescent="0.25">
      <c r="A7165" s="6" t="s">
        <v>6900</v>
      </c>
      <c r="B7165" s="6" t="str">
        <f ca="1">IFERROR(__xludf.DUMMYFUNCTION("GOOGLETRANSLATE(A7165,""bn"",""en"")"),"His reason will be criticized at some point")</f>
        <v>His reason will be criticized at some point</v>
      </c>
      <c r="C7165" s="7" t="s">
        <v>6</v>
      </c>
      <c r="D7165" s="7" t="s">
        <v>7</v>
      </c>
      <c r="E7165" s="7">
        <v>0</v>
      </c>
    </row>
    <row r="7166" spans="1:5" ht="15.75" customHeight="1" x14ac:dyDescent="0.25">
      <c r="A7166" s="6" t="s">
        <v>6901</v>
      </c>
      <c r="B7166" s="6" t="str">
        <f ca="1">IFERROR(__xludf.DUMMYFUNCTION("GOOGLETRANSLATE(A7166,""bn"",""en"")"),"In front of him is the fire of Dhuni")</f>
        <v>In front of him is the fire of Dhuni</v>
      </c>
      <c r="C7166" s="7" t="s">
        <v>6</v>
      </c>
      <c r="D7166" s="7" t="s">
        <v>7</v>
      </c>
      <c r="E7166" s="7">
        <v>0</v>
      </c>
    </row>
    <row r="7167" spans="1:5" ht="15.75" customHeight="1" x14ac:dyDescent="0.25">
      <c r="A7167" s="6" t="s">
        <v>6902</v>
      </c>
      <c r="B7167" s="6" t="str">
        <f ca="1">IFERROR(__xludf.DUMMYFUNCTION("GOOGLETRANSLATE(A7167,""bn"",""en"")"),"By exploring underground tunnels they uncovered ancient civilizations hidden from the world above.")</f>
        <v>By exploring underground tunnels they uncovered ancient civilizations hidden from the world above.</v>
      </c>
      <c r="C7167" s="8" t="s">
        <v>13</v>
      </c>
      <c r="D7167" s="8" t="s">
        <v>14</v>
      </c>
      <c r="E7167" s="8">
        <v>1</v>
      </c>
    </row>
    <row r="7168" spans="1:5" ht="15.75" customHeight="1" x14ac:dyDescent="0.25">
      <c r="A7168" s="6" t="s">
        <v>6903</v>
      </c>
      <c r="B7168" s="6" t="str">
        <f ca="1">IFERROR(__xludf.DUMMYFUNCTION("GOOGLETRANSLATE(A7168,""bn"",""en"")"),"I've been car shopping and can't decide between a sedan and a Toyota")</f>
        <v>I've been car shopping and can't decide between a sedan and a Toyota</v>
      </c>
      <c r="C7168" s="8" t="s">
        <v>13</v>
      </c>
      <c r="D7168" s="8" t="s">
        <v>14</v>
      </c>
      <c r="E7168" s="8">
        <v>1</v>
      </c>
    </row>
    <row r="7169" spans="1:5" ht="15.75" customHeight="1" x14ac:dyDescent="0.25">
      <c r="A7169" s="6" t="s">
        <v>6904</v>
      </c>
      <c r="B7169" s="6" t="str">
        <f ca="1">IFERROR(__xludf.DUMMYFUNCTION("GOOGLETRANSLATE(A7169,""bn"",""en"")"),"Paying off high interest debt should be a top priority for anyone looking to improve their financial situation")</f>
        <v>Paying off high interest debt should be a top priority for anyone looking to improve their financial situation</v>
      </c>
      <c r="C7169" s="8" t="s">
        <v>13</v>
      </c>
      <c r="D7169" s="8" t="s">
        <v>14</v>
      </c>
      <c r="E7169" s="8">
        <v>1</v>
      </c>
    </row>
    <row r="7170" spans="1:5" ht="15.75" customHeight="1" x14ac:dyDescent="0.25">
      <c r="A7170" s="6" t="s">
        <v>6905</v>
      </c>
      <c r="B7170" s="6" t="str">
        <f ca="1">IFERROR(__xludf.DUMMYFUNCTION("GOOGLETRANSLATE(A7170,""bn"",""en"")"),"I asked Ronnie to sing")</f>
        <v>I asked Ronnie to sing</v>
      </c>
      <c r="C7170" s="8" t="s">
        <v>13</v>
      </c>
      <c r="D7170" s="8" t="s">
        <v>14</v>
      </c>
      <c r="E7170" s="8">
        <v>1</v>
      </c>
    </row>
    <row r="7171" spans="1:5" ht="15.75" customHeight="1" x14ac:dyDescent="0.25">
      <c r="A7171" s="6" t="s">
        <v>6906</v>
      </c>
      <c r="B7171" s="6" t="str">
        <f ca="1">IFERROR(__xludf.DUMMYFUNCTION("GOOGLETRANSLATE(A7171,""bn"",""en"")"),"There is no shortage of donors in this case")</f>
        <v>There is no shortage of donors in this case</v>
      </c>
      <c r="C7171" s="8" t="s">
        <v>13</v>
      </c>
      <c r="D7171" s="8" t="s">
        <v>14</v>
      </c>
      <c r="E7171" s="8">
        <v>1</v>
      </c>
    </row>
    <row r="7172" spans="1:5" ht="15.75" customHeight="1" x14ac:dyDescent="0.25">
      <c r="A7172" s="6" t="s">
        <v>6907</v>
      </c>
      <c r="B7172" s="6" t="str">
        <f ca="1">IFERROR(__xludf.DUMMYFUNCTION("GOOGLETRANSLATE(A7172,""bn"",""en"")"),"Some say that there is fault with the sahibs")</f>
        <v>Some say that there is fault with the sahibs</v>
      </c>
      <c r="C7172" s="7" t="s">
        <v>6</v>
      </c>
      <c r="D7172" s="7" t="s">
        <v>7</v>
      </c>
      <c r="E7172" s="7">
        <v>0</v>
      </c>
    </row>
    <row r="7173" spans="1:5" ht="15.75" customHeight="1" x14ac:dyDescent="0.25">
      <c r="A7173" s="6" t="s">
        <v>6908</v>
      </c>
      <c r="B7173" s="6" t="str">
        <f ca="1">IFERROR(__xludf.DUMMYFUNCTION("GOOGLETRANSLATE(A7173,""bn"",""en"")"),"I asked him to go to market but he didn't go")</f>
        <v>I asked him to go to market but he didn't go</v>
      </c>
      <c r="C7173" s="7" t="s">
        <v>6</v>
      </c>
      <c r="D7173" s="7" t="s">
        <v>7</v>
      </c>
      <c r="E7173" s="7">
        <v>0</v>
      </c>
    </row>
    <row r="7174" spans="1:5" ht="15.75" customHeight="1" x14ac:dyDescent="0.25">
      <c r="A7174" s="6" t="s">
        <v>6909</v>
      </c>
      <c r="B7174" s="6" t="str">
        <f ca="1">IFERROR(__xludf.DUMMYFUNCTION("GOOGLETRANSLATE(A7174,""bn"",""en"")"),"When Sakhi Abbajan's gray hair is red with henna, this young man's burning heart will be drowned in Tamsa.")</f>
        <v>When Sakhi Abbajan's gray hair is red with henna, this young man's burning heart will be drowned in Tamsa.</v>
      </c>
      <c r="C7174" s="7" t="s">
        <v>6</v>
      </c>
      <c r="D7174" s="7" t="s">
        <v>7</v>
      </c>
      <c r="E7174" s="7">
        <v>0</v>
      </c>
    </row>
    <row r="7175" spans="1:5" ht="15.75" customHeight="1" x14ac:dyDescent="0.25">
      <c r="A7175" s="6" t="s">
        <v>6910</v>
      </c>
      <c r="B7175" s="6" t="str">
        <f ca="1">IFERROR(__xludf.DUMMYFUNCTION("GOOGLETRANSLATE(A7175,""bn"",""en"")"),"I went to their house to visit his sick mother")</f>
        <v>I went to their house to visit his sick mother</v>
      </c>
      <c r="C7175" s="7" t="s">
        <v>6</v>
      </c>
      <c r="D7175" s="7" t="s">
        <v>7</v>
      </c>
      <c r="E7175" s="7">
        <v>0</v>
      </c>
    </row>
    <row r="7176" spans="1:5" ht="15.75" customHeight="1" x14ac:dyDescent="0.25">
      <c r="A7176" s="6" t="s">
        <v>6911</v>
      </c>
      <c r="B7176" s="6" t="str">
        <f ca="1">IFERROR(__xludf.DUMMYFUNCTION("GOOGLETRANSLATE(A7176,""bn"",""en"")"),"He understands what we do not understand")</f>
        <v>He understands what we do not understand</v>
      </c>
      <c r="C7176" s="7" t="s">
        <v>6</v>
      </c>
      <c r="D7176" s="7" t="s">
        <v>7</v>
      </c>
      <c r="E7176" s="7">
        <v>0</v>
      </c>
    </row>
    <row r="7177" spans="1:5" ht="15.75" customHeight="1" x14ac:dyDescent="0.25">
      <c r="A7177" s="6" t="s">
        <v>6912</v>
      </c>
      <c r="B7177" s="6" t="str">
        <f ca="1">IFERROR(__xludf.DUMMYFUNCTION("GOOGLETRANSLATE(A7177,""bn"",""en"")"),"Be consistent for lasting results")</f>
        <v>Be consistent for lasting results</v>
      </c>
      <c r="C7177" s="8" t="s">
        <v>13</v>
      </c>
      <c r="D7177" s="8" t="s">
        <v>14</v>
      </c>
      <c r="E7177" s="8">
        <v>1</v>
      </c>
    </row>
    <row r="7178" spans="1:5" ht="15.75" customHeight="1" x14ac:dyDescent="0.25">
      <c r="A7178" s="6" t="s">
        <v>6913</v>
      </c>
      <c r="B7178" s="6" t="str">
        <f ca="1">IFERROR(__xludf.DUMMYFUNCTION("GOOGLETRANSLATE(A7178,""bn"",""en"")"),"Pitha festival was the main among them")</f>
        <v>Pitha festival was the main among them</v>
      </c>
      <c r="C7178" s="8" t="s">
        <v>13</v>
      </c>
      <c r="D7178" s="8" t="s">
        <v>14</v>
      </c>
      <c r="E7178" s="8">
        <v>1</v>
      </c>
    </row>
    <row r="7179" spans="1:5" ht="15.75" customHeight="1" x14ac:dyDescent="0.25">
      <c r="A7179" s="6" t="s">
        <v>6914</v>
      </c>
      <c r="B7179" s="6" t="str">
        <f ca="1">IFERROR(__xludf.DUMMYFUNCTION("GOOGLETRANSLATE(A7179,""bn"",""en"")"),"About Shamsuddin my cousin")</f>
        <v>About Shamsuddin my cousin</v>
      </c>
      <c r="C7179" s="8" t="s">
        <v>13</v>
      </c>
      <c r="D7179" s="8" t="s">
        <v>14</v>
      </c>
      <c r="E7179" s="8">
        <v>1</v>
      </c>
    </row>
    <row r="7180" spans="1:5" ht="15.75" customHeight="1" x14ac:dyDescent="0.25">
      <c r="A7180" s="6" t="s">
        <v>6915</v>
      </c>
      <c r="B7180" s="6" t="str">
        <f ca="1">IFERROR(__xludf.DUMMYFUNCTION("GOOGLETRANSLATE(A7180,""bn"",""en"")"),"Include variety in your routine")</f>
        <v>Include variety in your routine</v>
      </c>
      <c r="C7180" s="8" t="s">
        <v>13</v>
      </c>
      <c r="D7180" s="8" t="s">
        <v>14</v>
      </c>
      <c r="E7180" s="8">
        <v>1</v>
      </c>
    </row>
    <row r="7181" spans="1:5" ht="15.75" customHeight="1" x14ac:dyDescent="0.25">
      <c r="A7181" s="6" t="s">
        <v>6916</v>
      </c>
      <c r="B7181" s="6" t="str">
        <f ca="1">IFERROR(__xludf.DUMMYFUNCTION("GOOGLETRANSLATE(A7181,""bn"",""en"")"),"Local newspapers provide valuable news coverage of community events")</f>
        <v>Local newspapers provide valuable news coverage of community events</v>
      </c>
      <c r="C7181" s="8" t="s">
        <v>13</v>
      </c>
      <c r="D7181" s="8" t="s">
        <v>14</v>
      </c>
      <c r="E7181" s="8">
        <v>1</v>
      </c>
    </row>
    <row r="7182" spans="1:5" ht="15.75" customHeight="1" x14ac:dyDescent="0.25">
      <c r="A7182" s="6" t="s">
        <v>6917</v>
      </c>
      <c r="B7182" s="6" t="str">
        <f ca="1">IFERROR(__xludf.DUMMYFUNCTION("GOOGLETRANSLATE(A7182,""bn"",""en"")"),"Fatik came and said proudly, ""Look, I'm eating, get up now.""")</f>
        <v>Fatik came and said proudly, "Look, I'm eating, get up now."</v>
      </c>
      <c r="C7182" s="7" t="s">
        <v>6</v>
      </c>
      <c r="D7182" s="7" t="s">
        <v>7</v>
      </c>
      <c r="E7182" s="7">
        <v>0</v>
      </c>
    </row>
    <row r="7183" spans="1:5" ht="15.75" customHeight="1" x14ac:dyDescent="0.25">
      <c r="A7183" s="6" t="s">
        <v>6918</v>
      </c>
      <c r="B7183" s="6" t="str">
        <f ca="1">IFERROR(__xludf.DUMMYFUNCTION("GOOGLETRANSLATE(A7183,""bn"",""en"")"),"Entering the house, the yellow lamp was lit")</f>
        <v>Entering the house, the yellow lamp was lit</v>
      </c>
      <c r="C7183" s="7" t="s">
        <v>6</v>
      </c>
      <c r="D7183" s="7" t="s">
        <v>7</v>
      </c>
      <c r="E7183" s="7">
        <v>0</v>
      </c>
    </row>
    <row r="7184" spans="1:5" ht="15.75" customHeight="1" x14ac:dyDescent="0.25">
      <c r="A7184" s="6" t="s">
        <v>6473</v>
      </c>
      <c r="B7184" s="6" t="str">
        <f ca="1">IFERROR(__xludf.DUMMYFUNCTION("GOOGLETRANSLATE(A7184,""bn"",""en"")"),"No cultivated fields anywhere, no villages, no rivers, no roads, only forests—dense dense forests")</f>
        <v>No cultivated fields anywhere, no villages, no rivers, no roads, only forests—dense dense forests</v>
      </c>
      <c r="C7184" s="7" t="s">
        <v>6</v>
      </c>
      <c r="D7184" s="7" t="s">
        <v>7</v>
      </c>
      <c r="E7184" s="7">
        <v>0</v>
      </c>
    </row>
    <row r="7185" spans="1:5" ht="15.75" customHeight="1" x14ac:dyDescent="0.25">
      <c r="A7185" s="6" t="s">
        <v>6919</v>
      </c>
      <c r="B7185" s="6" t="str">
        <f ca="1">IFERROR(__xludf.DUMMYFUNCTION("GOOGLETRANSLATE(A7185,""bn"",""en"")"),"We do not pay any price for their labor for us")</f>
        <v>We do not pay any price for their labor for us</v>
      </c>
      <c r="C7185" s="7" t="s">
        <v>6</v>
      </c>
      <c r="D7185" s="7" t="s">
        <v>7</v>
      </c>
      <c r="E7185" s="7">
        <v>0</v>
      </c>
    </row>
    <row r="7186" spans="1:5" ht="15.75" customHeight="1" x14ac:dyDescent="0.25">
      <c r="A7186" s="6" t="s">
        <v>6920</v>
      </c>
      <c r="B7186" s="6" t="str">
        <f ca="1">IFERROR(__xludf.DUMMYFUNCTION("GOOGLETRANSLATE(A7186,""bn"",""en"")"),"I gave him a penny and the child dropped it and touched it again")</f>
        <v>I gave him a penny and the child dropped it and touched it again</v>
      </c>
      <c r="C7186" s="7" t="s">
        <v>6</v>
      </c>
      <c r="D7186" s="7" t="s">
        <v>7</v>
      </c>
      <c r="E7186" s="7">
        <v>0</v>
      </c>
    </row>
    <row r="7187" spans="1:5" ht="15.75" customHeight="1" x14ac:dyDescent="0.25">
      <c r="A7187" s="6" t="s">
        <v>6921</v>
      </c>
      <c r="B7187" s="6" t="str">
        <f ca="1">IFERROR(__xludf.DUMMYFUNCTION("GOOGLETRANSLATE(A7187,""bn"",""en"")"),"He was a worshiper of Shiva")</f>
        <v>He was a worshiper of Shiva</v>
      </c>
      <c r="C7187" s="8" t="s">
        <v>13</v>
      </c>
      <c r="D7187" s="8" t="s">
        <v>14</v>
      </c>
      <c r="E7187" s="8">
        <v>1</v>
      </c>
    </row>
    <row r="7188" spans="1:5" ht="15.75" customHeight="1" x14ac:dyDescent="0.25">
      <c r="A7188" s="6" t="s">
        <v>6922</v>
      </c>
      <c r="B7188" s="6" t="str">
        <f ca="1">IFERROR(__xludf.DUMMYFUNCTION("GOOGLETRANSLATE(A7188,""bn"",""en"")"),"Walk up stairs for leg strength")</f>
        <v>Walk up stairs for leg strength</v>
      </c>
      <c r="C7188" s="8" t="s">
        <v>13</v>
      </c>
      <c r="D7188" s="8" t="s">
        <v>14</v>
      </c>
      <c r="E7188" s="8">
        <v>1</v>
      </c>
    </row>
    <row r="7189" spans="1:5" ht="15.75" customHeight="1" x14ac:dyDescent="0.25">
      <c r="A7189" s="6" t="s">
        <v>6923</v>
      </c>
      <c r="B7189" s="6" t="str">
        <f ca="1">IFERROR(__xludf.DUMMYFUNCTION("GOOGLETRANSLATE(A7189,""bn"",""en"")"),"The transaction was canceled at the last moment")</f>
        <v>The transaction was canceled at the last moment</v>
      </c>
      <c r="C7189" s="8" t="s">
        <v>13</v>
      </c>
      <c r="D7189" s="8" t="s">
        <v>14</v>
      </c>
      <c r="E7189" s="8">
        <v>1</v>
      </c>
    </row>
    <row r="7190" spans="1:5" ht="15.75" customHeight="1" x14ac:dyDescent="0.25">
      <c r="A7190" s="6" t="s">
        <v>6924</v>
      </c>
      <c r="B7190" s="6" t="str">
        <f ca="1">IFERROR(__xludf.DUMMYFUNCTION("GOOGLETRANSLATE(A7190,""bn"",""en"")"),"We went in there together")</f>
        <v>We went in there together</v>
      </c>
      <c r="C7190" s="8" t="s">
        <v>13</v>
      </c>
      <c r="D7190" s="8" t="s">
        <v>14</v>
      </c>
      <c r="E7190" s="8">
        <v>1</v>
      </c>
    </row>
    <row r="7191" spans="1:5" ht="15.75" customHeight="1" x14ac:dyDescent="0.25">
      <c r="A7191" s="6" t="s">
        <v>6925</v>
      </c>
      <c r="B7191" s="6" t="str">
        <f ca="1">IFERROR(__xludf.DUMMYFUNCTION("GOOGLETRANSLATE(A7191,""bn"",""en"")"),"The bus driver was kind enough to wait for me as I ran to catch it")</f>
        <v>The bus driver was kind enough to wait for me as I ran to catch it</v>
      </c>
      <c r="C7191" s="8" t="s">
        <v>13</v>
      </c>
      <c r="D7191" s="8" t="s">
        <v>14</v>
      </c>
      <c r="E7191" s="8">
        <v>1</v>
      </c>
    </row>
    <row r="7192" spans="1:5" ht="15.75" customHeight="1" x14ac:dyDescent="0.25">
      <c r="A7192" s="6" t="s">
        <v>6926</v>
      </c>
      <c r="B7192" s="6" t="str">
        <f ca="1">IFERROR(__xludf.DUMMYFUNCTION("GOOGLETRANSLATE(A7192,""bn"",""en"")"),"The old man was sitting on the side of the road with the stick in his hand")</f>
        <v>The old man was sitting on the side of the road with the stick in his hand</v>
      </c>
      <c r="C7192" s="7" t="s">
        <v>6</v>
      </c>
      <c r="D7192" s="7" t="s">
        <v>7</v>
      </c>
      <c r="E7192" s="7">
        <v>0</v>
      </c>
    </row>
    <row r="7193" spans="1:5" ht="15.75" customHeight="1" x14ac:dyDescent="0.25">
      <c r="A7193" s="6" t="s">
        <v>6927</v>
      </c>
      <c r="B7193" s="6" t="str">
        <f ca="1">IFERROR(__xludf.DUMMYFUNCTION("GOOGLETRANSLATE(A7193,""bn"",""en"")"),"He sternly asked me a question which I failed to answer.")</f>
        <v>He sternly asked me a question which I failed to answer.</v>
      </c>
      <c r="C7193" s="7" t="s">
        <v>6</v>
      </c>
      <c r="D7193" s="7" t="s">
        <v>7</v>
      </c>
      <c r="E7193" s="7">
        <v>0</v>
      </c>
    </row>
    <row r="7194" spans="1:5" ht="15.75" customHeight="1" x14ac:dyDescent="0.25">
      <c r="A7194" s="6" t="s">
        <v>6928</v>
      </c>
      <c r="B7194" s="6" t="str">
        <f ca="1">IFERROR(__xludf.DUMMYFUNCTION("GOOGLETRANSLATE(A7194,""bn"",""en"")"),"A picture of the self-centered narrow life of a village householder was the limit of his imagination of future life.")</f>
        <v>A picture of the self-centered narrow life of a village householder was the limit of his imagination of future life.</v>
      </c>
      <c r="C7194" s="7" t="s">
        <v>6</v>
      </c>
      <c r="D7194" s="7" t="s">
        <v>7</v>
      </c>
      <c r="E7194" s="7">
        <v>0</v>
      </c>
    </row>
    <row r="7195" spans="1:5" ht="15.75" customHeight="1" x14ac:dyDescent="0.25">
      <c r="A7195" s="6" t="s">
        <v>6929</v>
      </c>
      <c r="B7195" s="6" t="str">
        <f ca="1">IFERROR(__xludf.DUMMYFUNCTION("GOOGLETRANSLATE(A7195,""bn"",""en"")"),"Those who have enough saints who have become saints by reading the dictionary")</f>
        <v>Those who have enough saints who have become saints by reading the dictionary</v>
      </c>
      <c r="C7195" s="7" t="s">
        <v>6</v>
      </c>
      <c r="D7195" s="7" t="s">
        <v>7</v>
      </c>
      <c r="E7195" s="7">
        <v>0</v>
      </c>
    </row>
    <row r="7196" spans="1:5" ht="15.75" customHeight="1" x14ac:dyDescent="0.25">
      <c r="A7196" s="6" t="s">
        <v>6930</v>
      </c>
      <c r="B7196" s="6" t="str">
        <f ca="1">IFERROR(__xludf.DUMMYFUNCTION("GOOGLETRANSLATE(A7196,""bn"",""en"")"),"If anyone is reluctant to read Palamau, I will tell you how, as Palamau still has a lot to say.")</f>
        <v>If anyone is reluctant to read Palamau, I will tell you how, as Palamau still has a lot to say.</v>
      </c>
      <c r="C7196" s="7" t="s">
        <v>6</v>
      </c>
      <c r="D7196" s="7" t="s">
        <v>7</v>
      </c>
      <c r="E7196" s="7">
        <v>0</v>
      </c>
    </row>
    <row r="7197" spans="1:5" ht="15.75" customHeight="1" x14ac:dyDescent="0.25">
      <c r="A7197" s="6" t="s">
        <v>6931</v>
      </c>
      <c r="B7197" s="6" t="str">
        <f ca="1">IFERROR(__xludf.DUMMYFUNCTION("GOOGLETRANSLATE(A7197,""bn"",""en"")"),"I am thankful for my parents")</f>
        <v>I am thankful for my parents</v>
      </c>
      <c r="C7197" s="8" t="s">
        <v>13</v>
      </c>
      <c r="D7197" s="8" t="s">
        <v>14</v>
      </c>
      <c r="E7197" s="8">
        <v>1</v>
      </c>
    </row>
    <row r="7198" spans="1:5" ht="15.75" customHeight="1" x14ac:dyDescent="0.25">
      <c r="A7198" s="6" t="s">
        <v>5225</v>
      </c>
      <c r="B7198" s="6" t="str">
        <f ca="1">IFERROR(__xludf.DUMMYFUNCTION("GOOGLETRANSLATE(A7198,""bn"",""en"")"),"A very simple breakfast was served")</f>
        <v>A very simple breakfast was served</v>
      </c>
      <c r="C7198" s="8" t="s">
        <v>13</v>
      </c>
      <c r="D7198" s="8" t="s">
        <v>14</v>
      </c>
      <c r="E7198" s="8">
        <v>1</v>
      </c>
    </row>
    <row r="7199" spans="1:5" ht="15.75" customHeight="1" x14ac:dyDescent="0.25">
      <c r="A7199" s="6" t="s">
        <v>6932</v>
      </c>
      <c r="B7199" s="6" t="str">
        <f ca="1">IFERROR(__xludf.DUMMYFUNCTION("GOOGLETRANSLATE(A7199,""bn"",""en"")"),"Feeling overwhelmed by responsibility brings stress")</f>
        <v>Feeling overwhelmed by responsibility brings stress</v>
      </c>
      <c r="C7199" s="8" t="s">
        <v>13</v>
      </c>
      <c r="D7199" s="8" t="s">
        <v>14</v>
      </c>
      <c r="E7199" s="8">
        <v>1</v>
      </c>
    </row>
    <row r="7200" spans="1:5" ht="15.75" customHeight="1" x14ac:dyDescent="0.25">
      <c r="A7200" s="6" t="s">
        <v>6933</v>
      </c>
      <c r="B7200" s="6" t="str">
        <f ca="1">IFERROR(__xludf.DUMMYFUNCTION("GOOGLETRANSLATE(A7200,""bn"",""en"")"),"Then his guards started beating him")</f>
        <v>Then his guards started beating him</v>
      </c>
      <c r="C7200" s="8" t="s">
        <v>13</v>
      </c>
      <c r="D7200" s="8" t="s">
        <v>14</v>
      </c>
      <c r="E7200" s="8">
        <v>1</v>
      </c>
    </row>
    <row r="7201" spans="1:5" ht="15.75" customHeight="1" x14ac:dyDescent="0.25">
      <c r="A7201" s="6" t="s">
        <v>6934</v>
      </c>
      <c r="B7201" s="6" t="str">
        <f ca="1">IFERROR(__xludf.DUMMYFUNCTION("GOOGLETRANSLATE(A7201,""bn"",""en"")"),"A veterinary assistant assisted in restraining the animals during the experiment")</f>
        <v>A veterinary assistant assisted in restraining the animals during the experiment</v>
      </c>
      <c r="C7201" s="8" t="s">
        <v>13</v>
      </c>
      <c r="D7201" s="8" t="s">
        <v>14</v>
      </c>
      <c r="E7201" s="8">
        <v>1</v>
      </c>
    </row>
    <row r="7202" spans="1:5" ht="15.75" customHeight="1" x14ac:dyDescent="0.25">
      <c r="A7202" s="6" t="s">
        <v>6935</v>
      </c>
      <c r="B7202" s="6" t="str">
        <f ca="1">IFERROR(__xludf.DUMMYFUNCTION("GOOGLETRANSLATE(A7202,""bn"",""en"")"),"I will remember today's story")</f>
        <v>I will remember today's story</v>
      </c>
      <c r="C7202" s="7" t="s">
        <v>6</v>
      </c>
      <c r="D7202" s="7" t="s">
        <v>7</v>
      </c>
      <c r="E7202" s="7">
        <v>0</v>
      </c>
    </row>
    <row r="7203" spans="1:5" ht="15.75" customHeight="1" x14ac:dyDescent="0.25">
      <c r="A7203" s="6" t="s">
        <v>6936</v>
      </c>
      <c r="B7203" s="6" t="str">
        <f ca="1">IFERROR(__xludf.DUMMYFUNCTION("GOOGLETRANSLATE(A7203,""bn"",""en"")"),"It has nothing to do with your family")</f>
        <v>It has nothing to do with your family</v>
      </c>
      <c r="C7203" s="7" t="s">
        <v>6</v>
      </c>
      <c r="D7203" s="7" t="s">
        <v>7</v>
      </c>
      <c r="E7203" s="7">
        <v>0</v>
      </c>
    </row>
    <row r="7204" spans="1:5" ht="15.75" customHeight="1" x14ac:dyDescent="0.25">
      <c r="A7204" s="6" t="s">
        <v>2561</v>
      </c>
      <c r="B7204" s="6" t="str">
        <f ca="1">IFERROR(__xludf.DUMMYFUNCTION("GOOGLETRANSLATE(A7204,""bn"",""en"")"),"Accordingly I went to Natshir")</f>
        <v>Accordingly I went to Natshir</v>
      </c>
      <c r="C7204" s="7" t="s">
        <v>6</v>
      </c>
      <c r="D7204" s="7" t="s">
        <v>7</v>
      </c>
      <c r="E7204" s="7">
        <v>0</v>
      </c>
    </row>
    <row r="7205" spans="1:5" ht="15.75" customHeight="1" x14ac:dyDescent="0.25">
      <c r="A7205" s="6" t="s">
        <v>6937</v>
      </c>
      <c r="B7205" s="6" t="str">
        <f ca="1">IFERROR(__xludf.DUMMYFUNCTION("GOOGLETRANSLATE(A7205,""bn"",""en"")"),"At once I praise him greatly")</f>
        <v>At once I praise him greatly</v>
      </c>
      <c r="C7205" s="7" t="s">
        <v>6</v>
      </c>
      <c r="D7205" s="7" t="s">
        <v>7</v>
      </c>
      <c r="E7205" s="7">
        <v>0</v>
      </c>
    </row>
    <row r="7206" spans="1:5" ht="15.75" customHeight="1" x14ac:dyDescent="0.25">
      <c r="A7206" s="6" t="s">
        <v>6938</v>
      </c>
      <c r="B7206" s="6" t="str">
        <f ca="1">IFERROR(__xludf.DUMMYFUNCTION("GOOGLETRANSLATE(A7206,""bn"",""en"")"),"He went fishing in their pond")</f>
        <v>He went fishing in their pond</v>
      </c>
      <c r="C7206" s="7" t="s">
        <v>6</v>
      </c>
      <c r="D7206" s="7" t="s">
        <v>7</v>
      </c>
      <c r="E7206" s="7">
        <v>0</v>
      </c>
    </row>
    <row r="7207" spans="1:5" ht="15.75" customHeight="1" x14ac:dyDescent="0.25">
      <c r="A7207" s="6" t="s">
        <v>6939</v>
      </c>
      <c r="B7207" s="6" t="str">
        <f ca="1">IFERROR(__xludf.DUMMYFUNCTION("GOOGLETRANSLATE(A7207,""bn"",""en"")"),"Vulnerability is the key to authentically embracing those deep connections")</f>
        <v>Vulnerability is the key to authentically embracing those deep connections</v>
      </c>
      <c r="C7207" s="8" t="s">
        <v>13</v>
      </c>
      <c r="D7207" s="8" t="s">
        <v>14</v>
      </c>
      <c r="E7207" s="8">
        <v>1</v>
      </c>
    </row>
    <row r="7208" spans="1:5" ht="15.75" customHeight="1" x14ac:dyDescent="0.25">
      <c r="A7208" s="6" t="s">
        <v>6940</v>
      </c>
      <c r="B7208" s="6" t="str">
        <f ca="1">IFERROR(__xludf.DUMMYFUNCTION("GOOGLETRANSLATE(A7208,""bn"",""en"")"),"The chef prepared a delicious meal for the restaurant guests")</f>
        <v>The chef prepared a delicious meal for the restaurant guests</v>
      </c>
      <c r="C7208" s="8" t="s">
        <v>13</v>
      </c>
      <c r="D7208" s="8" t="s">
        <v>14</v>
      </c>
      <c r="E7208" s="8">
        <v>1</v>
      </c>
    </row>
    <row r="7209" spans="1:5" ht="15.75" customHeight="1" x14ac:dyDescent="0.25">
      <c r="A7209" s="6" t="s">
        <v>6941</v>
      </c>
      <c r="B7209" s="6" t="str">
        <f ca="1">IFERROR(__xludf.DUMMYFUNCTION("GOOGLETRANSLATE(A7209,""bn"",""en"")"),"Follow us for updates")</f>
        <v>Follow us for updates</v>
      </c>
      <c r="C7209" s="8" t="s">
        <v>13</v>
      </c>
      <c r="D7209" s="8" t="s">
        <v>14</v>
      </c>
      <c r="E7209" s="8">
        <v>1</v>
      </c>
    </row>
    <row r="7210" spans="1:5" ht="15.75" customHeight="1" x14ac:dyDescent="0.25">
      <c r="A7210" s="6" t="s">
        <v>6942</v>
      </c>
      <c r="B7210" s="6" t="str">
        <f ca="1">IFERROR(__xludf.DUMMYFUNCTION("GOOGLETRANSLATE(A7210,""bn"",""en"")"),"Navigating uncertainty makes me feel anxious")</f>
        <v>Navigating uncertainty makes me feel anxious</v>
      </c>
      <c r="C7210" s="8" t="s">
        <v>13</v>
      </c>
      <c r="D7210" s="8" t="s">
        <v>14</v>
      </c>
      <c r="E7210" s="8">
        <v>1</v>
      </c>
    </row>
    <row r="7211" spans="1:5" ht="15.75" customHeight="1" x14ac:dyDescent="0.25">
      <c r="A7211" s="6" t="s">
        <v>6943</v>
      </c>
      <c r="B7211" s="6" t="str">
        <f ca="1">IFERROR(__xludf.DUMMYFUNCTION("GOOGLETRANSLATE(A7211,""bn"",""en"")"),"Shanta tied the thief")</f>
        <v>Shanta tied the thief</v>
      </c>
      <c r="C7211" s="8" t="s">
        <v>13</v>
      </c>
      <c r="D7211" s="8" t="s">
        <v>14</v>
      </c>
      <c r="E7211" s="8">
        <v>1</v>
      </c>
    </row>
    <row r="7212" spans="1:5" ht="15.75" customHeight="1" x14ac:dyDescent="0.25">
      <c r="A7212" s="6" t="s">
        <v>6944</v>
      </c>
      <c r="B7212" s="6" t="str">
        <f ca="1">IFERROR(__xludf.DUMMYFUNCTION("GOOGLETRANSLATE(A7212,""bn"",""en"")"),"By overcoming the odds, he has been able to reach the ultimate root of success today")</f>
        <v>By overcoming the odds, he has been able to reach the ultimate root of success today</v>
      </c>
      <c r="C7212" s="7" t="s">
        <v>6</v>
      </c>
      <c r="D7212" s="7" t="s">
        <v>7</v>
      </c>
      <c r="E7212" s="7">
        <v>0</v>
      </c>
    </row>
    <row r="7213" spans="1:5" ht="15.75" customHeight="1" x14ac:dyDescent="0.25">
      <c r="A7213" s="6" t="s">
        <v>6549</v>
      </c>
      <c r="B7213" s="6" t="str">
        <f ca="1">IFERROR(__xludf.DUMMYFUNCTION("GOOGLETRANSLATE(A7213,""bn"",""en"")"),"No one saw who or what was inside the palanquin")</f>
        <v>No one saw who or what was inside the palanquin</v>
      </c>
      <c r="C7213" s="7" t="s">
        <v>6</v>
      </c>
      <c r="D7213" s="7" t="s">
        <v>7</v>
      </c>
      <c r="E7213" s="7">
        <v>0</v>
      </c>
    </row>
    <row r="7214" spans="1:5" ht="15.75" customHeight="1" x14ac:dyDescent="0.25">
      <c r="A7214" s="6" t="s">
        <v>6945</v>
      </c>
      <c r="B7214" s="6" t="str">
        <f ca="1">IFERROR(__xludf.DUMMYFUNCTION("GOOGLETRANSLATE(A7214,""bn"",""en"")"),"did you go out at night")</f>
        <v>did you go out at night</v>
      </c>
      <c r="C7214" s="7" t="s">
        <v>6</v>
      </c>
      <c r="D7214" s="7" t="s">
        <v>7</v>
      </c>
      <c r="E7214" s="7">
        <v>0</v>
      </c>
    </row>
    <row r="7215" spans="1:5" ht="15.75" customHeight="1" x14ac:dyDescent="0.25">
      <c r="A7215" s="6" t="s">
        <v>6946</v>
      </c>
      <c r="B7215" s="6" t="str">
        <f ca="1">IFERROR(__xludf.DUMMYFUNCTION("GOOGLETRANSLATE(A7215,""bn"",""en"")"),"All others are incompetent they can't show the percentage of the pot even if they talk a hundred words")</f>
        <v>All others are incompetent they can't show the percentage of the pot even if they talk a hundred words</v>
      </c>
      <c r="C7215" s="7" t="s">
        <v>6</v>
      </c>
      <c r="D7215" s="7" t="s">
        <v>7</v>
      </c>
      <c r="E7215" s="7">
        <v>0</v>
      </c>
    </row>
    <row r="7216" spans="1:5" ht="15.75" customHeight="1" x14ac:dyDescent="0.25">
      <c r="A7216" s="6" t="s">
        <v>5264</v>
      </c>
      <c r="B7216" s="6" t="str">
        <f ca="1">IFERROR(__xludf.DUMMYFUNCTION("GOOGLETRANSLATE(A7216,""bn"",""en"")"),"All the women came running to see my palanquin")</f>
        <v>All the women came running to see my palanquin</v>
      </c>
      <c r="C7216" s="7" t="s">
        <v>6</v>
      </c>
      <c r="D7216" s="7" t="s">
        <v>7</v>
      </c>
      <c r="E7216" s="7">
        <v>0</v>
      </c>
    </row>
    <row r="7217" spans="1:5" ht="15.75" customHeight="1" x14ac:dyDescent="0.25">
      <c r="A7217" s="6" t="s">
        <v>6947</v>
      </c>
      <c r="B7217" s="6" t="str">
        <f ca="1">IFERROR(__xludf.DUMMYFUNCTION("GOOGLETRANSLATE(A7217,""bn"",""en"")"),"Yet Ertazuddin is standing")</f>
        <v>Yet Ertazuddin is standing</v>
      </c>
      <c r="C7217" s="8" t="s">
        <v>13</v>
      </c>
      <c r="D7217" s="8" t="s">
        <v>14</v>
      </c>
      <c r="E7217" s="8">
        <v>1</v>
      </c>
    </row>
    <row r="7218" spans="1:5" ht="15.75" customHeight="1" x14ac:dyDescent="0.25">
      <c r="A7218" s="6" t="s">
        <v>6948</v>
      </c>
      <c r="B7218" s="6" t="str">
        <f ca="1">IFERROR(__xludf.DUMMYFUNCTION("GOOGLETRANSLATE(A7218,""bn"",""en"")"),"Saving for retirement should be a priority for everyone, regardless of age or income level")</f>
        <v>Saving for retirement should be a priority for everyone, regardless of age or income level</v>
      </c>
      <c r="C7218" s="8" t="s">
        <v>13</v>
      </c>
      <c r="D7218" s="8" t="s">
        <v>14</v>
      </c>
      <c r="E7218" s="8">
        <v>1</v>
      </c>
    </row>
    <row r="7219" spans="1:5" ht="15.75" customHeight="1" x14ac:dyDescent="0.25">
      <c r="A7219" s="6" t="s">
        <v>6949</v>
      </c>
      <c r="B7219" s="6" t="str">
        <f ca="1">IFERROR(__xludf.DUMMYFUNCTION("GOOGLETRANSLATE(A7219,""bn"",""en"")"),"Engaging in adventurous activities can boost confidence and self-esteem")</f>
        <v>Engaging in adventurous activities can boost confidence and self-esteem</v>
      </c>
      <c r="C7219" s="8" t="s">
        <v>13</v>
      </c>
      <c r="D7219" s="8" t="s">
        <v>14</v>
      </c>
      <c r="E7219" s="8">
        <v>1</v>
      </c>
    </row>
    <row r="7220" spans="1:5" ht="15.75" customHeight="1" x14ac:dyDescent="0.25">
      <c r="A7220" s="6" t="s">
        <v>6950</v>
      </c>
      <c r="B7220" s="6" t="str">
        <f ca="1">IFERROR(__xludf.DUMMYFUNCTION("GOOGLETRANSLATE(A7220,""bn"",""en"")"),"A flock of geese flew overhead with their honking calls ushering in the changing seasons")</f>
        <v>A flock of geese flew overhead with their honking calls ushering in the changing seasons</v>
      </c>
      <c r="C7220" s="8" t="s">
        <v>13</v>
      </c>
      <c r="D7220" s="8" t="s">
        <v>14</v>
      </c>
      <c r="E7220" s="8">
        <v>1</v>
      </c>
    </row>
    <row r="7221" spans="1:5" ht="15.75" customHeight="1" x14ac:dyDescent="0.25">
      <c r="A7221" s="6" t="s">
        <v>6951</v>
      </c>
      <c r="B7221" s="6" t="str">
        <f ca="1">IFERROR(__xludf.DUMMYFUNCTION("GOOGLETRANSLATE(A7221,""bn"",""en"")"),"Rumi went to Dhaka and traveled a lot")</f>
        <v>Rumi went to Dhaka and traveled a lot</v>
      </c>
      <c r="C7221" s="8" t="s">
        <v>13</v>
      </c>
      <c r="D7221" s="8" t="s">
        <v>14</v>
      </c>
      <c r="E7221" s="8">
        <v>1</v>
      </c>
    </row>
    <row r="7222" spans="1:5" ht="15.75" customHeight="1" x14ac:dyDescent="0.25">
      <c r="A7222" s="6" t="s">
        <v>6952</v>
      </c>
      <c r="B7222" s="6" t="str">
        <f ca="1">IFERROR(__xludf.DUMMYFUNCTION("GOOGLETRANSLATE(A7222,""bn"",""en"")"),"Who took a shell in his chest and kept it intact")</f>
        <v>Who took a shell in his chest and kept it intact</v>
      </c>
      <c r="C7222" s="7" t="s">
        <v>6</v>
      </c>
      <c r="D7222" s="7" t="s">
        <v>7</v>
      </c>
      <c r="E7222" s="7">
        <v>0</v>
      </c>
    </row>
    <row r="7223" spans="1:5" ht="15.75" customHeight="1" x14ac:dyDescent="0.25">
      <c r="A7223" s="6" t="s">
        <v>6953</v>
      </c>
      <c r="B7223" s="6" t="str">
        <f ca="1">IFERROR(__xludf.DUMMYFUNCTION("GOOGLETRANSLATE(A7223,""bn"",""en"")"),"The darkness remained silent looking at the water of the sky")</f>
        <v>The darkness remained silent looking at the water of the sky</v>
      </c>
      <c r="C7223" s="7" t="s">
        <v>6</v>
      </c>
      <c r="D7223" s="7" t="s">
        <v>7</v>
      </c>
      <c r="E7223" s="7">
        <v>0</v>
      </c>
    </row>
    <row r="7224" spans="1:5" ht="15.75" customHeight="1" x14ac:dyDescent="0.25">
      <c r="A7224" s="6" t="s">
        <v>6954</v>
      </c>
      <c r="B7224" s="6" t="str">
        <f ca="1">IFERROR(__xludf.DUMMYFUNCTION("GOOGLETRANSLATE(A7224,""bn"",""en"")"),"Shakib went to the mosque and prayed")</f>
        <v>Shakib went to the mosque and prayed</v>
      </c>
      <c r="C7224" s="7" t="s">
        <v>6</v>
      </c>
      <c r="D7224" s="7" t="s">
        <v>7</v>
      </c>
      <c r="E7224" s="7">
        <v>0</v>
      </c>
    </row>
    <row r="7225" spans="1:5" ht="15.75" customHeight="1" x14ac:dyDescent="0.25">
      <c r="A7225" s="6" t="s">
        <v>2688</v>
      </c>
      <c r="B7225" s="6" t="str">
        <f ca="1">IFERROR(__xludf.DUMMYFUNCTION("GOOGLETRANSLATE(A7225,""bn"",""en"")"),"All the mountains and valleys seemed to be covered with thick hair like a cloud.")</f>
        <v>All the mountains and valleys seemed to be covered with thick hair like a cloud.</v>
      </c>
      <c r="C7225" s="7" t="s">
        <v>6</v>
      </c>
      <c r="D7225" s="7" t="s">
        <v>7</v>
      </c>
      <c r="E7225" s="7">
        <v>0</v>
      </c>
    </row>
    <row r="7226" spans="1:5" ht="15.75" customHeight="1" x14ac:dyDescent="0.25">
      <c r="A7226" s="6" t="s">
        <v>6955</v>
      </c>
      <c r="B7226" s="6" t="str">
        <f ca="1">IFERROR(__xludf.DUMMYFUNCTION("GOOGLETRANSLATE(A7226,""bn"",""en"")"),"He suddenly thought that he was not angry")</f>
        <v>He suddenly thought that he was not angry</v>
      </c>
      <c r="C7226" s="7" t="s">
        <v>6</v>
      </c>
      <c r="D7226" s="7" t="s">
        <v>7</v>
      </c>
      <c r="E7226" s="7">
        <v>0</v>
      </c>
    </row>
    <row r="7227" spans="1:5" ht="15.75" customHeight="1" x14ac:dyDescent="0.25">
      <c r="A7227" s="6" t="s">
        <v>6956</v>
      </c>
      <c r="B7227" s="6" t="str">
        <f ca="1">IFERROR(__xludf.DUMMYFUNCTION("GOOGLETRANSLATE(A7227,""bn"",""en"")"),"Integrated farming systems recycle nutrients between crop livestock for sustainable productivity")</f>
        <v>Integrated farming systems recycle nutrients between crop livestock for sustainable productivity</v>
      </c>
      <c r="C7227" s="8" t="s">
        <v>13</v>
      </c>
      <c r="D7227" s="8" t="s">
        <v>14</v>
      </c>
      <c r="E7227" s="8">
        <v>1</v>
      </c>
    </row>
    <row r="7228" spans="1:5" ht="15.75" customHeight="1" x14ac:dyDescent="0.25">
      <c r="A7228" s="6" t="s">
        <v>6957</v>
      </c>
      <c r="B7228" s="6" t="str">
        <f ca="1">IFERROR(__xludf.DUMMYFUNCTION("GOOGLETRANSLATE(A7228,""bn"",""en"")"),"The girl helped the beggar that day")</f>
        <v>The girl helped the beggar that day</v>
      </c>
      <c r="C7228" s="8" t="s">
        <v>13</v>
      </c>
      <c r="D7228" s="8" t="s">
        <v>14</v>
      </c>
      <c r="E7228" s="8">
        <v>1</v>
      </c>
    </row>
    <row r="7229" spans="1:5" ht="15.75" customHeight="1" x14ac:dyDescent="0.25">
      <c r="A7229" s="6" t="s">
        <v>6958</v>
      </c>
      <c r="B7229" s="6" t="str">
        <f ca="1">IFERROR(__xludf.DUMMYFUNCTION("GOOGLETRANSLATE(A7229,""bn"",""en"")"),"He is widely praised for his original poems")</f>
        <v>He is widely praised for his original poems</v>
      </c>
      <c r="C7229" s="8" t="s">
        <v>13</v>
      </c>
      <c r="D7229" s="8" t="s">
        <v>14</v>
      </c>
      <c r="E7229" s="8">
        <v>1</v>
      </c>
    </row>
    <row r="7230" spans="1:5" ht="15.75" customHeight="1" x14ac:dyDescent="0.25">
      <c r="A7230" s="6" t="s">
        <v>6959</v>
      </c>
      <c r="B7230" s="6" t="str">
        <f ca="1">IFERROR(__xludf.DUMMYFUNCTION("GOOGLETRANSLATE(A7230,""bn"",""en"")"),"The newspaper's international section provides insight into global affairs")</f>
        <v>The newspaper's international section provides insight into global affairs</v>
      </c>
      <c r="C7230" s="8" t="s">
        <v>13</v>
      </c>
      <c r="D7230" s="8" t="s">
        <v>14</v>
      </c>
      <c r="E7230" s="8">
        <v>1</v>
      </c>
    </row>
    <row r="7231" spans="1:5" ht="15.75" customHeight="1" x14ac:dyDescent="0.25">
      <c r="A7231" s="6" t="s">
        <v>6960</v>
      </c>
      <c r="B7231" s="6" t="str">
        <f ca="1">IFERROR(__xludf.DUMMYFUNCTION("GOOGLETRANSLATE(A7231,""bn"",""en"")"),"Surround yourself with positivity and distance yourself from negativity")</f>
        <v>Surround yourself with positivity and distance yourself from negativity</v>
      </c>
      <c r="C7231" s="8" t="s">
        <v>13</v>
      </c>
      <c r="D7231" s="8" t="s">
        <v>14</v>
      </c>
      <c r="E7231" s="8">
        <v>1</v>
      </c>
    </row>
    <row r="7232" spans="1:5" ht="15.75" customHeight="1" x14ac:dyDescent="0.25">
      <c r="A7232" s="6" t="s">
        <v>6961</v>
      </c>
      <c r="B7232" s="6" t="str">
        <f ca="1">IFERROR(__xludf.DUMMYFUNCTION("GOOGLETRANSLATE(A7232,""bn"",""en"")"),"I had to do this new job while maintaining my daily routine")</f>
        <v>I had to do this new job while maintaining my daily routine</v>
      </c>
      <c r="C7232" s="7" t="s">
        <v>6</v>
      </c>
      <c r="D7232" s="7" t="s">
        <v>7</v>
      </c>
      <c r="E7232" s="7">
        <v>0</v>
      </c>
    </row>
    <row r="7233" spans="1:5" ht="15.75" customHeight="1" x14ac:dyDescent="0.25">
      <c r="A7233" s="6" t="s">
        <v>6962</v>
      </c>
      <c r="B7233" s="6" t="str">
        <f ca="1">IFERROR(__xludf.DUMMYFUNCTION("GOOGLETRANSLATE(A7233,""bn"",""en"")"),"Immediately there was a big smile")</f>
        <v>Immediately there was a big smile</v>
      </c>
      <c r="C7233" s="7" t="s">
        <v>6</v>
      </c>
      <c r="D7233" s="7" t="s">
        <v>7</v>
      </c>
      <c r="E7233" s="7">
        <v>0</v>
      </c>
    </row>
    <row r="7234" spans="1:5" ht="15.75" customHeight="1" x14ac:dyDescent="0.25">
      <c r="A7234" s="6" t="s">
        <v>6963</v>
      </c>
      <c r="B7234" s="6" t="str">
        <f ca="1">IFERROR(__xludf.DUMMYFUNCTION("GOOGLETRANSLATE(A7234,""bn"",""en"")"),"Such uncertainty cannot be left for long")</f>
        <v>Such uncertainty cannot be left for long</v>
      </c>
      <c r="C7234" s="7" t="s">
        <v>6</v>
      </c>
      <c r="D7234" s="7" t="s">
        <v>7</v>
      </c>
      <c r="E7234" s="7">
        <v>0</v>
      </c>
    </row>
    <row r="7235" spans="1:5" ht="15.75" customHeight="1" x14ac:dyDescent="0.25">
      <c r="A7235" s="6" t="s">
        <v>6964</v>
      </c>
      <c r="B7235" s="6" t="str">
        <f ca="1">IFERROR(__xludf.DUMMYFUNCTION("GOOGLETRANSLATE(A7235,""bn"",""en"")"),"Did you read my story?")</f>
        <v>Did you read my story?</v>
      </c>
      <c r="C7235" s="7" t="s">
        <v>6</v>
      </c>
      <c r="D7235" s="7" t="s">
        <v>7</v>
      </c>
      <c r="E7235" s="7">
        <v>0</v>
      </c>
    </row>
    <row r="7236" spans="1:5" ht="15.75" customHeight="1" x14ac:dyDescent="0.25">
      <c r="A7236" s="6" t="s">
        <v>6965</v>
      </c>
      <c r="B7236" s="6" t="str">
        <f ca="1">IFERROR(__xludf.DUMMYFUNCTION("GOOGLETRANSLATE(A7236,""bn"",""en"")"),"Then the mind trembles with pleasure - but for what reason this pleasure is not understood")</f>
        <v>Then the mind trembles with pleasure - but for what reason this pleasure is not understood</v>
      </c>
      <c r="C7236" s="7" t="s">
        <v>6</v>
      </c>
      <c r="D7236" s="7" t="s">
        <v>7</v>
      </c>
      <c r="E7236" s="7">
        <v>0</v>
      </c>
    </row>
    <row r="7237" spans="1:5" ht="15.75" customHeight="1" x14ac:dyDescent="0.25">
      <c r="A7237" s="6" t="s">
        <v>6966</v>
      </c>
      <c r="B7237" s="6" t="str">
        <f ca="1">IFERROR(__xludf.DUMMYFUNCTION("GOOGLETRANSLATE(A7237,""bn"",""en"")"),"Surround yourself with supportive uplifting people")</f>
        <v>Surround yourself with supportive uplifting people</v>
      </c>
      <c r="C7237" s="8" t="s">
        <v>13</v>
      </c>
      <c r="D7237" s="8" t="s">
        <v>14</v>
      </c>
      <c r="E7237" s="8">
        <v>1</v>
      </c>
    </row>
    <row r="7238" spans="1:5" ht="15.75" customHeight="1" x14ac:dyDescent="0.25">
      <c r="A7238" s="6" t="s">
        <v>6967</v>
      </c>
      <c r="B7238" s="6" t="str">
        <f ca="1">IFERROR(__xludf.DUMMYFUNCTION("GOOGLETRANSLATE(A7238,""bn"",""en"")"),"I let him read my story book")</f>
        <v>I let him read my story book</v>
      </c>
      <c r="C7238" s="8" t="s">
        <v>13</v>
      </c>
      <c r="D7238" s="8" t="s">
        <v>14</v>
      </c>
      <c r="E7238" s="8">
        <v>1</v>
      </c>
    </row>
    <row r="7239" spans="1:5" ht="15.75" customHeight="1" x14ac:dyDescent="0.25">
      <c r="A7239" s="6" t="s">
        <v>6968</v>
      </c>
      <c r="B7239" s="6" t="str">
        <f ca="1">IFERROR(__xludf.DUMMYFUNCTION("GOOGLETRANSLATE(A7239,""bn"",""en"")"),"Who did you play with?")</f>
        <v>Who did you play with?</v>
      </c>
      <c r="C7239" s="8" t="s">
        <v>13</v>
      </c>
      <c r="D7239" s="8" t="s">
        <v>14</v>
      </c>
      <c r="E7239" s="8">
        <v>1</v>
      </c>
    </row>
    <row r="7240" spans="1:5" ht="15.75" customHeight="1" x14ac:dyDescent="0.25">
      <c r="A7240" s="6" t="s">
        <v>6969</v>
      </c>
      <c r="B7240" s="6" t="str">
        <f ca="1">IFERROR(__xludf.DUMMYFUNCTION("GOOGLETRANSLATE(A7240,""bn"",""en"")"),"He had planned to bring two")</f>
        <v>He had planned to bring two</v>
      </c>
      <c r="C7240" s="8" t="s">
        <v>13</v>
      </c>
      <c r="D7240" s="8" t="s">
        <v>14</v>
      </c>
      <c r="E7240" s="8">
        <v>1</v>
      </c>
    </row>
    <row r="7241" spans="1:5" ht="15.75" customHeight="1" x14ac:dyDescent="0.25">
      <c r="A7241" s="6" t="s">
        <v>6970</v>
      </c>
      <c r="B7241" s="6" t="str">
        <f ca="1">IFERROR(__xludf.DUMMYFUNCTION("GOOGLETRANSLATE(A7241,""bn"",""en"")"),"Planning for big expenses like buying a home or starting a family requires careful budgeting")</f>
        <v>Planning for big expenses like buying a home or starting a family requires careful budgeting</v>
      </c>
      <c r="C7241" s="8" t="s">
        <v>13</v>
      </c>
      <c r="D7241" s="8" t="s">
        <v>14</v>
      </c>
      <c r="E7241" s="8">
        <v>1</v>
      </c>
    </row>
    <row r="7242" spans="1:5" ht="15.75" customHeight="1" x14ac:dyDescent="0.25">
      <c r="A7242" s="6" t="s">
        <v>6971</v>
      </c>
      <c r="B7242" s="6" t="str">
        <f ca="1">IFERROR(__xludf.DUMMYFUNCTION("GOOGLETRANSLATE(A7242,""bn"",""en"")"),"What will I do if it rains later?")</f>
        <v>What will I do if it rains later?</v>
      </c>
      <c r="C7242" s="7" t="s">
        <v>6</v>
      </c>
      <c r="D7242" s="7" t="s">
        <v>7</v>
      </c>
      <c r="E7242" s="7">
        <v>0</v>
      </c>
    </row>
    <row r="7243" spans="1:5" ht="15.75" customHeight="1" x14ac:dyDescent="0.25">
      <c r="A7243" s="6" t="s">
        <v>4612</v>
      </c>
      <c r="B7243" s="6" t="str">
        <f ca="1">IFERROR(__xludf.DUMMYFUNCTION("GOOGLETRANSLATE(A7243,""bn"",""en"")"),"That must have worked for the Asuras")</f>
        <v>That must have worked for the Asuras</v>
      </c>
      <c r="C7243" s="7" t="s">
        <v>6</v>
      </c>
      <c r="D7243" s="7" t="s">
        <v>7</v>
      </c>
      <c r="E7243" s="7">
        <v>0</v>
      </c>
    </row>
    <row r="7244" spans="1:5" ht="15.75" customHeight="1" x14ac:dyDescent="0.25">
      <c r="A7244" s="6" t="s">
        <v>6972</v>
      </c>
      <c r="B7244" s="6" t="str">
        <f ca="1">IFERROR(__xludf.DUMMYFUNCTION("GOOGLETRANSLATE(A7244,""bn"",""en"")"),"Some of them have been in jail for six months to a year. After a while, the settlement becomes denser")</f>
        <v>Some of them have been in jail for six months to a year. After a while, the settlement becomes denser</v>
      </c>
      <c r="C7244" s="7" t="s">
        <v>6</v>
      </c>
      <c r="D7244" s="7" t="s">
        <v>7</v>
      </c>
      <c r="E7244" s="7">
        <v>0</v>
      </c>
    </row>
    <row r="7245" spans="1:5" ht="15.75" customHeight="1" x14ac:dyDescent="0.25">
      <c r="A7245" s="6" t="s">
        <v>6973</v>
      </c>
      <c r="B7245" s="6" t="str">
        <f ca="1">IFERROR(__xludf.DUMMYFUNCTION("GOOGLETRANSLATE(A7245,""bn"",""en"")"),"Ritu Meena started working together")</f>
        <v>Ritu Meena started working together</v>
      </c>
      <c r="C7245" s="7" t="s">
        <v>6</v>
      </c>
      <c r="D7245" s="7" t="s">
        <v>7</v>
      </c>
      <c r="E7245" s="7">
        <v>0</v>
      </c>
    </row>
    <row r="7246" spans="1:5" ht="15.75" customHeight="1" x14ac:dyDescent="0.25">
      <c r="A7246" s="6" t="s">
        <v>6974</v>
      </c>
      <c r="B7246" s="6" t="str">
        <f ca="1">IFERROR(__xludf.DUMMYFUNCTION("GOOGLETRANSLATE(A7246,""bn"",""en"")"),"Those who live in dirty little houses are often seen to have such dirty little minds")</f>
        <v>Those who live in dirty little houses are often seen to have such dirty little minds</v>
      </c>
      <c r="C7246" s="7" t="s">
        <v>6</v>
      </c>
      <c r="D7246" s="7" t="s">
        <v>7</v>
      </c>
      <c r="E7246" s="7">
        <v>0</v>
      </c>
    </row>
    <row r="7247" spans="1:5" ht="15.75" customHeight="1" x14ac:dyDescent="0.25">
      <c r="A7247" s="6" t="s">
        <v>6975</v>
      </c>
      <c r="B7247" s="6" t="str">
        <f ca="1">IFERROR(__xludf.DUMMYFUNCTION("GOOGLETRANSLATE(A7247,""bn"",""en"")"),"The Torah is the central religious text of Judaism containing the Law teachings given to Moses")</f>
        <v>The Torah is the central religious text of Judaism containing the Law teachings given to Moses</v>
      </c>
      <c r="C7247" s="8" t="s">
        <v>13</v>
      </c>
      <c r="D7247" s="8" t="s">
        <v>14</v>
      </c>
      <c r="E7247" s="8">
        <v>1</v>
      </c>
    </row>
    <row r="7248" spans="1:5" ht="15.75" customHeight="1" x14ac:dyDescent="0.25">
      <c r="A7248" s="6" t="s">
        <v>6976</v>
      </c>
      <c r="B7248" s="6" t="str">
        <f ca="1">IFERROR(__xludf.DUMMYFUNCTION("GOOGLETRANSLATE(A7248,""bn"",""en"")"),"Share your gratitude today")</f>
        <v>Share your gratitude today</v>
      </c>
      <c r="C7248" s="8" t="s">
        <v>13</v>
      </c>
      <c r="D7248" s="8" t="s">
        <v>14</v>
      </c>
      <c r="E7248" s="8">
        <v>1</v>
      </c>
    </row>
    <row r="7249" spans="1:5" ht="15.75" customHeight="1" x14ac:dyDescent="0.25">
      <c r="A7249" s="6" t="s">
        <v>6977</v>
      </c>
      <c r="B7249" s="6" t="str">
        <f ca="1">IFERROR(__xludf.DUMMYFUNCTION("GOOGLETRANSLATE(A7249,""bn"",""en"")"),"Fresh chilies enhance the dish")</f>
        <v>Fresh chilies enhance the dish</v>
      </c>
      <c r="C7249" s="8" t="s">
        <v>13</v>
      </c>
      <c r="D7249" s="8" t="s">
        <v>14</v>
      </c>
      <c r="E7249" s="8">
        <v>1</v>
      </c>
    </row>
    <row r="7250" spans="1:5" ht="15.75" customHeight="1" x14ac:dyDescent="0.25">
      <c r="A7250" s="6" t="s">
        <v>6978</v>
      </c>
      <c r="B7250" s="6" t="str">
        <f ca="1">IFERROR(__xludf.DUMMYFUNCTION("GOOGLETRANSLATE(A7250,""bn"",""en"")"),"Criminal law can vary between jurisdictions leading to complex legal issues")</f>
        <v>Criminal law can vary between jurisdictions leading to complex legal issues</v>
      </c>
      <c r="C7250" s="8" t="s">
        <v>13</v>
      </c>
      <c r="D7250" s="8" t="s">
        <v>14</v>
      </c>
      <c r="E7250" s="8">
        <v>1</v>
      </c>
    </row>
    <row r="7251" spans="1:5" ht="15.75" customHeight="1" x14ac:dyDescent="0.25">
      <c r="A7251" s="6" t="s">
        <v>6979</v>
      </c>
      <c r="B7251" s="6" t="str">
        <f ca="1">IFERROR(__xludf.DUMMYFUNCTION("GOOGLETRANSLATE(A7251,""bn"",""en"")"),"Collecting ancient coins brings fascination")</f>
        <v>Collecting ancient coins brings fascination</v>
      </c>
      <c r="C7251" s="8" t="s">
        <v>13</v>
      </c>
      <c r="D7251" s="8" t="s">
        <v>14</v>
      </c>
      <c r="E7251" s="8">
        <v>1</v>
      </c>
    </row>
    <row r="7252" spans="1:5" ht="15.75" customHeight="1" x14ac:dyDescent="0.25">
      <c r="A7252" s="6" t="s">
        <v>3280</v>
      </c>
      <c r="B7252" s="6" t="str">
        <f ca="1">IFERROR(__xludf.DUMMYFUNCTION("GOOGLETRANSLATE(A7252,""bn"",""en"")"),"How far I went as a bridegroom in the wedding of one of his people")</f>
        <v>How far I went as a bridegroom in the wedding of one of his people</v>
      </c>
      <c r="C7252" s="7" t="s">
        <v>6</v>
      </c>
      <c r="D7252" s="7" t="s">
        <v>7</v>
      </c>
      <c r="E7252" s="7">
        <v>0</v>
      </c>
    </row>
    <row r="7253" spans="1:5" ht="15.75" customHeight="1" x14ac:dyDescent="0.25">
      <c r="A7253" s="6" t="s">
        <v>6980</v>
      </c>
      <c r="B7253" s="6" t="str">
        <f ca="1">IFERROR(__xludf.DUMMYFUNCTION("GOOGLETRANSLATE(A7253,""bn"",""en"")"),"I had to admit that it was impossible, not unbelievable")</f>
        <v>I had to admit that it was impossible, not unbelievable</v>
      </c>
      <c r="C7253" s="7" t="s">
        <v>6</v>
      </c>
      <c r="D7253" s="7" t="s">
        <v>7</v>
      </c>
      <c r="E7253" s="7">
        <v>0</v>
      </c>
    </row>
    <row r="7254" spans="1:5" ht="15.75" customHeight="1" x14ac:dyDescent="0.25">
      <c r="A7254" s="6" t="s">
        <v>6981</v>
      </c>
      <c r="B7254" s="6" t="str">
        <f ca="1">IFERROR(__xludf.DUMMYFUNCTION("GOOGLETRANSLATE(A7254,""bn"",""en"")"),"Then the lamp went on")</f>
        <v>Then the lamp went on</v>
      </c>
      <c r="C7254" s="7" t="s">
        <v>6</v>
      </c>
      <c r="D7254" s="7" t="s">
        <v>7</v>
      </c>
      <c r="E7254" s="7">
        <v>0</v>
      </c>
    </row>
    <row r="7255" spans="1:5" ht="15.75" customHeight="1" x14ac:dyDescent="0.25">
      <c r="A7255" s="6" t="s">
        <v>6982</v>
      </c>
      <c r="B7255" s="6" t="str">
        <f ca="1">IFERROR(__xludf.DUMMYFUNCTION("GOOGLETRANSLATE(A7255,""bn"",""en"")"),"You came to call me to play")</f>
        <v>You came to call me to play</v>
      </c>
      <c r="C7255" s="7" t="s">
        <v>6</v>
      </c>
      <c r="D7255" s="7" t="s">
        <v>7</v>
      </c>
      <c r="E7255" s="7">
        <v>0</v>
      </c>
    </row>
    <row r="7256" spans="1:5" ht="15.75" customHeight="1" x14ac:dyDescent="0.25">
      <c r="A7256" s="6" t="s">
        <v>6983</v>
      </c>
      <c r="B7256" s="6" t="str">
        <f ca="1">IFERROR(__xludf.DUMMYFUNCTION("GOOGLETRANSLATE(A7256,""bn"",""en"")"),"The light of happiness comes and appears")</f>
        <v>The light of happiness comes and appears</v>
      </c>
      <c r="C7256" s="7" t="s">
        <v>6</v>
      </c>
      <c r="D7256" s="7" t="s">
        <v>7</v>
      </c>
      <c r="E7256" s="7">
        <v>0</v>
      </c>
    </row>
    <row r="7257" spans="1:5" ht="15.75" customHeight="1" x14ac:dyDescent="0.25">
      <c r="A7257" s="6" t="s">
        <v>6984</v>
      </c>
      <c r="B7257" s="6" t="str">
        <f ca="1">IFERROR(__xludf.DUMMYFUNCTION("GOOGLETRANSLATE(A7257,""bn"",""en"")"),"Chand received great wisdom from Lord Shiva")</f>
        <v>Chand received great wisdom from Lord Shiva</v>
      </c>
      <c r="C7257" s="8" t="s">
        <v>13</v>
      </c>
      <c r="D7257" s="8" t="s">
        <v>14</v>
      </c>
      <c r="E7257" s="8">
        <v>1</v>
      </c>
    </row>
    <row r="7258" spans="1:5" ht="15.75" customHeight="1" x14ac:dyDescent="0.25">
      <c r="A7258" s="6" t="s">
        <v>6985</v>
      </c>
      <c r="B7258" s="6" t="str">
        <f ca="1">IFERROR(__xludf.DUMMYFUNCTION("GOOGLETRANSLATE(A7258,""bn"",""en"")"),"Rony gave me the book")</f>
        <v>Rony gave me the book</v>
      </c>
      <c r="C7258" s="8" t="s">
        <v>13</v>
      </c>
      <c r="D7258" s="8" t="s">
        <v>14</v>
      </c>
      <c r="E7258" s="8">
        <v>1</v>
      </c>
    </row>
    <row r="7259" spans="1:5" ht="15.75" customHeight="1" x14ac:dyDescent="0.25">
      <c r="A7259" s="6" t="s">
        <v>6986</v>
      </c>
      <c r="B7259" s="6" t="str">
        <f ca="1">IFERROR(__xludf.DUMMYFUNCTION("GOOGLETRANSLATE(A7259,""bn"",""en"")"),"fall in love with each other")</f>
        <v>fall in love with each other</v>
      </c>
      <c r="C7259" s="8" t="s">
        <v>13</v>
      </c>
      <c r="D7259" s="8" t="s">
        <v>14</v>
      </c>
      <c r="E7259" s="8">
        <v>1</v>
      </c>
    </row>
    <row r="7260" spans="1:5" ht="15.75" customHeight="1" x14ac:dyDescent="0.25">
      <c r="A7260" s="6" t="s">
        <v>6987</v>
      </c>
      <c r="B7260" s="6" t="str">
        <f ca="1">IFERROR(__xludf.DUMMYFUNCTION("GOOGLETRANSLATE(A7260,""bn"",""en"")"),"The Sunday paper is known for its extensive coverage of news features entertainment")</f>
        <v>The Sunday paper is known for its extensive coverage of news features entertainment</v>
      </c>
      <c r="C7260" s="8" t="s">
        <v>13</v>
      </c>
      <c r="D7260" s="8" t="s">
        <v>14</v>
      </c>
      <c r="E7260" s="8">
        <v>1</v>
      </c>
    </row>
    <row r="7261" spans="1:5" ht="15.75" customHeight="1" x14ac:dyDescent="0.25">
      <c r="A7261" s="6" t="s">
        <v>6988</v>
      </c>
      <c r="B7261" s="6" t="str">
        <f ca="1">IFERROR(__xludf.DUMMYFUNCTION("GOOGLETRANSLATE(A7261,""bn"",""en"")"),"They caught Rahim and tied him up")</f>
        <v>They caught Rahim and tied him up</v>
      </c>
      <c r="C7261" s="8" t="s">
        <v>13</v>
      </c>
      <c r="D7261" s="8" t="s">
        <v>14</v>
      </c>
      <c r="E7261" s="8">
        <v>1</v>
      </c>
    </row>
    <row r="7262" spans="1:5" ht="15.75" customHeight="1" x14ac:dyDescent="0.25">
      <c r="A7262" s="6" t="s">
        <v>6989</v>
      </c>
      <c r="B7262" s="6" t="str">
        <f ca="1">IFERROR(__xludf.DUMMYFUNCTION("GOOGLETRANSLATE(A7262,""bn"",""en"")"),"Why did you get into punk?")</f>
        <v>Why did you get into punk?</v>
      </c>
      <c r="C7262" s="7" t="s">
        <v>6</v>
      </c>
      <c r="D7262" s="7" t="s">
        <v>7</v>
      </c>
      <c r="E7262" s="7">
        <v>0</v>
      </c>
    </row>
    <row r="7263" spans="1:5" ht="15.75" customHeight="1" x14ac:dyDescent="0.25">
      <c r="A7263" s="6" t="s">
        <v>6990</v>
      </c>
      <c r="B7263" s="6" t="str">
        <f ca="1">IFERROR(__xludf.DUMMYFUNCTION("GOOGLETRANSLATE(A7263,""bn"",""en"")"),"Today, after a long time, Vishwambharbabu has returned to the country to see his sister")</f>
        <v>Today, after a long time, Vishwambharbabu has returned to the country to see his sister</v>
      </c>
      <c r="C7263" s="7" t="s">
        <v>6</v>
      </c>
      <c r="D7263" s="7" t="s">
        <v>7</v>
      </c>
      <c r="E7263" s="7">
        <v>0</v>
      </c>
    </row>
    <row r="7264" spans="1:5" ht="15.75" customHeight="1" x14ac:dyDescent="0.25">
      <c r="A7264" s="6" t="s">
        <v>6991</v>
      </c>
      <c r="B7264" s="6" t="str">
        <f ca="1">IFERROR(__xludf.DUMMYFUNCTION("GOOGLETRANSLATE(A7264,""bn"",""en"")"),"I am afraid that I cannot contact him even after calling him repeatedly")</f>
        <v>I am afraid that I cannot contact him even after calling him repeatedly</v>
      </c>
      <c r="C7264" s="7" t="s">
        <v>6</v>
      </c>
      <c r="D7264" s="7" t="s">
        <v>7</v>
      </c>
      <c r="E7264" s="7">
        <v>0</v>
      </c>
    </row>
    <row r="7265" spans="1:5" ht="15.75" customHeight="1" x14ac:dyDescent="0.25">
      <c r="A7265" s="6" t="s">
        <v>6992</v>
      </c>
      <c r="B7265" s="6" t="str">
        <f ca="1">IFERROR(__xludf.DUMMYFUNCTION("GOOGLETRANSLATE(A7265,""bn"",""en"")"),"Gaudiya's jute challan lesson comes after three or four khas chalans")</f>
        <v>Gaudiya's jute challan lesson comes after three or four khas chalans</v>
      </c>
      <c r="C7265" s="7" t="s">
        <v>6</v>
      </c>
      <c r="D7265" s="7" t="s">
        <v>7</v>
      </c>
      <c r="E7265" s="7">
        <v>0</v>
      </c>
    </row>
    <row r="7266" spans="1:5" ht="15.75" customHeight="1" x14ac:dyDescent="0.25">
      <c r="A7266" s="6" t="s">
        <v>6993</v>
      </c>
      <c r="B7266" s="6" t="str">
        <f ca="1">IFERROR(__xludf.DUMMYFUNCTION("GOOGLETRANSLATE(A7266,""bn"",""en"")"),"They have tied the shell and decorated it with two or three wooden combs")</f>
        <v>They have tied the shell and decorated it with two or three wooden combs</v>
      </c>
      <c r="C7266" s="7" t="s">
        <v>6</v>
      </c>
      <c r="D7266" s="7" t="s">
        <v>7</v>
      </c>
      <c r="E7266" s="7">
        <v>0</v>
      </c>
    </row>
    <row r="7267" spans="1:5" ht="15.75" customHeight="1" x14ac:dyDescent="0.25">
      <c r="A7267" s="6" t="s">
        <v>6994</v>
      </c>
      <c r="B7267" s="6" t="str">
        <f ca="1">IFERROR(__xludf.DUMMYFUNCTION("GOOGLETRANSLATE(A7267,""bn"",""en"")"),"Shooting was my favorite sport as a child")</f>
        <v>Shooting was my favorite sport as a child</v>
      </c>
      <c r="C7267" s="8" t="s">
        <v>13</v>
      </c>
      <c r="D7267" s="8" t="s">
        <v>14</v>
      </c>
      <c r="E7267" s="8">
        <v>1</v>
      </c>
    </row>
    <row r="7268" spans="1:5" ht="15.75" customHeight="1" x14ac:dyDescent="0.25">
      <c r="A7268" s="6" t="s">
        <v>6995</v>
      </c>
      <c r="B7268" s="6" t="str">
        <f ca="1">IFERROR(__xludf.DUMMYFUNCTION("GOOGLETRANSLATE(A7268,""bn"",""en"")"),"Make time for activities that bring you joy and fulfillment")</f>
        <v>Make time for activities that bring you joy and fulfillment</v>
      </c>
      <c r="C7268" s="8" t="s">
        <v>13</v>
      </c>
      <c r="D7268" s="8" t="s">
        <v>14</v>
      </c>
      <c r="E7268" s="8">
        <v>1</v>
      </c>
    </row>
    <row r="7269" spans="1:5" ht="15.75" customHeight="1" x14ac:dyDescent="0.25">
      <c r="A7269" s="6" t="s">
        <v>6996</v>
      </c>
      <c r="B7269" s="6" t="str">
        <f ca="1">IFERROR(__xludf.DUMMYFUNCTION("GOOGLETRANSLATE(A7269,""bn"",""en"")"),"Irtazuddin's neckband is Koti")</f>
        <v>Irtazuddin's neckband is Koti</v>
      </c>
      <c r="C7269" s="8" t="s">
        <v>13</v>
      </c>
      <c r="D7269" s="8" t="s">
        <v>14</v>
      </c>
      <c r="E7269" s="8">
        <v>1</v>
      </c>
    </row>
    <row r="7270" spans="1:5" ht="15.75" customHeight="1" x14ac:dyDescent="0.25">
      <c r="A7270" s="6" t="s">
        <v>6997</v>
      </c>
      <c r="B7270" s="6" t="str">
        <f ca="1">IFERROR(__xludf.DUMMYFUNCTION("GOOGLETRANSLATE(A7270,""bn"",""en"")"),"Adjust workouts based on strength")</f>
        <v>Adjust workouts based on strength</v>
      </c>
      <c r="C7270" s="8" t="s">
        <v>13</v>
      </c>
      <c r="D7270" s="8" t="s">
        <v>14</v>
      </c>
      <c r="E7270" s="8">
        <v>1</v>
      </c>
    </row>
    <row r="7271" spans="1:5" ht="15.75" customHeight="1" x14ac:dyDescent="0.25">
      <c r="A7271" s="6" t="s">
        <v>6998</v>
      </c>
      <c r="B7271" s="6" t="str">
        <f ca="1">IFERROR(__xludf.DUMMYFUNCTION("GOOGLETRANSLATE(A7271,""bn"",""en"")"),"We spent the whole night on the train that day")</f>
        <v>We spent the whole night on the train that day</v>
      </c>
      <c r="C7271" s="8" t="s">
        <v>13</v>
      </c>
      <c r="D7271" s="8" t="s">
        <v>14</v>
      </c>
      <c r="E7271" s="8">
        <v>1</v>
      </c>
    </row>
    <row r="7272" spans="1:5" ht="15.75" customHeight="1" x14ac:dyDescent="0.25">
      <c r="A7272" s="6" t="s">
        <v>6999</v>
      </c>
      <c r="B7272" s="6" t="str">
        <f ca="1">IFERROR(__xludf.DUMMYFUNCTION("GOOGLETRANSLATE(A7272,""bn"",""en"")"),"The widow readily agreed to the proposal")</f>
        <v>The widow readily agreed to the proposal</v>
      </c>
      <c r="C7272" s="7" t="s">
        <v>6</v>
      </c>
      <c r="D7272" s="7" t="s">
        <v>7</v>
      </c>
      <c r="E7272" s="7">
        <v>0</v>
      </c>
    </row>
    <row r="7273" spans="1:5" ht="15.75" customHeight="1" x14ac:dyDescent="0.25">
      <c r="A7273" s="6" t="s">
        <v>7000</v>
      </c>
      <c r="B7273" s="6" t="str">
        <f ca="1">IFERROR(__xludf.DUMMYFUNCTION("GOOGLETRANSLATE(A7273,""bn"",""en"")"),"He enjoys every moment of his life beautifully")</f>
        <v>He enjoys every moment of his life beautifully</v>
      </c>
      <c r="C7273" s="7" t="s">
        <v>6</v>
      </c>
      <c r="D7273" s="7" t="s">
        <v>7</v>
      </c>
      <c r="E7273" s="7">
        <v>0</v>
      </c>
    </row>
    <row r="7274" spans="1:5" ht="15.75" customHeight="1" x14ac:dyDescent="0.25">
      <c r="A7274" s="6" t="s">
        <v>7001</v>
      </c>
      <c r="B7274" s="6" t="str">
        <f ca="1">IFERROR(__xludf.DUMMYFUNCTION("GOOGLETRANSLATE(A7274,""bn"",""en"")"),"It is impossible to hear that they have lost their lives in the past")</f>
        <v>It is impossible to hear that they have lost their lives in the past</v>
      </c>
      <c r="C7274" s="7" t="s">
        <v>6</v>
      </c>
      <c r="D7274" s="7" t="s">
        <v>7</v>
      </c>
      <c r="E7274" s="7">
        <v>0</v>
      </c>
    </row>
    <row r="7275" spans="1:5" ht="15.75" customHeight="1" x14ac:dyDescent="0.25">
      <c r="A7275" s="6" t="s">
        <v>7002</v>
      </c>
      <c r="B7275" s="6" t="str">
        <f ca="1">IFERROR(__xludf.DUMMYFUNCTION("GOOGLETRANSLATE(A7275,""bn"",""en"")"),"You have already destroyed your body, otherwise it will burn to ashes one day")</f>
        <v>You have already destroyed your body, otherwise it will burn to ashes one day</v>
      </c>
      <c r="C7275" s="7" t="s">
        <v>6</v>
      </c>
      <c r="D7275" s="7" t="s">
        <v>7</v>
      </c>
      <c r="E7275" s="7">
        <v>0</v>
      </c>
    </row>
    <row r="7276" spans="1:5" ht="15.75" customHeight="1" x14ac:dyDescent="0.25">
      <c r="A7276" s="6" t="s">
        <v>7003</v>
      </c>
      <c r="B7276" s="6" t="str">
        <f ca="1">IFERROR(__xludf.DUMMYFUNCTION("GOOGLETRANSLATE(A7276,""bn"",""en"")"),"Then he started calling Zhi again and again with great anger")</f>
        <v>Then he started calling Zhi again and again with great anger</v>
      </c>
      <c r="C7276" s="7" t="s">
        <v>6</v>
      </c>
      <c r="D7276" s="7" t="s">
        <v>7</v>
      </c>
      <c r="E7276" s="7">
        <v>0</v>
      </c>
    </row>
    <row r="7277" spans="1:5" ht="15.75" customHeight="1" x14ac:dyDescent="0.25">
      <c r="A7277" s="6" t="s">
        <v>7004</v>
      </c>
      <c r="B7277" s="6" t="str">
        <f ca="1">IFERROR(__xludf.DUMMYFUNCTION("GOOGLETRANSLATE(A7277,""bn"",""en"")"),"Rahim went to see Karim")</f>
        <v>Rahim went to see Karim</v>
      </c>
      <c r="C7277" s="8" t="s">
        <v>13</v>
      </c>
      <c r="D7277" s="8" t="s">
        <v>14</v>
      </c>
      <c r="E7277" s="8">
        <v>1</v>
      </c>
    </row>
    <row r="7278" spans="1:5" ht="15.75" customHeight="1" x14ac:dyDescent="0.25">
      <c r="A7278" s="6" t="s">
        <v>7005</v>
      </c>
      <c r="B7278" s="6" t="str">
        <f ca="1">IFERROR(__xludf.DUMMYFUNCTION("GOOGLETRANSLATE(A7278,""bn"",""en"")"),"I gifted him a book")</f>
        <v>I gifted him a book</v>
      </c>
      <c r="C7278" s="8" t="s">
        <v>13</v>
      </c>
      <c r="D7278" s="8" t="s">
        <v>14</v>
      </c>
      <c r="E7278" s="8">
        <v>1</v>
      </c>
    </row>
    <row r="7279" spans="1:5" ht="15.75" customHeight="1" x14ac:dyDescent="0.25">
      <c r="A7279" s="6" t="s">
        <v>7006</v>
      </c>
      <c r="B7279" s="6" t="str">
        <f ca="1">IFERROR(__xludf.DUMMYFUNCTION("GOOGLETRANSLATE(A7279,""bn"",""en"")"),"He felt very lonely and broke down mentally")</f>
        <v>He felt very lonely and broke down mentally</v>
      </c>
      <c r="C7279" s="8" t="s">
        <v>13</v>
      </c>
      <c r="D7279" s="8" t="s">
        <v>14</v>
      </c>
      <c r="E7279" s="8">
        <v>1</v>
      </c>
    </row>
    <row r="7280" spans="1:5" ht="15.75" customHeight="1" x14ac:dyDescent="0.25">
      <c r="A7280" s="6" t="s">
        <v>7007</v>
      </c>
      <c r="B7280" s="6" t="str">
        <f ca="1">IFERROR(__xludf.DUMMYFUNCTION("GOOGLETRANSLATE(A7280,""bn"",""en"")"),"She then told me that everything felt like her dream")</f>
        <v>She then told me that everything felt like her dream</v>
      </c>
      <c r="C7280" s="8" t="s">
        <v>13</v>
      </c>
      <c r="D7280" s="8" t="s">
        <v>14</v>
      </c>
      <c r="E7280" s="8">
        <v>1</v>
      </c>
    </row>
    <row r="7281" spans="1:5" ht="15.75" customHeight="1" x14ac:dyDescent="0.25">
      <c r="A7281" s="6" t="s">
        <v>7008</v>
      </c>
      <c r="B7281" s="6" t="str">
        <f ca="1">IFERROR(__xludf.DUMMYFUNCTION("GOOGLETRANSLATE(A7281,""bn"",""en"")"),"The song received a positive response after its digital download")</f>
        <v>The song received a positive response after its digital download</v>
      </c>
      <c r="C7281" s="8" t="s">
        <v>13</v>
      </c>
      <c r="D7281" s="8" t="s">
        <v>14</v>
      </c>
      <c r="E7281" s="8">
        <v>1</v>
      </c>
    </row>
    <row r="7282" spans="1:5" ht="15.75" customHeight="1" x14ac:dyDescent="0.25">
      <c r="A7282" s="6" t="s">
        <v>7009</v>
      </c>
      <c r="B7282" s="6" t="str">
        <f ca="1">IFERROR(__xludf.DUMMYFUNCTION("GOOGLETRANSLATE(A7282,""bn"",""en"")"),"Once upon a time a deaf Brahmin was our neighbour")</f>
        <v>Once upon a time a deaf Brahmin was our neighbour</v>
      </c>
      <c r="C7282" s="7" t="s">
        <v>6</v>
      </c>
      <c r="D7282" s="7" t="s">
        <v>7</v>
      </c>
      <c r="E7282" s="7">
        <v>0</v>
      </c>
    </row>
    <row r="7283" spans="1:5" ht="15.75" customHeight="1" x14ac:dyDescent="0.25">
      <c r="A7283" s="6" t="s">
        <v>7010</v>
      </c>
      <c r="B7283" s="6" t="str">
        <f ca="1">IFERROR(__xludf.DUMMYFUNCTION("GOOGLETRANSLATE(A7283,""bn"",""en"")"),"When the desire to see arises, there is no desire to disperse it")</f>
        <v>When the desire to see arises, there is no desire to disperse it</v>
      </c>
      <c r="C7283" s="7" t="s">
        <v>6</v>
      </c>
      <c r="D7283" s="7" t="s">
        <v>7</v>
      </c>
      <c r="E7283" s="7">
        <v>0</v>
      </c>
    </row>
    <row r="7284" spans="1:5" ht="15.75" customHeight="1" x14ac:dyDescent="0.25">
      <c r="A7284" s="6" t="s">
        <v>7011</v>
      </c>
      <c r="B7284" s="6" t="str">
        <f ca="1">IFERROR(__xludf.DUMMYFUNCTION("GOOGLETRANSLATE(A7284,""bn"",""en"")"),"After that, by selling everything, he got rid of debt")</f>
        <v>After that, by selling everything, he got rid of debt</v>
      </c>
      <c r="C7284" s="7" t="s">
        <v>6</v>
      </c>
      <c r="D7284" s="7" t="s">
        <v>7</v>
      </c>
      <c r="E7284" s="7">
        <v>0</v>
      </c>
    </row>
    <row r="7285" spans="1:5" ht="15.75" customHeight="1" x14ac:dyDescent="0.25">
      <c r="A7285" s="6" t="s">
        <v>7012</v>
      </c>
      <c r="B7285" s="6" t="str">
        <f ca="1">IFERROR(__xludf.DUMMYFUNCTION("GOOGLETRANSLATE(A7285,""bn"",""en"")"),"There is a wife at home")</f>
        <v>There is a wife at home</v>
      </c>
      <c r="C7285" s="7" t="s">
        <v>6</v>
      </c>
      <c r="D7285" s="7" t="s">
        <v>7</v>
      </c>
      <c r="E7285" s="7">
        <v>0</v>
      </c>
    </row>
    <row r="7286" spans="1:5" ht="15.75" customHeight="1" x14ac:dyDescent="0.25">
      <c r="A7286" s="6" t="s">
        <v>7013</v>
      </c>
      <c r="B7286" s="6" t="str">
        <f ca="1">IFERROR(__xludf.DUMMYFUNCTION("GOOGLETRANSLATE(A7286,""bn"",""en"")"),"While consoling Ramsundar, everyone talked about the tragic death of his daughter.")</f>
        <v>While consoling Ramsundar, everyone talked about the tragic death of his daughter.</v>
      </c>
      <c r="C7286" s="7" t="s">
        <v>6</v>
      </c>
      <c r="D7286" s="7" t="s">
        <v>7</v>
      </c>
      <c r="E7286" s="7">
        <v>0</v>
      </c>
    </row>
    <row r="7287" spans="1:5" ht="15.75" customHeight="1" x14ac:dyDescent="0.25">
      <c r="A7287" s="6" t="s">
        <v>7014</v>
      </c>
      <c r="B7287" s="6" t="str">
        <f ca="1">IFERROR(__xludf.DUMMYFUNCTION("GOOGLETRANSLATE(A7287,""bn"",""en"")"),"Sujan collected money for Eid")</f>
        <v>Sujan collected money for Eid</v>
      </c>
      <c r="C7287" s="8" t="s">
        <v>13</v>
      </c>
      <c r="D7287" s="8" t="s">
        <v>14</v>
      </c>
      <c r="E7287" s="8">
        <v>1</v>
      </c>
    </row>
    <row r="7288" spans="1:5" ht="15.75" customHeight="1" x14ac:dyDescent="0.25">
      <c r="A7288" s="6" t="s">
        <v>7015</v>
      </c>
      <c r="B7288" s="6" t="str">
        <f ca="1">IFERROR(__xludf.DUMMYFUNCTION("GOOGLETRANSLATE(A7288,""bn"",""en"")"),"Being appreciated for my uniqueness brings validation")</f>
        <v>Being appreciated for my uniqueness brings validation</v>
      </c>
      <c r="C7288" s="8" t="s">
        <v>13</v>
      </c>
      <c r="D7288" s="8" t="s">
        <v>14</v>
      </c>
      <c r="E7288" s="8">
        <v>1</v>
      </c>
    </row>
    <row r="7289" spans="1:5" ht="15.75" customHeight="1" x14ac:dyDescent="0.25">
      <c r="A7289" s="6" t="s">
        <v>7016</v>
      </c>
      <c r="B7289" s="6" t="str">
        <f ca="1">IFERROR(__xludf.DUMMYFUNCTION("GOOGLETRANSLATE(A7289,""bn"",""en"")"),"The coup was initially successful")</f>
        <v>The coup was initially successful</v>
      </c>
      <c r="C7289" s="8" t="s">
        <v>13</v>
      </c>
      <c r="D7289" s="8" t="s">
        <v>14</v>
      </c>
      <c r="E7289" s="8">
        <v>1</v>
      </c>
    </row>
    <row r="7290" spans="1:5" ht="15.75" customHeight="1" x14ac:dyDescent="0.25">
      <c r="A7290" s="6" t="s">
        <v>7017</v>
      </c>
      <c r="B7290" s="6" t="str">
        <f ca="1">IFERROR(__xludf.DUMMYFUNCTION("GOOGLETRANSLATE(A7290,""bn"",""en"")"),"We saw a chatak bird while walking there.")</f>
        <v>We saw a chatak bird while walking there.</v>
      </c>
      <c r="C7290" s="8" t="s">
        <v>13</v>
      </c>
      <c r="D7290" s="8" t="s">
        <v>14</v>
      </c>
      <c r="E7290" s="8">
        <v>1</v>
      </c>
    </row>
    <row r="7291" spans="1:5" ht="15.75" customHeight="1" x14ac:dyDescent="0.25">
      <c r="A7291" s="6" t="s">
        <v>7018</v>
      </c>
      <c r="B7291" s="6" t="str">
        <f ca="1">IFERROR(__xludf.DUMMYFUNCTION("GOOGLETRANSLATE(A7291,""bn"",""en"")"),"They play in the Premier League and are the seventh best team in English football")</f>
        <v>They play in the Premier League and are the seventh best team in English football</v>
      </c>
      <c r="C7291" s="8" t="s">
        <v>13</v>
      </c>
      <c r="D7291" s="8" t="s">
        <v>14</v>
      </c>
      <c r="E7291" s="8">
        <v>1</v>
      </c>
    </row>
    <row r="7292" spans="1:5" ht="15.75" customHeight="1" x14ac:dyDescent="0.25">
      <c r="A7292" s="6" t="s">
        <v>7019</v>
      </c>
      <c r="B7292" s="6" t="str">
        <f ca="1">IFERROR(__xludf.DUMMYFUNCTION("GOOGLETRANSLATE(A7292,""bn"",""en"")"),"I knew that if I got sand in my eyes, it would be worse if I tried to rub it")</f>
        <v>I knew that if I got sand in my eyes, it would be worse if I tried to rub it</v>
      </c>
      <c r="C7292" s="7" t="s">
        <v>6</v>
      </c>
      <c r="D7292" s="7" t="s">
        <v>7</v>
      </c>
      <c r="E7292" s="7">
        <v>0</v>
      </c>
    </row>
    <row r="7293" spans="1:5" ht="15.75" customHeight="1" x14ac:dyDescent="0.25">
      <c r="A7293" s="6" t="s">
        <v>7020</v>
      </c>
      <c r="B7293" s="6" t="str">
        <f ca="1">IFERROR(__xludf.DUMMYFUNCTION("GOOGLETRANSLATE(A7293,""bn"",""en"")"),"With that intention, I stood on the road in the afternoon and after a while I saw the groom coming in a palanquin")</f>
        <v>With that intention, I stood on the road in the afternoon and after a while I saw the groom coming in a palanquin</v>
      </c>
      <c r="C7293" s="7" t="s">
        <v>6</v>
      </c>
      <c r="D7293" s="7" t="s">
        <v>7</v>
      </c>
      <c r="E7293" s="7">
        <v>0</v>
      </c>
    </row>
    <row r="7294" spans="1:5" ht="15.75" customHeight="1" x14ac:dyDescent="0.25">
      <c r="A7294" s="6" t="s">
        <v>4400</v>
      </c>
      <c r="B7294" s="6" t="str">
        <f ca="1">IFERROR(__xludf.DUMMYFUNCTION("GOOGLETRANSLATE(A7294,""bn"",""en"")"),"Anyway, I'll be careful next time")</f>
        <v>Anyway, I'll be careful next time</v>
      </c>
      <c r="C7294" s="7" t="s">
        <v>6</v>
      </c>
      <c r="D7294" s="7" t="s">
        <v>7</v>
      </c>
      <c r="E7294" s="7">
        <v>0</v>
      </c>
    </row>
    <row r="7295" spans="1:5" ht="15.75" customHeight="1" x14ac:dyDescent="0.25">
      <c r="A7295" s="6" t="s">
        <v>7021</v>
      </c>
      <c r="B7295" s="6" t="str">
        <f ca="1">IFERROR(__xludf.DUMMYFUNCTION("GOOGLETRANSLATE(A7295,""bn"",""en"")"),"This negligent insult struck the first doctor deeply")</f>
        <v>This negligent insult struck the first doctor deeply</v>
      </c>
      <c r="C7295" s="7" t="s">
        <v>6</v>
      </c>
      <c r="D7295" s="7" t="s">
        <v>7</v>
      </c>
      <c r="E7295" s="7">
        <v>0</v>
      </c>
    </row>
    <row r="7296" spans="1:5" ht="15.75" customHeight="1" x14ac:dyDescent="0.25">
      <c r="A7296" s="6" t="s">
        <v>7022</v>
      </c>
      <c r="B7296" s="6" t="str">
        <f ca="1">IFERROR(__xludf.DUMMYFUNCTION("GOOGLETRANSLATE(A7296,""bn"",""en"")"),"I was very pleased to see this arrangement")</f>
        <v>I was very pleased to see this arrangement</v>
      </c>
      <c r="C7296" s="7" t="s">
        <v>6</v>
      </c>
      <c r="D7296" s="7" t="s">
        <v>7</v>
      </c>
      <c r="E7296" s="7">
        <v>0</v>
      </c>
    </row>
    <row r="7297" spans="1:5" ht="15.75" customHeight="1" x14ac:dyDescent="0.25">
      <c r="A7297" s="6" t="s">
        <v>7023</v>
      </c>
      <c r="B7297" s="6" t="str">
        <f ca="1">IFERROR(__xludf.DUMMYFUNCTION("GOOGLETRANSLATE(A7297,""bn"",""en"")"),"For this award, Graham Bell received a thousand US dollars")</f>
        <v>For this award, Graham Bell received a thousand US dollars</v>
      </c>
      <c r="C7297" s="8" t="s">
        <v>13</v>
      </c>
      <c r="D7297" s="8" t="s">
        <v>14</v>
      </c>
      <c r="E7297" s="8">
        <v>1</v>
      </c>
    </row>
    <row r="7298" spans="1:5" ht="15.75" customHeight="1" x14ac:dyDescent="0.25">
      <c r="A7298" s="6" t="s">
        <v>7024</v>
      </c>
      <c r="B7298" s="6" t="str">
        <f ca="1">IFERROR(__xludf.DUMMYFUNCTION("GOOGLETRANSLATE(A7298,""bn"",""en"")"),"Agroecosystem resilience refers to the ability of an agricultural system to withstand disturbances")</f>
        <v>Agroecosystem resilience refers to the ability of an agricultural system to withstand disturbances</v>
      </c>
      <c r="C7298" s="8" t="s">
        <v>13</v>
      </c>
      <c r="D7298" s="8" t="s">
        <v>14</v>
      </c>
      <c r="E7298" s="8">
        <v>1</v>
      </c>
    </row>
    <row r="7299" spans="1:5" ht="15.75" customHeight="1" x14ac:dyDescent="0.25">
      <c r="A7299" s="6" t="s">
        <v>7025</v>
      </c>
      <c r="B7299" s="6" t="str">
        <f ca="1">IFERROR(__xludf.DUMMYFUNCTION("GOOGLETRANSLATE(A7299,""bn"",""en"")"),"It's frustrating that the big truck blocked my driveway again")</f>
        <v>It's frustrating that the big truck blocked my driveway again</v>
      </c>
      <c r="C7299" s="8" t="s">
        <v>13</v>
      </c>
      <c r="D7299" s="8" t="s">
        <v>14</v>
      </c>
      <c r="E7299" s="8">
        <v>1</v>
      </c>
    </row>
    <row r="7300" spans="1:5" ht="15.75" customHeight="1" x14ac:dyDescent="0.25">
      <c r="A7300" s="6" t="s">
        <v>7026</v>
      </c>
      <c r="B7300" s="6" t="str">
        <f ca="1">IFERROR(__xludf.DUMMYFUNCTION("GOOGLETRANSLATE(A7300,""bn"",""en"")"),"At birth, they have fuzzy white fur")</f>
        <v>At birth, they have fuzzy white fur</v>
      </c>
      <c r="C7300" s="8" t="s">
        <v>13</v>
      </c>
      <c r="D7300" s="8" t="s">
        <v>14</v>
      </c>
      <c r="E7300" s="8">
        <v>1</v>
      </c>
    </row>
    <row r="7301" spans="1:5" ht="15.75" customHeight="1" x14ac:dyDescent="0.25">
      <c r="A7301" s="6" t="s">
        <v>7027</v>
      </c>
      <c r="B7301" s="6" t="str">
        <f ca="1">IFERROR(__xludf.DUMMYFUNCTION("GOOGLETRANSLATE(A7301,""bn"",""en"")"),"Irtazuddin said Tawba Astaghafirullah three times in his heart")</f>
        <v>Irtazuddin said Tawba Astaghafirullah three times in his heart</v>
      </c>
      <c r="C7301" s="8" t="s">
        <v>13</v>
      </c>
      <c r="D7301" s="8" t="s">
        <v>14</v>
      </c>
      <c r="E7301" s="8">
        <v>1</v>
      </c>
    </row>
    <row r="7302" spans="1:5" ht="15.75" customHeight="1" x14ac:dyDescent="0.25">
      <c r="A7302" s="6" t="s">
        <v>7028</v>
      </c>
      <c r="B7302" s="6" t="str">
        <f ca="1">IFERROR(__xludf.DUMMYFUNCTION("GOOGLETRANSLATE(A7302,""bn"",""en"")"),"The root cause of this serious danger is that he is sitting in silence, wearing a cheli, wearing jewels and covering his forehead with sandalwood.")</f>
        <v>The root cause of this serious danger is that he is sitting in silence, wearing a cheli, wearing jewels and covering his forehead with sandalwood.</v>
      </c>
      <c r="C7302" s="7" t="s">
        <v>6</v>
      </c>
      <c r="D7302" s="7" t="s">
        <v>7</v>
      </c>
      <c r="E7302" s="7">
        <v>0</v>
      </c>
    </row>
    <row r="7303" spans="1:5" ht="15.75" customHeight="1" x14ac:dyDescent="0.25">
      <c r="A7303" s="6" t="s">
        <v>7029</v>
      </c>
      <c r="B7303" s="6" t="str">
        <f ca="1">IFERROR(__xludf.DUMMYFUNCTION("GOOGLETRANSLATE(A7303,""bn"",""en"")"),"Later, as he grew older, instead of friends, he began to pair up with friends one by one.")</f>
        <v>Later, as he grew older, instead of friends, he began to pair up with friends one by one.</v>
      </c>
      <c r="C7303" s="7" t="s">
        <v>6</v>
      </c>
      <c r="D7303" s="7" t="s">
        <v>7</v>
      </c>
      <c r="E7303" s="7">
        <v>0</v>
      </c>
    </row>
    <row r="7304" spans="1:5" ht="15.75" customHeight="1" x14ac:dyDescent="0.25">
      <c r="A7304" s="6" t="s">
        <v>7030</v>
      </c>
      <c r="B7304" s="6" t="str">
        <f ca="1">IFERROR(__xludf.DUMMYFUNCTION("GOOGLETRANSLATE(A7304,""bn"",""en"")"),"So they would not earn even a day to listen to me and talk bad about Sachish")</f>
        <v>So they would not earn even a day to listen to me and talk bad about Sachish</v>
      </c>
      <c r="C7304" s="7" t="s">
        <v>6</v>
      </c>
      <c r="D7304" s="7" t="s">
        <v>7</v>
      </c>
      <c r="E7304" s="7">
        <v>0</v>
      </c>
    </row>
    <row r="7305" spans="1:5" ht="15.75" customHeight="1" x14ac:dyDescent="0.25">
      <c r="A7305" s="6" t="s">
        <v>7031</v>
      </c>
      <c r="B7305" s="6" t="str">
        <f ca="1">IFERROR(__xludf.DUMMYFUNCTION("GOOGLETRANSLATE(A7305,""bn"",""en"")"),"The bird again said Radhe Manyung Parihar Hari: Padmule Tabayang")</f>
        <v>The bird again said Radhe Manyung Parihar Hari: Padmule Tabayang</v>
      </c>
      <c r="C7305" s="7" t="s">
        <v>6</v>
      </c>
      <c r="D7305" s="7" t="s">
        <v>7</v>
      </c>
      <c r="E7305" s="7">
        <v>0</v>
      </c>
    </row>
    <row r="7306" spans="1:5" ht="15.75" customHeight="1" x14ac:dyDescent="0.25">
      <c r="A7306" s="6" t="s">
        <v>7032</v>
      </c>
      <c r="B7306" s="6" t="str">
        <f ca="1">IFERROR(__xludf.DUMMYFUNCTION("GOOGLETRANSLATE(A7306,""bn"",""en"")"),"Rahim will stay in the school and get education")</f>
        <v>Rahim will stay in the school and get education</v>
      </c>
      <c r="C7306" s="7" t="s">
        <v>6</v>
      </c>
      <c r="D7306" s="7" t="s">
        <v>7</v>
      </c>
      <c r="E7306" s="7">
        <v>0</v>
      </c>
    </row>
    <row r="7307" spans="1:5" ht="15.75" customHeight="1" x14ac:dyDescent="0.25">
      <c r="A7307" s="6" t="s">
        <v>7033</v>
      </c>
      <c r="B7307" s="6" t="str">
        <f ca="1">IFERROR(__xludf.DUMMYFUNCTION("GOOGLETRANSLATE(A7307,""bn"",""en"")"),"Fine plating showcases culinary artistry")</f>
        <v>Fine plating showcases culinary artistry</v>
      </c>
      <c r="C7307" s="8" t="s">
        <v>13</v>
      </c>
      <c r="D7307" s="8" t="s">
        <v>14</v>
      </c>
      <c r="E7307" s="8">
        <v>1</v>
      </c>
    </row>
    <row r="7308" spans="1:5" ht="15.75" customHeight="1" x14ac:dyDescent="0.25">
      <c r="A7308" s="6" t="s">
        <v>7034</v>
      </c>
      <c r="B7308" s="6" t="str">
        <f ca="1">IFERROR(__xludf.DUMMYFUNCTION("GOOGLETRANSLATE(A7308,""bn"",""en"")"),"High intensity workouts burn calories")</f>
        <v>High intensity workouts burn calories</v>
      </c>
      <c r="C7308" s="8" t="s">
        <v>13</v>
      </c>
      <c r="D7308" s="8" t="s">
        <v>14</v>
      </c>
      <c r="E7308" s="8">
        <v>1</v>
      </c>
    </row>
    <row r="7309" spans="1:5" ht="15.75" customHeight="1" x14ac:dyDescent="0.25">
      <c r="A7309" s="6" t="s">
        <v>7035</v>
      </c>
      <c r="B7309" s="6" t="str">
        <f ca="1">IFERROR(__xludf.DUMMYFUNCTION("GOOGLETRANSLATE(A7309,""bn"",""en"")"),"Plank for core stability")</f>
        <v>Plank for core stability</v>
      </c>
      <c r="C7309" s="8" t="s">
        <v>13</v>
      </c>
      <c r="D7309" s="8" t="s">
        <v>14</v>
      </c>
      <c r="E7309" s="8">
        <v>1</v>
      </c>
    </row>
    <row r="7310" spans="1:5" ht="15.75" customHeight="1" x14ac:dyDescent="0.25">
      <c r="A7310" s="6" t="s">
        <v>7036</v>
      </c>
      <c r="B7310" s="6" t="str">
        <f ca="1">IFERROR(__xludf.DUMMYFUNCTION("GOOGLETRANSLATE(A7310,""bn"",""en"")"),"Baptism is a rite of passage in Christianity that symbolizes purification and entry into the faith")</f>
        <v>Baptism is a rite of passage in Christianity that symbolizes purification and entry into the faith</v>
      </c>
      <c r="C7310" s="8" t="s">
        <v>13</v>
      </c>
      <c r="D7310" s="8" t="s">
        <v>14</v>
      </c>
      <c r="E7310" s="8">
        <v>1</v>
      </c>
    </row>
    <row r="7311" spans="1:5" ht="15.75" customHeight="1" x14ac:dyDescent="0.25">
      <c r="A7311" s="6" t="s">
        <v>7037</v>
      </c>
      <c r="B7311" s="6" t="str">
        <f ca="1">IFERROR(__xludf.DUMMYFUNCTION("GOOGLETRANSLATE(A7311,""bn"",""en"")"),"Navigating through icy terrain, they battled blinding blizzards")</f>
        <v>Navigating through icy terrain, they battled blinding blizzards</v>
      </c>
      <c r="C7311" s="8" t="s">
        <v>13</v>
      </c>
      <c r="D7311" s="8" t="s">
        <v>14</v>
      </c>
      <c r="E7311" s="8">
        <v>1</v>
      </c>
    </row>
    <row r="7312" spans="1:5" ht="15.75" customHeight="1" x14ac:dyDescent="0.25">
      <c r="A7312" s="6" t="s">
        <v>7038</v>
      </c>
      <c r="B7312" s="6" t="str">
        <f ca="1">IFERROR(__xludf.DUMMYFUNCTION("GOOGLETRANSLATE(A7312,""bn"",""en"")"),"Dew is falling from the awning to the courtyard")</f>
        <v>Dew is falling from the awning to the courtyard</v>
      </c>
      <c r="C7312" s="7" t="s">
        <v>6</v>
      </c>
      <c r="D7312" s="7" t="s">
        <v>7</v>
      </c>
      <c r="E7312" s="7">
        <v>0</v>
      </c>
    </row>
    <row r="7313" spans="1:5" ht="15.75" customHeight="1" x14ac:dyDescent="0.25">
      <c r="A7313" s="6" t="s">
        <v>5646</v>
      </c>
      <c r="B7313" s="6" t="str">
        <f ca="1">IFERROR(__xludf.DUMMYFUNCTION("GOOGLETRANSLATE(A7313,""bn"",""en"")"),"I went there and could not hear anything")</f>
        <v>I went there and could not hear anything</v>
      </c>
      <c r="C7313" s="7" t="s">
        <v>6</v>
      </c>
      <c r="D7313" s="7" t="s">
        <v>7</v>
      </c>
      <c r="E7313" s="7">
        <v>0</v>
      </c>
    </row>
    <row r="7314" spans="1:5" ht="15.75" customHeight="1" x14ac:dyDescent="0.25">
      <c r="A7314" s="6" t="s">
        <v>7039</v>
      </c>
      <c r="B7314" s="6" t="str">
        <f ca="1">IFERROR(__xludf.DUMMYFUNCTION("GOOGLETRANSLATE(A7314,""bn"",""en"")"),"He started playing with the electricity of violence on his face")</f>
        <v>He started playing with the electricity of violence on his face</v>
      </c>
      <c r="C7314" s="7" t="s">
        <v>6</v>
      </c>
      <c r="D7314" s="7" t="s">
        <v>7</v>
      </c>
      <c r="E7314" s="7">
        <v>0</v>
      </c>
    </row>
    <row r="7315" spans="1:5" ht="15.75" customHeight="1" x14ac:dyDescent="0.25">
      <c r="A7315" s="6" t="s">
        <v>7040</v>
      </c>
      <c r="B7315" s="6" t="str">
        <f ca="1">IFERROR(__xludf.DUMMYFUNCTION("GOOGLETRANSLATE(A7315,""bn"",""en"")"),"They were very worried about their exams")</f>
        <v>They were very worried about their exams</v>
      </c>
      <c r="C7315" s="7" t="s">
        <v>6</v>
      </c>
      <c r="D7315" s="7" t="s">
        <v>7</v>
      </c>
      <c r="E7315" s="7">
        <v>0</v>
      </c>
    </row>
    <row r="7316" spans="1:5" ht="15.75" customHeight="1" x14ac:dyDescent="0.25">
      <c r="A7316" s="6" t="s">
        <v>7041</v>
      </c>
      <c r="B7316" s="6" t="str">
        <f ca="1">IFERROR(__xludf.DUMMYFUNCTION("GOOGLETRANSLATE(A7316,""bn"",""en"")"),"I did not know then that Palamau is not a city but a huge pargana")</f>
        <v>I did not know then that Palamau is not a city but a huge pargana</v>
      </c>
      <c r="C7316" s="7" t="s">
        <v>6</v>
      </c>
      <c r="D7316" s="7" t="s">
        <v>7</v>
      </c>
      <c r="E7316" s="7">
        <v>0</v>
      </c>
    </row>
    <row r="7317" spans="1:5" ht="15.75" customHeight="1" x14ac:dyDescent="0.25">
      <c r="A7317" s="6" t="s">
        <v>7042</v>
      </c>
      <c r="B7317" s="6" t="str">
        <f ca="1">IFERROR(__xludf.DUMMYFUNCTION("GOOGLETRANSLATE(A7317,""bn"",""en"")"),"Much like a father-son relationship")</f>
        <v>Much like a father-son relationship</v>
      </c>
      <c r="C7317" s="8" t="s">
        <v>13</v>
      </c>
      <c r="D7317" s="8" t="s">
        <v>14</v>
      </c>
      <c r="E7317" s="8">
        <v>1</v>
      </c>
    </row>
    <row r="7318" spans="1:5" ht="15.75" customHeight="1" x14ac:dyDescent="0.25">
      <c r="A7318" s="6" t="s">
        <v>7043</v>
      </c>
      <c r="B7318" s="6" t="str">
        <f ca="1">IFERROR(__xludf.DUMMYFUNCTION("GOOGLETRANSLATE(A7318,""bn"",""en"")"),"Long-term reactions are not clear")</f>
        <v>Long-term reactions are not clear</v>
      </c>
      <c r="C7318" s="8" t="s">
        <v>13</v>
      </c>
      <c r="D7318" s="8" t="s">
        <v>14</v>
      </c>
      <c r="E7318" s="8">
        <v>1</v>
      </c>
    </row>
    <row r="7319" spans="1:5" ht="15.75" customHeight="1" x14ac:dyDescent="0.25">
      <c r="A7319" s="6" t="s">
        <v>7044</v>
      </c>
      <c r="B7319" s="6" t="str">
        <f ca="1">IFERROR(__xludf.DUMMYFUNCTION("GOOGLETRANSLATE(A7319,""bn"",""en"")"),"Agricultural sustainability considers the economic social environmental aspects of agricultural practices")</f>
        <v>Agricultural sustainability considers the economic social environmental aspects of agricultural practices</v>
      </c>
      <c r="C7319" s="8" t="s">
        <v>13</v>
      </c>
      <c r="D7319" s="8" t="s">
        <v>14</v>
      </c>
      <c r="E7319" s="8">
        <v>1</v>
      </c>
    </row>
    <row r="7320" spans="1:5" ht="15.75" customHeight="1" x14ac:dyDescent="0.25">
      <c r="A7320" s="6" t="s">
        <v>7045</v>
      </c>
      <c r="B7320" s="6" t="str">
        <f ca="1">IFERROR(__xludf.DUMMYFUNCTION("GOOGLETRANSLATE(A7320,""bn"",""en"")"),"Click to view full post")</f>
        <v>Click to view full post</v>
      </c>
      <c r="C7320" s="8" t="s">
        <v>13</v>
      </c>
      <c r="D7320" s="8" t="s">
        <v>14</v>
      </c>
      <c r="E7320" s="8">
        <v>1</v>
      </c>
    </row>
    <row r="7321" spans="1:5" ht="15.75" customHeight="1" x14ac:dyDescent="0.25">
      <c r="A7321" s="6" t="s">
        <v>7046</v>
      </c>
      <c r="B7321" s="6" t="str">
        <f ca="1">IFERROR(__xludf.DUMMYFUNCTION("GOOGLETRANSLATE(A7321,""bn"",""en"")"),"Find joy in being active")</f>
        <v>Find joy in being active</v>
      </c>
      <c r="C7321" s="8" t="s">
        <v>13</v>
      </c>
      <c r="D7321" s="8" t="s">
        <v>14</v>
      </c>
      <c r="E7321" s="8">
        <v>1</v>
      </c>
    </row>
    <row r="7322" spans="1:5" ht="15.75" customHeight="1" x14ac:dyDescent="0.25">
      <c r="A7322" s="6" t="s">
        <v>7047</v>
      </c>
      <c r="B7322" s="6" t="str">
        <f ca="1">IFERROR(__xludf.DUMMYFUNCTION("GOOGLETRANSLATE(A7322,""bn"",""en"")"),"I turned back and looked at the mountain and shouted again.")</f>
        <v>I turned back and looked at the mountain and shouted again.</v>
      </c>
      <c r="C7322" s="7" t="s">
        <v>6</v>
      </c>
      <c r="D7322" s="7" t="s">
        <v>7</v>
      </c>
      <c r="E7322" s="7">
        <v>0</v>
      </c>
    </row>
    <row r="7323" spans="1:5" ht="15.75" customHeight="1" x14ac:dyDescent="0.25">
      <c r="A7323" s="6" t="s">
        <v>7048</v>
      </c>
      <c r="B7323" s="6" t="str">
        <f ca="1">IFERROR(__xludf.DUMMYFUNCTION("GOOGLETRANSLATE(A7323,""bn"",""en"")"),"I have seen such a bride")</f>
        <v>I have seen such a bride</v>
      </c>
      <c r="C7323" s="7" t="s">
        <v>6</v>
      </c>
      <c r="D7323" s="7" t="s">
        <v>7</v>
      </c>
      <c r="E7323" s="7">
        <v>0</v>
      </c>
    </row>
    <row r="7324" spans="1:5" ht="15.75" customHeight="1" x14ac:dyDescent="0.25">
      <c r="A7324" s="6" t="s">
        <v>6401</v>
      </c>
      <c r="B7324" s="6" t="str">
        <f ca="1">IFERROR(__xludf.DUMMYFUNCTION("GOOGLETRANSLATE(A7324,""bn"",""en"")"),"The house was stunned by his untimely death")</f>
        <v>The house was stunned by his untimely death</v>
      </c>
      <c r="C7324" s="7" t="s">
        <v>6</v>
      </c>
      <c r="D7324" s="7" t="s">
        <v>7</v>
      </c>
      <c r="E7324" s="7">
        <v>0</v>
      </c>
    </row>
    <row r="7325" spans="1:5" ht="15.75" customHeight="1" x14ac:dyDescent="0.25">
      <c r="A7325" s="6" t="s">
        <v>7049</v>
      </c>
      <c r="B7325" s="6" t="str">
        <f ca="1">IFERROR(__xludf.DUMMYFUNCTION("GOOGLETRANSLATE(A7325,""bn"",""en"")"),"Many people know me as Mr")</f>
        <v>Many people know me as Mr</v>
      </c>
      <c r="C7325" s="7" t="s">
        <v>6</v>
      </c>
      <c r="D7325" s="7" t="s">
        <v>7</v>
      </c>
      <c r="E7325" s="7">
        <v>0</v>
      </c>
    </row>
    <row r="7326" spans="1:5" ht="15.75" customHeight="1" x14ac:dyDescent="0.25">
      <c r="A7326" s="6" t="s">
        <v>7050</v>
      </c>
      <c r="B7326" s="6" t="str">
        <f ca="1">IFERROR(__xludf.DUMMYFUNCTION("GOOGLETRANSLATE(A7326,""bn"",""en"")"),"Robin caught me as a thief")</f>
        <v>Robin caught me as a thief</v>
      </c>
      <c r="C7326" s="7" t="s">
        <v>6</v>
      </c>
      <c r="D7326" s="7" t="s">
        <v>7</v>
      </c>
      <c r="E7326" s="7">
        <v>0</v>
      </c>
    </row>
    <row r="7327" spans="1:5" ht="15.75" customHeight="1" x14ac:dyDescent="0.25">
      <c r="A7327" s="6" t="s">
        <v>7051</v>
      </c>
      <c r="B7327" s="6" t="str">
        <f ca="1">IFERROR(__xludf.DUMMYFUNCTION("GOOGLETRANSLATE(A7327,""bn"",""en"")"),"This situation does not make it easy to understand my passion for nature")</f>
        <v>This situation does not make it easy to understand my passion for nature</v>
      </c>
      <c r="C7327" s="8" t="s">
        <v>13</v>
      </c>
      <c r="D7327" s="8" t="s">
        <v>14</v>
      </c>
      <c r="E7327" s="8">
        <v>1</v>
      </c>
    </row>
    <row r="7328" spans="1:5" ht="15.75" customHeight="1" x14ac:dyDescent="0.25">
      <c r="A7328" s="6" t="s">
        <v>7052</v>
      </c>
      <c r="B7328" s="6" t="str">
        <f ca="1">IFERROR(__xludf.DUMMYFUNCTION("GOOGLETRANSLATE(A7328,""bn"",""en"")"),"I am over eighty now")</f>
        <v>I am over eighty now</v>
      </c>
      <c r="C7328" s="8" t="s">
        <v>13</v>
      </c>
      <c r="D7328" s="8" t="s">
        <v>14</v>
      </c>
      <c r="E7328" s="8">
        <v>1</v>
      </c>
    </row>
    <row r="7329" spans="1:5" ht="15.75" customHeight="1" x14ac:dyDescent="0.25">
      <c r="A7329" s="6" t="s">
        <v>7053</v>
      </c>
      <c r="B7329" s="6" t="str">
        <f ca="1">IFERROR(__xludf.DUMMYFUNCTION("GOOGLETRANSLATE(A7329,""bn"",""en"")"),"Venturing into the haunted forest they brave the eerie silence to whisper legends.")</f>
        <v>Venturing into the haunted forest they brave the eerie silence to whisper legends.</v>
      </c>
      <c r="C7329" s="8" t="s">
        <v>13</v>
      </c>
      <c r="D7329" s="8" t="s">
        <v>14</v>
      </c>
      <c r="E7329" s="8">
        <v>1</v>
      </c>
    </row>
    <row r="7330" spans="1:5" ht="15.75" customHeight="1" x14ac:dyDescent="0.25">
      <c r="A7330" s="6" t="s">
        <v>7054</v>
      </c>
      <c r="B7330" s="6" t="str">
        <f ca="1">IFERROR(__xludf.DUMMYFUNCTION("GOOGLETRANSLATE(A7330,""bn"",""en"")"),"Together they won the award for the invention of the transistor")</f>
        <v>Together they won the award for the invention of the transistor</v>
      </c>
      <c r="C7330" s="8" t="s">
        <v>13</v>
      </c>
      <c r="D7330" s="8" t="s">
        <v>14</v>
      </c>
      <c r="E7330" s="8">
        <v>1</v>
      </c>
    </row>
    <row r="7331" spans="1:5" ht="15.75" customHeight="1" x14ac:dyDescent="0.25">
      <c r="A7331" s="6" t="s">
        <v>7055</v>
      </c>
      <c r="B7331" s="6" t="str">
        <f ca="1">IFERROR(__xludf.DUMMYFUNCTION("GOOGLETRANSLATE(A7331,""bn"",""en"")"),"Transactions were split between multiple accounts")</f>
        <v>Transactions were split between multiple accounts</v>
      </c>
      <c r="C7331" s="8" t="s">
        <v>13</v>
      </c>
      <c r="D7331" s="8" t="s">
        <v>14</v>
      </c>
      <c r="E7331" s="8">
        <v>1</v>
      </c>
    </row>
    <row r="7332" spans="1:5" ht="15.75" customHeight="1" x14ac:dyDescent="0.25">
      <c r="A7332" s="6" t="s">
        <v>7056</v>
      </c>
      <c r="B7332" s="6" t="str">
        <f ca="1">IFERROR(__xludf.DUMMYFUNCTION("GOOGLETRANSLATE(A7332,""bn"",""en"")"),"At night, the girl will cry because of the doll")</f>
        <v>At night, the girl will cry because of the doll</v>
      </c>
      <c r="C7332" s="7" t="s">
        <v>6</v>
      </c>
      <c r="D7332" s="7" t="s">
        <v>7</v>
      </c>
      <c r="E7332" s="7">
        <v>0</v>
      </c>
    </row>
    <row r="7333" spans="1:5" ht="15.75" customHeight="1" x14ac:dyDescent="0.25">
      <c r="A7333" s="6" t="s">
        <v>7057</v>
      </c>
      <c r="B7333" s="6" t="str">
        <f ca="1">IFERROR(__xludf.DUMMYFUNCTION("GOOGLETRANSLATE(A7333,""bn"",""en"")"),"Saju is taking me to play")</f>
        <v>Saju is taking me to play</v>
      </c>
      <c r="C7333" s="7" t="s">
        <v>6</v>
      </c>
      <c r="D7333" s="7" t="s">
        <v>7</v>
      </c>
      <c r="E7333" s="7">
        <v>0</v>
      </c>
    </row>
    <row r="7334" spans="1:5" ht="15.75" customHeight="1" x14ac:dyDescent="0.25">
      <c r="A7334" s="6" t="s">
        <v>7058</v>
      </c>
      <c r="B7334" s="6" t="str">
        <f ca="1">IFERROR(__xludf.DUMMYFUNCTION("GOOGLETRANSLATE(A7334,""bn"",""en"")"),"Bengalis are learning English and getting titles.")</f>
        <v>Bengalis are learning English and getting titles.</v>
      </c>
      <c r="C7334" s="7" t="s">
        <v>6</v>
      </c>
      <c r="D7334" s="7" t="s">
        <v>7</v>
      </c>
      <c r="E7334" s="7">
        <v>0</v>
      </c>
    </row>
    <row r="7335" spans="1:5" ht="15.75" customHeight="1" x14ac:dyDescent="0.25">
      <c r="A7335" s="6" t="s">
        <v>7059</v>
      </c>
      <c r="B7335" s="6" t="str">
        <f ca="1">IFERROR(__xludf.DUMMYFUNCTION("GOOGLETRANSLATE(A7335,""bn"",""en"")"),"Two friends were lost in the forest")</f>
        <v>Two friends were lost in the forest</v>
      </c>
      <c r="C7335" s="7" t="s">
        <v>6</v>
      </c>
      <c r="D7335" s="7" t="s">
        <v>7</v>
      </c>
      <c r="E7335" s="7">
        <v>0</v>
      </c>
    </row>
    <row r="7336" spans="1:5" ht="15.75" customHeight="1" x14ac:dyDescent="0.25">
      <c r="A7336" s="6" t="s">
        <v>7060</v>
      </c>
      <c r="B7336" s="6" t="str">
        <f ca="1">IFERROR(__xludf.DUMMYFUNCTION("GOOGLETRANSLATE(A7336,""bn"",""en"")"),"Ramsundar did not show his face to his daughter and returned home with a few notes tied to the edge of the sheet with trembling hands.")</f>
        <v>Ramsundar did not show his face to his daughter and returned home with a few notes tied to the edge of the sheet with trembling hands.</v>
      </c>
      <c r="C7336" s="7" t="s">
        <v>6</v>
      </c>
      <c r="D7336" s="7" t="s">
        <v>7</v>
      </c>
      <c r="E7336" s="7">
        <v>0</v>
      </c>
    </row>
    <row r="7337" spans="1:5" ht="15.75" customHeight="1" x14ac:dyDescent="0.25">
      <c r="A7337" s="6" t="s">
        <v>7061</v>
      </c>
      <c r="B7337" s="6" t="str">
        <f ca="1">IFERROR(__xludf.DUMMYFUNCTION("GOOGLETRANSLATE(A7337,""bn"",""en"")"),"Transactions are processed through a secure gateway")</f>
        <v>Transactions are processed through a secure gateway</v>
      </c>
      <c r="C7337" s="8" t="s">
        <v>13</v>
      </c>
      <c r="D7337" s="8" t="s">
        <v>14</v>
      </c>
      <c r="E7337" s="8">
        <v>1</v>
      </c>
    </row>
    <row r="7338" spans="1:5" ht="15.75" customHeight="1" x14ac:dyDescent="0.25">
      <c r="A7338" s="6" t="s">
        <v>7062</v>
      </c>
      <c r="B7338" s="6" t="str">
        <f ca="1">IFERROR(__xludf.DUMMYFUNCTION("GOOGLETRANSLATE(A7338,""bn"",""en"")"),"Share your favorite moments")</f>
        <v>Share your favorite moments</v>
      </c>
      <c r="C7338" s="8" t="s">
        <v>13</v>
      </c>
      <c r="D7338" s="8" t="s">
        <v>14</v>
      </c>
      <c r="E7338" s="8">
        <v>1</v>
      </c>
    </row>
    <row r="7339" spans="1:5" ht="15.75" customHeight="1" x14ac:dyDescent="0.25">
      <c r="A7339" s="6" t="s">
        <v>7063</v>
      </c>
      <c r="B7339" s="6" t="str">
        <f ca="1">IFERROR(__xludf.DUMMYFUNCTION("GOOGLETRANSLATE(A7339,""bn"",""en"")"),"He doesn't know your address again")</f>
        <v>He doesn't know your address again</v>
      </c>
      <c r="C7339" s="8" t="s">
        <v>13</v>
      </c>
      <c r="D7339" s="8" t="s">
        <v>14</v>
      </c>
      <c r="E7339" s="8">
        <v>1</v>
      </c>
    </row>
    <row r="7340" spans="1:5" ht="15.75" customHeight="1" x14ac:dyDescent="0.25">
      <c r="A7340" s="6" t="s">
        <v>7064</v>
      </c>
      <c r="B7340" s="6" t="str">
        <f ca="1">IFERROR(__xludf.DUMMYFUNCTION("GOOGLETRANSLATE(A7340,""bn"",""en"")"),"He enjoyed reading the story book I gave him")</f>
        <v>He enjoyed reading the story book I gave him</v>
      </c>
      <c r="C7340" s="8" t="s">
        <v>13</v>
      </c>
      <c r="D7340" s="8" t="s">
        <v>14</v>
      </c>
      <c r="E7340" s="8">
        <v>1</v>
      </c>
    </row>
    <row r="7341" spans="1:5" ht="15.75" customHeight="1" x14ac:dyDescent="0.25">
      <c r="A7341" s="6" t="s">
        <v>7065</v>
      </c>
      <c r="B7341" s="6" t="str">
        <f ca="1">IFERROR(__xludf.DUMMYFUNCTION("GOOGLETRANSLATE(A7341,""bn"",""en"")"),"He is best known for his Southern Populist theory")</f>
        <v>He is best known for his Southern Populist theory</v>
      </c>
      <c r="C7341" s="8" t="s">
        <v>13</v>
      </c>
      <c r="D7341" s="8" t="s">
        <v>14</v>
      </c>
      <c r="E7341" s="8">
        <v>1</v>
      </c>
    </row>
    <row r="7342" spans="1:5" ht="15.75" customHeight="1" x14ac:dyDescent="0.25">
      <c r="A7342" s="6" t="s">
        <v>7066</v>
      </c>
      <c r="B7342" s="6" t="str">
        <f ca="1">IFERROR(__xludf.DUMMYFUNCTION("GOOGLETRANSLATE(A7342,""bn"",""en"")"),"Someone has squandered wealth and dumped it at my feet")</f>
        <v>Someone has squandered wealth and dumped it at my feet</v>
      </c>
      <c r="C7342" s="7" t="s">
        <v>6</v>
      </c>
      <c r="D7342" s="7" t="s">
        <v>7</v>
      </c>
      <c r="E7342" s="7">
        <v>0</v>
      </c>
    </row>
    <row r="7343" spans="1:5" ht="15.75" customHeight="1" x14ac:dyDescent="0.25">
      <c r="A7343" s="6" t="s">
        <v>7067</v>
      </c>
      <c r="B7343" s="6" t="str">
        <f ca="1">IFERROR(__xludf.DUMMYFUNCTION("GOOGLETRANSLATE(A7343,""bn"",""en"")"),"The man works hard all day")</f>
        <v>The man works hard all day</v>
      </c>
      <c r="C7343" s="7" t="s">
        <v>6</v>
      </c>
      <c r="D7343" s="7" t="s">
        <v>7</v>
      </c>
      <c r="E7343" s="7">
        <v>0</v>
      </c>
    </row>
    <row r="7344" spans="1:5" ht="15.75" customHeight="1" x14ac:dyDescent="0.25">
      <c r="A7344" s="6" t="s">
        <v>7068</v>
      </c>
      <c r="B7344" s="6" t="str">
        <f ca="1">IFERROR(__xludf.DUMMYFUNCTION("GOOGLETRANSLATE(A7344,""bn"",""en"")"),"A crop that has not rained for some time turns dry and yellow and does not delay when it receives rain")</f>
        <v>A crop that has not rained for some time turns dry and yellow and does not delay when it receives rain</v>
      </c>
      <c r="C7344" s="7" t="s">
        <v>6</v>
      </c>
      <c r="D7344" s="7" t="s">
        <v>7</v>
      </c>
      <c r="E7344" s="7">
        <v>0</v>
      </c>
    </row>
    <row r="7345" spans="1:5" ht="15.75" customHeight="1" x14ac:dyDescent="0.25">
      <c r="A7345" s="6" t="s">
        <v>619</v>
      </c>
      <c r="B7345" s="6" t="str">
        <f ca="1">IFERROR(__xludf.DUMMYFUNCTION("GOOGLETRANSLATE(A7345,""bn"",""en"")"),"Be that as it may, I was surprised to hear Sanskrit rhymes in the mouth of the bird")</f>
        <v>Be that as it may, I was surprised to hear Sanskrit rhymes in the mouth of the bird</v>
      </c>
      <c r="C7345" s="7" t="s">
        <v>6</v>
      </c>
      <c r="D7345" s="7" t="s">
        <v>7</v>
      </c>
      <c r="E7345" s="7">
        <v>0</v>
      </c>
    </row>
    <row r="7346" spans="1:5" ht="15.75" customHeight="1" x14ac:dyDescent="0.25">
      <c r="A7346" s="6" t="s">
        <v>7069</v>
      </c>
      <c r="B7346" s="6" t="str">
        <f ca="1">IFERROR(__xludf.DUMMYFUNCTION("GOOGLETRANSLATE(A7346,""bn"",""en"")"),"I immediately sent for him from Anthapura")</f>
        <v>I immediately sent for him from Anthapura</v>
      </c>
      <c r="C7346" s="7" t="s">
        <v>6</v>
      </c>
      <c r="D7346" s="7" t="s">
        <v>7</v>
      </c>
      <c r="E7346" s="7">
        <v>0</v>
      </c>
    </row>
    <row r="7347" spans="1:5" ht="15.75" customHeight="1" x14ac:dyDescent="0.25">
      <c r="A7347" s="6" t="s">
        <v>7070</v>
      </c>
      <c r="B7347" s="6" t="str">
        <f ca="1">IFERROR(__xludf.DUMMYFUNCTION("GOOGLETRANSLATE(A7347,""bn"",""en"")"),"The cuisine Dopeyazza is popular")</f>
        <v>The cuisine Dopeyazza is popular</v>
      </c>
      <c r="C7347" s="8" t="s">
        <v>13</v>
      </c>
      <c r="D7347" s="8" t="s">
        <v>14</v>
      </c>
      <c r="E7347" s="8">
        <v>1</v>
      </c>
    </row>
    <row r="7348" spans="1:5" ht="15.75" customHeight="1" x14ac:dyDescent="0.25">
      <c r="A7348" s="6" t="s">
        <v>7071</v>
      </c>
      <c r="B7348" s="6" t="str">
        <f ca="1">IFERROR(__xludf.DUMMYFUNCTION("GOOGLETRANSLATE(A7348,""bn"",""en"")"),"At the end, Rahim put Karim in danger")</f>
        <v>At the end, Rahim put Karim in danger</v>
      </c>
      <c r="C7348" s="8" t="s">
        <v>13</v>
      </c>
      <c r="D7348" s="8" t="s">
        <v>14</v>
      </c>
      <c r="E7348" s="8">
        <v>1</v>
      </c>
    </row>
    <row r="7349" spans="1:5" ht="15.75" customHeight="1" x14ac:dyDescent="0.25">
      <c r="A7349" s="6" t="s">
        <v>7072</v>
      </c>
      <c r="B7349" s="6" t="str">
        <f ca="1">IFERROR(__xludf.DUMMYFUNCTION("GOOGLETRANSLATE(A7349,""bn"",""en"")"),"They put Hafiz in danger")</f>
        <v>They put Hafiz in danger</v>
      </c>
      <c r="C7349" s="8" t="s">
        <v>13</v>
      </c>
      <c r="D7349" s="8" t="s">
        <v>14</v>
      </c>
      <c r="E7349" s="8">
        <v>1</v>
      </c>
    </row>
    <row r="7350" spans="1:5" ht="15.75" customHeight="1" x14ac:dyDescent="0.25">
      <c r="A7350" s="6" t="s">
        <v>7073</v>
      </c>
      <c r="B7350" s="6" t="str">
        <f ca="1">IFERROR(__xludf.DUMMYFUNCTION("GOOGLETRANSLATE(A7350,""bn"",""en"")"),"Alexander Cunningham published the first Harappan seal in")</f>
        <v>Alexander Cunningham published the first Harappan seal in</v>
      </c>
      <c r="C7350" s="8" t="s">
        <v>13</v>
      </c>
      <c r="D7350" s="8" t="s">
        <v>14</v>
      </c>
      <c r="E7350" s="8">
        <v>1</v>
      </c>
    </row>
    <row r="7351" spans="1:5" ht="15.75" customHeight="1" x14ac:dyDescent="0.25">
      <c r="A7351" s="6" t="s">
        <v>7074</v>
      </c>
      <c r="B7351" s="6" t="str">
        <f ca="1">IFERROR(__xludf.DUMMYFUNCTION("GOOGLETRANSLATE(A7351,""bn"",""en"")"),"Suman will eat rice and go to play")</f>
        <v>Suman will eat rice and go to play</v>
      </c>
      <c r="C7351" s="8" t="s">
        <v>13</v>
      </c>
      <c r="D7351" s="8" t="s">
        <v>14</v>
      </c>
      <c r="E7351" s="8">
        <v>1</v>
      </c>
    </row>
  </sheetData>
  <autoFilter ref="C1:C7351" xr:uid="{00000000-0009-0000-0000-000000000000}"/>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DIU</cp:lastModifiedBy>
  <dcterms:created xsi:type="dcterms:W3CDTF">2024-07-14T03:40:19Z</dcterms:created>
  <dcterms:modified xsi:type="dcterms:W3CDTF">2024-12-08T08:50:39Z</dcterms:modified>
</cp:coreProperties>
</file>