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i-my.sharepoint.com/personal/mariano_scandizzo_spartners_me/Documents/Python/Mariano's Book/"/>
    </mc:Choice>
  </mc:AlternateContent>
  <xr:revisionPtr revIDLastSave="169" documentId="11_0B429AA255542017AFA75F2F2692213D52098E03" xr6:coauthVersionLast="45" xr6:coauthVersionMax="45" xr10:uidLastSave="{9609AC6E-D571-44D8-A1C3-AF5FC96A2183}"/>
  <bookViews>
    <workbookView xWindow="-110" yWindow="-110" windowWidth="19420" windowHeight="10420" activeTab="2" xr2:uid="{00000000-000D-0000-FFFF-FFFF00000000}"/>
  </bookViews>
  <sheets>
    <sheet name="SBK" sheetId="1" r:id="rId1"/>
    <sheet name="Rates" sheetId="2" r:id="rId2"/>
    <sheet name="CF" sheetId="3" r:id="rId3"/>
  </sheets>
  <definedNames>
    <definedName name="_xlnm.Print_Area" localSheetId="0">SBK!$A$1:$Q$45</definedName>
    <definedName name="_xlnm.Print_Titles" localSheetId="0">SBK!$1:$1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1" l="1"/>
  <c r="F39" i="1"/>
  <c r="E39" i="1"/>
  <c r="E38" i="1"/>
  <c r="F37" i="1"/>
  <c r="E37" i="1"/>
  <c r="F36" i="1"/>
  <c r="F35" i="1"/>
  <c r="F34" i="1"/>
  <c r="F33" i="1"/>
  <c r="F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F12" i="1"/>
  <c r="F11" i="1"/>
  <c r="F10" i="1"/>
  <c r="F9" i="1"/>
  <c r="F7" i="1"/>
  <c r="E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<sst xmlns="http://schemas.openxmlformats.org/spreadsheetml/2006/main" count="1334" uniqueCount="323">
  <si>
    <t>Borrower</t>
  </si>
  <si>
    <t>Original Amount</t>
  </si>
  <si>
    <t>Rate Type</t>
  </si>
  <si>
    <t>Spread</t>
  </si>
  <si>
    <t>Fixed Rate</t>
  </si>
  <si>
    <t>Floor</t>
  </si>
  <si>
    <t>Tenor</t>
  </si>
  <si>
    <t>Maturity</t>
  </si>
  <si>
    <t>NBAD</t>
  </si>
  <si>
    <t>HH</t>
  </si>
  <si>
    <t xml:space="preserve">Al Barsha Buildings </t>
  </si>
  <si>
    <t>No</t>
  </si>
  <si>
    <t>Floating</t>
  </si>
  <si>
    <t>3M Eibor</t>
  </si>
  <si>
    <t>10 Years</t>
  </si>
  <si>
    <t>Annually</t>
  </si>
  <si>
    <t>Quarterly</t>
  </si>
  <si>
    <t>Sharjah Building</t>
  </si>
  <si>
    <t>Ajman Residential Building</t>
  </si>
  <si>
    <t>NBD</t>
  </si>
  <si>
    <t>Palm Villa D-26</t>
  </si>
  <si>
    <t>Yes</t>
  </si>
  <si>
    <t>6M Eibor</t>
  </si>
  <si>
    <t>8 Years</t>
  </si>
  <si>
    <t>Palm Villa D-43</t>
  </si>
  <si>
    <t>9 Years</t>
  </si>
  <si>
    <t>ADCB</t>
  </si>
  <si>
    <t xml:space="preserve">Ajman Hotel </t>
  </si>
  <si>
    <t>Yacht</t>
  </si>
  <si>
    <t>Fixed</t>
  </si>
  <si>
    <t>2 Years</t>
  </si>
  <si>
    <t>Bullet Payment</t>
  </si>
  <si>
    <t>City Walk 14</t>
  </si>
  <si>
    <t>7 Years</t>
  </si>
  <si>
    <t>Semi Annually</t>
  </si>
  <si>
    <t>Semi annually</t>
  </si>
  <si>
    <t>ENBD</t>
  </si>
  <si>
    <t>Al Manara Villa</t>
  </si>
  <si>
    <t>CBR</t>
  </si>
  <si>
    <t>15 Years</t>
  </si>
  <si>
    <t>Seasons Community A11</t>
  </si>
  <si>
    <t>Mudon Villa</t>
  </si>
  <si>
    <t>Sunset Gardens</t>
  </si>
  <si>
    <t>UAB</t>
  </si>
  <si>
    <t>HH Expenses in Real Estate, Shares &amp; Others</t>
  </si>
  <si>
    <t>8 years</t>
  </si>
  <si>
    <t>Acquisition of NIC 80% Share</t>
  </si>
  <si>
    <t>8.3 years</t>
  </si>
  <si>
    <t>O/D</t>
  </si>
  <si>
    <t>NA</t>
  </si>
  <si>
    <t>H.H. Expenses - Investments</t>
  </si>
  <si>
    <t>6 years</t>
  </si>
  <si>
    <t>4.5 years</t>
  </si>
  <si>
    <t>2 years</t>
  </si>
  <si>
    <t>Doha Bank</t>
  </si>
  <si>
    <t>Rawdhat AUH Building C105</t>
  </si>
  <si>
    <t>7 years</t>
  </si>
  <si>
    <t>Purchase of villa in Al sadyaat land, Augusta Helicopters (AW169), 7-11 Projects, Settlement of previous loans, settlement of part of liab. related to Falcon Aviation, Fairmont Ajman &amp; Mina Al Fajer</t>
  </si>
  <si>
    <t>Purchase of 19 UGS &amp; 23 Culross street (GBP 20M)</t>
  </si>
  <si>
    <t>3M Libor</t>
  </si>
  <si>
    <t>5 Years</t>
  </si>
  <si>
    <t>Bank Muscat</t>
  </si>
  <si>
    <t>Settlement of Barclays Bank Loan taken for Moonlight II (53M USD)</t>
  </si>
  <si>
    <t>Settlement of NBO loan, Falcon Aircraft, Inv in Shares &amp; HH Expenses (OMR)</t>
  </si>
  <si>
    <t>Al Shahab School</t>
  </si>
  <si>
    <t>13 Installments</t>
  </si>
  <si>
    <t>Gulf Hospitality LLC</t>
  </si>
  <si>
    <t>Fairmont Hotel</t>
  </si>
  <si>
    <t xml:space="preserve">10 Years </t>
  </si>
  <si>
    <t>Mina Al Fajer LLC</t>
  </si>
  <si>
    <t>Fairmont Hotel Fujairah</t>
  </si>
  <si>
    <t xml:space="preserve">18 Years </t>
  </si>
  <si>
    <t>OD</t>
  </si>
  <si>
    <t>Falcon Aviation</t>
  </si>
  <si>
    <t>ADNL I</t>
  </si>
  <si>
    <t>ADNL II</t>
  </si>
  <si>
    <t>ADNL III</t>
  </si>
  <si>
    <t>For DWC</t>
  </si>
  <si>
    <t>Tenor Years</t>
  </si>
  <si>
    <t>HH Guaranteed</t>
  </si>
  <si>
    <t>Bank</t>
  </si>
  <si>
    <t>Use of Loan</t>
  </si>
  <si>
    <t>Outstanding</t>
  </si>
  <si>
    <t>BenchRate</t>
  </si>
  <si>
    <t>BenchValue</t>
  </si>
  <si>
    <t>Sinking Fund</t>
  </si>
  <si>
    <t>Interest Terms</t>
  </si>
  <si>
    <t>SNo</t>
  </si>
  <si>
    <t>Date</t>
  </si>
  <si>
    <t>3-6m Avg.</t>
  </si>
  <si>
    <t>Ezdan Holding 5yr</t>
  </si>
  <si>
    <t>Damac 5yr</t>
  </si>
  <si>
    <t>Mubadala 7yr</t>
  </si>
  <si>
    <t>Mubadala 12yr</t>
  </si>
  <si>
    <t>DIB 5yr</t>
  </si>
  <si>
    <t>SBK</t>
  </si>
  <si>
    <t>Cash Flow</t>
  </si>
  <si>
    <t>Category</t>
  </si>
  <si>
    <t>Type</t>
  </si>
  <si>
    <t>Particulars</t>
  </si>
  <si>
    <t>2,017</t>
  </si>
  <si>
    <t>2,018</t>
  </si>
  <si>
    <t>2,019</t>
  </si>
  <si>
    <t>2,020</t>
  </si>
  <si>
    <t>Inflows</t>
  </si>
  <si>
    <t>Sponsorship</t>
  </si>
  <si>
    <t>Income</t>
  </si>
  <si>
    <t>Hotels</t>
  </si>
  <si>
    <t>Growth</t>
  </si>
  <si>
    <t>Div &amp; Shares</t>
  </si>
  <si>
    <t>Income - Leaders</t>
  </si>
  <si>
    <t>Diplomat Hotel</t>
  </si>
  <si>
    <t>Other Shares Dividends</t>
  </si>
  <si>
    <t>Other Income</t>
  </si>
  <si>
    <t>Sale of Dates</t>
  </si>
  <si>
    <t>Bank Loans</t>
  </si>
  <si>
    <t>Loan Inflow</t>
  </si>
  <si>
    <t>Real Estate Loan</t>
  </si>
  <si>
    <t>Sale Prop &amp; Shares</t>
  </si>
  <si>
    <t>Sale Inflow</t>
  </si>
  <si>
    <t>Al Maha Petroleum</t>
  </si>
  <si>
    <t>Rental Income</t>
  </si>
  <si>
    <t>Corniche Tower</t>
  </si>
  <si>
    <t>C 105</t>
  </si>
  <si>
    <t>Lands Lease</t>
  </si>
  <si>
    <t>Barsha Community Villas</t>
  </si>
  <si>
    <t>Penthouse Rental</t>
  </si>
  <si>
    <t>NIC</t>
  </si>
  <si>
    <t>Outflows</t>
  </si>
  <si>
    <t>Expenses</t>
  </si>
  <si>
    <t>Vehicles</t>
  </si>
  <si>
    <t>Salaries</t>
  </si>
  <si>
    <t>Investments</t>
  </si>
  <si>
    <t>Investment</t>
  </si>
  <si>
    <t>Deferred Expenses</t>
  </si>
  <si>
    <t xml:space="preserve">Palace Additional Rooms </t>
  </si>
  <si>
    <t>Spain Villa</t>
  </si>
  <si>
    <t>Private office renovation</t>
  </si>
  <si>
    <t>MAF Beach Works</t>
  </si>
  <si>
    <t>UK Properties Expenses</t>
  </si>
  <si>
    <t>France Properties Expenses</t>
  </si>
  <si>
    <t>Account Payables</t>
  </si>
  <si>
    <t>Staff Quarters Renovations</t>
  </si>
  <si>
    <t>Loan Payments</t>
  </si>
  <si>
    <t>Loan outflows</t>
  </si>
  <si>
    <t>Interest payment on Yacht loan</t>
  </si>
  <si>
    <t>Seasons Community</t>
  </si>
  <si>
    <t>Admin Expenses</t>
  </si>
  <si>
    <t>Office Equipments / Furnitures</t>
  </si>
  <si>
    <t>Insurance expenses</t>
  </si>
  <si>
    <t>Printing and Stationery expenses</t>
  </si>
  <si>
    <t>Postage and courier expenses</t>
  </si>
  <si>
    <t>Legal and Professional Charges</t>
  </si>
  <si>
    <t>Visa Expenses</t>
  </si>
  <si>
    <t>Registration and Licenses expenses</t>
  </si>
  <si>
    <t>Advertisements &amp; Publicity exps</t>
  </si>
  <si>
    <t>Finance charges</t>
  </si>
  <si>
    <t>IT Maintenance</t>
  </si>
  <si>
    <t>Miscellaneous expenses</t>
  </si>
  <si>
    <t>Agricultural Expenses (Fertilizer, Seeds &amp; Nabath)</t>
  </si>
  <si>
    <t>Purchase &amp; Maintenance - Pipe Fittings &amp; Water Pump</t>
  </si>
  <si>
    <t>Purchased Farm Equipments</t>
  </si>
  <si>
    <t>Purchase - Fencing Materials</t>
  </si>
  <si>
    <t>Purchase &amp; Maintenance - Building</t>
  </si>
  <si>
    <t>Purchase &amp; Maintenance - Electrical Items</t>
  </si>
  <si>
    <t>Purchase &amp; Maintenance - A/C Units</t>
  </si>
  <si>
    <t>Purchase Furniture &amp; House Hold Items</t>
  </si>
  <si>
    <t>Purchase - Water Tank &amp; Water Cooler</t>
  </si>
  <si>
    <t>Repairs &amp; Maintenance - Swimming Pool</t>
  </si>
  <si>
    <t>Feed Expenses (Sheep,Chicken,Pigeon )</t>
  </si>
  <si>
    <t>Fuel Expenses</t>
  </si>
  <si>
    <t>Repairs &amp; Maintenance - Vehicles</t>
  </si>
  <si>
    <t>Passing &amp; Renewals - Vehicles</t>
  </si>
  <si>
    <t>Insurance Vehicles &amp; Traffic fines</t>
  </si>
  <si>
    <t>Medical, Emirates ID &amp; Visa Renewals Expenses</t>
  </si>
  <si>
    <t>Telephone, Internet &amp; E-Vision  Expenses</t>
  </si>
  <si>
    <t>Office Stationery &amp; Office Supply</t>
  </si>
  <si>
    <t xml:space="preserve">Postage Renewal Charges </t>
  </si>
  <si>
    <t>Food / Pantry Expenses</t>
  </si>
  <si>
    <t>Gas Expenses</t>
  </si>
  <si>
    <t>Refreshment Expenses</t>
  </si>
  <si>
    <t>Cleaning, Laundry &amp; Packing Expenses</t>
  </si>
  <si>
    <t>Bank Charges</t>
  </si>
  <si>
    <t>Municipality Expenses</t>
  </si>
  <si>
    <t>Camel &amp; Ostrich - Feed</t>
  </si>
  <si>
    <t>Travelling Expenses &amp; Air Ticker (Others)</t>
  </si>
  <si>
    <t>Rental &amp; Recovery Charges</t>
  </si>
  <si>
    <t>Entertainment Expenses</t>
  </si>
  <si>
    <t>Wages, Staff Welfare &amp; Uniforms</t>
  </si>
  <si>
    <t>Agriculture Dept. Exps.</t>
  </si>
  <si>
    <t>Auditing Fee</t>
  </si>
  <si>
    <t>BANK FEE</t>
  </si>
  <si>
    <t>Cargo Service</t>
  </si>
  <si>
    <t>Cleaning Materials Exps.</t>
  </si>
  <si>
    <t>Computers &amp; Accessories</t>
  </si>
  <si>
    <t>Electricity Charge</t>
  </si>
  <si>
    <t>Electronic Equipments</t>
  </si>
  <si>
    <t>End of Service</t>
  </si>
  <si>
    <t>Food Allowances</t>
  </si>
  <si>
    <t>Food Stuff</t>
  </si>
  <si>
    <t>Furnitures &amp; curtains</t>
  </si>
  <si>
    <t>Housing Rent</t>
  </si>
  <si>
    <t>Hunting Exps.</t>
  </si>
  <si>
    <t>Island &amp; outside villas Exps.</t>
  </si>
  <si>
    <t>Kitchen Equipments</t>
  </si>
  <si>
    <t>Labour Kitchen Exps.</t>
  </si>
  <si>
    <t>Maintanance Dept. Exps.</t>
  </si>
  <si>
    <t>Medical Insurance</t>
  </si>
  <si>
    <t>Miscellaneous Exps.</t>
  </si>
  <si>
    <t xml:space="preserve">P.R.O Exp. </t>
  </si>
  <si>
    <t xml:space="preserve">Petrol &amp; Diesel </t>
  </si>
  <si>
    <t>Printing &amp; Stationery Exps.</t>
  </si>
  <si>
    <t>Recruitment Exps.</t>
  </si>
  <si>
    <t>Satelite Channels</t>
  </si>
  <si>
    <t>Telephone Charges</t>
  </si>
  <si>
    <t xml:space="preserve">Ticketting and Hospitality </t>
  </si>
  <si>
    <t>Travelling Allowances</t>
  </si>
  <si>
    <t>Vehicle Dept. Exps.</t>
  </si>
  <si>
    <t>Voucher Coupens</t>
  </si>
  <si>
    <t>Villas and Palace - Admin Expenses</t>
  </si>
  <si>
    <t>Yacht Expenses</t>
  </si>
  <si>
    <t>Moonlight II - Monthly Funding</t>
  </si>
  <si>
    <t>Moonlight II - Refit Expenses</t>
  </si>
  <si>
    <t>Small Boats &amp; Other Boats</t>
  </si>
  <si>
    <t>Moonlight Expenses - DPO</t>
  </si>
  <si>
    <t>Blue Night Expenses</t>
  </si>
  <si>
    <t>Petroleum Project</t>
  </si>
  <si>
    <t>Personal Expenses</t>
  </si>
  <si>
    <t>Personal Projects</t>
  </si>
  <si>
    <t xml:space="preserve">Villa One </t>
  </si>
  <si>
    <t>Villa Two</t>
  </si>
  <si>
    <t>Villa three</t>
  </si>
  <si>
    <t>Villa Marina</t>
  </si>
  <si>
    <t>Villa Seven</t>
  </si>
  <si>
    <t>Villa eight</t>
  </si>
  <si>
    <t>Private Office</t>
  </si>
  <si>
    <t>Palace</t>
  </si>
  <si>
    <t>yacht loan repayment</t>
  </si>
  <si>
    <t>AA Private Office</t>
  </si>
  <si>
    <t>AJ Land project</t>
  </si>
  <si>
    <t>Al Camp</t>
  </si>
  <si>
    <t>Hotel Loan Principal payment</t>
  </si>
  <si>
    <t>Corniche Villas</t>
  </si>
  <si>
    <t>Alambra Villa ( Balance Payment)</t>
  </si>
  <si>
    <t>Farm ( Grass Field) New Project</t>
  </si>
  <si>
    <t>Buildings II</t>
  </si>
  <si>
    <t>AlM Tower A</t>
  </si>
  <si>
    <t>AlM Tower B</t>
  </si>
  <si>
    <t>Alma Villa Project</t>
  </si>
  <si>
    <t>Villa Nine</t>
  </si>
  <si>
    <t>CW Apartment Rent</t>
  </si>
  <si>
    <t>CW Apartment Payments</t>
  </si>
  <si>
    <t>CW Loan - Principal payment</t>
  </si>
  <si>
    <t>CW Loan - Interest payment</t>
  </si>
  <si>
    <t>BankM Loan</t>
  </si>
  <si>
    <t>Consultancy Charges</t>
  </si>
  <si>
    <t>Coconut Trees</t>
  </si>
  <si>
    <t>DHG</t>
  </si>
  <si>
    <t>DAS</t>
  </si>
  <si>
    <t>DPO</t>
  </si>
  <si>
    <t>DP&amp;V</t>
  </si>
  <si>
    <t>Winter Camp</t>
  </si>
  <si>
    <t>DBank</t>
  </si>
  <si>
    <t>DPO - Admin Expenses</t>
  </si>
  <si>
    <t>F Holtel</t>
  </si>
  <si>
    <t>F A Hotel</t>
  </si>
  <si>
    <t>F F Hotel</t>
  </si>
  <si>
    <t>F F Hotel Funding</t>
  </si>
  <si>
    <t>EM Funding</t>
  </si>
  <si>
    <t>EM Project</t>
  </si>
  <si>
    <t>EM Investment</t>
  </si>
  <si>
    <t>Engineering Dept.</t>
  </si>
  <si>
    <t>TY Aviation - Flying Charges</t>
  </si>
  <si>
    <t>Clinic - Equipment , Medicine &amp; Feed Expenses</t>
  </si>
  <si>
    <t>G Hotel</t>
  </si>
  <si>
    <t>Grant salaries - Monthly - Office</t>
  </si>
  <si>
    <t>Grant salaries - Monthly - Palace</t>
  </si>
  <si>
    <t>GH Loan</t>
  </si>
  <si>
    <t>Private Expenses</t>
  </si>
  <si>
    <t>Family Expenses</t>
  </si>
  <si>
    <t>Green House expenses</t>
  </si>
  <si>
    <t>Cattle Sale</t>
  </si>
  <si>
    <t>Birds Sle</t>
  </si>
  <si>
    <t>Aircraft purchase</t>
  </si>
  <si>
    <t>Sale of Plot</t>
  </si>
  <si>
    <t>Apartment Sale</t>
  </si>
  <si>
    <t>Refund</t>
  </si>
  <si>
    <t>Villa Sell</t>
  </si>
  <si>
    <t>Land Sale</t>
  </si>
  <si>
    <t>Property Sale</t>
  </si>
  <si>
    <t>MC A1</t>
  </si>
  <si>
    <t>MCB</t>
  </si>
  <si>
    <t>MCC</t>
  </si>
  <si>
    <t>S Tower</t>
  </si>
  <si>
    <t>Property Rent</t>
  </si>
  <si>
    <t>Monthly Funding</t>
  </si>
  <si>
    <t>New Tower</t>
  </si>
  <si>
    <t>New Project</t>
  </si>
  <si>
    <t>RAK Villa</t>
  </si>
  <si>
    <t>UAL Villa</t>
  </si>
  <si>
    <t>S Building Project</t>
  </si>
  <si>
    <t>P Building Project</t>
  </si>
  <si>
    <t>P8 Project</t>
  </si>
  <si>
    <t>Land Project</t>
  </si>
  <si>
    <t>New Villa Project</t>
  </si>
  <si>
    <t>New Substation</t>
  </si>
  <si>
    <t>Tower Apartment</t>
  </si>
  <si>
    <t>Property Expenses</t>
  </si>
  <si>
    <t>Marina Expenses</t>
  </si>
  <si>
    <t>Shed expenses</t>
  </si>
  <si>
    <t xml:space="preserve">Interest payment  </t>
  </si>
  <si>
    <t>Interest payment</t>
  </si>
  <si>
    <t>Loan installment</t>
  </si>
  <si>
    <t>Loan Repayment</t>
  </si>
  <si>
    <t>Aircraft Loan</t>
  </si>
  <si>
    <t>Utility Exps.</t>
  </si>
  <si>
    <t>PDC Payables</t>
  </si>
  <si>
    <t xml:space="preserve">DEWA </t>
  </si>
  <si>
    <t>Vehicle expenses</t>
  </si>
  <si>
    <t>R units</t>
  </si>
  <si>
    <t>Dbank</t>
  </si>
  <si>
    <t>Community Villas</t>
  </si>
  <si>
    <t>staff accommodation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</si>
</sst>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_);_(* \(#,##0\);_(* &quot;-&quot;??_);_(@_)"/>
    <numFmt numFmtId="165" formatCode="[$-409]dd\-mmm\-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sansserif"/>
    </font>
    <font>
      <sz val="9"/>
      <color indexed="8"/>
      <name val="sansserif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6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4" fontId="0" fillId="0" borderId="5" xfId="1" applyNumberFormat="1" applyFont="1" applyFill="1" applyBorder="1" applyAlignment="1">
      <alignment horizontal="left" vertical="center"/>
    </xf>
    <xf numFmtId="164" fontId="0" fillId="0" borderId="5" xfId="1" applyNumberFormat="1" applyFont="1" applyFill="1" applyBorder="1" applyAlignment="1">
      <alignment horizontal="center" vertical="center"/>
    </xf>
    <xf numFmtId="4" fontId="0" fillId="0" borderId="5" xfId="1" applyNumberFormat="1" applyFont="1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17" fontId="0" fillId="0" borderId="6" xfId="0" applyNumberFormat="1" applyFill="1" applyBorder="1" applyAlignment="1">
      <alignment horizontal="center" vertical="center"/>
    </xf>
    <xf numFmtId="17" fontId="0" fillId="0" borderId="1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/>
    </xf>
    <xf numFmtId="164" fontId="0" fillId="0" borderId="8" xfId="1" applyNumberFormat="1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64" fontId="0" fillId="4" borderId="5" xfId="1" applyNumberFormat="1" applyFont="1" applyFill="1" applyBorder="1" applyAlignment="1">
      <alignment horizontal="left" vertical="center"/>
    </xf>
    <xf numFmtId="164" fontId="0" fillId="4" borderId="5" xfId="1" applyNumberFormat="1" applyFont="1" applyFill="1" applyBorder="1" applyAlignment="1">
      <alignment horizontal="center" vertical="center"/>
    </xf>
    <xf numFmtId="4" fontId="0" fillId="4" borderId="5" xfId="1" applyNumberFormat="1" applyFon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13" xfId="0" applyFont="1" applyFill="1" applyBorder="1" applyAlignment="1">
      <alignment horizontal="center" vertical="center"/>
    </xf>
    <xf numFmtId="164" fontId="0" fillId="0" borderId="8" xfId="1" applyNumberFormat="1" applyFont="1" applyFill="1" applyBorder="1" applyAlignment="1">
      <alignment horizontal="left" vertical="center"/>
    </xf>
    <xf numFmtId="4" fontId="0" fillId="0" borderId="8" xfId="1" applyNumberFormat="1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 wrapText="1"/>
    </xf>
    <xf numFmtId="164" fontId="0" fillId="4" borderId="8" xfId="1" applyNumberFormat="1" applyFont="1" applyFill="1" applyBorder="1" applyAlignment="1">
      <alignment horizontal="left" vertical="center"/>
    </xf>
    <xf numFmtId="164" fontId="0" fillId="4" borderId="8" xfId="1" applyNumberFormat="1" applyFont="1" applyFill="1" applyBorder="1" applyAlignment="1">
      <alignment horizontal="center" vertical="center"/>
    </xf>
    <xf numFmtId="4" fontId="0" fillId="4" borderId="8" xfId="1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14" fontId="0" fillId="4" borderId="9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4" fontId="0" fillId="0" borderId="0" xfId="1" applyNumberFormat="1" applyFont="1" applyAlignment="1">
      <alignment horizontal="center"/>
    </xf>
    <xf numFmtId="0" fontId="0" fillId="0" borderId="0" xfId="0" applyBorder="1"/>
    <xf numFmtId="4" fontId="0" fillId="0" borderId="0" xfId="0" applyNumberFormat="1" applyAlignment="1">
      <alignment horizontal="center"/>
    </xf>
    <xf numFmtId="0" fontId="4" fillId="5" borderId="14" xfId="2" applyFont="1" applyFill="1" applyBorder="1" applyAlignment="1">
      <alignment horizontal="center" vertical="top" wrapText="1"/>
    </xf>
    <xf numFmtId="165" fontId="4" fillId="5" borderId="15" xfId="2" applyNumberFormat="1" applyFont="1" applyFill="1" applyBorder="1" applyAlignment="1">
      <alignment horizontal="center" vertical="top" wrapText="1"/>
    </xf>
    <xf numFmtId="0" fontId="4" fillId="5" borderId="16" xfId="2" applyFont="1" applyFill="1" applyBorder="1" applyAlignment="1">
      <alignment horizontal="right" vertical="top" wrapText="1"/>
    </xf>
    <xf numFmtId="0" fontId="4" fillId="5" borderId="0" xfId="2" applyFont="1" applyFill="1" applyBorder="1" applyAlignment="1">
      <alignment horizontal="right" vertical="top" wrapText="1"/>
    </xf>
    <xf numFmtId="0" fontId="3" fillId="0" borderId="0" xfId="2"/>
    <xf numFmtId="0" fontId="5" fillId="5" borderId="0" xfId="2" applyFont="1" applyFill="1" applyBorder="1" applyAlignment="1">
      <alignment horizontal="center" vertical="center" wrapText="1"/>
    </xf>
    <xf numFmtId="165" fontId="5" fillId="5" borderId="0" xfId="2" applyNumberFormat="1" applyFont="1" applyFill="1" applyBorder="1" applyAlignment="1">
      <alignment horizontal="center" vertical="center" wrapText="1"/>
    </xf>
    <xf numFmtId="165" fontId="3" fillId="0" borderId="0" xfId="2" applyNumberFormat="1"/>
    <xf numFmtId="3" fontId="0" fillId="0" borderId="0" xfId="0" applyNumberFormat="1" applyAlignment="1">
      <alignment horizontal="center"/>
    </xf>
    <xf numFmtId="4" fontId="0" fillId="0" borderId="0" xfId="0" applyNumberFormat="1"/>
  </cellXfs>
  <cellStyles count="3">
    <cellStyle name="Comma" xfId="1" builtinId="3"/>
    <cellStyle name="Normal" xfId="0" builtinId="0"/>
    <cellStyle name="Normal 2" xfId="2" xr:uid="{00000000-0005-0000-0000-000002000000}"/>
  </cellStyles>
  <dxfs count="31"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sansserif"/>
        <scheme val="none"/>
      </font>
      <numFmt numFmtId="165" formatCode="[$-409]dd\-mmm\-yy;@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sansserif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sansserif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7687655-6424-469C-A948-4DF57B68E17C}">
      <tableStyleElement type="wholeTable" dxfId="30"/>
      <tableStyleElement type="headerRow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1123950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F9CF6E-799C-43C1-B882-1E04688CC7B2}"/>
            </a:ext>
          </a:extLst>
        </xdr:cNvPr>
        <xdr:cNvSpPr txBox="1"/>
      </xdr:nvSpPr>
      <xdr:spPr>
        <a:xfrm>
          <a:off x="260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1123950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751B71-489A-41A8-A2A9-C5B6143D1861}"/>
            </a:ext>
          </a:extLst>
        </xdr:cNvPr>
        <xdr:cNvSpPr txBox="1"/>
      </xdr:nvSpPr>
      <xdr:spPr>
        <a:xfrm>
          <a:off x="260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44" totalsRowShown="0" headerRowDxfId="28" headerRowBorderDxfId="27" tableBorderDxfId="26">
  <autoFilter ref="A1:Q44" xr:uid="{00000000-0009-0000-0100-000001000000}"/>
  <tableColumns count="17">
    <tableColumn id="1" xr3:uid="{00000000-0010-0000-0000-000001000000}" name="Bank" dataDxfId="25"/>
    <tableColumn id="2" xr3:uid="{00000000-0010-0000-0000-000002000000}" name="Borrower" dataDxfId="24"/>
    <tableColumn id="3" xr3:uid="{00000000-0010-0000-0000-000003000000}" name="Use of Loan" dataDxfId="23"/>
    <tableColumn id="4" xr3:uid="{00000000-0010-0000-0000-000004000000}" name="HH Guaranteed" dataDxfId="22"/>
    <tableColumn id="5" xr3:uid="{00000000-0010-0000-0000-000005000000}" name="Original Amount" dataDxfId="21" dataCellStyle="Comma"/>
    <tableColumn id="6" xr3:uid="{00000000-0010-0000-0000-000006000000}" name="Outstanding" dataDxfId="20" dataCellStyle="Comma"/>
    <tableColumn id="26" xr3:uid="{00000000-0010-0000-0000-00001A000000}" name="Rate Type" dataDxfId="19" dataCellStyle="Comma"/>
    <tableColumn id="7" xr3:uid="{00000000-0010-0000-0000-000007000000}" name="BenchRate" dataDxfId="18" dataCellStyle="Comma"/>
    <tableColumn id="8" xr3:uid="{00000000-0010-0000-0000-000008000000}" name="BenchValue" dataDxfId="17" dataCellStyle="Comma"/>
    <tableColumn id="9" xr3:uid="{00000000-0010-0000-0000-000009000000}" name="Spread" dataDxfId="16" dataCellStyle="Comma"/>
    <tableColumn id="10" xr3:uid="{00000000-0010-0000-0000-00000A000000}" name="Fixed Rate" dataDxfId="15" dataCellStyle="Comma"/>
    <tableColumn id="11" xr3:uid="{00000000-0010-0000-0000-00000B000000}" name="Floor" dataDxfId="14" dataCellStyle="Comma"/>
    <tableColumn id="15" xr3:uid="{00000000-0010-0000-0000-00000F000000}" name="Tenor" dataDxfId="13"/>
    <tableColumn id="29" xr3:uid="{00000000-0010-0000-0000-00001D000000}" name="Tenor Years" dataDxfId="12"/>
    <tableColumn id="16" xr3:uid="{00000000-0010-0000-0000-000010000000}" name="Sinking Fund" dataDxfId="11"/>
    <tableColumn id="18" xr3:uid="{00000000-0010-0000-0000-000012000000}" name="Interest Terms" dataDxfId="10"/>
    <tableColumn id="30" xr3:uid="{00000000-0010-0000-0000-00001E000000}" name="Maturity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I23" totalsRowShown="0" headerRowDxfId="8" headerRowCellStyle="Normal 2" dataCellStyle="Normal 2">
  <autoFilter ref="A1:I23" xr:uid="{00000000-0009-0000-0100-000003000000}"/>
  <tableColumns count="9">
    <tableColumn id="1" xr3:uid="{00000000-0010-0000-0100-000001000000}" name="SNo" dataDxfId="7" dataCellStyle="Normal 2"/>
    <tableColumn id="2" xr3:uid="{00000000-0010-0000-0100-000002000000}" name="Date" dataDxfId="6" dataCellStyle="Normal 2"/>
    <tableColumn id="3" xr3:uid="{00000000-0010-0000-0100-000003000000}" name="3-6m Avg." dataCellStyle="Normal 2"/>
    <tableColumn id="4" xr3:uid="{00000000-0010-0000-0100-000004000000}" name="Ezdan Holding 5yr" dataCellStyle="Normal 2"/>
    <tableColumn id="5" xr3:uid="{00000000-0010-0000-0100-000005000000}" name="Damac 5yr" dataCellStyle="Normal 2"/>
    <tableColumn id="6" xr3:uid="{00000000-0010-0000-0100-000006000000}" name="Mubadala 7yr" dataCellStyle="Normal 2"/>
    <tableColumn id="7" xr3:uid="{00000000-0010-0000-0100-000007000000}" name="Mubadala 12yr" dataCellStyle="Normal 2"/>
    <tableColumn id="8" xr3:uid="{00000000-0010-0000-0100-000008000000}" name="DIB 5yr" dataCellStyle="Normal 2"/>
    <tableColumn id="9" xr3:uid="{00000000-0010-0000-0100-000009000000}" name="SBK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SBK_CF" displayName="SBK_CF" ref="A1:H230" totalsRowShown="0" headerRowDxfId="5" dataDxfId="4">
  <autoFilter ref="A1:H230" xr:uid="{00000000-0009-0000-0100-000002000000}"/>
  <tableColumns count="8">
    <tableColumn id="1" xr3:uid="{00000000-0010-0000-0200-000001000000}" name="Cash Flow"/>
    <tableColumn id="2" xr3:uid="{00000000-0010-0000-0200-000002000000}" name="Category"/>
    <tableColumn id="3" xr3:uid="{00000000-0010-0000-0200-000003000000}" name="Type"/>
    <tableColumn id="4" xr3:uid="{00000000-0010-0000-0200-000004000000}" name="Particulars"/>
    <tableColumn id="5" xr3:uid="{00000000-0010-0000-0200-000005000000}" name="2,017" dataDxfId="3"/>
    <tableColumn id="6" xr3:uid="{00000000-0010-0000-0200-000006000000}" name="2,018" dataDxfId="2"/>
    <tableColumn id="7" xr3:uid="{00000000-0010-0000-0200-000007000000}" name="2,019" dataDxfId="1"/>
    <tableColumn id="8" xr3:uid="{00000000-0010-0000-0200-000008000000}" name="2,02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FS45"/>
  <sheetViews>
    <sheetView zoomScale="80" zoomScaleNormal="80" zoomScaleSheetLayoutView="100" workbookViewId="0">
      <selection activeCell="A2" sqref="A2:Q44"/>
    </sheetView>
  </sheetViews>
  <sheetFormatPr defaultRowHeight="14.5"/>
  <cols>
    <col min="1" max="1" width="18.26953125" style="50" customWidth="1"/>
    <col min="2" max="2" width="17.54296875" style="51" customWidth="1"/>
    <col min="3" max="3" width="24.81640625" style="51" customWidth="1"/>
    <col min="4" max="4" width="22.6328125" style="51" customWidth="1"/>
    <col min="5" max="5" width="17.90625" customWidth="1"/>
    <col min="6" max="6" width="29.453125" customWidth="1"/>
    <col min="7" max="7" width="14.54296875" customWidth="1"/>
    <col min="8" max="8" width="22.54296875" style="51" customWidth="1"/>
    <col min="9" max="9" width="16.453125" style="56" customWidth="1"/>
    <col min="10" max="10" width="8.90625" style="56" customWidth="1"/>
    <col min="11" max="11" width="11.6328125" style="56" customWidth="1"/>
    <col min="12" max="12" width="8.36328125" style="56" customWidth="1"/>
    <col min="13" max="14" width="15.7265625" style="51" customWidth="1"/>
    <col min="15" max="15" width="18.1796875" style="51" customWidth="1"/>
    <col min="16" max="16" width="23.26953125" customWidth="1"/>
    <col min="17" max="17" width="30.7265625" customWidth="1"/>
    <col min="18" max="175" width="8.7265625" style="55"/>
  </cols>
  <sheetData>
    <row r="1" spans="1:175" s="7" customFormat="1" ht="69.75" customHeight="1" thickBot="1">
      <c r="A1" s="1" t="s">
        <v>80</v>
      </c>
      <c r="B1" s="2" t="s">
        <v>0</v>
      </c>
      <c r="C1" s="3" t="s">
        <v>81</v>
      </c>
      <c r="D1" s="3" t="s">
        <v>79</v>
      </c>
      <c r="E1" s="3" t="s">
        <v>1</v>
      </c>
      <c r="F1" s="3" t="s">
        <v>82</v>
      </c>
      <c r="G1" s="3" t="s">
        <v>2</v>
      </c>
      <c r="H1" s="3" t="s">
        <v>83</v>
      </c>
      <c r="I1" s="4" t="s">
        <v>84</v>
      </c>
      <c r="J1" s="4" t="s">
        <v>3</v>
      </c>
      <c r="K1" s="4" t="s">
        <v>4</v>
      </c>
      <c r="L1" s="4" t="s">
        <v>5</v>
      </c>
      <c r="M1" s="2" t="s">
        <v>6</v>
      </c>
      <c r="N1" s="2" t="s">
        <v>78</v>
      </c>
      <c r="O1" s="3" t="s">
        <v>85</v>
      </c>
      <c r="P1" s="3" t="s">
        <v>86</v>
      </c>
      <c r="Q1" s="5" t="s">
        <v>7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</row>
    <row r="2" spans="1:175" s="15" customFormat="1" ht="30" customHeight="1">
      <c r="A2" s="8" t="s">
        <v>8</v>
      </c>
      <c r="B2" s="9" t="s">
        <v>9</v>
      </c>
      <c r="C2" s="9" t="s">
        <v>10</v>
      </c>
      <c r="D2" s="9" t="s">
        <v>11</v>
      </c>
      <c r="E2" s="10">
        <v>66500000</v>
      </c>
      <c r="F2" s="10">
        <f>31920000</f>
        <v>31920000</v>
      </c>
      <c r="G2" s="11" t="s">
        <v>12</v>
      </c>
      <c r="H2" s="11" t="s">
        <v>13</v>
      </c>
      <c r="I2" s="12">
        <v>1.32</v>
      </c>
      <c r="J2" s="12">
        <v>1.75</v>
      </c>
      <c r="K2" s="12">
        <v>0</v>
      </c>
      <c r="L2" s="12">
        <v>0</v>
      </c>
      <c r="M2" s="9" t="s">
        <v>14</v>
      </c>
      <c r="N2" s="9">
        <v>10</v>
      </c>
      <c r="O2" s="9" t="s">
        <v>15</v>
      </c>
      <c r="P2" s="9" t="s">
        <v>16</v>
      </c>
      <c r="Q2" s="13">
        <v>44926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</row>
    <row r="3" spans="1:175" s="15" customFormat="1" ht="30" customHeight="1">
      <c r="A3" s="8" t="s">
        <v>8</v>
      </c>
      <c r="B3" s="9" t="s">
        <v>9</v>
      </c>
      <c r="C3" s="9" t="s">
        <v>17</v>
      </c>
      <c r="D3" s="9" t="s">
        <v>11</v>
      </c>
      <c r="E3" s="10">
        <v>32200000</v>
      </c>
      <c r="F3" s="10">
        <f>15879338</f>
        <v>15879338</v>
      </c>
      <c r="G3" s="11" t="s">
        <v>12</v>
      </c>
      <c r="H3" s="11" t="s">
        <v>13</v>
      </c>
      <c r="I3" s="12">
        <v>1.32</v>
      </c>
      <c r="J3" s="12">
        <v>1.75</v>
      </c>
      <c r="K3" s="12">
        <v>0</v>
      </c>
      <c r="L3" s="12">
        <v>0</v>
      </c>
      <c r="M3" s="9" t="s">
        <v>14</v>
      </c>
      <c r="N3" s="16">
        <v>10</v>
      </c>
      <c r="O3" s="16" t="s">
        <v>15</v>
      </c>
      <c r="P3" s="9" t="s">
        <v>16</v>
      </c>
      <c r="Q3" s="13">
        <v>44286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</row>
    <row r="4" spans="1:175" s="15" customFormat="1" ht="30" customHeight="1">
      <c r="A4" s="8" t="s">
        <v>8</v>
      </c>
      <c r="B4" s="9" t="s">
        <v>9</v>
      </c>
      <c r="C4" s="17" t="s">
        <v>18</v>
      </c>
      <c r="D4" s="9" t="s">
        <v>11</v>
      </c>
      <c r="E4" s="10">
        <v>24600000</v>
      </c>
      <c r="F4" s="10">
        <f>17220000</f>
        <v>17220000</v>
      </c>
      <c r="G4" s="11" t="s">
        <v>12</v>
      </c>
      <c r="H4" s="11" t="s">
        <v>13</v>
      </c>
      <c r="I4" s="12">
        <v>1.32</v>
      </c>
      <c r="J4" s="12">
        <v>2.75</v>
      </c>
      <c r="K4" s="12">
        <v>0</v>
      </c>
      <c r="L4" s="12">
        <v>0</v>
      </c>
      <c r="M4" s="9" t="s">
        <v>14</v>
      </c>
      <c r="N4" s="16">
        <v>10</v>
      </c>
      <c r="O4" s="16" t="s">
        <v>15</v>
      </c>
      <c r="P4" s="9" t="s">
        <v>16</v>
      </c>
      <c r="Q4" s="13">
        <v>45322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</row>
    <row r="5" spans="1:175" s="15" customFormat="1" ht="30" customHeight="1">
      <c r="A5" s="8" t="s">
        <v>19</v>
      </c>
      <c r="B5" s="9" t="s">
        <v>9</v>
      </c>
      <c r="C5" s="9" t="s">
        <v>20</v>
      </c>
      <c r="D5" s="18" t="s">
        <v>21</v>
      </c>
      <c r="E5" s="10">
        <v>17550000</v>
      </c>
      <c r="F5" s="10">
        <f>8783868-2659342</f>
        <v>6124526</v>
      </c>
      <c r="G5" s="11" t="s">
        <v>12</v>
      </c>
      <c r="H5" s="11" t="s">
        <v>22</v>
      </c>
      <c r="I5" s="12">
        <v>1.69</v>
      </c>
      <c r="J5" s="12">
        <v>3</v>
      </c>
      <c r="K5" s="12">
        <v>0</v>
      </c>
      <c r="L5" s="12">
        <v>0</v>
      </c>
      <c r="M5" s="9" t="s">
        <v>23</v>
      </c>
      <c r="N5" s="16">
        <v>8</v>
      </c>
      <c r="O5" s="16" t="s">
        <v>15</v>
      </c>
      <c r="P5" s="16" t="s">
        <v>15</v>
      </c>
      <c r="Q5" s="19">
        <v>43220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</row>
    <row r="6" spans="1:175" s="15" customFormat="1" ht="30" customHeight="1">
      <c r="A6" s="8" t="s">
        <v>19</v>
      </c>
      <c r="B6" s="20" t="s">
        <v>9</v>
      </c>
      <c r="C6" s="9" t="s">
        <v>24</v>
      </c>
      <c r="D6" s="18" t="s">
        <v>21</v>
      </c>
      <c r="E6" s="10">
        <v>18000000</v>
      </c>
      <c r="F6" s="10">
        <f>6106373</f>
        <v>6106373</v>
      </c>
      <c r="G6" s="11" t="s">
        <v>12</v>
      </c>
      <c r="H6" s="11" t="s">
        <v>22</v>
      </c>
      <c r="I6" s="12">
        <v>1.69</v>
      </c>
      <c r="J6" s="12">
        <v>3</v>
      </c>
      <c r="K6" s="12">
        <v>0</v>
      </c>
      <c r="L6" s="12">
        <v>0</v>
      </c>
      <c r="M6" s="9" t="s">
        <v>25</v>
      </c>
      <c r="N6" s="16">
        <v>9</v>
      </c>
      <c r="O6" s="16" t="s">
        <v>15</v>
      </c>
      <c r="P6" s="16" t="s">
        <v>15</v>
      </c>
      <c r="Q6" s="21">
        <v>43524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</row>
    <row r="7" spans="1:175" s="15" customFormat="1" ht="43.5" customHeight="1">
      <c r="A7" s="8" t="s">
        <v>26</v>
      </c>
      <c r="B7" s="9" t="s">
        <v>9</v>
      </c>
      <c r="C7" s="9" t="s">
        <v>27</v>
      </c>
      <c r="D7" s="18" t="s">
        <v>21</v>
      </c>
      <c r="E7" s="10">
        <f>370520966</f>
        <v>370520966</v>
      </c>
      <c r="F7" s="10">
        <f>320740507</f>
        <v>320740507</v>
      </c>
      <c r="G7" s="11" t="s">
        <v>12</v>
      </c>
      <c r="H7" s="11" t="s">
        <v>13</v>
      </c>
      <c r="I7" s="12">
        <v>1.32</v>
      </c>
      <c r="J7" s="12">
        <v>3.25</v>
      </c>
      <c r="K7" s="12">
        <v>0</v>
      </c>
      <c r="L7" s="12">
        <v>0</v>
      </c>
      <c r="M7" s="9" t="s">
        <v>14</v>
      </c>
      <c r="N7" s="16">
        <v>10</v>
      </c>
      <c r="O7" s="16" t="s">
        <v>15</v>
      </c>
      <c r="P7" s="9" t="s">
        <v>16</v>
      </c>
      <c r="Q7" s="22">
        <v>45747</v>
      </c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</row>
    <row r="8" spans="1:175" s="15" customFormat="1" ht="30" customHeight="1">
      <c r="A8" s="8" t="s">
        <v>26</v>
      </c>
      <c r="B8" s="9" t="s">
        <v>9</v>
      </c>
      <c r="C8" s="9" t="s">
        <v>28</v>
      </c>
      <c r="D8" s="18" t="s">
        <v>21</v>
      </c>
      <c r="E8" s="10">
        <v>50000000</v>
      </c>
      <c r="F8" s="10">
        <v>50000000</v>
      </c>
      <c r="G8" s="11" t="s">
        <v>29</v>
      </c>
      <c r="H8" s="11"/>
      <c r="I8" s="12"/>
      <c r="J8" s="12">
        <v>0</v>
      </c>
      <c r="K8" s="12">
        <v>4</v>
      </c>
      <c r="L8" s="12">
        <v>0</v>
      </c>
      <c r="M8" s="9" t="s">
        <v>30</v>
      </c>
      <c r="N8" s="9">
        <v>2</v>
      </c>
      <c r="O8" s="9" t="s">
        <v>31</v>
      </c>
      <c r="P8" s="9" t="s">
        <v>16</v>
      </c>
      <c r="Q8" s="23">
        <v>43100</v>
      </c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</row>
    <row r="9" spans="1:175" s="15" customFormat="1" ht="45" customHeight="1">
      <c r="A9" s="8" t="s">
        <v>26</v>
      </c>
      <c r="B9" s="9" t="s">
        <v>9</v>
      </c>
      <c r="C9" s="9" t="s">
        <v>32</v>
      </c>
      <c r="D9" s="18" t="s">
        <v>11</v>
      </c>
      <c r="E9" s="10">
        <v>132750000</v>
      </c>
      <c r="F9" s="10">
        <f>58323413</f>
        <v>58323413</v>
      </c>
      <c r="G9" s="11" t="s">
        <v>12</v>
      </c>
      <c r="H9" s="11" t="s">
        <v>13</v>
      </c>
      <c r="I9" s="12">
        <v>1.32</v>
      </c>
      <c r="J9" s="12">
        <v>3</v>
      </c>
      <c r="K9" s="12">
        <v>0</v>
      </c>
      <c r="L9" s="12">
        <v>0</v>
      </c>
      <c r="M9" s="9" t="s">
        <v>33</v>
      </c>
      <c r="N9" s="9">
        <v>7</v>
      </c>
      <c r="O9" s="9" t="s">
        <v>34</v>
      </c>
      <c r="P9" s="9" t="s">
        <v>35</v>
      </c>
      <c r="Q9" s="24">
        <v>45107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</row>
    <row r="10" spans="1:175" s="15" customFormat="1" ht="30" customHeight="1">
      <c r="A10" s="8" t="s">
        <v>36</v>
      </c>
      <c r="B10" s="9" t="s">
        <v>9</v>
      </c>
      <c r="C10" s="9" t="s">
        <v>37</v>
      </c>
      <c r="D10" s="18" t="s">
        <v>21</v>
      </c>
      <c r="E10" s="10">
        <v>15600000</v>
      </c>
      <c r="F10" s="10">
        <f>13983015</f>
        <v>13983015</v>
      </c>
      <c r="G10" s="11" t="s">
        <v>12</v>
      </c>
      <c r="H10" s="11" t="s">
        <v>38</v>
      </c>
      <c r="I10" s="12"/>
      <c r="J10" s="12">
        <v>0.75</v>
      </c>
      <c r="K10" s="12">
        <v>0</v>
      </c>
      <c r="L10" s="12">
        <v>4.75</v>
      </c>
      <c r="M10" s="9" t="s">
        <v>39</v>
      </c>
      <c r="N10" s="9">
        <v>15</v>
      </c>
      <c r="O10" s="9" t="s">
        <v>15</v>
      </c>
      <c r="P10" s="9" t="s">
        <v>15</v>
      </c>
      <c r="Q10" s="24">
        <v>47483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</row>
    <row r="11" spans="1:175" s="15" customFormat="1" ht="30" customHeight="1">
      <c r="A11" s="8" t="s">
        <v>36</v>
      </c>
      <c r="B11" s="9" t="s">
        <v>9</v>
      </c>
      <c r="C11" s="17" t="s">
        <v>40</v>
      </c>
      <c r="D11" s="18" t="s">
        <v>11</v>
      </c>
      <c r="E11" s="10">
        <v>1365000</v>
      </c>
      <c r="F11" s="10">
        <f>1224116</f>
        <v>1224116</v>
      </c>
      <c r="G11" s="11" t="s">
        <v>12</v>
      </c>
      <c r="H11" s="11" t="s">
        <v>38</v>
      </c>
      <c r="I11" s="12"/>
      <c r="J11" s="12">
        <v>0.75</v>
      </c>
      <c r="K11" s="12">
        <v>0</v>
      </c>
      <c r="L11" s="12">
        <v>4.75</v>
      </c>
      <c r="M11" s="9" t="s">
        <v>39</v>
      </c>
      <c r="N11" s="9">
        <v>15</v>
      </c>
      <c r="O11" s="9" t="s">
        <v>15</v>
      </c>
      <c r="P11" s="9" t="s">
        <v>15</v>
      </c>
      <c r="Q11" s="24">
        <v>47391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</row>
    <row r="12" spans="1:175" s="15" customFormat="1" ht="30" customHeight="1">
      <c r="A12" s="8" t="s">
        <v>36</v>
      </c>
      <c r="B12" s="9" t="s">
        <v>9</v>
      </c>
      <c r="C12" s="9" t="s">
        <v>41</v>
      </c>
      <c r="D12" s="18" t="s">
        <v>11</v>
      </c>
      <c r="E12" s="10">
        <v>2762500</v>
      </c>
      <c r="F12" s="10">
        <f>2677810</f>
        <v>2677810</v>
      </c>
      <c r="G12" s="11" t="s">
        <v>12</v>
      </c>
      <c r="H12" s="11" t="s">
        <v>38</v>
      </c>
      <c r="I12" s="12"/>
      <c r="J12" s="12">
        <v>0.75</v>
      </c>
      <c r="K12" s="12">
        <v>0</v>
      </c>
      <c r="L12" s="12">
        <v>4.75</v>
      </c>
      <c r="M12" s="9" t="s">
        <v>39</v>
      </c>
      <c r="N12" s="9">
        <v>15</v>
      </c>
      <c r="O12" s="9" t="s">
        <v>15</v>
      </c>
      <c r="P12" s="9" t="s">
        <v>15</v>
      </c>
      <c r="Q12" s="24">
        <v>47208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</row>
    <row r="13" spans="1:175" s="15" customFormat="1" ht="30" customHeight="1">
      <c r="A13" s="8" t="s">
        <v>36</v>
      </c>
      <c r="B13" s="9" t="s">
        <v>9</v>
      </c>
      <c r="C13" s="9" t="s">
        <v>42</v>
      </c>
      <c r="D13" s="18" t="s">
        <v>11</v>
      </c>
      <c r="E13" s="10">
        <v>1397500</v>
      </c>
      <c r="F13" s="10">
        <f>1266609</f>
        <v>1266609</v>
      </c>
      <c r="G13" s="11" t="s">
        <v>12</v>
      </c>
      <c r="H13" s="11" t="s">
        <v>38</v>
      </c>
      <c r="I13" s="12"/>
      <c r="J13" s="12">
        <v>0.75</v>
      </c>
      <c r="K13" s="12">
        <v>0</v>
      </c>
      <c r="L13" s="12">
        <v>4.75</v>
      </c>
      <c r="M13" s="9" t="s">
        <v>39</v>
      </c>
      <c r="N13" s="9">
        <v>15</v>
      </c>
      <c r="O13" s="9" t="s">
        <v>15</v>
      </c>
      <c r="P13" s="9" t="s">
        <v>15</v>
      </c>
      <c r="Q13" s="24">
        <v>47452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</row>
    <row r="14" spans="1:175" s="9" customFormat="1" ht="42" customHeight="1">
      <c r="A14" s="8" t="s">
        <v>43</v>
      </c>
      <c r="B14" s="9" t="s">
        <v>9</v>
      </c>
      <c r="C14" s="17" t="s">
        <v>44</v>
      </c>
      <c r="D14" s="18" t="s">
        <v>21</v>
      </c>
      <c r="E14" s="11">
        <f>200000000</f>
        <v>200000000</v>
      </c>
      <c r="F14" s="11">
        <f>187500000</f>
        <v>187500000</v>
      </c>
      <c r="G14" s="11" t="s">
        <v>12</v>
      </c>
      <c r="H14" s="11" t="s">
        <v>13</v>
      </c>
      <c r="I14" s="12">
        <v>1.32</v>
      </c>
      <c r="J14" s="12">
        <v>3.5</v>
      </c>
      <c r="K14" s="12">
        <v>0</v>
      </c>
      <c r="L14" s="12">
        <v>4.5599999999999996</v>
      </c>
      <c r="M14" s="9" t="s">
        <v>45</v>
      </c>
      <c r="N14" s="9">
        <v>8</v>
      </c>
      <c r="O14" s="9" t="s">
        <v>34</v>
      </c>
      <c r="P14" s="9" t="s">
        <v>16</v>
      </c>
      <c r="Q14" s="22">
        <v>45169</v>
      </c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</row>
    <row r="15" spans="1:175" s="9" customFormat="1" ht="38.15" customHeight="1">
      <c r="A15" s="8" t="s">
        <v>43</v>
      </c>
      <c r="B15" s="9" t="s">
        <v>9</v>
      </c>
      <c r="C15" s="17" t="s">
        <v>46</v>
      </c>
      <c r="D15" s="18" t="s">
        <v>21</v>
      </c>
      <c r="E15" s="11">
        <f>188000000</f>
        <v>188000000</v>
      </c>
      <c r="F15" s="11">
        <f>183000000</f>
        <v>183000000</v>
      </c>
      <c r="G15" s="11" t="s">
        <v>12</v>
      </c>
      <c r="H15" s="11" t="s">
        <v>13</v>
      </c>
      <c r="I15" s="12">
        <v>1.32</v>
      </c>
      <c r="J15" s="12">
        <v>3.5</v>
      </c>
      <c r="K15" s="12">
        <v>0</v>
      </c>
      <c r="L15" s="12">
        <v>0</v>
      </c>
      <c r="M15" s="9" t="s">
        <v>47</v>
      </c>
      <c r="N15" s="9">
        <v>8</v>
      </c>
      <c r="O15" s="9" t="s">
        <v>34</v>
      </c>
      <c r="P15" s="9" t="s">
        <v>16</v>
      </c>
      <c r="Q15" s="22">
        <v>45535</v>
      </c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</row>
    <row r="16" spans="1:175" s="9" customFormat="1" ht="38.15" customHeight="1">
      <c r="A16" s="8" t="s">
        <v>43</v>
      </c>
      <c r="B16" s="9" t="s">
        <v>9</v>
      </c>
      <c r="C16" s="9" t="s">
        <v>48</v>
      </c>
      <c r="D16" s="18" t="s">
        <v>21</v>
      </c>
      <c r="E16" s="11">
        <f>51500000</f>
        <v>51500000</v>
      </c>
      <c r="F16" s="11">
        <f>37331601</f>
        <v>37331601</v>
      </c>
      <c r="G16" s="11" t="s">
        <v>12</v>
      </c>
      <c r="H16" s="11" t="s">
        <v>13</v>
      </c>
      <c r="I16" s="12">
        <v>1.32</v>
      </c>
      <c r="J16" s="12">
        <v>2.25</v>
      </c>
      <c r="K16" s="12">
        <v>0</v>
      </c>
      <c r="L16" s="12">
        <v>4.25</v>
      </c>
      <c r="M16" s="9" t="s">
        <v>23</v>
      </c>
      <c r="N16" s="9">
        <v>8</v>
      </c>
      <c r="O16" s="9" t="s">
        <v>49</v>
      </c>
      <c r="P16" s="9" t="s">
        <v>49</v>
      </c>
      <c r="Q16" s="22">
        <v>45535</v>
      </c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</row>
    <row r="17" spans="1:175" s="9" customFormat="1" ht="38.15" customHeight="1">
      <c r="A17" s="8" t="s">
        <v>43</v>
      </c>
      <c r="B17" s="9" t="s">
        <v>9</v>
      </c>
      <c r="C17" s="26" t="s">
        <v>50</v>
      </c>
      <c r="D17" s="18" t="s">
        <v>21</v>
      </c>
      <c r="E17" s="11">
        <f>25000000</f>
        <v>25000000</v>
      </c>
      <c r="F17" s="11">
        <f>16666667</f>
        <v>16666667</v>
      </c>
      <c r="G17" s="11" t="s">
        <v>12</v>
      </c>
      <c r="H17" s="11" t="s">
        <v>13</v>
      </c>
      <c r="I17" s="12">
        <v>1.32</v>
      </c>
      <c r="J17" s="12">
        <v>2.25</v>
      </c>
      <c r="K17" s="12">
        <v>0</v>
      </c>
      <c r="L17" s="12">
        <v>4</v>
      </c>
      <c r="M17" s="9" t="s">
        <v>51</v>
      </c>
      <c r="N17" s="9">
        <v>6</v>
      </c>
      <c r="O17" s="9" t="s">
        <v>34</v>
      </c>
      <c r="P17" s="9" t="s">
        <v>16</v>
      </c>
      <c r="Q17" s="22">
        <v>44469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</row>
    <row r="18" spans="1:175" s="9" customFormat="1" ht="38.15" customHeight="1">
      <c r="A18" s="8" t="s">
        <v>43</v>
      </c>
      <c r="B18" s="9" t="s">
        <v>9</v>
      </c>
      <c r="C18" s="26" t="s">
        <v>50</v>
      </c>
      <c r="D18" s="18" t="s">
        <v>21</v>
      </c>
      <c r="E18" s="11">
        <f>26250000</f>
        <v>26250000</v>
      </c>
      <c r="F18" s="11">
        <f>20416666</f>
        <v>20416666</v>
      </c>
      <c r="G18" s="11" t="s">
        <v>12</v>
      </c>
      <c r="H18" s="11" t="s">
        <v>13</v>
      </c>
      <c r="I18" s="12">
        <v>1.32</v>
      </c>
      <c r="J18" s="12">
        <v>2.25</v>
      </c>
      <c r="K18" s="12">
        <v>0</v>
      </c>
      <c r="L18" s="12">
        <v>4.25</v>
      </c>
      <c r="M18" s="9" t="s">
        <v>52</v>
      </c>
      <c r="N18" s="9">
        <v>4.5</v>
      </c>
      <c r="O18" s="9" t="s">
        <v>16</v>
      </c>
      <c r="P18" s="9" t="s">
        <v>16</v>
      </c>
      <c r="Q18" s="22">
        <v>44074</v>
      </c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</row>
    <row r="19" spans="1:175" s="9" customFormat="1" ht="38.15" customHeight="1">
      <c r="A19" s="8" t="s">
        <v>43</v>
      </c>
      <c r="B19" s="9" t="s">
        <v>9</v>
      </c>
      <c r="C19" s="26" t="s">
        <v>50</v>
      </c>
      <c r="D19" s="18" t="s">
        <v>21</v>
      </c>
      <c r="E19" s="11">
        <f>10208000</f>
        <v>10208000</v>
      </c>
      <c r="F19" s="11">
        <f>4375000</f>
        <v>4375000</v>
      </c>
      <c r="G19" s="11" t="s">
        <v>12</v>
      </c>
      <c r="H19" s="11" t="s">
        <v>13</v>
      </c>
      <c r="I19" s="12">
        <v>1.32</v>
      </c>
      <c r="J19" s="12">
        <v>2.25</v>
      </c>
      <c r="K19" s="12">
        <v>0</v>
      </c>
      <c r="L19" s="12">
        <v>4.25</v>
      </c>
      <c r="M19" s="9" t="s">
        <v>53</v>
      </c>
      <c r="N19" s="9">
        <v>2</v>
      </c>
      <c r="O19" s="9" t="s">
        <v>16</v>
      </c>
      <c r="P19" s="9" t="s">
        <v>16</v>
      </c>
      <c r="Q19" s="22">
        <v>43100</v>
      </c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</row>
    <row r="20" spans="1:175" s="9" customFormat="1" ht="39.75" customHeight="1">
      <c r="A20" s="27" t="s">
        <v>54</v>
      </c>
      <c r="B20" s="9" t="s">
        <v>9</v>
      </c>
      <c r="C20" s="17" t="s">
        <v>55</v>
      </c>
      <c r="D20" s="18" t="s">
        <v>21</v>
      </c>
      <c r="E20" s="11">
        <v>38000000</v>
      </c>
      <c r="F20" s="11">
        <f>35573182</f>
        <v>35573182</v>
      </c>
      <c r="G20" s="11" t="s">
        <v>12</v>
      </c>
      <c r="H20" s="11" t="s">
        <v>22</v>
      </c>
      <c r="I20" s="12">
        <v>1.69</v>
      </c>
      <c r="J20" s="12">
        <v>4</v>
      </c>
      <c r="K20" s="12">
        <v>0</v>
      </c>
      <c r="L20" s="12">
        <v>4</v>
      </c>
      <c r="M20" s="9" t="s">
        <v>56</v>
      </c>
      <c r="N20" s="9">
        <v>7</v>
      </c>
      <c r="O20" s="9" t="s">
        <v>34</v>
      </c>
      <c r="P20" s="9" t="s">
        <v>16</v>
      </c>
      <c r="Q20" s="13">
        <v>44804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</row>
    <row r="21" spans="1:175" s="9" customFormat="1" ht="156" customHeight="1">
      <c r="A21" s="27" t="s">
        <v>8</v>
      </c>
      <c r="B21" s="9" t="s">
        <v>9</v>
      </c>
      <c r="C21" s="17" t="s">
        <v>57</v>
      </c>
      <c r="D21" s="18" t="s">
        <v>21</v>
      </c>
      <c r="E21" s="11">
        <f>330000000</f>
        <v>330000000</v>
      </c>
      <c r="F21" s="11">
        <f>257370726</f>
        <v>257370726</v>
      </c>
      <c r="G21" s="11" t="s">
        <v>12</v>
      </c>
      <c r="H21" s="11" t="s">
        <v>13</v>
      </c>
      <c r="I21" s="12">
        <v>1.32</v>
      </c>
      <c r="J21" s="12">
        <v>2.75</v>
      </c>
      <c r="K21" s="12">
        <v>0</v>
      </c>
      <c r="L21" s="12">
        <v>0</v>
      </c>
      <c r="M21" s="9" t="s">
        <v>45</v>
      </c>
      <c r="N21" s="9">
        <v>8</v>
      </c>
      <c r="O21" s="9" t="s">
        <v>34</v>
      </c>
      <c r="P21" s="9" t="s">
        <v>16</v>
      </c>
      <c r="Q21" s="19">
        <v>45657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</row>
    <row r="22" spans="1:175" s="9" customFormat="1" ht="29" customHeight="1">
      <c r="A22" s="27" t="s">
        <v>8</v>
      </c>
      <c r="B22" s="9" t="s">
        <v>9</v>
      </c>
      <c r="C22" s="17" t="s">
        <v>58</v>
      </c>
      <c r="D22" s="18" t="s">
        <v>21</v>
      </c>
      <c r="E22" s="11">
        <f>98000000</f>
        <v>98000000</v>
      </c>
      <c r="F22" s="11">
        <f>93600000</f>
        <v>93600000</v>
      </c>
      <c r="G22" s="11" t="s">
        <v>12</v>
      </c>
      <c r="H22" s="11" t="s">
        <v>59</v>
      </c>
      <c r="I22" s="12">
        <v>0.96</v>
      </c>
      <c r="J22" s="12">
        <v>2.25</v>
      </c>
      <c r="K22" s="12">
        <v>0</v>
      </c>
      <c r="L22" s="12">
        <v>0</v>
      </c>
      <c r="M22" s="9" t="s">
        <v>60</v>
      </c>
      <c r="N22" s="9">
        <v>5</v>
      </c>
      <c r="O22" s="9" t="s">
        <v>16</v>
      </c>
      <c r="P22" s="9" t="s">
        <v>16</v>
      </c>
      <c r="Q22" s="13">
        <v>44407</v>
      </c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</row>
    <row r="23" spans="1:175" s="31" customFormat="1" ht="30" customHeight="1">
      <c r="A23" s="8" t="s">
        <v>61</v>
      </c>
      <c r="B23" s="9" t="s">
        <v>9</v>
      </c>
      <c r="C23" s="26" t="s">
        <v>62</v>
      </c>
      <c r="D23" s="18" t="s">
        <v>21</v>
      </c>
      <c r="E23" s="11">
        <f>45000000*3.675</f>
        <v>165375000</v>
      </c>
      <c r="F23" s="11">
        <f>(38250000-2250000-2250000)*3.675</f>
        <v>124031250</v>
      </c>
      <c r="G23" s="11" t="s">
        <v>12</v>
      </c>
      <c r="H23" s="11" t="s">
        <v>59</v>
      </c>
      <c r="I23" s="12">
        <v>0.96</v>
      </c>
      <c r="J23" s="12">
        <v>3</v>
      </c>
      <c r="K23" s="12">
        <v>0</v>
      </c>
      <c r="L23" s="12">
        <v>3.5</v>
      </c>
      <c r="M23" s="9" t="s">
        <v>14</v>
      </c>
      <c r="N23" s="9">
        <v>10</v>
      </c>
      <c r="O23" s="9" t="s">
        <v>35</v>
      </c>
      <c r="P23" s="9" t="s">
        <v>35</v>
      </c>
      <c r="Q23" s="29">
        <v>44681</v>
      </c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</row>
    <row r="24" spans="1:175" s="31" customFormat="1" ht="30" customHeight="1">
      <c r="A24" s="8" t="s">
        <v>61</v>
      </c>
      <c r="B24" s="9" t="s">
        <v>9</v>
      </c>
      <c r="C24" s="26" t="s">
        <v>62</v>
      </c>
      <c r="D24" s="18" t="s">
        <v>21</v>
      </c>
      <c r="E24" s="11">
        <f>2000000*3.675</f>
        <v>7350000</v>
      </c>
      <c r="F24" s="11">
        <f>(1700000-100000)*3.675</f>
        <v>5880000</v>
      </c>
      <c r="G24" s="11" t="s">
        <v>12</v>
      </c>
      <c r="H24" s="11" t="s">
        <v>59</v>
      </c>
      <c r="I24" s="12">
        <v>0.96</v>
      </c>
      <c r="J24" s="12">
        <v>3</v>
      </c>
      <c r="K24" s="12">
        <v>0</v>
      </c>
      <c r="L24" s="12">
        <v>3.5</v>
      </c>
      <c r="M24" s="9" t="s">
        <v>14</v>
      </c>
      <c r="N24" s="9">
        <v>10</v>
      </c>
      <c r="O24" s="9" t="s">
        <v>35</v>
      </c>
      <c r="P24" s="9" t="s">
        <v>35</v>
      </c>
      <c r="Q24" s="29">
        <v>44681</v>
      </c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</row>
    <row r="25" spans="1:175" s="31" customFormat="1" ht="30" customHeight="1">
      <c r="A25" s="8" t="s">
        <v>61</v>
      </c>
      <c r="B25" s="9" t="s">
        <v>9</v>
      </c>
      <c r="C25" s="26" t="s">
        <v>62</v>
      </c>
      <c r="D25" s="18" t="s">
        <v>21</v>
      </c>
      <c r="E25" s="11">
        <f>2500000*3.675</f>
        <v>9187500</v>
      </c>
      <c r="F25" s="11">
        <f>(2250000-125000-125000)*3.675</f>
        <v>7350000</v>
      </c>
      <c r="G25" s="11" t="s">
        <v>12</v>
      </c>
      <c r="H25" s="11" t="s">
        <v>59</v>
      </c>
      <c r="I25" s="12">
        <v>0.96</v>
      </c>
      <c r="J25" s="12">
        <v>3</v>
      </c>
      <c r="K25" s="12">
        <v>0</v>
      </c>
      <c r="L25" s="12">
        <v>3.5</v>
      </c>
      <c r="M25" s="9" t="s">
        <v>14</v>
      </c>
      <c r="N25" s="9">
        <v>10</v>
      </c>
      <c r="O25" s="9" t="s">
        <v>35</v>
      </c>
      <c r="P25" s="9" t="s">
        <v>35</v>
      </c>
      <c r="Q25" s="29">
        <v>44681</v>
      </c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</row>
    <row r="26" spans="1:175" s="31" customFormat="1" ht="30" customHeight="1">
      <c r="A26" s="8" t="s">
        <v>61</v>
      </c>
      <c r="B26" s="9" t="s">
        <v>9</v>
      </c>
      <c r="C26" s="26" t="s">
        <v>62</v>
      </c>
      <c r="D26" s="18" t="s">
        <v>21</v>
      </c>
      <c r="E26" s="11">
        <f>1500000*3.675</f>
        <v>5512500</v>
      </c>
      <c r="F26" s="11">
        <f>(1350000-75000-75000)*3.675</f>
        <v>4410000</v>
      </c>
      <c r="G26" s="11" t="s">
        <v>12</v>
      </c>
      <c r="H26" s="11" t="s">
        <v>59</v>
      </c>
      <c r="I26" s="12">
        <v>0.96</v>
      </c>
      <c r="J26" s="12">
        <v>3</v>
      </c>
      <c r="K26" s="12">
        <v>0</v>
      </c>
      <c r="L26" s="12">
        <v>3.5</v>
      </c>
      <c r="M26" s="9" t="s">
        <v>14</v>
      </c>
      <c r="N26" s="9">
        <v>10</v>
      </c>
      <c r="O26" s="9" t="s">
        <v>35</v>
      </c>
      <c r="P26" s="9" t="s">
        <v>35</v>
      </c>
      <c r="Q26" s="29">
        <v>44681</v>
      </c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</row>
    <row r="27" spans="1:175" s="31" customFormat="1" ht="30" customHeight="1">
      <c r="A27" s="8" t="s">
        <v>61</v>
      </c>
      <c r="B27" s="9" t="s">
        <v>9</v>
      </c>
      <c r="C27" s="26" t="s">
        <v>62</v>
      </c>
      <c r="D27" s="18" t="s">
        <v>21</v>
      </c>
      <c r="E27" s="11">
        <f>1200000*3.675</f>
        <v>4410000</v>
      </c>
      <c r="F27" s="11">
        <f>(1080000-60000-60000)*3.675</f>
        <v>3528000</v>
      </c>
      <c r="G27" s="11" t="s">
        <v>12</v>
      </c>
      <c r="H27" s="11" t="s">
        <v>59</v>
      </c>
      <c r="I27" s="12">
        <v>0.96</v>
      </c>
      <c r="J27" s="12">
        <v>3</v>
      </c>
      <c r="K27" s="12">
        <v>0</v>
      </c>
      <c r="L27" s="12">
        <v>3.5</v>
      </c>
      <c r="M27" s="9" t="s">
        <v>14</v>
      </c>
      <c r="N27" s="9">
        <v>10</v>
      </c>
      <c r="O27" s="9" t="s">
        <v>35</v>
      </c>
      <c r="P27" s="9" t="s">
        <v>35</v>
      </c>
      <c r="Q27" s="29">
        <v>44681</v>
      </c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</row>
    <row r="28" spans="1:175" s="31" customFormat="1" ht="30" customHeight="1">
      <c r="A28" s="8" t="s">
        <v>61</v>
      </c>
      <c r="B28" s="9" t="s">
        <v>9</v>
      </c>
      <c r="C28" s="26" t="s">
        <v>62</v>
      </c>
      <c r="D28" s="18" t="s">
        <v>21</v>
      </c>
      <c r="E28" s="11">
        <f>800000*3.675</f>
        <v>2940000</v>
      </c>
      <c r="F28" s="11">
        <f>(720000-40000)*3.675</f>
        <v>2499000</v>
      </c>
      <c r="G28" s="11" t="s">
        <v>12</v>
      </c>
      <c r="H28" s="11" t="s">
        <v>59</v>
      </c>
      <c r="I28" s="12">
        <v>0.96</v>
      </c>
      <c r="J28" s="12">
        <v>3</v>
      </c>
      <c r="K28" s="12">
        <v>0</v>
      </c>
      <c r="L28" s="12">
        <v>3.5</v>
      </c>
      <c r="M28" s="9" t="s">
        <v>14</v>
      </c>
      <c r="N28" s="9">
        <v>10</v>
      </c>
      <c r="O28" s="9" t="s">
        <v>35</v>
      </c>
      <c r="P28" s="9" t="s">
        <v>35</v>
      </c>
      <c r="Q28" s="29">
        <v>44681</v>
      </c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</row>
    <row r="29" spans="1:175" s="31" customFormat="1" ht="41.25" customHeight="1">
      <c r="A29" s="8" t="s">
        <v>61</v>
      </c>
      <c r="B29" s="9" t="s">
        <v>9</v>
      </c>
      <c r="C29" s="26" t="s">
        <v>63</v>
      </c>
      <c r="D29" s="18" t="s">
        <v>21</v>
      </c>
      <c r="E29" s="11">
        <f>20000000*9.57</f>
        <v>191400000</v>
      </c>
      <c r="F29" s="11">
        <f>12000000*9.57</f>
        <v>114840000</v>
      </c>
      <c r="G29" s="11" t="s">
        <v>12</v>
      </c>
      <c r="H29" s="11"/>
      <c r="I29" s="12"/>
      <c r="J29" s="12">
        <v>2</v>
      </c>
      <c r="K29" s="12">
        <v>0</v>
      </c>
      <c r="L29" s="12">
        <v>5</v>
      </c>
      <c r="M29" s="9" t="s">
        <v>14</v>
      </c>
      <c r="N29" s="16">
        <v>10</v>
      </c>
      <c r="O29" s="16" t="s">
        <v>15</v>
      </c>
      <c r="P29" s="9" t="s">
        <v>16</v>
      </c>
      <c r="Q29" s="29">
        <v>44681</v>
      </c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</row>
    <row r="30" spans="1:175" s="31" customFormat="1" ht="30" customHeight="1">
      <c r="A30" s="8" t="s">
        <v>61</v>
      </c>
      <c r="B30" s="9" t="s">
        <v>9</v>
      </c>
      <c r="C30" s="26" t="s">
        <v>63</v>
      </c>
      <c r="D30" s="18" t="s">
        <v>21</v>
      </c>
      <c r="E30" s="11">
        <f>2000000*9.57</f>
        <v>19140000</v>
      </c>
      <c r="F30" s="11">
        <f>1331000*9.57</f>
        <v>12737670</v>
      </c>
      <c r="G30" s="11" t="s">
        <v>12</v>
      </c>
      <c r="H30" s="11"/>
      <c r="I30" s="12"/>
      <c r="J30" s="12">
        <v>2</v>
      </c>
      <c r="K30" s="12">
        <v>0</v>
      </c>
      <c r="L30" s="12">
        <v>5</v>
      </c>
      <c r="M30" s="9" t="s">
        <v>14</v>
      </c>
      <c r="N30" s="16">
        <v>10</v>
      </c>
      <c r="O30" s="16" t="s">
        <v>15</v>
      </c>
      <c r="P30" s="9" t="s">
        <v>16</v>
      </c>
      <c r="Q30" s="29">
        <v>44681</v>
      </c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</row>
    <row r="31" spans="1:175" s="9" customFormat="1" ht="30" customHeight="1">
      <c r="A31" s="8" t="s">
        <v>61</v>
      </c>
      <c r="B31" s="9" t="s">
        <v>9</v>
      </c>
      <c r="C31" s="26" t="s">
        <v>63</v>
      </c>
      <c r="D31" s="18" t="s">
        <v>21</v>
      </c>
      <c r="E31" s="11">
        <f>5000000*9.57</f>
        <v>47850000</v>
      </c>
      <c r="F31" s="11">
        <f>4500000*9.57</f>
        <v>43065000</v>
      </c>
      <c r="G31" s="11" t="s">
        <v>12</v>
      </c>
      <c r="H31" s="11"/>
      <c r="I31" s="12"/>
      <c r="J31" s="12">
        <v>2</v>
      </c>
      <c r="K31" s="12">
        <v>0</v>
      </c>
      <c r="L31" s="12">
        <v>5</v>
      </c>
      <c r="M31" s="9" t="s">
        <v>14</v>
      </c>
      <c r="N31" s="16">
        <v>10</v>
      </c>
      <c r="O31" s="16" t="s">
        <v>15</v>
      </c>
      <c r="P31" s="9" t="s">
        <v>16</v>
      </c>
      <c r="Q31" s="29">
        <v>44681</v>
      </c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</row>
    <row r="32" spans="1:175" s="40" customFormat="1" ht="45" customHeight="1">
      <c r="A32" s="32" t="s">
        <v>26</v>
      </c>
      <c r="B32" s="33" t="s">
        <v>64</v>
      </c>
      <c r="C32" s="33" t="s">
        <v>64</v>
      </c>
      <c r="D32" s="34" t="s">
        <v>21</v>
      </c>
      <c r="E32" s="35">
        <v>63000000</v>
      </c>
      <c r="F32" s="35">
        <f>53000000</f>
        <v>53000000</v>
      </c>
      <c r="G32" s="11" t="s">
        <v>12</v>
      </c>
      <c r="H32" s="36" t="s">
        <v>13</v>
      </c>
      <c r="I32" s="12">
        <v>1.32</v>
      </c>
      <c r="J32" s="37">
        <v>2.75</v>
      </c>
      <c r="K32" s="12">
        <v>0</v>
      </c>
      <c r="L32" s="12">
        <v>0</v>
      </c>
      <c r="M32" s="33" t="s">
        <v>65</v>
      </c>
      <c r="N32" s="33"/>
      <c r="O32" s="33" t="s">
        <v>35</v>
      </c>
      <c r="P32" s="33" t="s">
        <v>16</v>
      </c>
      <c r="Q32" s="38">
        <v>44074</v>
      </c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</row>
    <row r="33" spans="1:175" s="15" customFormat="1" ht="30" customHeight="1">
      <c r="A33" s="8" t="s">
        <v>8</v>
      </c>
      <c r="B33" s="9" t="s">
        <v>66</v>
      </c>
      <c r="C33" s="9" t="s">
        <v>67</v>
      </c>
      <c r="D33" s="9" t="s">
        <v>11</v>
      </c>
      <c r="E33" s="10">
        <v>427500000</v>
      </c>
      <c r="F33" s="10">
        <f>207500000</f>
        <v>207500000</v>
      </c>
      <c r="G33" s="11" t="s">
        <v>12</v>
      </c>
      <c r="H33" s="11" t="s">
        <v>13</v>
      </c>
      <c r="I33" s="12">
        <v>1.32</v>
      </c>
      <c r="J33" s="12">
        <v>1</v>
      </c>
      <c r="K33" s="12">
        <v>0</v>
      </c>
      <c r="L33" s="12">
        <v>0</v>
      </c>
      <c r="M33" s="9" t="s">
        <v>68</v>
      </c>
      <c r="N33" s="16">
        <v>10</v>
      </c>
      <c r="O33" s="16" t="s">
        <v>15</v>
      </c>
      <c r="P33" s="9" t="s">
        <v>16</v>
      </c>
      <c r="Q33" s="19">
        <v>42735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</row>
    <row r="34" spans="1:175" s="15" customFormat="1" ht="30" customHeight="1">
      <c r="A34" s="8" t="s">
        <v>8</v>
      </c>
      <c r="B34" s="9" t="s">
        <v>66</v>
      </c>
      <c r="C34" s="9" t="s">
        <v>67</v>
      </c>
      <c r="D34" s="9" t="s">
        <v>11</v>
      </c>
      <c r="E34" s="10">
        <v>100000000</v>
      </c>
      <c r="F34" s="10">
        <f>75000000</f>
        <v>75000000</v>
      </c>
      <c r="G34" s="11" t="s">
        <v>12</v>
      </c>
      <c r="H34" s="11" t="s">
        <v>13</v>
      </c>
      <c r="I34" s="12">
        <v>1.32</v>
      </c>
      <c r="J34" s="12">
        <v>3</v>
      </c>
      <c r="K34" s="12">
        <v>0</v>
      </c>
      <c r="L34" s="12">
        <v>0</v>
      </c>
      <c r="M34" s="9" t="s">
        <v>68</v>
      </c>
      <c r="N34" s="16">
        <v>10</v>
      </c>
      <c r="O34" s="16" t="s">
        <v>15</v>
      </c>
      <c r="P34" s="9" t="s">
        <v>16</v>
      </c>
      <c r="Q34" s="19">
        <v>44561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</row>
    <row r="35" spans="1:175" s="15" customFormat="1" ht="30" customHeight="1">
      <c r="A35" s="8" t="s">
        <v>8</v>
      </c>
      <c r="B35" s="9" t="s">
        <v>66</v>
      </c>
      <c r="C35" s="9" t="s">
        <v>67</v>
      </c>
      <c r="D35" s="9" t="s">
        <v>11</v>
      </c>
      <c r="E35" s="10">
        <v>100000000</v>
      </c>
      <c r="F35" s="10">
        <f>85000000</f>
        <v>85000000</v>
      </c>
      <c r="G35" s="11" t="s">
        <v>12</v>
      </c>
      <c r="H35" s="11" t="s">
        <v>13</v>
      </c>
      <c r="I35" s="12">
        <v>1.32</v>
      </c>
      <c r="J35" s="12">
        <v>2.75</v>
      </c>
      <c r="K35" s="12">
        <v>0</v>
      </c>
      <c r="L35" s="12">
        <v>0</v>
      </c>
      <c r="M35" s="9" t="s">
        <v>68</v>
      </c>
      <c r="N35" s="16">
        <v>10</v>
      </c>
      <c r="O35" s="16" t="s">
        <v>15</v>
      </c>
      <c r="P35" s="9" t="s">
        <v>16</v>
      </c>
      <c r="Q35" s="19">
        <v>45291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</row>
    <row r="36" spans="1:175" s="15" customFormat="1" ht="30" customHeight="1">
      <c r="A36" s="8" t="s">
        <v>8</v>
      </c>
      <c r="B36" s="9" t="s">
        <v>66</v>
      </c>
      <c r="C36" s="9" t="s">
        <v>67</v>
      </c>
      <c r="D36" s="9" t="s">
        <v>11</v>
      </c>
      <c r="E36" s="10">
        <v>100000000</v>
      </c>
      <c r="F36" s="10">
        <f>90000000</f>
        <v>90000000</v>
      </c>
      <c r="G36" s="11" t="s">
        <v>12</v>
      </c>
      <c r="H36" s="11" t="s">
        <v>13</v>
      </c>
      <c r="I36" s="12">
        <v>1.32</v>
      </c>
      <c r="J36" s="12">
        <v>2.75</v>
      </c>
      <c r="K36" s="12">
        <v>0</v>
      </c>
      <c r="L36" s="12">
        <v>0</v>
      </c>
      <c r="M36" s="9" t="s">
        <v>68</v>
      </c>
      <c r="N36" s="16">
        <v>1</v>
      </c>
      <c r="O36" s="16" t="s">
        <v>15</v>
      </c>
      <c r="P36" s="9" t="s">
        <v>16</v>
      </c>
      <c r="Q36" s="19">
        <v>45657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</row>
    <row r="37" spans="1:175" s="15" customFormat="1" ht="30" customHeight="1">
      <c r="A37" s="41" t="s">
        <v>8</v>
      </c>
      <c r="B37" s="18" t="s">
        <v>69</v>
      </c>
      <c r="C37" s="18" t="s">
        <v>70</v>
      </c>
      <c r="D37" s="18" t="s">
        <v>21</v>
      </c>
      <c r="E37" s="42">
        <f>271000000</f>
        <v>271000000</v>
      </c>
      <c r="F37" s="42">
        <f>271000000</f>
        <v>271000000</v>
      </c>
      <c r="G37" s="11" t="s">
        <v>12</v>
      </c>
      <c r="H37" s="28" t="s">
        <v>22</v>
      </c>
      <c r="I37" s="12">
        <v>1.69</v>
      </c>
      <c r="J37" s="43">
        <v>2.85</v>
      </c>
      <c r="K37" s="12">
        <v>0</v>
      </c>
      <c r="L37" s="12">
        <v>0</v>
      </c>
      <c r="M37" s="18" t="s">
        <v>71</v>
      </c>
      <c r="N37" s="18">
        <v>18</v>
      </c>
      <c r="O37" s="9" t="s">
        <v>35</v>
      </c>
      <c r="P37" s="9" t="s">
        <v>16</v>
      </c>
      <c r="Q37" s="19">
        <v>49674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</row>
    <row r="38" spans="1:175" s="15" customFormat="1" ht="30" customHeight="1">
      <c r="A38" s="41" t="s">
        <v>8</v>
      </c>
      <c r="B38" s="18" t="s">
        <v>69</v>
      </c>
      <c r="C38" s="18" t="s">
        <v>72</v>
      </c>
      <c r="D38" s="18" t="s">
        <v>21</v>
      </c>
      <c r="E38" s="42">
        <f>25000000</f>
        <v>25000000</v>
      </c>
      <c r="F38" s="42">
        <v>25000000</v>
      </c>
      <c r="G38" s="11" t="s">
        <v>29</v>
      </c>
      <c r="H38" s="28"/>
      <c r="I38" s="12"/>
      <c r="J38" s="43">
        <v>0</v>
      </c>
      <c r="K38" s="43">
        <v>2.9</v>
      </c>
      <c r="L38" s="12">
        <v>0</v>
      </c>
      <c r="M38" s="9" t="s">
        <v>49</v>
      </c>
      <c r="N38" s="9"/>
      <c r="O38" s="9" t="s">
        <v>49</v>
      </c>
      <c r="P38" s="9" t="s">
        <v>49</v>
      </c>
      <c r="Q38" s="9" t="s">
        <v>49</v>
      </c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</row>
    <row r="39" spans="1:175" s="40" customFormat="1" ht="30" customHeight="1">
      <c r="A39" s="44" t="s">
        <v>8</v>
      </c>
      <c r="B39" s="34" t="s">
        <v>73</v>
      </c>
      <c r="C39" s="34" t="s">
        <v>72</v>
      </c>
      <c r="D39" s="34" t="s">
        <v>21</v>
      </c>
      <c r="E39" s="45">
        <f>50000000</f>
        <v>50000000</v>
      </c>
      <c r="F39" s="45">
        <f>50000000</f>
        <v>50000000</v>
      </c>
      <c r="G39" s="11" t="s">
        <v>29</v>
      </c>
      <c r="H39" s="46"/>
      <c r="I39" s="12"/>
      <c r="J39" s="47">
        <v>0</v>
      </c>
      <c r="K39" s="47">
        <v>5</v>
      </c>
      <c r="L39" s="12">
        <v>0</v>
      </c>
      <c r="M39" s="33" t="s">
        <v>49</v>
      </c>
      <c r="N39" s="33"/>
      <c r="O39" s="33" t="s">
        <v>49</v>
      </c>
      <c r="P39" s="33" t="s">
        <v>49</v>
      </c>
      <c r="Q39" s="9" t="s">
        <v>49</v>
      </c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</row>
    <row r="40" spans="1:175" s="40" customFormat="1" ht="30" customHeight="1">
      <c r="A40" s="44" t="s">
        <v>74</v>
      </c>
      <c r="B40" s="34" t="s">
        <v>73</v>
      </c>
      <c r="C40" s="34" t="s">
        <v>73</v>
      </c>
      <c r="D40" s="34" t="s">
        <v>21</v>
      </c>
      <c r="E40" s="45">
        <v>602544646</v>
      </c>
      <c r="F40" s="45">
        <v>341834190</v>
      </c>
      <c r="G40" s="46" t="s">
        <v>12</v>
      </c>
      <c r="H40" s="11" t="s">
        <v>13</v>
      </c>
      <c r="I40" s="12">
        <v>1.32</v>
      </c>
      <c r="J40" s="47">
        <v>1.75</v>
      </c>
      <c r="K40" s="12">
        <v>0</v>
      </c>
      <c r="L40" s="12">
        <v>0</v>
      </c>
      <c r="M40" s="33" t="s">
        <v>49</v>
      </c>
      <c r="N40" s="33"/>
      <c r="O40" s="33" t="s">
        <v>16</v>
      </c>
      <c r="P40" s="33" t="s">
        <v>16</v>
      </c>
      <c r="Q40" s="49">
        <v>44926</v>
      </c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</row>
    <row r="41" spans="1:175" s="40" customFormat="1" ht="30" customHeight="1">
      <c r="A41" s="44" t="s">
        <v>75</v>
      </c>
      <c r="B41" s="34" t="s">
        <v>73</v>
      </c>
      <c r="C41" s="34" t="s">
        <v>73</v>
      </c>
      <c r="D41" s="34" t="s">
        <v>21</v>
      </c>
      <c r="E41" s="45">
        <v>280208723.30000001</v>
      </c>
      <c r="F41" s="45">
        <v>123977004</v>
      </c>
      <c r="G41" s="46" t="s">
        <v>12</v>
      </c>
      <c r="H41" s="11" t="s">
        <v>13</v>
      </c>
      <c r="I41" s="12">
        <v>1.32</v>
      </c>
      <c r="J41" s="47">
        <v>3</v>
      </c>
      <c r="K41" s="12">
        <v>0</v>
      </c>
      <c r="L41" s="12">
        <v>0</v>
      </c>
      <c r="M41" s="33" t="s">
        <v>49</v>
      </c>
      <c r="N41" s="33"/>
      <c r="O41" s="33" t="s">
        <v>16</v>
      </c>
      <c r="P41" s="33" t="s">
        <v>16</v>
      </c>
      <c r="Q41" s="49">
        <v>44926</v>
      </c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</row>
    <row r="42" spans="1:175" s="40" customFormat="1" ht="30" customHeight="1">
      <c r="A42" s="44" t="s">
        <v>76</v>
      </c>
      <c r="B42" s="34" t="s">
        <v>73</v>
      </c>
      <c r="C42" s="34" t="s">
        <v>73</v>
      </c>
      <c r="D42" s="34" t="s">
        <v>21</v>
      </c>
      <c r="E42" s="45">
        <v>227209316.26999998</v>
      </c>
      <c r="F42" s="45">
        <v>186745342</v>
      </c>
      <c r="G42" s="46" t="s">
        <v>12</v>
      </c>
      <c r="H42" s="11" t="s">
        <v>13</v>
      </c>
      <c r="I42" s="12">
        <v>1.32</v>
      </c>
      <c r="J42" s="47">
        <v>2.25</v>
      </c>
      <c r="K42" s="12">
        <v>0</v>
      </c>
      <c r="L42" s="12">
        <v>0</v>
      </c>
      <c r="M42" s="33" t="s">
        <v>49</v>
      </c>
      <c r="N42" s="33"/>
      <c r="O42" s="33" t="s">
        <v>16</v>
      </c>
      <c r="P42" s="33" t="s">
        <v>16</v>
      </c>
      <c r="Q42" s="49">
        <v>46022</v>
      </c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</row>
    <row r="43" spans="1:175" s="40" customFormat="1" ht="30" customHeight="1">
      <c r="A43" s="44" t="s">
        <v>26</v>
      </c>
      <c r="B43" s="34" t="s">
        <v>73</v>
      </c>
      <c r="C43" s="34" t="s">
        <v>73</v>
      </c>
      <c r="D43" s="34" t="s">
        <v>21</v>
      </c>
      <c r="E43" s="45">
        <v>91000000</v>
      </c>
      <c r="F43" s="45">
        <v>74000000</v>
      </c>
      <c r="G43" s="46" t="s">
        <v>12</v>
      </c>
      <c r="H43" s="11" t="s">
        <v>13</v>
      </c>
      <c r="I43" s="12">
        <v>1.32</v>
      </c>
      <c r="J43" s="47">
        <v>3</v>
      </c>
      <c r="K43" s="12">
        <v>0</v>
      </c>
      <c r="L43" s="12">
        <v>0</v>
      </c>
      <c r="M43" s="33" t="s">
        <v>49</v>
      </c>
      <c r="N43" s="33"/>
      <c r="O43" s="48" t="s">
        <v>35</v>
      </c>
      <c r="P43" s="48" t="s">
        <v>35</v>
      </c>
      <c r="Q43" s="49">
        <v>44681</v>
      </c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</row>
    <row r="44" spans="1:175" s="40" customFormat="1" ht="30" customHeight="1">
      <c r="A44" s="44" t="s">
        <v>26</v>
      </c>
      <c r="B44" s="34" t="s">
        <v>73</v>
      </c>
      <c r="C44" s="34" t="s">
        <v>77</v>
      </c>
      <c r="D44" s="34" t="s">
        <v>21</v>
      </c>
      <c r="E44" s="45">
        <f>43500000</f>
        <v>43500000</v>
      </c>
      <c r="F44" s="45">
        <v>10237500</v>
      </c>
      <c r="G44" s="46" t="s">
        <v>12</v>
      </c>
      <c r="H44" s="11" t="s">
        <v>13</v>
      </c>
      <c r="I44" s="12">
        <v>1.32</v>
      </c>
      <c r="J44" s="47">
        <v>3</v>
      </c>
      <c r="K44" s="12">
        <v>0</v>
      </c>
      <c r="L44" s="12">
        <v>0</v>
      </c>
      <c r="M44" s="33" t="s">
        <v>49</v>
      </c>
      <c r="N44" s="33"/>
      <c r="O44" s="33" t="s">
        <v>49</v>
      </c>
      <c r="P44" s="33" t="s">
        <v>49</v>
      </c>
      <c r="Q44" s="9" t="s">
        <v>49</v>
      </c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</row>
    <row r="45" spans="1:175">
      <c r="E45" s="52"/>
      <c r="F45" s="52"/>
      <c r="G45" s="52"/>
      <c r="H45" s="53"/>
      <c r="I45" s="54"/>
      <c r="J45" s="54"/>
      <c r="K45" s="54"/>
      <c r="L45" s="54"/>
    </row>
  </sheetData>
  <pageMargins left="0" right="0" top="0" bottom="0" header="0.31496062992125984" footer="0.31496062992125984"/>
  <pageSetup paperSize="8" scale="65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5"/>
  <sheetViews>
    <sheetView workbookViewId="0">
      <selection sqref="A1:I23"/>
    </sheetView>
  </sheetViews>
  <sheetFormatPr defaultRowHeight="12.5"/>
  <cols>
    <col min="1" max="1" width="6.81640625" style="61" customWidth="1"/>
    <col min="2" max="2" width="16.6328125" style="64" customWidth="1"/>
    <col min="3" max="3" width="15.36328125" style="61" customWidth="1"/>
    <col min="4" max="4" width="19.6328125" style="61" customWidth="1"/>
    <col min="5" max="6" width="15.36328125" style="61" customWidth="1"/>
    <col min="7" max="7" width="16.08984375" style="61" customWidth="1"/>
    <col min="8" max="8" width="9.54296875" style="61" customWidth="1"/>
    <col min="9" max="9" width="7.08984375" style="61" customWidth="1"/>
    <col min="10" max="10" width="15.36328125" style="61" customWidth="1"/>
    <col min="11" max="16384" width="8.7265625" style="61"/>
  </cols>
  <sheetData>
    <row r="1" spans="1:10" ht="17" customHeight="1">
      <c r="A1" s="57" t="s">
        <v>87</v>
      </c>
      <c r="B1" s="58" t="s">
        <v>88</v>
      </c>
      <c r="C1" s="59" t="s">
        <v>89</v>
      </c>
      <c r="D1" s="60" t="s">
        <v>90</v>
      </c>
      <c r="E1" s="60" t="s">
        <v>91</v>
      </c>
      <c r="F1" s="60" t="s">
        <v>92</v>
      </c>
      <c r="G1" s="60" t="s">
        <v>93</v>
      </c>
      <c r="H1" s="60" t="s">
        <v>94</v>
      </c>
      <c r="I1" s="60" t="s">
        <v>95</v>
      </c>
      <c r="J1" s="60"/>
    </row>
    <row r="2" spans="1:10" ht="16" customHeight="1">
      <c r="A2" s="62">
        <v>1</v>
      </c>
      <c r="B2" s="63">
        <v>42795</v>
      </c>
      <c r="C2" s="61">
        <v>1.5242849999999999</v>
      </c>
    </row>
    <row r="3" spans="1:10" ht="16" customHeight="1">
      <c r="A3" s="62">
        <v>2</v>
      </c>
      <c r="B3" s="63">
        <v>42796</v>
      </c>
      <c r="C3" s="61">
        <v>1.527285</v>
      </c>
    </row>
    <row r="4" spans="1:10" ht="16" customHeight="1">
      <c r="A4" s="62">
        <v>3</v>
      </c>
      <c r="B4" s="63">
        <v>42799</v>
      </c>
      <c r="C4" s="61">
        <v>1.5208599999999999</v>
      </c>
    </row>
    <row r="5" spans="1:10" ht="16" customHeight="1">
      <c r="A5" s="62">
        <v>4</v>
      </c>
      <c r="B5" s="63">
        <v>42800</v>
      </c>
      <c r="C5" s="61">
        <v>1.5302850000000001</v>
      </c>
    </row>
    <row r="6" spans="1:10" ht="16" customHeight="1">
      <c r="A6" s="62">
        <v>5</v>
      </c>
      <c r="B6" s="63">
        <v>42801</v>
      </c>
      <c r="C6" s="61">
        <v>1.5328599999999999</v>
      </c>
    </row>
    <row r="7" spans="1:10" ht="16" customHeight="1">
      <c r="A7" s="62">
        <v>6</v>
      </c>
      <c r="B7" s="63">
        <v>42802</v>
      </c>
      <c r="C7" s="61">
        <v>1.5268600000000001</v>
      </c>
    </row>
    <row r="8" spans="1:10" ht="16" customHeight="1">
      <c r="A8" s="62">
        <v>7</v>
      </c>
      <c r="B8" s="63">
        <v>42803</v>
      </c>
      <c r="C8" s="61">
        <v>1.533785</v>
      </c>
    </row>
    <row r="9" spans="1:10" ht="16" customHeight="1">
      <c r="A9" s="62">
        <v>8</v>
      </c>
      <c r="B9" s="63">
        <v>42806</v>
      </c>
      <c r="C9" s="61">
        <v>1.5282149999999999</v>
      </c>
    </row>
    <row r="10" spans="1:10" ht="16" customHeight="1">
      <c r="A10" s="62">
        <v>9</v>
      </c>
      <c r="B10" s="63">
        <v>42807</v>
      </c>
      <c r="C10" s="61">
        <v>1.517145</v>
      </c>
    </row>
    <row r="11" spans="1:10" ht="16" customHeight="1">
      <c r="A11" s="62">
        <v>10</v>
      </c>
      <c r="B11" s="63">
        <v>42808</v>
      </c>
      <c r="C11" s="61">
        <v>1.5349999999999999</v>
      </c>
    </row>
    <row r="12" spans="1:10" ht="16" customHeight="1">
      <c r="A12" s="62">
        <v>11</v>
      </c>
      <c r="B12" s="63">
        <v>42809</v>
      </c>
      <c r="C12" s="61">
        <v>1.53993</v>
      </c>
    </row>
    <row r="13" spans="1:10" ht="16" customHeight="1">
      <c r="A13" s="62">
        <v>12</v>
      </c>
      <c r="B13" s="63">
        <v>42810</v>
      </c>
      <c r="C13" s="61">
        <v>1.580355</v>
      </c>
    </row>
    <row r="14" spans="1:10" ht="16" customHeight="1">
      <c r="A14" s="62">
        <v>13</v>
      </c>
      <c r="B14" s="63">
        <v>42813</v>
      </c>
      <c r="C14" s="61">
        <v>1.5522149999999999</v>
      </c>
    </row>
    <row r="15" spans="1:10" ht="16" customHeight="1">
      <c r="A15" s="62">
        <v>14</v>
      </c>
      <c r="B15" s="63">
        <v>42814</v>
      </c>
      <c r="C15" s="61">
        <v>1.5527099999999998</v>
      </c>
    </row>
    <row r="16" spans="1:10" ht="16" customHeight="1">
      <c r="A16" s="62">
        <v>15</v>
      </c>
      <c r="B16" s="63">
        <v>42815</v>
      </c>
      <c r="C16" s="61">
        <v>1.549715</v>
      </c>
    </row>
    <row r="17" spans="1:9" ht="16" customHeight="1">
      <c r="A17" s="62">
        <v>16</v>
      </c>
      <c r="B17" s="63">
        <v>42816</v>
      </c>
      <c r="C17" s="61">
        <v>1.5509999999999999</v>
      </c>
    </row>
    <row r="18" spans="1:9" ht="16" customHeight="1">
      <c r="A18" s="62">
        <v>17</v>
      </c>
      <c r="B18" s="63">
        <v>42817</v>
      </c>
      <c r="C18" s="61">
        <v>1.5487899999999999</v>
      </c>
    </row>
    <row r="19" spans="1:9" ht="16" customHeight="1">
      <c r="A19" s="62">
        <v>18</v>
      </c>
      <c r="B19" s="63">
        <v>42820</v>
      </c>
      <c r="C19" s="61">
        <v>1.5440700000000001</v>
      </c>
    </row>
    <row r="20" spans="1:9" ht="16" customHeight="1">
      <c r="A20" s="62">
        <v>19</v>
      </c>
      <c r="B20" s="63">
        <v>42821</v>
      </c>
      <c r="C20" s="61">
        <v>1.5510700000000002</v>
      </c>
      <c r="D20" s="61">
        <v>4.875</v>
      </c>
    </row>
    <row r="21" spans="1:9" ht="16" customHeight="1">
      <c r="A21" s="62">
        <v>20</v>
      </c>
      <c r="B21" s="63">
        <v>42822</v>
      </c>
      <c r="C21" s="61">
        <v>1.5449299999999999</v>
      </c>
      <c r="E21" s="61">
        <v>6.25</v>
      </c>
    </row>
    <row r="22" spans="1:9" ht="16" customHeight="1">
      <c r="A22" s="62">
        <v>21</v>
      </c>
      <c r="B22" s="63">
        <v>42823</v>
      </c>
      <c r="C22" s="61">
        <v>1.583415</v>
      </c>
      <c r="F22" s="61">
        <v>3</v>
      </c>
      <c r="H22" s="61">
        <v>3.6640000000000001</v>
      </c>
    </row>
    <row r="23" spans="1:9" ht="16" customHeight="1">
      <c r="A23" s="62">
        <v>22</v>
      </c>
      <c r="B23" s="63">
        <v>42824</v>
      </c>
      <c r="C23" s="61">
        <v>1.58</v>
      </c>
      <c r="G23" s="61">
        <v>3.75</v>
      </c>
      <c r="I23" s="61">
        <v>4.0599999999999996</v>
      </c>
    </row>
    <row r="24" spans="1:9" ht="16" customHeight="1"/>
    <row r="25" spans="1:9" ht="16" customHeight="1"/>
    <row r="26" spans="1:9" ht="16" customHeight="1"/>
    <row r="27" spans="1:9" ht="16" customHeight="1"/>
    <row r="28" spans="1:9" ht="16" customHeight="1"/>
    <row r="29" spans="1:9" ht="16" customHeight="1"/>
    <row r="30" spans="1:9" ht="16" customHeight="1"/>
    <row r="31" spans="1:9" ht="16" customHeight="1"/>
    <row r="32" spans="1:9" ht="16" customHeight="1"/>
    <row r="33" ht="16" customHeight="1"/>
    <row r="34" ht="16" customHeight="1"/>
    <row r="35" ht="16" customHeight="1"/>
    <row r="36" ht="16" customHeight="1"/>
    <row r="37" ht="16" customHeight="1"/>
    <row r="38" ht="16" customHeight="1"/>
    <row r="39" ht="16" customHeight="1"/>
    <row r="40" ht="16" customHeight="1"/>
    <row r="41" ht="16" customHeight="1"/>
    <row r="42" ht="16" customHeight="1"/>
    <row r="43" ht="16" customHeight="1"/>
    <row r="44" ht="16" customHeight="1"/>
    <row r="45" ht="16" customHeight="1"/>
    <row r="46" ht="16" customHeight="1"/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  <row r="62" ht="16" customHeight="1"/>
    <row r="63" ht="16" customHeight="1"/>
    <row r="64" ht="16" customHeight="1"/>
    <row r="65" ht="16" customHeight="1"/>
  </sheetData>
  <pageMargins left="0.75" right="0.75" top="1" bottom="1" header="0.5" footer="0.5"/>
  <pageSetup orientation="portrait" horizontalDpi="300" verticalDpi="300" copies="0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0"/>
  <sheetViews>
    <sheetView tabSelected="1" workbookViewId="0">
      <selection sqref="A1:XFD1"/>
    </sheetView>
  </sheetViews>
  <sheetFormatPr defaultRowHeight="14.5"/>
  <cols>
    <col min="1" max="1" width="11.1796875" customWidth="1"/>
    <col min="2" max="2" width="19.36328125" customWidth="1"/>
    <col min="4" max="4" width="53.36328125" customWidth="1"/>
    <col min="5" max="5" width="13.36328125" style="65" customWidth="1"/>
    <col min="6" max="8" width="14" style="65" customWidth="1"/>
  </cols>
  <sheetData>
    <row r="1" spans="1:8">
      <c r="A1" t="s">
        <v>96</v>
      </c>
      <c r="B1" t="s">
        <v>97</v>
      </c>
      <c r="C1" t="s">
        <v>98</v>
      </c>
      <c r="D1" t="s">
        <v>99</v>
      </c>
      <c r="E1" s="65" t="s">
        <v>100</v>
      </c>
      <c r="F1" s="65" t="s">
        <v>101</v>
      </c>
      <c r="G1" s="65" t="s">
        <v>102</v>
      </c>
      <c r="H1" s="65" t="s">
        <v>103</v>
      </c>
    </row>
    <row r="2" spans="1:8">
      <c r="A2" t="s">
        <v>104</v>
      </c>
      <c r="B2" t="s">
        <v>105</v>
      </c>
      <c r="C2" t="s">
        <v>106</v>
      </c>
      <c r="D2" t="s">
        <v>106</v>
      </c>
      <c r="E2" s="65">
        <v>60000</v>
      </c>
      <c r="F2" s="65">
        <v>60000</v>
      </c>
      <c r="G2" s="65">
        <v>60000</v>
      </c>
      <c r="H2" s="65">
        <v>60000</v>
      </c>
    </row>
    <row r="3" spans="1:8">
      <c r="A3" t="s">
        <v>104</v>
      </c>
      <c r="B3" t="s">
        <v>105</v>
      </c>
      <c r="C3" t="s">
        <v>106</v>
      </c>
      <c r="D3" t="s">
        <v>106</v>
      </c>
      <c r="E3" s="65">
        <v>35000</v>
      </c>
      <c r="F3" s="65">
        <v>35000</v>
      </c>
      <c r="G3" s="65">
        <v>35000</v>
      </c>
      <c r="H3" s="65">
        <v>35000</v>
      </c>
    </row>
    <row r="4" spans="1:8">
      <c r="A4" t="s">
        <v>104</v>
      </c>
      <c r="B4" t="s">
        <v>105</v>
      </c>
      <c r="C4" t="s">
        <v>106</v>
      </c>
      <c r="D4" t="s">
        <v>106</v>
      </c>
      <c r="E4" s="65">
        <v>10000000</v>
      </c>
      <c r="F4" s="65">
        <v>10000000</v>
      </c>
      <c r="G4" s="65">
        <v>10000000</v>
      </c>
      <c r="H4" s="65">
        <v>10000000</v>
      </c>
    </row>
    <row r="5" spans="1:8">
      <c r="A5" t="s">
        <v>104</v>
      </c>
      <c r="B5" t="s">
        <v>107</v>
      </c>
      <c r="C5" t="s">
        <v>108</v>
      </c>
      <c r="D5" t="s">
        <v>264</v>
      </c>
      <c r="E5" s="65">
        <v>17482300</v>
      </c>
      <c r="F5" s="65">
        <v>19664277</v>
      </c>
      <c r="G5" s="65">
        <v>22149436</v>
      </c>
      <c r="H5" s="65">
        <v>26275705</v>
      </c>
    </row>
    <row r="6" spans="1:8">
      <c r="A6" t="s">
        <v>104</v>
      </c>
      <c r="B6" t="s">
        <v>107</v>
      </c>
      <c r="C6" t="s">
        <v>108</v>
      </c>
      <c r="D6" t="s">
        <v>265</v>
      </c>
      <c r="E6" s="65">
        <v>7500000</v>
      </c>
      <c r="F6" s="65">
        <v>10000000</v>
      </c>
      <c r="G6" s="65">
        <v>12000000</v>
      </c>
      <c r="H6" s="65">
        <v>14250000</v>
      </c>
    </row>
    <row r="7" spans="1:8">
      <c r="A7" t="s">
        <v>104</v>
      </c>
      <c r="B7" t="s">
        <v>107</v>
      </c>
      <c r="C7" t="s">
        <v>108</v>
      </c>
      <c r="D7" t="s">
        <v>266</v>
      </c>
      <c r="E7" s="65">
        <v>0</v>
      </c>
      <c r="F7" s="65">
        <v>2546657</v>
      </c>
      <c r="G7" s="65">
        <v>7230869</v>
      </c>
      <c r="H7" s="65">
        <v>6094576</v>
      </c>
    </row>
    <row r="8" spans="1:8">
      <c r="A8" t="s">
        <v>104</v>
      </c>
      <c r="B8" t="s">
        <v>109</v>
      </c>
      <c r="C8" t="s">
        <v>106</v>
      </c>
      <c r="D8" t="s">
        <v>110</v>
      </c>
      <c r="E8" s="65">
        <v>2800000</v>
      </c>
      <c r="F8" s="65">
        <v>2800000</v>
      </c>
      <c r="G8" s="65">
        <v>2800000</v>
      </c>
      <c r="H8" s="65">
        <v>2800000</v>
      </c>
    </row>
    <row r="9" spans="1:8">
      <c r="A9" t="s">
        <v>104</v>
      </c>
      <c r="B9" t="s">
        <v>109</v>
      </c>
      <c r="C9" t="s">
        <v>108</v>
      </c>
      <c r="D9" t="s">
        <v>257</v>
      </c>
      <c r="E9" s="65">
        <v>1800000</v>
      </c>
      <c r="F9" s="65">
        <v>4800000</v>
      </c>
      <c r="G9" s="65">
        <v>4800000</v>
      </c>
      <c r="H9" s="65">
        <v>4800000</v>
      </c>
    </row>
    <row r="10" spans="1:8">
      <c r="A10" t="s">
        <v>104</v>
      </c>
      <c r="B10" t="s">
        <v>109</v>
      </c>
      <c r="C10" t="s">
        <v>106</v>
      </c>
      <c r="D10" t="s">
        <v>111</v>
      </c>
      <c r="E10" s="65">
        <v>2875000</v>
      </c>
      <c r="F10" s="65">
        <v>3500000</v>
      </c>
      <c r="G10" s="65">
        <v>2625000</v>
      </c>
      <c r="H10" s="65">
        <v>0</v>
      </c>
    </row>
    <row r="11" spans="1:8">
      <c r="A11" t="s">
        <v>104</v>
      </c>
      <c r="B11" t="s">
        <v>109</v>
      </c>
      <c r="C11" t="s">
        <v>106</v>
      </c>
      <c r="D11" t="s">
        <v>274</v>
      </c>
      <c r="E11" s="65">
        <v>402000</v>
      </c>
      <c r="F11" s="65">
        <v>804000</v>
      </c>
      <c r="G11" s="65">
        <v>804000</v>
      </c>
      <c r="H11" s="65">
        <v>804000</v>
      </c>
    </row>
    <row r="12" spans="1:8">
      <c r="A12" t="s">
        <v>104</v>
      </c>
      <c r="B12" t="s">
        <v>109</v>
      </c>
      <c r="C12" t="s">
        <v>106</v>
      </c>
      <c r="D12" t="s">
        <v>112</v>
      </c>
      <c r="E12" s="65">
        <v>10487578</v>
      </c>
      <c r="F12" s="65">
        <v>10487578</v>
      </c>
      <c r="G12" s="65">
        <v>10487578</v>
      </c>
      <c r="H12" s="65">
        <v>10487578</v>
      </c>
    </row>
    <row r="13" spans="1:8">
      <c r="A13" t="s">
        <v>104</v>
      </c>
      <c r="B13" t="s">
        <v>113</v>
      </c>
      <c r="C13" t="s">
        <v>106</v>
      </c>
      <c r="D13" t="s">
        <v>275</v>
      </c>
      <c r="E13" s="65">
        <v>3431520</v>
      </c>
      <c r="F13" s="65">
        <v>9575360</v>
      </c>
      <c r="G13" s="65">
        <v>9575360</v>
      </c>
      <c r="H13" s="65">
        <v>9575360</v>
      </c>
    </row>
    <row r="14" spans="1:8">
      <c r="A14" t="s">
        <v>104</v>
      </c>
      <c r="B14" t="s">
        <v>113</v>
      </c>
      <c r="C14" t="s">
        <v>106</v>
      </c>
      <c r="D14" t="s">
        <v>276</v>
      </c>
      <c r="E14" s="65">
        <v>20470500</v>
      </c>
      <c r="F14" s="65">
        <v>27294000</v>
      </c>
      <c r="G14" s="65">
        <v>27294000</v>
      </c>
      <c r="H14" s="65">
        <v>27294000</v>
      </c>
    </row>
    <row r="15" spans="1:8">
      <c r="A15" t="s">
        <v>104</v>
      </c>
      <c r="B15" t="s">
        <v>113</v>
      </c>
      <c r="C15" t="s">
        <v>106</v>
      </c>
      <c r="D15" t="s">
        <v>114</v>
      </c>
      <c r="E15" s="65">
        <v>1072126</v>
      </c>
      <c r="F15" s="65">
        <v>1200000</v>
      </c>
      <c r="G15" s="65">
        <v>1200000</v>
      </c>
      <c r="H15" s="65">
        <v>1200000</v>
      </c>
    </row>
    <row r="16" spans="1:8">
      <c r="A16" t="s">
        <v>104</v>
      </c>
      <c r="B16" t="s">
        <v>113</v>
      </c>
      <c r="C16" t="s">
        <v>106</v>
      </c>
      <c r="D16" t="s">
        <v>281</v>
      </c>
      <c r="E16" s="65">
        <v>240000</v>
      </c>
      <c r="F16" s="65">
        <v>150000</v>
      </c>
      <c r="G16" s="65">
        <v>150000</v>
      </c>
      <c r="H16" s="65">
        <v>150000</v>
      </c>
    </row>
    <row r="17" spans="1:8">
      <c r="A17" t="s">
        <v>104</v>
      </c>
      <c r="B17" t="s">
        <v>113</v>
      </c>
      <c r="C17" t="s">
        <v>106</v>
      </c>
      <c r="D17" t="s">
        <v>282</v>
      </c>
      <c r="E17" s="65">
        <v>12300</v>
      </c>
      <c r="F17" s="65">
        <v>9000</v>
      </c>
      <c r="G17" s="65">
        <v>9000</v>
      </c>
      <c r="H17" s="65">
        <v>9000</v>
      </c>
    </row>
    <row r="18" spans="1:8">
      <c r="A18" t="s">
        <v>104</v>
      </c>
      <c r="B18" t="s">
        <v>113</v>
      </c>
      <c r="C18" t="s">
        <v>106</v>
      </c>
      <c r="D18" t="s">
        <v>256</v>
      </c>
      <c r="E18" s="65">
        <v>100000</v>
      </c>
      <c r="F18" s="65">
        <v>0</v>
      </c>
      <c r="G18" s="65">
        <v>0</v>
      </c>
      <c r="H18" s="65">
        <v>0</v>
      </c>
    </row>
    <row r="19" spans="1:8">
      <c r="A19" t="s">
        <v>104</v>
      </c>
      <c r="B19" t="s">
        <v>113</v>
      </c>
      <c r="C19" t="s">
        <v>106</v>
      </c>
      <c r="D19" t="s">
        <v>281</v>
      </c>
      <c r="E19" s="65">
        <v>50000</v>
      </c>
      <c r="F19" s="65">
        <v>0</v>
      </c>
      <c r="G19" s="65">
        <v>0</v>
      </c>
      <c r="H19" s="65">
        <v>0</v>
      </c>
    </row>
    <row r="20" spans="1:8">
      <c r="A20" t="s">
        <v>104</v>
      </c>
      <c r="B20" t="s">
        <v>115</v>
      </c>
      <c r="C20" t="s">
        <v>116</v>
      </c>
      <c r="D20" t="s">
        <v>277</v>
      </c>
      <c r="E20" s="65">
        <v>120000000</v>
      </c>
      <c r="F20" s="65">
        <v>0</v>
      </c>
      <c r="G20" s="65">
        <v>0</v>
      </c>
      <c r="H20" s="65">
        <v>0</v>
      </c>
    </row>
    <row r="21" spans="1:8">
      <c r="A21" t="s">
        <v>104</v>
      </c>
      <c r="B21" t="s">
        <v>115</v>
      </c>
      <c r="C21" t="s">
        <v>116</v>
      </c>
      <c r="D21" t="s">
        <v>117</v>
      </c>
      <c r="E21" s="65">
        <v>44000000</v>
      </c>
      <c r="F21" s="65">
        <v>0</v>
      </c>
      <c r="G21" s="65">
        <v>0</v>
      </c>
      <c r="H21" s="65">
        <v>0</v>
      </c>
    </row>
    <row r="22" spans="1:8">
      <c r="A22" t="s">
        <v>104</v>
      </c>
      <c r="B22" t="s">
        <v>115</v>
      </c>
      <c r="C22" t="s">
        <v>116</v>
      </c>
      <c r="D22" t="s">
        <v>320</v>
      </c>
      <c r="E22" s="65">
        <v>2316248</v>
      </c>
      <c r="F22" s="65">
        <v>0</v>
      </c>
      <c r="G22" s="65">
        <v>0</v>
      </c>
      <c r="H22" s="65">
        <v>0</v>
      </c>
    </row>
    <row r="23" spans="1:8">
      <c r="A23" t="s">
        <v>104</v>
      </c>
      <c r="B23" t="s">
        <v>115</v>
      </c>
      <c r="C23" t="s">
        <v>116</v>
      </c>
      <c r="D23" t="s">
        <v>283</v>
      </c>
      <c r="E23" s="65">
        <v>0</v>
      </c>
      <c r="F23" s="65">
        <v>23373000</v>
      </c>
      <c r="G23" s="65">
        <v>0</v>
      </c>
      <c r="H23" s="65">
        <v>0</v>
      </c>
    </row>
    <row r="24" spans="1:8">
      <c r="A24" t="s">
        <v>104</v>
      </c>
      <c r="B24" t="s">
        <v>118</v>
      </c>
      <c r="C24" t="s">
        <v>119</v>
      </c>
      <c r="D24" t="s">
        <v>284</v>
      </c>
      <c r="E24" s="65">
        <v>25970000</v>
      </c>
      <c r="F24" s="65">
        <v>0</v>
      </c>
      <c r="G24" s="65">
        <v>0</v>
      </c>
      <c r="H24" s="65">
        <v>0</v>
      </c>
    </row>
    <row r="25" spans="1:8">
      <c r="A25" t="s">
        <v>104</v>
      </c>
      <c r="B25" t="s">
        <v>118</v>
      </c>
      <c r="C25" t="s">
        <v>119</v>
      </c>
      <c r="D25" t="s">
        <v>285</v>
      </c>
      <c r="E25" s="65">
        <v>97856177</v>
      </c>
      <c r="F25" s="65">
        <v>0</v>
      </c>
      <c r="G25" s="65">
        <v>0</v>
      </c>
      <c r="H25" s="65">
        <v>0</v>
      </c>
    </row>
    <row r="26" spans="1:8">
      <c r="A26" t="s">
        <v>104</v>
      </c>
      <c r="B26" t="s">
        <v>118</v>
      </c>
      <c r="C26" t="s">
        <v>119</v>
      </c>
      <c r="D26" t="s">
        <v>286</v>
      </c>
      <c r="E26" s="65">
        <v>9600000</v>
      </c>
      <c r="F26" s="65">
        <v>0</v>
      </c>
      <c r="G26" s="65">
        <v>0</v>
      </c>
      <c r="H26" s="65">
        <v>0</v>
      </c>
    </row>
    <row r="27" spans="1:8">
      <c r="A27" t="s">
        <v>104</v>
      </c>
      <c r="B27" t="s">
        <v>118</v>
      </c>
      <c r="C27" t="s">
        <v>119</v>
      </c>
      <c r="D27" t="s">
        <v>287</v>
      </c>
      <c r="E27" s="65">
        <v>1667669</v>
      </c>
      <c r="F27" s="65">
        <v>0</v>
      </c>
      <c r="G27" s="65">
        <v>0</v>
      </c>
      <c r="H27" s="65">
        <v>0</v>
      </c>
    </row>
    <row r="28" spans="1:8">
      <c r="A28" t="s">
        <v>104</v>
      </c>
      <c r="B28" t="s">
        <v>118</v>
      </c>
      <c r="C28" t="s">
        <v>119</v>
      </c>
      <c r="D28" t="s">
        <v>288</v>
      </c>
      <c r="E28" s="65">
        <v>20000000</v>
      </c>
      <c r="F28" s="65">
        <v>0</v>
      </c>
      <c r="G28" s="65">
        <v>155430000</v>
      </c>
      <c r="H28" s="65">
        <v>207240000</v>
      </c>
    </row>
    <row r="29" spans="1:8">
      <c r="A29" t="s">
        <v>104</v>
      </c>
      <c r="B29" t="s">
        <v>118</v>
      </c>
      <c r="C29" t="s">
        <v>119</v>
      </c>
      <c r="D29" t="s">
        <v>289</v>
      </c>
      <c r="E29" s="65">
        <v>40000000</v>
      </c>
      <c r="F29" s="65">
        <v>0</v>
      </c>
      <c r="G29" s="65">
        <v>0</v>
      </c>
      <c r="H29" s="65">
        <v>0</v>
      </c>
    </row>
    <row r="30" spans="1:8">
      <c r="A30" t="s">
        <v>104</v>
      </c>
      <c r="B30" t="s">
        <v>118</v>
      </c>
      <c r="C30" t="s">
        <v>119</v>
      </c>
      <c r="D30" t="s">
        <v>289</v>
      </c>
      <c r="E30" s="65">
        <v>0</v>
      </c>
      <c r="F30" s="65">
        <v>100000000</v>
      </c>
      <c r="G30" s="65">
        <v>0</v>
      </c>
      <c r="H30" s="65">
        <v>0</v>
      </c>
    </row>
    <row r="31" spans="1:8">
      <c r="A31" t="s">
        <v>104</v>
      </c>
      <c r="B31" t="s">
        <v>226</v>
      </c>
      <c r="C31" t="s">
        <v>106</v>
      </c>
      <c r="D31" t="s">
        <v>120</v>
      </c>
      <c r="E31" s="65">
        <v>23400000</v>
      </c>
      <c r="F31" s="65">
        <v>23400000</v>
      </c>
      <c r="G31" s="65">
        <v>23400000</v>
      </c>
      <c r="H31" s="65">
        <v>23400000</v>
      </c>
    </row>
    <row r="32" spans="1:8">
      <c r="A32" t="s">
        <v>104</v>
      </c>
      <c r="B32" t="s">
        <v>121</v>
      </c>
      <c r="C32" t="s">
        <v>106</v>
      </c>
      <c r="D32" t="s">
        <v>290</v>
      </c>
      <c r="E32" s="65">
        <v>3839934.0784155121</v>
      </c>
      <c r="F32" s="65">
        <v>4912000</v>
      </c>
      <c r="G32" s="65">
        <v>6037000</v>
      </c>
      <c r="H32" s="65">
        <v>6037000</v>
      </c>
    </row>
    <row r="33" spans="1:8">
      <c r="A33" t="s">
        <v>104</v>
      </c>
      <c r="B33" t="s">
        <v>121</v>
      </c>
      <c r="C33" t="s">
        <v>106</v>
      </c>
      <c r="D33" t="s">
        <v>291</v>
      </c>
      <c r="E33" s="65">
        <v>5064468.1328220265</v>
      </c>
      <c r="F33" s="65">
        <v>6445000</v>
      </c>
      <c r="G33" s="65">
        <v>7615000</v>
      </c>
      <c r="H33" s="65">
        <v>7615000</v>
      </c>
    </row>
    <row r="34" spans="1:8">
      <c r="A34" t="s">
        <v>104</v>
      </c>
      <c r="B34" t="s">
        <v>121</v>
      </c>
      <c r="C34" t="s">
        <v>106</v>
      </c>
      <c r="D34" t="s">
        <v>292</v>
      </c>
      <c r="E34" s="65">
        <v>6350407.4897836009</v>
      </c>
      <c r="F34" s="65">
        <v>8427587</v>
      </c>
      <c r="G34" s="65">
        <v>9777587</v>
      </c>
      <c r="H34" s="65">
        <v>9777587</v>
      </c>
    </row>
    <row r="35" spans="1:8">
      <c r="A35" t="s">
        <v>104</v>
      </c>
      <c r="B35" t="s">
        <v>121</v>
      </c>
      <c r="C35" t="s">
        <v>106</v>
      </c>
      <c r="D35" t="s">
        <v>122</v>
      </c>
      <c r="E35" s="65">
        <v>12607658.118614191</v>
      </c>
      <c r="F35" s="65">
        <v>14950000</v>
      </c>
      <c r="G35" s="65">
        <v>14500000</v>
      </c>
      <c r="H35" s="65">
        <v>14500000</v>
      </c>
    </row>
    <row r="36" spans="1:8">
      <c r="A36" t="s">
        <v>104</v>
      </c>
      <c r="B36" t="s">
        <v>121</v>
      </c>
      <c r="C36" t="s">
        <v>106</v>
      </c>
      <c r="D36" t="s">
        <v>293</v>
      </c>
      <c r="E36" s="65">
        <v>4296932.896999185</v>
      </c>
      <c r="F36" s="65">
        <v>5465000</v>
      </c>
      <c r="G36" s="65">
        <v>5150000</v>
      </c>
      <c r="H36" s="65">
        <v>5150000</v>
      </c>
    </row>
    <row r="37" spans="1:8">
      <c r="A37" t="s">
        <v>104</v>
      </c>
      <c r="B37" t="s">
        <v>121</v>
      </c>
      <c r="C37" t="s">
        <v>106</v>
      </c>
      <c r="D37" t="s">
        <v>233</v>
      </c>
      <c r="E37" s="65">
        <v>1038182.0987389958</v>
      </c>
      <c r="F37" s="65">
        <v>1200000</v>
      </c>
      <c r="G37" s="65">
        <v>1110000</v>
      </c>
      <c r="H37" s="65">
        <v>1110000</v>
      </c>
    </row>
    <row r="38" spans="1:8">
      <c r="A38" t="s">
        <v>104</v>
      </c>
      <c r="B38" t="s">
        <v>121</v>
      </c>
      <c r="C38" t="s">
        <v>106</v>
      </c>
      <c r="D38" t="s">
        <v>229</v>
      </c>
      <c r="E38" s="65">
        <v>596085.41554392106</v>
      </c>
      <c r="F38" s="65">
        <v>675000</v>
      </c>
      <c r="G38" s="65">
        <v>675000</v>
      </c>
      <c r="H38" s="65">
        <v>675000</v>
      </c>
    </row>
    <row r="39" spans="1:8">
      <c r="A39" t="s">
        <v>104</v>
      </c>
      <c r="B39" t="s">
        <v>121</v>
      </c>
      <c r="C39" t="s">
        <v>106</v>
      </c>
      <c r="D39" t="s">
        <v>230</v>
      </c>
      <c r="E39" s="65">
        <v>565603.47</v>
      </c>
      <c r="F39" s="65">
        <v>720000</v>
      </c>
      <c r="G39" s="65">
        <v>720000</v>
      </c>
      <c r="H39" s="65">
        <v>720000</v>
      </c>
    </row>
    <row r="40" spans="1:8">
      <c r="A40" t="s">
        <v>104</v>
      </c>
      <c r="B40" t="s">
        <v>121</v>
      </c>
      <c r="C40" t="s">
        <v>106</v>
      </c>
      <c r="D40" t="s">
        <v>231</v>
      </c>
      <c r="E40" s="65">
        <v>806747.42035546596</v>
      </c>
      <c r="F40" s="65">
        <v>918000</v>
      </c>
      <c r="G40" s="65">
        <v>918000</v>
      </c>
      <c r="H40" s="65">
        <v>918000</v>
      </c>
    </row>
    <row r="41" spans="1:8">
      <c r="A41" t="s">
        <v>104</v>
      </c>
      <c r="B41" t="s">
        <v>121</v>
      </c>
      <c r="C41" t="s">
        <v>106</v>
      </c>
      <c r="D41" t="s">
        <v>232</v>
      </c>
      <c r="E41" s="65">
        <v>2104362.1488141455</v>
      </c>
      <c r="F41" s="65">
        <v>0</v>
      </c>
      <c r="G41" s="65">
        <v>0</v>
      </c>
      <c r="H41" s="65">
        <v>0</v>
      </c>
    </row>
    <row r="42" spans="1:8">
      <c r="A42" t="s">
        <v>104</v>
      </c>
      <c r="B42" t="s">
        <v>121</v>
      </c>
      <c r="C42" t="s">
        <v>106</v>
      </c>
      <c r="D42" t="s">
        <v>234</v>
      </c>
      <c r="E42" s="65">
        <v>2266516.9503027033</v>
      </c>
      <c r="F42" s="65">
        <v>3006450</v>
      </c>
      <c r="G42" s="65">
        <v>3006450</v>
      </c>
      <c r="H42" s="65">
        <v>3006450</v>
      </c>
    </row>
    <row r="43" spans="1:8">
      <c r="A43" t="s">
        <v>104</v>
      </c>
      <c r="B43" t="s">
        <v>121</v>
      </c>
      <c r="C43" t="s">
        <v>106</v>
      </c>
      <c r="D43" t="s">
        <v>242</v>
      </c>
      <c r="E43" s="65">
        <v>948317.70654714713</v>
      </c>
      <c r="F43" s="65">
        <v>1260000</v>
      </c>
      <c r="G43" s="65">
        <v>1260000</v>
      </c>
      <c r="H43" s="65">
        <v>1260000</v>
      </c>
    </row>
    <row r="44" spans="1:8">
      <c r="A44" t="s">
        <v>104</v>
      </c>
      <c r="B44" t="s">
        <v>121</v>
      </c>
      <c r="C44" t="s">
        <v>106</v>
      </c>
      <c r="D44" t="s">
        <v>249</v>
      </c>
      <c r="E44" s="65">
        <v>235047.31726561434</v>
      </c>
      <c r="F44" s="65">
        <v>312300</v>
      </c>
      <c r="G44" s="65">
        <v>312300</v>
      </c>
      <c r="H44" s="65">
        <v>312300</v>
      </c>
    </row>
    <row r="45" spans="1:8">
      <c r="A45" t="s">
        <v>104</v>
      </c>
      <c r="B45" t="s">
        <v>121</v>
      </c>
      <c r="C45" t="s">
        <v>106</v>
      </c>
      <c r="D45" t="s">
        <v>123</v>
      </c>
      <c r="E45" s="65">
        <v>2636474.7508211602</v>
      </c>
      <c r="F45" s="65">
        <v>3498000</v>
      </c>
      <c r="G45" s="65">
        <v>3498000</v>
      </c>
      <c r="H45" s="65">
        <v>3498000</v>
      </c>
    </row>
    <row r="46" spans="1:8">
      <c r="A46" t="s">
        <v>104</v>
      </c>
      <c r="B46" t="s">
        <v>121</v>
      </c>
      <c r="C46" t="s">
        <v>106</v>
      </c>
      <c r="D46" t="s">
        <v>124</v>
      </c>
      <c r="E46" s="65">
        <v>14262106</v>
      </c>
      <c r="F46" s="65">
        <v>17700180</v>
      </c>
      <c r="G46" s="65">
        <v>17700180</v>
      </c>
      <c r="H46" s="65">
        <v>17700180</v>
      </c>
    </row>
    <row r="47" spans="1:8">
      <c r="A47" t="s">
        <v>104</v>
      </c>
      <c r="B47" t="s">
        <v>121</v>
      </c>
      <c r="C47" t="s">
        <v>106</v>
      </c>
      <c r="D47" t="s">
        <v>246</v>
      </c>
      <c r="E47" s="65">
        <v>4649150</v>
      </c>
      <c r="F47" s="65">
        <v>4878000</v>
      </c>
      <c r="G47" s="65">
        <v>4900000</v>
      </c>
      <c r="H47" s="65">
        <v>4900000</v>
      </c>
    </row>
    <row r="48" spans="1:8">
      <c r="A48" t="s">
        <v>104</v>
      </c>
      <c r="B48" t="s">
        <v>121</v>
      </c>
      <c r="C48" t="s">
        <v>106</v>
      </c>
      <c r="D48" t="s">
        <v>247</v>
      </c>
      <c r="E48" s="65">
        <v>2849759</v>
      </c>
      <c r="F48" s="65">
        <v>4463425</v>
      </c>
      <c r="G48" s="65">
        <v>4500000</v>
      </c>
      <c r="H48" s="65">
        <v>4500000</v>
      </c>
    </row>
    <row r="49" spans="1:8">
      <c r="A49" t="s">
        <v>104</v>
      </c>
      <c r="B49" t="s">
        <v>121</v>
      </c>
      <c r="C49" t="s">
        <v>106</v>
      </c>
      <c r="D49" t="s">
        <v>258</v>
      </c>
      <c r="E49" s="65">
        <v>2860500</v>
      </c>
      <c r="F49" s="65">
        <v>3751000</v>
      </c>
      <c r="G49" s="65">
        <v>3770000</v>
      </c>
      <c r="H49" s="65">
        <v>3770000</v>
      </c>
    </row>
    <row r="50" spans="1:8">
      <c r="A50" t="s">
        <v>104</v>
      </c>
      <c r="B50" t="s">
        <v>121</v>
      </c>
      <c r="C50" t="s">
        <v>106</v>
      </c>
      <c r="D50" t="s">
        <v>245</v>
      </c>
      <c r="E50" s="65">
        <v>2723250</v>
      </c>
      <c r="F50" s="65">
        <v>3621000</v>
      </c>
      <c r="G50" s="65">
        <v>3678000</v>
      </c>
      <c r="H50" s="65">
        <v>3678000</v>
      </c>
    </row>
    <row r="51" spans="1:8">
      <c r="A51" t="s">
        <v>104</v>
      </c>
      <c r="B51" t="s">
        <v>121</v>
      </c>
      <c r="C51" t="s">
        <v>106</v>
      </c>
      <c r="D51" t="s">
        <v>321</v>
      </c>
      <c r="E51" s="65">
        <v>81500</v>
      </c>
      <c r="F51" s="65">
        <v>0</v>
      </c>
      <c r="G51" s="65">
        <v>0</v>
      </c>
      <c r="H51" s="65">
        <v>0</v>
      </c>
    </row>
    <row r="52" spans="1:8">
      <c r="A52" t="s">
        <v>104</v>
      </c>
      <c r="B52" t="s">
        <v>121</v>
      </c>
      <c r="C52" t="s">
        <v>106</v>
      </c>
      <c r="D52" t="s">
        <v>294</v>
      </c>
      <c r="E52" s="65">
        <v>175050</v>
      </c>
      <c r="F52" s="65">
        <v>293400</v>
      </c>
      <c r="G52" s="65">
        <v>290000</v>
      </c>
      <c r="H52" s="65">
        <v>290000</v>
      </c>
    </row>
    <row r="53" spans="1:8">
      <c r="A53" t="s">
        <v>104</v>
      </c>
      <c r="B53" t="s">
        <v>121</v>
      </c>
      <c r="C53" t="s">
        <v>106</v>
      </c>
      <c r="D53" t="s">
        <v>126</v>
      </c>
      <c r="E53" s="65">
        <v>1500000</v>
      </c>
      <c r="F53" s="65">
        <v>2100000</v>
      </c>
      <c r="G53" s="65">
        <v>2200000</v>
      </c>
      <c r="H53" s="65">
        <v>2300000</v>
      </c>
    </row>
    <row r="54" spans="1:8">
      <c r="A54" t="s">
        <v>104</v>
      </c>
      <c r="B54" t="s">
        <v>121</v>
      </c>
      <c r="C54" t="s">
        <v>106</v>
      </c>
      <c r="D54" t="s">
        <v>121</v>
      </c>
      <c r="E54" s="65">
        <v>337500</v>
      </c>
      <c r="F54" s="65">
        <v>450000</v>
      </c>
      <c r="G54" s="65">
        <v>450000</v>
      </c>
      <c r="H54" s="65">
        <v>450000</v>
      </c>
    </row>
    <row r="55" spans="1:8">
      <c r="A55" t="s">
        <v>104</v>
      </c>
      <c r="B55" t="s">
        <v>121</v>
      </c>
      <c r="C55" t="s">
        <v>106</v>
      </c>
      <c r="D55" t="s">
        <v>250</v>
      </c>
      <c r="E55" s="65">
        <v>1844450</v>
      </c>
      <c r="F55" s="65">
        <v>1100100</v>
      </c>
      <c r="G55" s="65">
        <v>1100100</v>
      </c>
      <c r="H55" s="65">
        <v>1100100</v>
      </c>
    </row>
    <row r="56" spans="1:8">
      <c r="A56" t="s">
        <v>104</v>
      </c>
      <c r="B56" t="s">
        <v>127</v>
      </c>
      <c r="C56" t="s">
        <v>106</v>
      </c>
      <c r="D56" t="s">
        <v>127</v>
      </c>
      <c r="E56" s="65">
        <v>59453366</v>
      </c>
      <c r="F56" s="65">
        <v>59453366</v>
      </c>
      <c r="G56" s="65">
        <v>59453366</v>
      </c>
      <c r="H56" s="65">
        <v>59453366</v>
      </c>
    </row>
    <row r="57" spans="1:8">
      <c r="A57" t="s">
        <v>128</v>
      </c>
      <c r="B57" t="s">
        <v>227</v>
      </c>
      <c r="C57" t="s">
        <v>129</v>
      </c>
      <c r="D57" t="s">
        <v>278</v>
      </c>
      <c r="E57" s="66">
        <v>-16000000</v>
      </c>
      <c r="F57" s="66">
        <v>-20000000</v>
      </c>
      <c r="G57" s="66">
        <v>-20000000</v>
      </c>
      <c r="H57" s="66">
        <v>-20000000</v>
      </c>
    </row>
    <row r="58" spans="1:8">
      <c r="A58" t="s">
        <v>128</v>
      </c>
      <c r="B58" t="s">
        <v>227</v>
      </c>
      <c r="C58" t="s">
        <v>129</v>
      </c>
      <c r="D58" t="s">
        <v>130</v>
      </c>
      <c r="E58" s="66">
        <v>-500000</v>
      </c>
      <c r="F58" s="66">
        <v>-500000</v>
      </c>
      <c r="G58" s="66">
        <v>-500000</v>
      </c>
      <c r="H58" s="66">
        <v>-500000</v>
      </c>
    </row>
    <row r="59" spans="1:8">
      <c r="A59" t="s">
        <v>128</v>
      </c>
      <c r="B59" t="s">
        <v>227</v>
      </c>
      <c r="C59" t="s">
        <v>129</v>
      </c>
      <c r="D59" t="s">
        <v>279</v>
      </c>
      <c r="E59" s="66">
        <v>-4621853.25</v>
      </c>
      <c r="F59" s="66">
        <v>-6162471</v>
      </c>
      <c r="G59" s="66">
        <v>-6162471</v>
      </c>
      <c r="H59" s="66">
        <v>-6162471</v>
      </c>
    </row>
    <row r="60" spans="1:8">
      <c r="A60" t="s">
        <v>128</v>
      </c>
      <c r="B60" t="s">
        <v>227</v>
      </c>
      <c r="C60" t="s">
        <v>129</v>
      </c>
      <c r="D60" t="s">
        <v>251</v>
      </c>
      <c r="E60" s="66">
        <v>-298100</v>
      </c>
      <c r="F60" s="66">
        <v>-513100</v>
      </c>
      <c r="G60" s="66">
        <v>-513100</v>
      </c>
      <c r="H60" s="66">
        <v>-513100</v>
      </c>
    </row>
    <row r="61" spans="1:8">
      <c r="A61" t="s">
        <v>128</v>
      </c>
      <c r="B61" t="s">
        <v>227</v>
      </c>
      <c r="C61" t="s">
        <v>129</v>
      </c>
      <c r="D61" t="s">
        <v>295</v>
      </c>
      <c r="E61" s="66">
        <v>-1800000</v>
      </c>
      <c r="F61" s="66">
        <v>-2400000</v>
      </c>
      <c r="G61" s="66">
        <v>-2400000</v>
      </c>
      <c r="H61" s="66">
        <v>-2400000</v>
      </c>
    </row>
    <row r="62" spans="1:8">
      <c r="A62" t="s">
        <v>128</v>
      </c>
      <c r="B62" t="s">
        <v>227</v>
      </c>
      <c r="C62" t="s">
        <v>129</v>
      </c>
      <c r="D62" t="s">
        <v>279</v>
      </c>
      <c r="E62" s="66">
        <v>-5500000</v>
      </c>
      <c r="F62" s="66">
        <v>-12100000</v>
      </c>
      <c r="G62" s="66">
        <v>-12100000</v>
      </c>
      <c r="H62" s="66">
        <v>-12100000</v>
      </c>
    </row>
    <row r="63" spans="1:8">
      <c r="A63" t="s">
        <v>128</v>
      </c>
      <c r="B63" t="s">
        <v>227</v>
      </c>
      <c r="C63" t="s">
        <v>129</v>
      </c>
      <c r="D63" t="s">
        <v>278</v>
      </c>
      <c r="E63" s="66">
        <v>-45000000</v>
      </c>
      <c r="F63" s="66">
        <v>-60000000</v>
      </c>
      <c r="G63" s="66">
        <v>-60000000</v>
      </c>
      <c r="H63" s="66">
        <v>-60000000</v>
      </c>
    </row>
    <row r="64" spans="1:8">
      <c r="A64" t="s">
        <v>128</v>
      </c>
      <c r="B64" t="s">
        <v>227</v>
      </c>
      <c r="C64" t="s">
        <v>129</v>
      </c>
      <c r="D64" t="s">
        <v>278</v>
      </c>
      <c r="E64" s="66">
        <v>-3750000</v>
      </c>
      <c r="F64" s="66">
        <v>-5000000</v>
      </c>
      <c r="G64" s="66">
        <v>-5000000</v>
      </c>
      <c r="H64" s="66">
        <v>-5000000</v>
      </c>
    </row>
    <row r="65" spans="1:8">
      <c r="A65" t="s">
        <v>128</v>
      </c>
      <c r="B65" t="s">
        <v>227</v>
      </c>
      <c r="C65" t="s">
        <v>129</v>
      </c>
      <c r="D65" t="s">
        <v>283</v>
      </c>
      <c r="E65" s="66">
        <v>0</v>
      </c>
      <c r="F65" s="66">
        <v>-29216250</v>
      </c>
      <c r="G65" s="66">
        <v>0</v>
      </c>
      <c r="H65" s="66">
        <v>0</v>
      </c>
    </row>
    <row r="66" spans="1:8">
      <c r="A66" t="s">
        <v>128</v>
      </c>
      <c r="B66" t="s">
        <v>227</v>
      </c>
      <c r="C66" t="s">
        <v>129</v>
      </c>
      <c r="D66" t="s">
        <v>272</v>
      </c>
      <c r="E66" s="66">
        <v>-28000000</v>
      </c>
      <c r="F66" s="66">
        <v>-12000000</v>
      </c>
      <c r="G66" s="66">
        <v>-12000000</v>
      </c>
      <c r="H66" s="66">
        <v>-12000000</v>
      </c>
    </row>
    <row r="67" spans="1:8">
      <c r="A67" t="s">
        <v>128</v>
      </c>
      <c r="B67" t="s">
        <v>227</v>
      </c>
      <c r="C67" t="s">
        <v>129</v>
      </c>
      <c r="D67" t="s">
        <v>278</v>
      </c>
      <c r="E67" s="66">
        <v>-38550</v>
      </c>
      <c r="F67" s="66">
        <v>-50000</v>
      </c>
      <c r="G67" s="66">
        <v>-50000</v>
      </c>
      <c r="H67" s="66">
        <v>-50000</v>
      </c>
    </row>
    <row r="68" spans="1:8">
      <c r="A68" t="s">
        <v>128</v>
      </c>
      <c r="B68" t="s">
        <v>131</v>
      </c>
      <c r="C68" t="s">
        <v>129</v>
      </c>
      <c r="D68" t="s">
        <v>259</v>
      </c>
      <c r="E68" s="66">
        <v>-3794815.5</v>
      </c>
      <c r="F68" s="66">
        <v>-5059754</v>
      </c>
      <c r="G68" s="66">
        <v>-5059754</v>
      </c>
      <c r="H68" s="66">
        <v>-5059754</v>
      </c>
    </row>
    <row r="69" spans="1:8">
      <c r="A69" t="s">
        <v>128</v>
      </c>
      <c r="B69" t="s">
        <v>131</v>
      </c>
      <c r="C69" t="s">
        <v>129</v>
      </c>
      <c r="D69" t="s">
        <v>260</v>
      </c>
      <c r="E69" s="66">
        <v>-8249181.75</v>
      </c>
      <c r="F69" s="66">
        <v>-10998909</v>
      </c>
      <c r="G69" s="66">
        <v>-10998909</v>
      </c>
      <c r="H69" s="66">
        <v>-10998909</v>
      </c>
    </row>
    <row r="70" spans="1:8">
      <c r="A70" t="s">
        <v>128</v>
      </c>
      <c r="B70" t="s">
        <v>131</v>
      </c>
      <c r="C70" t="s">
        <v>129</v>
      </c>
      <c r="D70" t="s">
        <v>235</v>
      </c>
      <c r="E70" s="66">
        <v>-3600000</v>
      </c>
      <c r="F70" s="66">
        <v>-4800000</v>
      </c>
      <c r="G70" s="66">
        <v>-4800000</v>
      </c>
      <c r="H70" s="66">
        <v>-4800000</v>
      </c>
    </row>
    <row r="71" spans="1:8">
      <c r="A71" t="s">
        <v>128</v>
      </c>
      <c r="B71" t="s">
        <v>131</v>
      </c>
      <c r="C71" t="s">
        <v>129</v>
      </c>
      <c r="D71" t="s">
        <v>236</v>
      </c>
      <c r="E71" s="66">
        <v>-7412979.75</v>
      </c>
      <c r="F71" s="66">
        <v>-9377098.8999999985</v>
      </c>
      <c r="G71" s="66">
        <v>-9377098.8999999985</v>
      </c>
      <c r="H71" s="66">
        <v>-9377098.8999999985</v>
      </c>
    </row>
    <row r="72" spans="1:8">
      <c r="A72" t="s">
        <v>128</v>
      </c>
      <c r="B72" t="s">
        <v>131</v>
      </c>
      <c r="C72" t="s">
        <v>129</v>
      </c>
      <c r="D72" t="s">
        <v>238</v>
      </c>
      <c r="E72" s="66">
        <v>-4314500</v>
      </c>
      <c r="F72" s="66">
        <v>-4490000</v>
      </c>
      <c r="G72" s="66">
        <v>-4482500</v>
      </c>
      <c r="H72" s="66">
        <v>-4490000</v>
      </c>
    </row>
    <row r="73" spans="1:8">
      <c r="A73" t="s">
        <v>128</v>
      </c>
      <c r="B73" t="s">
        <v>131</v>
      </c>
      <c r="C73" t="s">
        <v>129</v>
      </c>
      <c r="D73" t="s">
        <v>131</v>
      </c>
      <c r="E73" s="66">
        <v>-327600</v>
      </c>
      <c r="F73" s="66">
        <v>-327600</v>
      </c>
      <c r="G73" s="66">
        <v>-327600</v>
      </c>
      <c r="H73" s="66">
        <v>-327600</v>
      </c>
    </row>
    <row r="74" spans="1:8">
      <c r="A74" t="s">
        <v>128</v>
      </c>
      <c r="B74" t="s">
        <v>131</v>
      </c>
      <c r="C74" t="s">
        <v>129</v>
      </c>
      <c r="D74" t="s">
        <v>131</v>
      </c>
      <c r="E74" s="66">
        <v>-610000</v>
      </c>
      <c r="F74" s="66">
        <v>-864900</v>
      </c>
      <c r="G74" s="66">
        <v>-882400</v>
      </c>
      <c r="H74" s="66">
        <v>-882400</v>
      </c>
    </row>
    <row r="75" spans="1:8">
      <c r="A75" t="s">
        <v>128</v>
      </c>
      <c r="B75" t="s">
        <v>132</v>
      </c>
      <c r="C75" t="s">
        <v>133</v>
      </c>
      <c r="D75" t="s">
        <v>322</v>
      </c>
      <c r="E75" s="66">
        <v>-18000000</v>
      </c>
      <c r="F75" s="66">
        <v>0</v>
      </c>
      <c r="G75" s="66">
        <v>0</v>
      </c>
      <c r="H75" s="66">
        <v>0</v>
      </c>
    </row>
    <row r="76" spans="1:8">
      <c r="A76" t="s">
        <v>128</v>
      </c>
      <c r="B76" t="s">
        <v>132</v>
      </c>
      <c r="C76" t="s">
        <v>133</v>
      </c>
      <c r="D76" t="s">
        <v>267</v>
      </c>
      <c r="E76" s="66">
        <v>-24402366</v>
      </c>
      <c r="F76" s="66">
        <v>-28000000</v>
      </c>
      <c r="G76" s="66">
        <v>-23800000</v>
      </c>
      <c r="H76" s="66">
        <v>-29000000</v>
      </c>
    </row>
    <row r="77" spans="1:8">
      <c r="A77" t="s">
        <v>128</v>
      </c>
      <c r="B77" t="s">
        <v>132</v>
      </c>
      <c r="C77" t="s">
        <v>133</v>
      </c>
      <c r="D77" t="s">
        <v>296</v>
      </c>
      <c r="E77" s="66">
        <v>-7000000</v>
      </c>
      <c r="F77" s="66">
        <v>-11000000</v>
      </c>
      <c r="G77" s="66">
        <v>-14000000</v>
      </c>
      <c r="H77" s="66">
        <v>0</v>
      </c>
    </row>
    <row r="78" spans="1:8">
      <c r="A78" t="s">
        <v>128</v>
      </c>
      <c r="B78" t="s">
        <v>132</v>
      </c>
      <c r="C78" t="s">
        <v>133</v>
      </c>
      <c r="D78" t="s">
        <v>134</v>
      </c>
      <c r="E78" s="66">
        <v>-7000000</v>
      </c>
      <c r="F78" s="66">
        <v>-7000000</v>
      </c>
      <c r="G78" s="66">
        <v>-7000000</v>
      </c>
      <c r="H78" s="66">
        <v>-7000000</v>
      </c>
    </row>
    <row r="79" spans="1:8">
      <c r="A79" t="s">
        <v>128</v>
      </c>
      <c r="B79" t="s">
        <v>132</v>
      </c>
      <c r="C79" t="s">
        <v>133</v>
      </c>
      <c r="D79" t="s">
        <v>268</v>
      </c>
      <c r="E79" s="66">
        <v>-3650000</v>
      </c>
      <c r="F79" s="66">
        <v>-2000000</v>
      </c>
      <c r="G79" s="66">
        <v>-2000000</v>
      </c>
      <c r="H79" s="66">
        <v>-2000000</v>
      </c>
    </row>
    <row r="80" spans="1:8">
      <c r="A80" t="s">
        <v>128</v>
      </c>
      <c r="B80" t="s">
        <v>132</v>
      </c>
      <c r="C80" t="s">
        <v>133</v>
      </c>
      <c r="D80" t="s">
        <v>239</v>
      </c>
      <c r="E80" s="66">
        <v>-3500000</v>
      </c>
      <c r="F80" s="66">
        <v>0</v>
      </c>
      <c r="G80" s="66">
        <v>0</v>
      </c>
      <c r="H80" s="66">
        <v>0</v>
      </c>
    </row>
    <row r="81" spans="1:8">
      <c r="A81" t="s">
        <v>128</v>
      </c>
      <c r="B81" t="s">
        <v>228</v>
      </c>
      <c r="C81" t="s">
        <v>129</v>
      </c>
      <c r="D81" t="s">
        <v>248</v>
      </c>
      <c r="E81" s="66">
        <v>-265975</v>
      </c>
      <c r="F81" s="66">
        <v>0</v>
      </c>
      <c r="G81" s="66">
        <v>0</v>
      </c>
      <c r="H81" s="66">
        <v>0</v>
      </c>
    </row>
    <row r="82" spans="1:8">
      <c r="A82" t="s">
        <v>128</v>
      </c>
      <c r="B82" t="s">
        <v>228</v>
      </c>
      <c r="C82" t="s">
        <v>129</v>
      </c>
      <c r="D82" t="s">
        <v>297</v>
      </c>
      <c r="E82" s="66">
        <v>-200750</v>
      </c>
      <c r="F82" s="66">
        <v>0</v>
      </c>
      <c r="G82" s="66">
        <v>0</v>
      </c>
      <c r="H82" s="66">
        <v>0</v>
      </c>
    </row>
    <row r="83" spans="1:8">
      <c r="A83" t="s">
        <v>128</v>
      </c>
      <c r="B83" t="s">
        <v>228</v>
      </c>
      <c r="C83" t="s">
        <v>129</v>
      </c>
      <c r="D83" t="s">
        <v>298</v>
      </c>
      <c r="E83" s="66">
        <v>-4410930</v>
      </c>
      <c r="F83" s="66">
        <v>-25000</v>
      </c>
      <c r="G83" s="66">
        <v>-250000</v>
      </c>
      <c r="H83" s="66">
        <v>0</v>
      </c>
    </row>
    <row r="84" spans="1:8">
      <c r="A84" t="s">
        <v>128</v>
      </c>
      <c r="B84" t="s">
        <v>228</v>
      </c>
      <c r="C84" t="s">
        <v>129</v>
      </c>
      <c r="D84" t="s">
        <v>298</v>
      </c>
      <c r="E84" s="66">
        <v>-367649</v>
      </c>
      <c r="F84" s="66">
        <v>0</v>
      </c>
      <c r="G84" s="66">
        <v>0</v>
      </c>
      <c r="H84" s="66">
        <v>0</v>
      </c>
    </row>
    <row r="85" spans="1:8">
      <c r="A85" t="s">
        <v>128</v>
      </c>
      <c r="B85" t="s">
        <v>228</v>
      </c>
      <c r="C85" t="s">
        <v>129</v>
      </c>
      <c r="D85" t="s">
        <v>298</v>
      </c>
      <c r="E85" s="66">
        <v>-4196165</v>
      </c>
      <c r="F85" s="66">
        <v>-187408</v>
      </c>
      <c r="G85" s="66">
        <v>-231579</v>
      </c>
      <c r="H85" s="66">
        <v>0</v>
      </c>
    </row>
    <row r="86" spans="1:8">
      <c r="A86" t="s">
        <v>128</v>
      </c>
      <c r="B86" t="s">
        <v>228</v>
      </c>
      <c r="C86" t="s">
        <v>129</v>
      </c>
      <c r="D86" t="s">
        <v>135</v>
      </c>
      <c r="E86" s="66">
        <v>-1072226</v>
      </c>
      <c r="F86" s="66">
        <v>-98446</v>
      </c>
      <c r="G86" s="66">
        <v>0</v>
      </c>
      <c r="H86" s="66">
        <v>0</v>
      </c>
    </row>
    <row r="87" spans="1:8">
      <c r="A87" t="s">
        <v>128</v>
      </c>
      <c r="B87" t="s">
        <v>228</v>
      </c>
      <c r="C87" t="s">
        <v>129</v>
      </c>
      <c r="D87" t="s">
        <v>299</v>
      </c>
      <c r="E87" s="66">
        <v>-1495884</v>
      </c>
      <c r="F87" s="66">
        <v>-326579</v>
      </c>
      <c r="G87" s="66">
        <v>0</v>
      </c>
      <c r="H87" s="66">
        <v>0</v>
      </c>
    </row>
    <row r="88" spans="1:8">
      <c r="A88" t="s">
        <v>128</v>
      </c>
      <c r="B88" t="s">
        <v>228</v>
      </c>
      <c r="C88" t="s">
        <v>129</v>
      </c>
      <c r="D88" t="s">
        <v>297</v>
      </c>
      <c r="E88" s="66">
        <v>-5345184</v>
      </c>
      <c r="F88" s="66">
        <v>-572617</v>
      </c>
      <c r="G88" s="66">
        <v>0</v>
      </c>
      <c r="H88" s="66">
        <v>0</v>
      </c>
    </row>
    <row r="89" spans="1:8">
      <c r="A89" t="s">
        <v>128</v>
      </c>
      <c r="B89" t="s">
        <v>228</v>
      </c>
      <c r="C89" t="s">
        <v>129</v>
      </c>
      <c r="D89" t="s">
        <v>136</v>
      </c>
      <c r="E89" s="66">
        <v>-14272578</v>
      </c>
      <c r="F89" s="66">
        <v>0</v>
      </c>
      <c r="G89" s="66">
        <v>0</v>
      </c>
      <c r="H89" s="66">
        <v>0</v>
      </c>
    </row>
    <row r="90" spans="1:8">
      <c r="A90" t="s">
        <v>128</v>
      </c>
      <c r="B90" t="s">
        <v>228</v>
      </c>
      <c r="C90" t="s">
        <v>129</v>
      </c>
      <c r="D90" t="s">
        <v>137</v>
      </c>
      <c r="E90" s="66">
        <v>-80000</v>
      </c>
      <c r="F90" s="66">
        <v>-20000</v>
      </c>
      <c r="G90" s="66">
        <v>0</v>
      </c>
      <c r="H90" s="66">
        <v>0</v>
      </c>
    </row>
    <row r="91" spans="1:8">
      <c r="A91" t="s">
        <v>128</v>
      </c>
      <c r="B91" t="s">
        <v>228</v>
      </c>
      <c r="C91" t="s">
        <v>129</v>
      </c>
      <c r="D91" t="s">
        <v>300</v>
      </c>
      <c r="E91" s="66">
        <v>-2340113</v>
      </c>
      <c r="F91" s="66">
        <v>0</v>
      </c>
      <c r="G91" s="66">
        <v>0</v>
      </c>
      <c r="H91" s="66">
        <v>0</v>
      </c>
    </row>
    <row r="92" spans="1:8">
      <c r="A92" t="s">
        <v>128</v>
      </c>
      <c r="B92" t="s">
        <v>228</v>
      </c>
      <c r="C92" t="s">
        <v>129</v>
      </c>
      <c r="D92" t="s">
        <v>301</v>
      </c>
      <c r="E92" s="66">
        <v>-5438225</v>
      </c>
      <c r="F92" s="66">
        <v>-400000</v>
      </c>
      <c r="G92" s="66">
        <v>0</v>
      </c>
      <c r="H92" s="66">
        <v>0</v>
      </c>
    </row>
    <row r="93" spans="1:8">
      <c r="A93" t="s">
        <v>128</v>
      </c>
      <c r="B93" t="s">
        <v>228</v>
      </c>
      <c r="C93" t="s">
        <v>129</v>
      </c>
      <c r="D93" t="s">
        <v>302</v>
      </c>
      <c r="E93" s="66">
        <v>-543722</v>
      </c>
      <c r="F93" s="66">
        <v>-123500</v>
      </c>
      <c r="G93" s="66">
        <v>0</v>
      </c>
      <c r="H93" s="66">
        <v>0</v>
      </c>
    </row>
    <row r="94" spans="1:8">
      <c r="A94" t="s">
        <v>128</v>
      </c>
      <c r="B94" t="s">
        <v>228</v>
      </c>
      <c r="C94" t="s">
        <v>129</v>
      </c>
      <c r="D94" t="s">
        <v>303</v>
      </c>
      <c r="E94" s="66">
        <v>-534889</v>
      </c>
      <c r="F94" s="66">
        <v>0</v>
      </c>
      <c r="G94" s="66">
        <v>0</v>
      </c>
      <c r="H94" s="66">
        <v>0</v>
      </c>
    </row>
    <row r="95" spans="1:8">
      <c r="A95" t="s">
        <v>128</v>
      </c>
      <c r="B95" t="s">
        <v>228</v>
      </c>
      <c r="C95" t="s">
        <v>129</v>
      </c>
      <c r="D95" t="s">
        <v>304</v>
      </c>
      <c r="E95" s="66">
        <v>-4788640</v>
      </c>
      <c r="F95" s="66">
        <v>-873571</v>
      </c>
      <c r="G95" s="66">
        <v>-309201</v>
      </c>
      <c r="H95" s="66">
        <v>0</v>
      </c>
    </row>
    <row r="96" spans="1:8">
      <c r="A96" t="s">
        <v>128</v>
      </c>
      <c r="B96" t="s">
        <v>228</v>
      </c>
      <c r="C96" t="s">
        <v>129</v>
      </c>
      <c r="D96" t="s">
        <v>261</v>
      </c>
      <c r="E96" s="66">
        <v>-206070</v>
      </c>
      <c r="F96" s="66">
        <v>0</v>
      </c>
      <c r="G96" s="66">
        <v>0</v>
      </c>
      <c r="H96" s="66">
        <v>0</v>
      </c>
    </row>
    <row r="97" spans="1:8">
      <c r="A97" t="s">
        <v>128</v>
      </c>
      <c r="B97" t="s">
        <v>228</v>
      </c>
      <c r="C97" t="s">
        <v>129</v>
      </c>
      <c r="D97" t="s">
        <v>138</v>
      </c>
      <c r="E97" s="66">
        <v>-1269000</v>
      </c>
      <c r="F97" s="66">
        <v>-3000000</v>
      </c>
      <c r="G97" s="66">
        <v>0</v>
      </c>
      <c r="H97" s="66">
        <v>0</v>
      </c>
    </row>
    <row r="98" spans="1:8">
      <c r="A98" t="s">
        <v>128</v>
      </c>
      <c r="B98" t="s">
        <v>228</v>
      </c>
      <c r="C98" t="s">
        <v>129</v>
      </c>
      <c r="D98" t="s">
        <v>240</v>
      </c>
      <c r="E98" s="66">
        <v>-120000</v>
      </c>
      <c r="F98" s="66">
        <v>-317127</v>
      </c>
      <c r="G98" s="66">
        <v>0</v>
      </c>
      <c r="H98" s="66">
        <v>0</v>
      </c>
    </row>
    <row r="99" spans="1:8">
      <c r="A99" t="s">
        <v>128</v>
      </c>
      <c r="B99" t="s">
        <v>228</v>
      </c>
      <c r="C99" t="s">
        <v>129</v>
      </c>
      <c r="D99" t="s">
        <v>305</v>
      </c>
      <c r="E99" s="66">
        <v>0</v>
      </c>
      <c r="F99" s="66">
        <v>-1100000</v>
      </c>
      <c r="G99" s="66">
        <v>0</v>
      </c>
      <c r="H99" s="66">
        <v>0</v>
      </c>
    </row>
    <row r="100" spans="1:8">
      <c r="A100" t="s">
        <v>128</v>
      </c>
      <c r="B100" t="s">
        <v>228</v>
      </c>
      <c r="C100" t="s">
        <v>129</v>
      </c>
      <c r="D100" t="s">
        <v>306</v>
      </c>
      <c r="E100" s="66">
        <v>-3763141</v>
      </c>
      <c r="F100" s="66">
        <v>0</v>
      </c>
      <c r="G100" s="66">
        <v>0</v>
      </c>
      <c r="H100" s="66">
        <v>0</v>
      </c>
    </row>
    <row r="101" spans="1:8">
      <c r="A101" t="s">
        <v>128</v>
      </c>
      <c r="B101" t="s">
        <v>228</v>
      </c>
      <c r="C101" t="s">
        <v>133</v>
      </c>
      <c r="D101" t="s">
        <v>269</v>
      </c>
      <c r="E101" s="66">
        <v>-555045</v>
      </c>
      <c r="F101" s="66">
        <v>-1665135</v>
      </c>
      <c r="G101" s="66">
        <v>-2775225</v>
      </c>
      <c r="H101" s="66">
        <v>0</v>
      </c>
    </row>
    <row r="102" spans="1:8">
      <c r="A102" t="s">
        <v>128</v>
      </c>
      <c r="B102" t="s">
        <v>228</v>
      </c>
      <c r="C102" t="s">
        <v>133</v>
      </c>
      <c r="D102" t="s">
        <v>270</v>
      </c>
      <c r="E102" s="66">
        <v>-2963382</v>
      </c>
      <c r="F102" s="66">
        <v>-3951176</v>
      </c>
      <c r="G102" s="66">
        <v>-3951176</v>
      </c>
      <c r="H102" s="66">
        <v>-7902352</v>
      </c>
    </row>
    <row r="103" spans="1:8">
      <c r="A103" t="s">
        <v>128</v>
      </c>
      <c r="B103" t="s">
        <v>228</v>
      </c>
      <c r="C103" t="s">
        <v>129</v>
      </c>
      <c r="D103" t="s">
        <v>304</v>
      </c>
      <c r="E103" s="66">
        <v>-6931000</v>
      </c>
      <c r="F103" s="66">
        <v>0</v>
      </c>
      <c r="G103" s="66">
        <v>0</v>
      </c>
      <c r="H103" s="66">
        <v>0</v>
      </c>
    </row>
    <row r="104" spans="1:8">
      <c r="A104" t="s">
        <v>128</v>
      </c>
      <c r="B104" t="s">
        <v>228</v>
      </c>
      <c r="C104" t="s">
        <v>129</v>
      </c>
      <c r="D104" t="s">
        <v>271</v>
      </c>
      <c r="E104" s="66">
        <v>-3375000</v>
      </c>
      <c r="F104" s="66">
        <v>-4500000</v>
      </c>
      <c r="G104" s="66">
        <v>-4500000</v>
      </c>
      <c r="H104" s="66">
        <v>-4500000</v>
      </c>
    </row>
    <row r="105" spans="1:8">
      <c r="A105" t="s">
        <v>128</v>
      </c>
      <c r="B105" t="s">
        <v>228</v>
      </c>
      <c r="C105" t="s">
        <v>129</v>
      </c>
      <c r="D105" t="s">
        <v>304</v>
      </c>
      <c r="E105" s="66">
        <v>-992250</v>
      </c>
      <c r="F105" s="66">
        <v>-330750</v>
      </c>
      <c r="G105" s="66">
        <v>0</v>
      </c>
      <c r="H105" s="66">
        <v>0</v>
      </c>
    </row>
    <row r="106" spans="1:8">
      <c r="A106" t="s">
        <v>128</v>
      </c>
      <c r="B106" t="s">
        <v>228</v>
      </c>
      <c r="C106" t="s">
        <v>129</v>
      </c>
      <c r="D106" t="s">
        <v>307</v>
      </c>
      <c r="E106" s="66">
        <v>-720000</v>
      </c>
      <c r="F106" s="66">
        <v>-960000</v>
      </c>
      <c r="G106" s="66">
        <v>-960000</v>
      </c>
      <c r="H106" s="66">
        <v>-960000</v>
      </c>
    </row>
    <row r="107" spans="1:8">
      <c r="A107" t="s">
        <v>128</v>
      </c>
      <c r="B107" t="s">
        <v>228</v>
      </c>
      <c r="C107" t="s">
        <v>129</v>
      </c>
      <c r="D107" t="s">
        <v>139</v>
      </c>
      <c r="E107" s="66">
        <v>-3672900</v>
      </c>
      <c r="F107" s="66">
        <v>-4897200</v>
      </c>
      <c r="G107" s="66">
        <v>-4897200</v>
      </c>
      <c r="H107" s="66">
        <v>-4897200</v>
      </c>
    </row>
    <row r="108" spans="1:8">
      <c r="A108" t="s">
        <v>128</v>
      </c>
      <c r="B108" t="s">
        <v>228</v>
      </c>
      <c r="C108" t="s">
        <v>129</v>
      </c>
      <c r="D108" t="s">
        <v>140</v>
      </c>
      <c r="E108" s="66">
        <v>-1512000</v>
      </c>
      <c r="F108" s="66">
        <v>-2016000</v>
      </c>
      <c r="G108" s="66">
        <v>-2016000</v>
      </c>
      <c r="H108" s="66">
        <v>-2016000</v>
      </c>
    </row>
    <row r="109" spans="1:8">
      <c r="A109" t="s">
        <v>128</v>
      </c>
      <c r="B109" t="s">
        <v>228</v>
      </c>
      <c r="C109" t="s">
        <v>129</v>
      </c>
      <c r="D109" t="s">
        <v>308</v>
      </c>
      <c r="E109" s="66">
        <v>-10000000</v>
      </c>
      <c r="F109" s="66">
        <v>-35000000</v>
      </c>
      <c r="G109" s="66">
        <v>0</v>
      </c>
      <c r="H109" s="66">
        <v>0</v>
      </c>
    </row>
    <row r="110" spans="1:8">
      <c r="A110" t="s">
        <v>128</v>
      </c>
      <c r="B110" t="s">
        <v>228</v>
      </c>
      <c r="C110" t="s">
        <v>129</v>
      </c>
      <c r="D110" t="s">
        <v>141</v>
      </c>
      <c r="E110" s="66">
        <v>-32486</v>
      </c>
      <c r="F110" s="66">
        <v>0</v>
      </c>
      <c r="G110" s="66">
        <v>0</v>
      </c>
      <c r="H110" s="66">
        <v>0</v>
      </c>
    </row>
    <row r="111" spans="1:8">
      <c r="A111" t="s">
        <v>128</v>
      </c>
      <c r="B111" t="s">
        <v>228</v>
      </c>
      <c r="C111" t="s">
        <v>129</v>
      </c>
      <c r="D111" t="s">
        <v>243</v>
      </c>
      <c r="E111" s="66">
        <v>-165100</v>
      </c>
      <c r="F111" s="66">
        <v>-199099</v>
      </c>
      <c r="G111" s="66">
        <v>0</v>
      </c>
      <c r="H111" s="66">
        <v>0</v>
      </c>
    </row>
    <row r="112" spans="1:8">
      <c r="A112" t="s">
        <v>128</v>
      </c>
      <c r="B112" t="s">
        <v>228</v>
      </c>
      <c r="C112" t="s">
        <v>129</v>
      </c>
      <c r="D112" t="s">
        <v>142</v>
      </c>
      <c r="E112" s="66">
        <v>-325000</v>
      </c>
      <c r="F112" s="66">
        <v>0</v>
      </c>
      <c r="G112" s="66">
        <v>0</v>
      </c>
      <c r="H112" s="66">
        <v>0</v>
      </c>
    </row>
    <row r="113" spans="1:8">
      <c r="A113" t="s">
        <v>128</v>
      </c>
      <c r="B113" t="s">
        <v>228</v>
      </c>
      <c r="C113" t="s">
        <v>129</v>
      </c>
      <c r="D113" t="s">
        <v>244</v>
      </c>
      <c r="E113" s="66">
        <v>-1000000</v>
      </c>
      <c r="F113" s="66">
        <v>0</v>
      </c>
      <c r="G113" s="66">
        <v>0</v>
      </c>
      <c r="H113" s="66">
        <v>0</v>
      </c>
    </row>
    <row r="114" spans="1:8">
      <c r="A114" t="s">
        <v>128</v>
      </c>
      <c r="B114" t="s">
        <v>228</v>
      </c>
      <c r="C114" t="s">
        <v>129</v>
      </c>
      <c r="D114" t="s">
        <v>309</v>
      </c>
      <c r="E114" s="66">
        <v>-122000</v>
      </c>
      <c r="F114" s="66">
        <v>0</v>
      </c>
      <c r="G114" s="66">
        <v>0</v>
      </c>
      <c r="H114" s="66">
        <v>0</v>
      </c>
    </row>
    <row r="115" spans="1:8">
      <c r="A115" t="s">
        <v>128</v>
      </c>
      <c r="B115" t="s">
        <v>143</v>
      </c>
      <c r="C115" t="s">
        <v>144</v>
      </c>
      <c r="D115" t="s">
        <v>241</v>
      </c>
      <c r="E115" s="66">
        <v>0</v>
      </c>
      <c r="F115" s="66">
        <v>-28000000</v>
      </c>
      <c r="G115" s="66">
        <v>-28000000</v>
      </c>
      <c r="H115" s="66">
        <v>-30000000</v>
      </c>
    </row>
    <row r="116" spans="1:8">
      <c r="A116" t="s">
        <v>128</v>
      </c>
      <c r="B116" t="s">
        <v>143</v>
      </c>
      <c r="C116" t="s">
        <v>144</v>
      </c>
      <c r="D116" t="s">
        <v>237</v>
      </c>
      <c r="E116" s="66">
        <v>0</v>
      </c>
      <c r="F116" s="66">
        <v>-50000000</v>
      </c>
      <c r="G116" s="66">
        <v>0</v>
      </c>
      <c r="H116" s="66">
        <v>0</v>
      </c>
    </row>
    <row r="117" spans="1:8">
      <c r="A117" t="s">
        <v>128</v>
      </c>
      <c r="B117" t="s">
        <v>143</v>
      </c>
      <c r="C117" t="s">
        <v>144</v>
      </c>
      <c r="D117" t="s">
        <v>310</v>
      </c>
      <c r="E117" s="66">
        <v>-10837500</v>
      </c>
      <c r="F117" s="66">
        <v>-13250000</v>
      </c>
      <c r="G117" s="66">
        <v>-12000000</v>
      </c>
      <c r="H117" s="66">
        <v>-10650000</v>
      </c>
    </row>
    <row r="118" spans="1:8">
      <c r="A118" t="s">
        <v>128</v>
      </c>
      <c r="B118" t="s">
        <v>143</v>
      </c>
      <c r="C118" t="s">
        <v>144</v>
      </c>
      <c r="D118" t="s">
        <v>145</v>
      </c>
      <c r="E118" s="66">
        <v>-1500000</v>
      </c>
      <c r="F118" s="66">
        <v>0</v>
      </c>
      <c r="G118" s="66">
        <v>0</v>
      </c>
      <c r="H118" s="66">
        <v>0</v>
      </c>
    </row>
    <row r="119" spans="1:8">
      <c r="A119" t="s">
        <v>128</v>
      </c>
      <c r="B119" t="s">
        <v>143</v>
      </c>
      <c r="C119" t="s">
        <v>144</v>
      </c>
      <c r="D119" t="s">
        <v>252</v>
      </c>
      <c r="E119" s="66">
        <v>-58323413</v>
      </c>
      <c r="F119" s="66">
        <v>0</v>
      </c>
      <c r="G119" s="66">
        <v>0</v>
      </c>
      <c r="H119" s="66">
        <v>0</v>
      </c>
    </row>
    <row r="120" spans="1:8">
      <c r="A120" t="s">
        <v>128</v>
      </c>
      <c r="B120" t="s">
        <v>143</v>
      </c>
      <c r="C120" t="s">
        <v>144</v>
      </c>
      <c r="D120" t="s">
        <v>253</v>
      </c>
      <c r="E120" s="66">
        <v>-1245033</v>
      </c>
      <c r="F120" s="66">
        <v>0</v>
      </c>
      <c r="G120" s="66">
        <v>0</v>
      </c>
      <c r="H120" s="66">
        <v>0</v>
      </c>
    </row>
    <row r="121" spans="1:8">
      <c r="A121" t="s">
        <v>128</v>
      </c>
      <c r="B121" t="s">
        <v>143</v>
      </c>
      <c r="C121" t="s">
        <v>144</v>
      </c>
      <c r="D121" t="s">
        <v>311</v>
      </c>
      <c r="E121" s="66">
        <v>0</v>
      </c>
      <c r="F121" s="66">
        <v>-2721000</v>
      </c>
      <c r="G121" s="66">
        <v>-3384673</v>
      </c>
      <c r="H121" s="66">
        <v>0</v>
      </c>
    </row>
    <row r="122" spans="1:8">
      <c r="A122" t="s">
        <v>128</v>
      </c>
      <c r="B122" t="s">
        <v>143</v>
      </c>
      <c r="C122" t="s">
        <v>144</v>
      </c>
      <c r="D122" t="s">
        <v>311</v>
      </c>
      <c r="E122" s="66">
        <v>-2659342</v>
      </c>
      <c r="F122" s="66">
        <v>-3465184</v>
      </c>
      <c r="G122" s="66">
        <v>0</v>
      </c>
      <c r="H122" s="66">
        <v>0</v>
      </c>
    </row>
    <row r="123" spans="1:8">
      <c r="A123" t="s">
        <v>128</v>
      </c>
      <c r="B123" t="s">
        <v>143</v>
      </c>
      <c r="C123" t="s">
        <v>144</v>
      </c>
      <c r="D123" t="s">
        <v>312</v>
      </c>
      <c r="E123" s="66">
        <v>0</v>
      </c>
      <c r="F123" s="66">
        <v>-261350</v>
      </c>
      <c r="G123" s="66">
        <v>-261350</v>
      </c>
      <c r="H123" s="66">
        <v>-261350</v>
      </c>
    </row>
    <row r="124" spans="1:8">
      <c r="A124" t="s">
        <v>128</v>
      </c>
      <c r="B124" t="s">
        <v>143</v>
      </c>
      <c r="C124" t="s">
        <v>144</v>
      </c>
      <c r="D124" t="s">
        <v>312</v>
      </c>
      <c r="E124" s="66">
        <v>-130440</v>
      </c>
      <c r="F124" s="66">
        <v>-130440</v>
      </c>
      <c r="G124" s="66">
        <v>-130440</v>
      </c>
      <c r="H124" s="66">
        <v>-130440</v>
      </c>
    </row>
    <row r="125" spans="1:8">
      <c r="A125" t="s">
        <v>128</v>
      </c>
      <c r="B125" t="s">
        <v>143</v>
      </c>
      <c r="C125" t="s">
        <v>144</v>
      </c>
      <c r="D125" t="s">
        <v>146</v>
      </c>
      <c r="E125" s="66">
        <v>-122684</v>
      </c>
      <c r="F125" s="66">
        <v>-122684</v>
      </c>
      <c r="G125" s="66">
        <v>-122684</v>
      </c>
      <c r="H125" s="66">
        <v>-122684</v>
      </c>
    </row>
    <row r="126" spans="1:8">
      <c r="A126" t="s">
        <v>128</v>
      </c>
      <c r="B126" t="s">
        <v>143</v>
      </c>
      <c r="C126" t="s">
        <v>144</v>
      </c>
      <c r="D126" t="s">
        <v>313</v>
      </c>
      <c r="E126" s="66">
        <v>-1491400</v>
      </c>
      <c r="F126" s="66">
        <v>-1491400</v>
      </c>
      <c r="G126" s="66">
        <v>-1491400</v>
      </c>
      <c r="H126" s="66">
        <v>-1491400</v>
      </c>
    </row>
    <row r="127" spans="1:8">
      <c r="A127" t="s">
        <v>128</v>
      </c>
      <c r="B127" t="s">
        <v>143</v>
      </c>
      <c r="C127" t="s">
        <v>144</v>
      </c>
      <c r="D127" t="s">
        <v>313</v>
      </c>
      <c r="E127" s="66">
        <v>-6720000</v>
      </c>
      <c r="F127" s="66">
        <v>-6720000</v>
      </c>
      <c r="G127" s="66">
        <v>-6720000</v>
      </c>
      <c r="H127" s="66">
        <v>-6720000</v>
      </c>
    </row>
    <row r="128" spans="1:8">
      <c r="A128" t="s">
        <v>128</v>
      </c>
      <c r="B128" t="s">
        <v>143</v>
      </c>
      <c r="C128" t="s">
        <v>144</v>
      </c>
      <c r="D128" t="s">
        <v>311</v>
      </c>
      <c r="E128" s="66">
        <v>-2679999.9900000002</v>
      </c>
      <c r="F128" s="66">
        <v>-3500000</v>
      </c>
      <c r="G128" s="66">
        <v>-3400000</v>
      </c>
      <c r="H128" s="66">
        <v>-3300000</v>
      </c>
    </row>
    <row r="129" spans="1:8">
      <c r="A129" t="s">
        <v>128</v>
      </c>
      <c r="B129" t="s">
        <v>143</v>
      </c>
      <c r="C129" t="s">
        <v>144</v>
      </c>
      <c r="D129" t="s">
        <v>314</v>
      </c>
      <c r="E129" s="66">
        <v>0</v>
      </c>
      <c r="F129" s="66">
        <v>0</v>
      </c>
      <c r="G129" s="66">
        <v>-2921625</v>
      </c>
      <c r="H129" s="66">
        <v>-2921625</v>
      </c>
    </row>
    <row r="130" spans="1:8">
      <c r="A130" t="s">
        <v>128</v>
      </c>
      <c r="B130" t="s">
        <v>143</v>
      </c>
      <c r="C130" t="s">
        <v>144</v>
      </c>
      <c r="D130" t="s">
        <v>313</v>
      </c>
      <c r="E130" s="66">
        <v>-52253334</v>
      </c>
      <c r="F130" s="66">
        <v>-52253334</v>
      </c>
      <c r="G130" s="66">
        <v>-52253334</v>
      </c>
      <c r="H130" s="66">
        <v>-52253334</v>
      </c>
    </row>
    <row r="131" spans="1:8">
      <c r="A131" t="s">
        <v>128</v>
      </c>
      <c r="B131" t="s">
        <v>143</v>
      </c>
      <c r="C131" t="s">
        <v>144</v>
      </c>
      <c r="D131" t="s">
        <v>262</v>
      </c>
      <c r="E131" s="66">
        <v>-3698052</v>
      </c>
      <c r="F131" s="66">
        <v>-6521071</v>
      </c>
      <c r="G131" s="66">
        <v>-6331071</v>
      </c>
      <c r="H131" s="66">
        <v>-6141071</v>
      </c>
    </row>
    <row r="132" spans="1:8">
      <c r="A132" t="s">
        <v>128</v>
      </c>
      <c r="B132" t="s">
        <v>143</v>
      </c>
      <c r="C132" t="s">
        <v>144</v>
      </c>
      <c r="D132" t="s">
        <v>43</v>
      </c>
      <c r="E132" s="66">
        <v>-54706346</v>
      </c>
      <c r="F132" s="66">
        <v>-62180873</v>
      </c>
      <c r="G132" s="66">
        <v>-73715131</v>
      </c>
      <c r="H132" s="66">
        <v>-75294647</v>
      </c>
    </row>
    <row r="133" spans="1:8">
      <c r="A133" t="s">
        <v>128</v>
      </c>
      <c r="B133" t="s">
        <v>143</v>
      </c>
      <c r="C133" t="s">
        <v>144</v>
      </c>
      <c r="D133" t="s">
        <v>313</v>
      </c>
      <c r="E133" s="66">
        <v>-5561028</v>
      </c>
      <c r="F133" s="66">
        <v>-7302902</v>
      </c>
      <c r="G133" s="66">
        <v>-7166687</v>
      </c>
      <c r="H133" s="66">
        <v>-7036630</v>
      </c>
    </row>
    <row r="134" spans="1:8">
      <c r="A134" t="s">
        <v>128</v>
      </c>
      <c r="B134" t="s">
        <v>143</v>
      </c>
      <c r="C134" t="s">
        <v>144</v>
      </c>
      <c r="D134" t="s">
        <v>254</v>
      </c>
      <c r="E134" s="66">
        <v>-30000000</v>
      </c>
      <c r="F134" s="66">
        <v>-30000000</v>
      </c>
      <c r="G134" s="66">
        <v>-30000000</v>
      </c>
      <c r="H134" s="66">
        <v>-30000000</v>
      </c>
    </row>
    <row r="135" spans="1:8">
      <c r="A135" t="s">
        <v>128</v>
      </c>
      <c r="B135" t="s">
        <v>147</v>
      </c>
      <c r="C135" t="s">
        <v>129</v>
      </c>
      <c r="D135" t="s">
        <v>255</v>
      </c>
      <c r="E135" s="66">
        <v>-93047.055200000003</v>
      </c>
      <c r="F135" s="66">
        <v>-20900</v>
      </c>
      <c r="G135" s="66">
        <v>-20900</v>
      </c>
      <c r="H135" s="66">
        <v>-20900</v>
      </c>
    </row>
    <row r="136" spans="1:8">
      <c r="A136" t="s">
        <v>128</v>
      </c>
      <c r="B136" t="s">
        <v>147</v>
      </c>
      <c r="C136" t="s">
        <v>129</v>
      </c>
      <c r="D136" t="s">
        <v>148</v>
      </c>
      <c r="E136" s="66">
        <v>-9000</v>
      </c>
      <c r="F136" s="66">
        <v>-12000</v>
      </c>
      <c r="G136" s="66">
        <v>-12000</v>
      </c>
      <c r="H136" s="66">
        <v>-12000</v>
      </c>
    </row>
    <row r="137" spans="1:8">
      <c r="A137" t="s">
        <v>128</v>
      </c>
      <c r="B137" t="s">
        <v>147</v>
      </c>
      <c r="C137" t="s">
        <v>129</v>
      </c>
      <c r="D137" t="s">
        <v>149</v>
      </c>
      <c r="E137" s="66">
        <v>-60000</v>
      </c>
      <c r="F137" s="66">
        <v>-90000</v>
      </c>
      <c r="G137" s="66">
        <v>-90000</v>
      </c>
      <c r="H137" s="66">
        <v>-90000</v>
      </c>
    </row>
    <row r="138" spans="1:8">
      <c r="A138" t="s">
        <v>128</v>
      </c>
      <c r="B138" t="s">
        <v>147</v>
      </c>
      <c r="C138" t="s">
        <v>129</v>
      </c>
      <c r="D138" t="s">
        <v>150</v>
      </c>
      <c r="E138" s="66">
        <v>-4500</v>
      </c>
      <c r="F138" s="66">
        <v>-6000</v>
      </c>
      <c r="G138" s="66">
        <v>-6000</v>
      </c>
      <c r="H138" s="66">
        <v>-6000</v>
      </c>
    </row>
    <row r="139" spans="1:8">
      <c r="A139" t="s">
        <v>128</v>
      </c>
      <c r="B139" t="s">
        <v>147</v>
      </c>
      <c r="C139" t="s">
        <v>129</v>
      </c>
      <c r="D139" t="s">
        <v>151</v>
      </c>
      <c r="E139" s="66">
        <v>-1800</v>
      </c>
      <c r="F139" s="66">
        <v>-2400</v>
      </c>
      <c r="G139" s="66">
        <v>-2400</v>
      </c>
      <c r="H139" s="66">
        <v>-2400</v>
      </c>
    </row>
    <row r="140" spans="1:8">
      <c r="A140" t="s">
        <v>128</v>
      </c>
      <c r="B140" t="s">
        <v>147</v>
      </c>
      <c r="C140" t="s">
        <v>129</v>
      </c>
      <c r="D140" t="s">
        <v>152</v>
      </c>
      <c r="E140" s="66">
        <v>-45000</v>
      </c>
      <c r="F140" s="66">
        <v>-60000</v>
      </c>
      <c r="G140" s="66">
        <v>-60000</v>
      </c>
      <c r="H140" s="66">
        <v>-60000</v>
      </c>
    </row>
    <row r="141" spans="1:8">
      <c r="A141" t="s">
        <v>128</v>
      </c>
      <c r="B141" t="s">
        <v>147</v>
      </c>
      <c r="C141" t="s">
        <v>129</v>
      </c>
      <c r="D141" t="s">
        <v>153</v>
      </c>
      <c r="E141" s="66">
        <v>-4500</v>
      </c>
      <c r="F141" s="66">
        <v>-6000</v>
      </c>
      <c r="G141" s="66">
        <v>-6000</v>
      </c>
      <c r="H141" s="66">
        <v>-6000</v>
      </c>
    </row>
    <row r="142" spans="1:8">
      <c r="A142" t="s">
        <v>128</v>
      </c>
      <c r="B142" t="s">
        <v>147</v>
      </c>
      <c r="C142" t="s">
        <v>129</v>
      </c>
      <c r="D142" t="s">
        <v>154</v>
      </c>
      <c r="E142" s="66">
        <v>-174000</v>
      </c>
      <c r="F142" s="66">
        <v>-189000</v>
      </c>
      <c r="G142" s="66">
        <v>-189000</v>
      </c>
      <c r="H142" s="66">
        <v>-189000</v>
      </c>
    </row>
    <row r="143" spans="1:8">
      <c r="A143" t="s">
        <v>128</v>
      </c>
      <c r="B143" t="s">
        <v>147</v>
      </c>
      <c r="C143" t="s">
        <v>129</v>
      </c>
      <c r="D143" t="s">
        <v>155</v>
      </c>
      <c r="E143" s="66">
        <v>-9000</v>
      </c>
      <c r="F143" s="66">
        <v>-12000</v>
      </c>
      <c r="G143" s="66">
        <v>-12000</v>
      </c>
      <c r="H143" s="66">
        <v>-12000</v>
      </c>
    </row>
    <row r="144" spans="1:8">
      <c r="A144" t="s">
        <v>128</v>
      </c>
      <c r="B144" t="s">
        <v>147</v>
      </c>
      <c r="C144" t="s">
        <v>129</v>
      </c>
      <c r="D144" t="s">
        <v>156</v>
      </c>
      <c r="E144" s="66">
        <v>-2250</v>
      </c>
      <c r="F144" s="66">
        <v>-3000</v>
      </c>
      <c r="G144" s="66">
        <v>-3000</v>
      </c>
      <c r="H144" s="66">
        <v>-3000</v>
      </c>
    </row>
    <row r="145" spans="1:8">
      <c r="A145" t="s">
        <v>128</v>
      </c>
      <c r="B145" t="s">
        <v>147</v>
      </c>
      <c r="C145" t="s">
        <v>129</v>
      </c>
      <c r="D145" t="s">
        <v>157</v>
      </c>
      <c r="E145" s="66">
        <v>-4500</v>
      </c>
      <c r="F145" s="66">
        <v>-6000</v>
      </c>
      <c r="G145" s="66">
        <v>-6000</v>
      </c>
      <c r="H145" s="66">
        <v>-6000</v>
      </c>
    </row>
    <row r="146" spans="1:8">
      <c r="A146" t="s">
        <v>128</v>
      </c>
      <c r="B146" t="s">
        <v>147</v>
      </c>
      <c r="C146" t="s">
        <v>129</v>
      </c>
      <c r="D146" t="s">
        <v>158</v>
      </c>
      <c r="E146" s="66">
        <v>-4500</v>
      </c>
      <c r="F146" s="66">
        <v>-6000</v>
      </c>
      <c r="G146" s="66">
        <v>-6000</v>
      </c>
      <c r="H146" s="66">
        <v>-6000</v>
      </c>
    </row>
    <row r="147" spans="1:8">
      <c r="A147" t="s">
        <v>128</v>
      </c>
      <c r="B147" t="s">
        <v>147</v>
      </c>
      <c r="C147" t="s">
        <v>129</v>
      </c>
      <c r="D147" t="s">
        <v>280</v>
      </c>
      <c r="E147" s="66">
        <v>-40671</v>
      </c>
      <c r="F147" s="66">
        <v>-45000</v>
      </c>
      <c r="G147" s="66">
        <v>-45000</v>
      </c>
      <c r="H147" s="66">
        <v>-45000</v>
      </c>
    </row>
    <row r="148" spans="1:8">
      <c r="A148" t="s">
        <v>128</v>
      </c>
      <c r="B148" t="s">
        <v>147</v>
      </c>
      <c r="C148" t="s">
        <v>129</v>
      </c>
      <c r="D148" t="s">
        <v>159</v>
      </c>
      <c r="E148" s="66">
        <v>-673740</v>
      </c>
      <c r="F148" s="66">
        <v>-696375</v>
      </c>
      <c r="G148" s="66">
        <v>-701375</v>
      </c>
      <c r="H148" s="66">
        <v>-731375</v>
      </c>
    </row>
    <row r="149" spans="1:8">
      <c r="A149" t="s">
        <v>128</v>
      </c>
      <c r="B149" t="s">
        <v>147</v>
      </c>
      <c r="C149" t="s">
        <v>129</v>
      </c>
      <c r="D149" t="s">
        <v>160</v>
      </c>
      <c r="E149" s="66">
        <v>-425000</v>
      </c>
      <c r="F149" s="66">
        <v>-385000</v>
      </c>
      <c r="G149" s="66">
        <v>-350000</v>
      </c>
      <c r="H149" s="66">
        <v>-385000</v>
      </c>
    </row>
    <row r="150" spans="1:8">
      <c r="A150" t="s">
        <v>128</v>
      </c>
      <c r="B150" t="s">
        <v>147</v>
      </c>
      <c r="C150" t="s">
        <v>129</v>
      </c>
      <c r="D150" t="s">
        <v>161</v>
      </c>
      <c r="E150" s="66">
        <v>-124000</v>
      </c>
      <c r="F150" s="66">
        <v>-119500</v>
      </c>
      <c r="G150" s="66">
        <v>-119500</v>
      </c>
      <c r="H150" s="66">
        <v>-119500</v>
      </c>
    </row>
    <row r="151" spans="1:8">
      <c r="A151" t="s">
        <v>128</v>
      </c>
      <c r="B151" t="s">
        <v>147</v>
      </c>
      <c r="C151" t="s">
        <v>129</v>
      </c>
      <c r="D151" t="s">
        <v>162</v>
      </c>
      <c r="E151" s="66">
        <v>-94000</v>
      </c>
      <c r="F151" s="66">
        <v>-87000</v>
      </c>
      <c r="G151" s="66">
        <v>-87000</v>
      </c>
      <c r="H151" s="66">
        <v>-86000</v>
      </c>
    </row>
    <row r="152" spans="1:8">
      <c r="A152" t="s">
        <v>128</v>
      </c>
      <c r="B152" t="s">
        <v>147</v>
      </c>
      <c r="C152" t="s">
        <v>129</v>
      </c>
      <c r="D152" t="s">
        <v>163</v>
      </c>
      <c r="E152" s="66">
        <v>-220000</v>
      </c>
      <c r="F152" s="66">
        <v>-190000</v>
      </c>
      <c r="G152" s="66">
        <v>-180000</v>
      </c>
      <c r="H152" s="66">
        <v>-195000</v>
      </c>
    </row>
    <row r="153" spans="1:8">
      <c r="A153" t="s">
        <v>128</v>
      </c>
      <c r="B153" t="s">
        <v>147</v>
      </c>
      <c r="C153" t="s">
        <v>129</v>
      </c>
      <c r="D153" t="s">
        <v>164</v>
      </c>
      <c r="E153" s="66">
        <v>-76000</v>
      </c>
      <c r="F153" s="66">
        <v>-78500</v>
      </c>
      <c r="G153" s="66">
        <v>-73500</v>
      </c>
      <c r="H153" s="66">
        <v>-73500</v>
      </c>
    </row>
    <row r="154" spans="1:8">
      <c r="A154" t="s">
        <v>128</v>
      </c>
      <c r="B154" t="s">
        <v>147</v>
      </c>
      <c r="C154" t="s">
        <v>129</v>
      </c>
      <c r="D154" t="s">
        <v>165</v>
      </c>
      <c r="E154" s="66">
        <v>-82000</v>
      </c>
      <c r="F154" s="66">
        <v>-73000</v>
      </c>
      <c r="G154" s="66">
        <v>-85500</v>
      </c>
      <c r="H154" s="66">
        <v>-82000</v>
      </c>
    </row>
    <row r="155" spans="1:8">
      <c r="A155" t="s">
        <v>128</v>
      </c>
      <c r="B155" t="s">
        <v>147</v>
      </c>
      <c r="C155" t="s">
        <v>129</v>
      </c>
      <c r="D155" t="s">
        <v>166</v>
      </c>
      <c r="E155" s="66">
        <v>-50000</v>
      </c>
      <c r="F155" s="66">
        <v>-40000</v>
      </c>
      <c r="G155" s="66">
        <v>-45000</v>
      </c>
      <c r="H155" s="66">
        <v>-40000</v>
      </c>
    </row>
    <row r="156" spans="1:8">
      <c r="A156" t="s">
        <v>128</v>
      </c>
      <c r="B156" t="s">
        <v>147</v>
      </c>
      <c r="C156" t="s">
        <v>129</v>
      </c>
      <c r="D156" t="s">
        <v>167</v>
      </c>
      <c r="E156" s="66">
        <v>-49500</v>
      </c>
      <c r="F156" s="66">
        <v>-34500</v>
      </c>
      <c r="G156" s="66">
        <v>-46000</v>
      </c>
      <c r="H156" s="66">
        <v>-34500</v>
      </c>
    </row>
    <row r="157" spans="1:8">
      <c r="A157" t="s">
        <v>128</v>
      </c>
      <c r="B157" t="s">
        <v>147</v>
      </c>
      <c r="C157" t="s">
        <v>129</v>
      </c>
      <c r="D157" t="s">
        <v>168</v>
      </c>
      <c r="E157" s="66">
        <v>-24000</v>
      </c>
      <c r="F157" s="66">
        <v>-24000</v>
      </c>
      <c r="G157" s="66">
        <v>-24000</v>
      </c>
      <c r="H157" s="66">
        <v>-24000</v>
      </c>
    </row>
    <row r="158" spans="1:8">
      <c r="A158" t="s">
        <v>128</v>
      </c>
      <c r="B158" t="s">
        <v>147</v>
      </c>
      <c r="C158" t="s">
        <v>129</v>
      </c>
      <c r="D158" t="s">
        <v>169</v>
      </c>
      <c r="E158" s="66">
        <v>-700800</v>
      </c>
      <c r="F158" s="66">
        <v>-700800</v>
      </c>
      <c r="G158" s="66">
        <v>-700800</v>
      </c>
      <c r="H158" s="66">
        <v>-700800</v>
      </c>
    </row>
    <row r="159" spans="1:8">
      <c r="A159" t="s">
        <v>128</v>
      </c>
      <c r="B159" t="s">
        <v>147</v>
      </c>
      <c r="C159" t="s">
        <v>129</v>
      </c>
      <c r="D159" t="s">
        <v>273</v>
      </c>
      <c r="E159" s="66">
        <v>-18000</v>
      </c>
      <c r="F159" s="66">
        <v>-18000</v>
      </c>
      <c r="G159" s="66">
        <v>-18000</v>
      </c>
      <c r="H159" s="66">
        <v>-18000</v>
      </c>
    </row>
    <row r="160" spans="1:8">
      <c r="A160" t="s">
        <v>128</v>
      </c>
      <c r="B160" t="s">
        <v>147</v>
      </c>
      <c r="C160" t="s">
        <v>129</v>
      </c>
      <c r="D160" t="s">
        <v>170</v>
      </c>
      <c r="E160" s="66">
        <v>-114000</v>
      </c>
      <c r="F160" s="66">
        <v>-114000</v>
      </c>
      <c r="G160" s="66">
        <v>-114000</v>
      </c>
      <c r="H160" s="66">
        <v>-114000</v>
      </c>
    </row>
    <row r="161" spans="1:8">
      <c r="A161" t="s">
        <v>128</v>
      </c>
      <c r="B161" t="s">
        <v>147</v>
      </c>
      <c r="C161" t="s">
        <v>129</v>
      </c>
      <c r="D161" t="s">
        <v>171</v>
      </c>
      <c r="E161" s="66">
        <v>-744000</v>
      </c>
      <c r="F161" s="66">
        <v>-744000</v>
      </c>
      <c r="G161" s="66">
        <v>-744000</v>
      </c>
      <c r="H161" s="66">
        <v>-744000</v>
      </c>
    </row>
    <row r="162" spans="1:8">
      <c r="A162" t="s">
        <v>128</v>
      </c>
      <c r="B162" t="s">
        <v>147</v>
      </c>
      <c r="C162" t="s">
        <v>129</v>
      </c>
      <c r="D162" t="s">
        <v>172</v>
      </c>
      <c r="E162" s="66">
        <v>-6000</v>
      </c>
      <c r="F162" s="66">
        <v>-6000</v>
      </c>
      <c r="G162" s="66">
        <v>-7000</v>
      </c>
      <c r="H162" s="66">
        <v>-8000</v>
      </c>
    </row>
    <row r="163" spans="1:8">
      <c r="A163" t="s">
        <v>128</v>
      </c>
      <c r="B163" t="s">
        <v>147</v>
      </c>
      <c r="C163" t="s">
        <v>129</v>
      </c>
      <c r="D163" t="s">
        <v>173</v>
      </c>
      <c r="E163" s="66">
        <v>-48000</v>
      </c>
      <c r="F163" s="66">
        <v>-48000</v>
      </c>
      <c r="G163" s="66">
        <v>-54000</v>
      </c>
      <c r="H163" s="66">
        <v>-54000</v>
      </c>
    </row>
    <row r="164" spans="1:8">
      <c r="A164" t="s">
        <v>128</v>
      </c>
      <c r="B164" t="s">
        <v>147</v>
      </c>
      <c r="C164" t="s">
        <v>129</v>
      </c>
      <c r="D164" t="s">
        <v>174</v>
      </c>
      <c r="E164" s="66">
        <v>-324000</v>
      </c>
      <c r="F164" s="66">
        <v>-324000</v>
      </c>
      <c r="G164" s="66">
        <v>-324000</v>
      </c>
      <c r="H164" s="66">
        <v>-324000</v>
      </c>
    </row>
    <row r="165" spans="1:8">
      <c r="A165" t="s">
        <v>128</v>
      </c>
      <c r="B165" t="s">
        <v>147</v>
      </c>
      <c r="C165" t="s">
        <v>129</v>
      </c>
      <c r="D165" t="s">
        <v>175</v>
      </c>
      <c r="E165" s="66">
        <v>-198250</v>
      </c>
      <c r="F165" s="66">
        <v>-198250</v>
      </c>
      <c r="G165" s="66">
        <v>-198250</v>
      </c>
      <c r="H165" s="66">
        <v>-198250</v>
      </c>
    </row>
    <row r="166" spans="1:8">
      <c r="A166" t="s">
        <v>128</v>
      </c>
      <c r="B166" t="s">
        <v>147</v>
      </c>
      <c r="C166" t="s">
        <v>129</v>
      </c>
      <c r="D166" t="s">
        <v>176</v>
      </c>
      <c r="E166" s="66">
        <v>-38774</v>
      </c>
      <c r="F166" s="66">
        <v>-38774</v>
      </c>
      <c r="G166" s="66">
        <v>-38774</v>
      </c>
      <c r="H166" s="66">
        <v>-38774</v>
      </c>
    </row>
    <row r="167" spans="1:8">
      <c r="A167" t="s">
        <v>128</v>
      </c>
      <c r="B167" t="s">
        <v>147</v>
      </c>
      <c r="C167" t="s">
        <v>129</v>
      </c>
      <c r="D167" t="s">
        <v>177</v>
      </c>
      <c r="E167" s="66">
        <v>-500</v>
      </c>
      <c r="F167" s="66">
        <v>-500</v>
      </c>
      <c r="G167" s="66">
        <v>-500</v>
      </c>
      <c r="H167" s="66">
        <v>-500</v>
      </c>
    </row>
    <row r="168" spans="1:8">
      <c r="A168" t="s">
        <v>128</v>
      </c>
      <c r="B168" t="s">
        <v>147</v>
      </c>
      <c r="C168" t="s">
        <v>129</v>
      </c>
      <c r="D168" t="s">
        <v>178</v>
      </c>
      <c r="E168" s="66">
        <v>-102000</v>
      </c>
      <c r="F168" s="66">
        <v>-108000</v>
      </c>
      <c r="G168" s="66">
        <v>-108000</v>
      </c>
      <c r="H168" s="66">
        <v>-108000</v>
      </c>
    </row>
    <row r="169" spans="1:8">
      <c r="A169" t="s">
        <v>128</v>
      </c>
      <c r="B169" t="s">
        <v>147</v>
      </c>
      <c r="C169" t="s">
        <v>129</v>
      </c>
      <c r="D169" t="s">
        <v>179</v>
      </c>
      <c r="E169" s="66">
        <v>-1661</v>
      </c>
      <c r="F169" s="66">
        <v>-1800</v>
      </c>
      <c r="G169" s="66">
        <v>-1800</v>
      </c>
      <c r="H169" s="66">
        <v>-1800</v>
      </c>
    </row>
    <row r="170" spans="1:8">
      <c r="A170" t="s">
        <v>128</v>
      </c>
      <c r="B170" t="s">
        <v>147</v>
      </c>
      <c r="C170" t="s">
        <v>129</v>
      </c>
      <c r="D170" t="s">
        <v>180</v>
      </c>
      <c r="E170" s="66">
        <v>-3000</v>
      </c>
      <c r="F170" s="66">
        <v>-3000</v>
      </c>
      <c r="G170" s="66">
        <v>-3000</v>
      </c>
      <c r="H170" s="66">
        <v>-3000</v>
      </c>
    </row>
    <row r="171" spans="1:8">
      <c r="A171" t="s">
        <v>128</v>
      </c>
      <c r="B171" t="s">
        <v>147</v>
      </c>
      <c r="C171" t="s">
        <v>129</v>
      </c>
      <c r="D171" t="s">
        <v>181</v>
      </c>
      <c r="E171" s="66">
        <v>-33750</v>
      </c>
      <c r="F171" s="66">
        <v>-33750</v>
      </c>
      <c r="G171" s="66">
        <v>-36000</v>
      </c>
      <c r="H171" s="66">
        <v>-36000</v>
      </c>
    </row>
    <row r="172" spans="1:8">
      <c r="A172" t="s">
        <v>128</v>
      </c>
      <c r="B172" t="s">
        <v>147</v>
      </c>
      <c r="C172" t="s">
        <v>129</v>
      </c>
      <c r="D172" t="s">
        <v>182</v>
      </c>
      <c r="E172" s="66">
        <v>-405</v>
      </c>
      <c r="F172" s="66">
        <v>-405</v>
      </c>
      <c r="G172" s="66">
        <v>-405</v>
      </c>
      <c r="H172" s="66">
        <v>-405</v>
      </c>
    </row>
    <row r="173" spans="1:8">
      <c r="A173" t="s">
        <v>128</v>
      </c>
      <c r="B173" t="s">
        <v>147</v>
      </c>
      <c r="C173" t="s">
        <v>129</v>
      </c>
      <c r="D173" t="s">
        <v>183</v>
      </c>
      <c r="E173" s="66">
        <v>-4700</v>
      </c>
      <c r="F173" s="66">
        <v>-5000</v>
      </c>
      <c r="G173" s="66">
        <v>-5000</v>
      </c>
      <c r="H173" s="66">
        <v>-5000</v>
      </c>
    </row>
    <row r="174" spans="1:8">
      <c r="A174" t="s">
        <v>128</v>
      </c>
      <c r="B174" t="s">
        <v>147</v>
      </c>
      <c r="C174" t="s">
        <v>129</v>
      </c>
      <c r="D174" t="s">
        <v>184</v>
      </c>
      <c r="E174" s="66">
        <v>-9000</v>
      </c>
      <c r="F174" s="66">
        <v>-9000</v>
      </c>
      <c r="G174" s="66">
        <v>-9000</v>
      </c>
      <c r="H174" s="66">
        <v>-12000</v>
      </c>
    </row>
    <row r="175" spans="1:8">
      <c r="A175" t="s">
        <v>128</v>
      </c>
      <c r="B175" t="s">
        <v>147</v>
      </c>
      <c r="C175" t="s">
        <v>129</v>
      </c>
      <c r="D175" t="s">
        <v>185</v>
      </c>
      <c r="E175" s="66">
        <v>-18000</v>
      </c>
      <c r="F175" s="66">
        <v>-18000</v>
      </c>
      <c r="G175" s="66">
        <v>-18000</v>
      </c>
      <c r="H175" s="66">
        <v>-18000</v>
      </c>
    </row>
    <row r="176" spans="1:8">
      <c r="A176" t="s">
        <v>128</v>
      </c>
      <c r="B176" t="s">
        <v>147</v>
      </c>
      <c r="C176" t="s">
        <v>129</v>
      </c>
      <c r="D176" t="s">
        <v>186</v>
      </c>
      <c r="E176" s="66">
        <v>-6350</v>
      </c>
      <c r="F176" s="66">
        <v>-6350</v>
      </c>
      <c r="G176" s="66">
        <v>-6350</v>
      </c>
      <c r="H176" s="66">
        <v>-6350</v>
      </c>
    </row>
    <row r="177" spans="1:8">
      <c r="A177" t="s">
        <v>128</v>
      </c>
      <c r="B177" t="s">
        <v>147</v>
      </c>
      <c r="C177" t="s">
        <v>129</v>
      </c>
      <c r="D177" t="s">
        <v>187</v>
      </c>
      <c r="E177" s="66">
        <v>-41000</v>
      </c>
      <c r="F177" s="66">
        <v>-41500</v>
      </c>
      <c r="G177" s="66">
        <v>-41500</v>
      </c>
      <c r="H177" s="66">
        <v>-41500</v>
      </c>
    </row>
    <row r="178" spans="1:8">
      <c r="A178" t="s">
        <v>128</v>
      </c>
      <c r="B178" t="s">
        <v>147</v>
      </c>
      <c r="C178" t="s">
        <v>129</v>
      </c>
      <c r="D178" t="s">
        <v>188</v>
      </c>
      <c r="E178" s="66">
        <v>-50000</v>
      </c>
      <c r="F178" s="66">
        <v>-50000</v>
      </c>
      <c r="G178" s="66">
        <v>-50000</v>
      </c>
      <c r="H178" s="66">
        <v>-50000</v>
      </c>
    </row>
    <row r="179" spans="1:8">
      <c r="A179" t="s">
        <v>128</v>
      </c>
      <c r="B179" t="s">
        <v>147</v>
      </c>
      <c r="C179" t="s">
        <v>129</v>
      </c>
      <c r="D179" t="s">
        <v>189</v>
      </c>
      <c r="E179" s="66">
        <v>-341991.54000000004</v>
      </c>
      <c r="F179" s="66">
        <v>-586585.82400000002</v>
      </c>
      <c r="G179" s="66">
        <v>-645244.40639999998</v>
      </c>
      <c r="H179" s="66">
        <v>-709768.84704000002</v>
      </c>
    </row>
    <row r="180" spans="1:8">
      <c r="A180" t="s">
        <v>128</v>
      </c>
      <c r="B180" t="s">
        <v>147</v>
      </c>
      <c r="C180" t="s">
        <v>129</v>
      </c>
      <c r="D180" t="s">
        <v>190</v>
      </c>
      <c r="E180" s="66">
        <v>-33750</v>
      </c>
      <c r="F180" s="66">
        <v>-48400</v>
      </c>
      <c r="G180" s="66">
        <v>-53240</v>
      </c>
      <c r="H180" s="66">
        <v>-58564</v>
      </c>
    </row>
    <row r="181" spans="1:8">
      <c r="A181" t="s">
        <v>128</v>
      </c>
      <c r="B181" t="s">
        <v>147</v>
      </c>
      <c r="C181" t="s">
        <v>129</v>
      </c>
      <c r="D181" t="s">
        <v>191</v>
      </c>
      <c r="E181" s="66">
        <v>-5475</v>
      </c>
      <c r="F181" s="66">
        <v>-7669.2</v>
      </c>
      <c r="G181" s="66">
        <v>-8436.119999999999</v>
      </c>
      <c r="H181" s="66">
        <v>-9279.7319999999982</v>
      </c>
    </row>
    <row r="182" spans="1:8">
      <c r="A182" t="s">
        <v>128</v>
      </c>
      <c r="B182" t="s">
        <v>147</v>
      </c>
      <c r="C182" t="s">
        <v>129</v>
      </c>
      <c r="D182" t="s">
        <v>192</v>
      </c>
      <c r="E182" s="66">
        <v>-191560.66874999998</v>
      </c>
      <c r="F182" s="66">
        <v>-286661.43000000005</v>
      </c>
      <c r="G182" s="66">
        <v>-315327.57300000003</v>
      </c>
      <c r="H182" s="66">
        <v>-346860.33030000003</v>
      </c>
    </row>
    <row r="183" spans="1:8">
      <c r="A183" t="s">
        <v>128</v>
      </c>
      <c r="B183" t="s">
        <v>147</v>
      </c>
      <c r="C183" t="s">
        <v>129</v>
      </c>
      <c r="D183" t="s">
        <v>193</v>
      </c>
      <c r="E183" s="66">
        <v>-323338.97475000005</v>
      </c>
      <c r="F183" s="66">
        <v>-485673.2496000001</v>
      </c>
      <c r="G183" s="66">
        <v>-534240.5745600001</v>
      </c>
      <c r="H183" s="66">
        <v>-587664.63201600011</v>
      </c>
    </row>
    <row r="184" spans="1:8">
      <c r="A184" t="s">
        <v>128</v>
      </c>
      <c r="B184" t="s">
        <v>147</v>
      </c>
      <c r="C184" t="s">
        <v>129</v>
      </c>
      <c r="D184" t="s">
        <v>194</v>
      </c>
      <c r="E184" s="66">
        <v>0</v>
      </c>
      <c r="F184" s="66">
        <v>-68143.680000000008</v>
      </c>
      <c r="G184" s="66">
        <v>-74958.04800000001</v>
      </c>
      <c r="H184" s="66">
        <v>-82453.852800000008</v>
      </c>
    </row>
    <row r="185" spans="1:8">
      <c r="A185" t="s">
        <v>128</v>
      </c>
      <c r="B185" t="s">
        <v>147</v>
      </c>
      <c r="C185" t="s">
        <v>129</v>
      </c>
      <c r="D185" t="s">
        <v>195</v>
      </c>
      <c r="E185" s="66">
        <v>-1125000</v>
      </c>
      <c r="F185" s="66">
        <v>-1650000</v>
      </c>
      <c r="G185" s="66">
        <v>-1815000</v>
      </c>
      <c r="H185" s="66">
        <v>-1996500</v>
      </c>
    </row>
    <row r="186" spans="1:8">
      <c r="A186" t="s">
        <v>128</v>
      </c>
      <c r="B186" t="s">
        <v>147</v>
      </c>
      <c r="C186" t="s">
        <v>129</v>
      </c>
      <c r="D186" t="s">
        <v>196</v>
      </c>
      <c r="E186" s="66">
        <v>-82537.95</v>
      </c>
      <c r="F186" s="66">
        <v>-39721.439999999995</v>
      </c>
      <c r="G186" s="66">
        <v>-43693.583999999995</v>
      </c>
      <c r="H186" s="66">
        <v>-48062.942399999993</v>
      </c>
    </row>
    <row r="187" spans="1:8">
      <c r="A187" t="s">
        <v>128</v>
      </c>
      <c r="B187" t="s">
        <v>147</v>
      </c>
      <c r="C187" t="s">
        <v>129</v>
      </c>
      <c r="D187" t="s">
        <v>197</v>
      </c>
      <c r="E187" s="66">
        <v>0</v>
      </c>
      <c r="F187" s="66">
        <v>-440000</v>
      </c>
      <c r="G187" s="66">
        <v>-484000</v>
      </c>
      <c r="H187" s="66">
        <v>-532400</v>
      </c>
    </row>
    <row r="188" spans="1:8">
      <c r="A188" t="s">
        <v>128</v>
      </c>
      <c r="B188" t="s">
        <v>147</v>
      </c>
      <c r="C188" t="s">
        <v>129</v>
      </c>
      <c r="D188" t="s">
        <v>198</v>
      </c>
      <c r="E188" s="66">
        <v>-14850</v>
      </c>
      <c r="F188" s="66">
        <v>-21780</v>
      </c>
      <c r="G188" s="66">
        <v>-23958</v>
      </c>
      <c r="H188" s="66">
        <v>-26353.8</v>
      </c>
    </row>
    <row r="189" spans="1:8">
      <c r="A189" t="s">
        <v>128</v>
      </c>
      <c r="B189" t="s">
        <v>147</v>
      </c>
      <c r="C189" t="s">
        <v>129</v>
      </c>
      <c r="D189" t="s">
        <v>199</v>
      </c>
      <c r="E189" s="66">
        <v>-2187158.2919999999</v>
      </c>
      <c r="F189" s="66">
        <v>-3730967.7108000005</v>
      </c>
      <c r="G189" s="66">
        <v>-4104064.4818800008</v>
      </c>
      <c r="H189" s="66">
        <v>-4514470.9300680012</v>
      </c>
    </row>
    <row r="190" spans="1:8">
      <c r="A190" t="s">
        <v>128</v>
      </c>
      <c r="B190" t="s">
        <v>147</v>
      </c>
      <c r="C190" t="s">
        <v>129</v>
      </c>
      <c r="D190" t="s">
        <v>200</v>
      </c>
      <c r="E190" s="66">
        <v>-450000</v>
      </c>
      <c r="F190" s="66">
        <v>-762294.06</v>
      </c>
      <c r="G190" s="66">
        <v>-838523.46600000001</v>
      </c>
      <c r="H190" s="66">
        <v>-922375.81260000006</v>
      </c>
    </row>
    <row r="191" spans="1:8">
      <c r="A191" t="s">
        <v>128</v>
      </c>
      <c r="B191" t="s">
        <v>147</v>
      </c>
      <c r="C191" t="s">
        <v>129</v>
      </c>
      <c r="D191" t="s">
        <v>278</v>
      </c>
      <c r="E191" s="66">
        <v>0</v>
      </c>
      <c r="F191" s="66">
        <v>-110000</v>
      </c>
      <c r="G191" s="66">
        <v>-121000</v>
      </c>
      <c r="H191" s="66">
        <v>-133100</v>
      </c>
    </row>
    <row r="192" spans="1:8">
      <c r="A192" t="s">
        <v>128</v>
      </c>
      <c r="B192" t="s">
        <v>147</v>
      </c>
      <c r="C192" t="s">
        <v>129</v>
      </c>
      <c r="D192" t="s">
        <v>201</v>
      </c>
      <c r="E192" s="66">
        <v>-406969.2</v>
      </c>
      <c r="F192" s="66">
        <v>-651150.72000000009</v>
      </c>
      <c r="G192" s="66">
        <v>-716265.79200000013</v>
      </c>
      <c r="H192" s="66">
        <v>-787892.37120000017</v>
      </c>
    </row>
    <row r="193" spans="1:8">
      <c r="A193" t="s">
        <v>128</v>
      </c>
      <c r="B193" t="s">
        <v>147</v>
      </c>
      <c r="C193" t="s">
        <v>129</v>
      </c>
      <c r="D193" t="s">
        <v>202</v>
      </c>
      <c r="E193" s="66">
        <v>-388145.18</v>
      </c>
      <c r="F193" s="66">
        <v>0</v>
      </c>
      <c r="G193" s="66">
        <v>0</v>
      </c>
      <c r="H193" s="66">
        <v>0</v>
      </c>
    </row>
    <row r="194" spans="1:8">
      <c r="A194" t="s">
        <v>128</v>
      </c>
      <c r="B194" t="s">
        <v>147</v>
      </c>
      <c r="C194" t="s">
        <v>129</v>
      </c>
      <c r="D194" t="s">
        <v>203</v>
      </c>
      <c r="E194" s="66">
        <v>-130817.56874999999</v>
      </c>
      <c r="F194" s="66">
        <v>-126479.43000000001</v>
      </c>
      <c r="G194" s="66">
        <v>-139127.37300000002</v>
      </c>
      <c r="H194" s="66">
        <v>-153040.11030000003</v>
      </c>
    </row>
    <row r="195" spans="1:8">
      <c r="A195" t="s">
        <v>128</v>
      </c>
      <c r="B195" t="s">
        <v>147</v>
      </c>
      <c r="C195" t="s">
        <v>129</v>
      </c>
      <c r="D195" t="s">
        <v>204</v>
      </c>
      <c r="E195" s="66">
        <v>-209599.5</v>
      </c>
      <c r="F195" s="66">
        <v>-346275.6</v>
      </c>
      <c r="G195" s="66">
        <v>-380903.16</v>
      </c>
      <c r="H195" s="66">
        <v>-418993.47599999997</v>
      </c>
    </row>
    <row r="196" spans="1:8">
      <c r="A196" t="s">
        <v>128</v>
      </c>
      <c r="B196" t="s">
        <v>147</v>
      </c>
      <c r="C196" t="s">
        <v>129</v>
      </c>
      <c r="D196" t="s">
        <v>205</v>
      </c>
      <c r="E196" s="66">
        <v>-421762.5</v>
      </c>
      <c r="F196" s="66">
        <v>-567600</v>
      </c>
      <c r="G196" s="66">
        <v>-624360</v>
      </c>
      <c r="H196" s="66">
        <v>-686796</v>
      </c>
    </row>
    <row r="197" spans="1:8">
      <c r="A197" t="s">
        <v>128</v>
      </c>
      <c r="B197" t="s">
        <v>147</v>
      </c>
      <c r="C197" t="s">
        <v>129</v>
      </c>
      <c r="D197" t="s">
        <v>206</v>
      </c>
      <c r="E197" s="66">
        <v>-1346250</v>
      </c>
      <c r="F197" s="66">
        <v>-2200000</v>
      </c>
      <c r="G197" s="66">
        <v>-2420000</v>
      </c>
      <c r="H197" s="66">
        <v>-2662000</v>
      </c>
    </row>
    <row r="198" spans="1:8">
      <c r="A198" t="s">
        <v>128</v>
      </c>
      <c r="B198" t="s">
        <v>147</v>
      </c>
      <c r="C198" t="s">
        <v>129</v>
      </c>
      <c r="D198" t="s">
        <v>207</v>
      </c>
      <c r="E198" s="66">
        <v>-663117.63374999992</v>
      </c>
      <c r="F198" s="66">
        <v>-959183.97959999996</v>
      </c>
      <c r="G198" s="66">
        <v>-1055102.3775599999</v>
      </c>
      <c r="H198" s="66">
        <v>-1160612.6153159998</v>
      </c>
    </row>
    <row r="199" spans="1:8">
      <c r="A199" t="s">
        <v>128</v>
      </c>
      <c r="B199" t="s">
        <v>147</v>
      </c>
      <c r="C199" t="s">
        <v>129</v>
      </c>
      <c r="D199" t="s">
        <v>208</v>
      </c>
      <c r="E199" s="66">
        <v>-195891.465</v>
      </c>
      <c r="F199" s="66">
        <v>-203107.08</v>
      </c>
      <c r="G199" s="66">
        <v>-223417.788</v>
      </c>
      <c r="H199" s="66">
        <v>-245759.5668</v>
      </c>
    </row>
    <row r="200" spans="1:8">
      <c r="A200" t="s">
        <v>128</v>
      </c>
      <c r="B200" t="s">
        <v>147</v>
      </c>
      <c r="C200" t="s">
        <v>129</v>
      </c>
      <c r="D200" t="s">
        <v>209</v>
      </c>
      <c r="E200" s="66">
        <v>-372415.95750000002</v>
      </c>
      <c r="F200" s="66">
        <v>-519407.46</v>
      </c>
      <c r="G200" s="66">
        <v>-571348.20600000001</v>
      </c>
      <c r="H200" s="66">
        <v>-628483.02659999998</v>
      </c>
    </row>
    <row r="201" spans="1:8">
      <c r="A201" t="s">
        <v>128</v>
      </c>
      <c r="B201" t="s">
        <v>147</v>
      </c>
      <c r="C201" t="s">
        <v>129</v>
      </c>
      <c r="D201" t="s">
        <v>210</v>
      </c>
      <c r="E201" s="66">
        <v>-1725000</v>
      </c>
      <c r="F201" s="66">
        <v>-1100000</v>
      </c>
      <c r="G201" s="66">
        <v>-1210000</v>
      </c>
      <c r="H201" s="66">
        <v>-1331000</v>
      </c>
    </row>
    <row r="202" spans="1:8">
      <c r="A202" t="s">
        <v>128</v>
      </c>
      <c r="B202" t="s">
        <v>147</v>
      </c>
      <c r="C202" t="s">
        <v>129</v>
      </c>
      <c r="D202" t="s">
        <v>211</v>
      </c>
      <c r="E202" s="66">
        <v>-90750</v>
      </c>
      <c r="F202" s="66">
        <v>-142820.70000000001</v>
      </c>
      <c r="G202" s="66">
        <v>-157102.77000000002</v>
      </c>
      <c r="H202" s="66">
        <v>-172813.04700000002</v>
      </c>
    </row>
    <row r="203" spans="1:8">
      <c r="A203" t="s">
        <v>128</v>
      </c>
      <c r="B203" t="s">
        <v>147</v>
      </c>
      <c r="C203" t="s">
        <v>129</v>
      </c>
      <c r="D203" t="s">
        <v>212</v>
      </c>
      <c r="E203" s="66">
        <v>-12000</v>
      </c>
      <c r="F203" s="66">
        <v>0</v>
      </c>
      <c r="G203" s="66">
        <v>0</v>
      </c>
      <c r="H203" s="66">
        <v>0</v>
      </c>
    </row>
    <row r="204" spans="1:8">
      <c r="A204" t="s">
        <v>128</v>
      </c>
      <c r="B204" t="s">
        <v>147</v>
      </c>
      <c r="C204" t="s">
        <v>129</v>
      </c>
      <c r="D204" t="s">
        <v>213</v>
      </c>
      <c r="E204" s="66">
        <v>-82500</v>
      </c>
      <c r="F204" s="66">
        <v>-119892.03599999999</v>
      </c>
      <c r="G204" s="66">
        <v>-131881.2396</v>
      </c>
      <c r="H204" s="66">
        <v>-145069.36356</v>
      </c>
    </row>
    <row r="205" spans="1:8">
      <c r="A205" t="s">
        <v>128</v>
      </c>
      <c r="B205" t="s">
        <v>147</v>
      </c>
      <c r="C205" t="s">
        <v>129</v>
      </c>
      <c r="D205" t="s">
        <v>131</v>
      </c>
      <c r="E205" s="66">
        <v>-20250</v>
      </c>
      <c r="F205" s="66">
        <v>-28600</v>
      </c>
      <c r="G205" s="66">
        <v>-31460</v>
      </c>
      <c r="H205" s="66">
        <v>-34606</v>
      </c>
    </row>
    <row r="206" spans="1:8">
      <c r="A206" t="s">
        <v>128</v>
      </c>
      <c r="B206" t="s">
        <v>147</v>
      </c>
      <c r="C206" t="s">
        <v>129</v>
      </c>
      <c r="D206" t="s">
        <v>214</v>
      </c>
      <c r="E206" s="66">
        <v>-825000</v>
      </c>
      <c r="F206" s="66">
        <v>-990000</v>
      </c>
      <c r="G206" s="66">
        <v>-1089000</v>
      </c>
      <c r="H206" s="66">
        <v>-1197900</v>
      </c>
    </row>
    <row r="207" spans="1:8">
      <c r="A207" t="s">
        <v>128</v>
      </c>
      <c r="B207" t="s">
        <v>147</v>
      </c>
      <c r="C207" t="s">
        <v>129</v>
      </c>
      <c r="D207" t="s">
        <v>215</v>
      </c>
      <c r="E207" s="66">
        <v>-375000</v>
      </c>
      <c r="F207" s="66">
        <v>-1100000</v>
      </c>
      <c r="G207" s="66">
        <v>-1210000</v>
      </c>
      <c r="H207" s="66">
        <v>-1331000</v>
      </c>
    </row>
    <row r="208" spans="1:8">
      <c r="A208" t="s">
        <v>128</v>
      </c>
      <c r="B208" t="s">
        <v>147</v>
      </c>
      <c r="C208" t="s">
        <v>129</v>
      </c>
      <c r="D208" t="s">
        <v>216</v>
      </c>
      <c r="E208" s="66">
        <v>-30000</v>
      </c>
      <c r="F208" s="66">
        <v>-75900</v>
      </c>
      <c r="G208" s="66">
        <v>-83490</v>
      </c>
      <c r="H208" s="66">
        <v>-91839</v>
      </c>
    </row>
    <row r="209" spans="1:8">
      <c r="A209" t="s">
        <v>128</v>
      </c>
      <c r="B209" t="s">
        <v>147</v>
      </c>
      <c r="C209" t="s">
        <v>129</v>
      </c>
      <c r="D209" t="s">
        <v>315</v>
      </c>
      <c r="E209" s="66">
        <v>-52500</v>
      </c>
      <c r="F209" s="66">
        <v>-89808.180000000008</v>
      </c>
      <c r="G209" s="66">
        <v>-98788.998000000007</v>
      </c>
      <c r="H209" s="66">
        <v>-108667.89780000001</v>
      </c>
    </row>
    <row r="210" spans="1:8">
      <c r="A210" t="s">
        <v>128</v>
      </c>
      <c r="B210" t="s">
        <v>147</v>
      </c>
      <c r="C210" t="s">
        <v>129</v>
      </c>
      <c r="D210" t="s">
        <v>217</v>
      </c>
      <c r="E210" s="66">
        <v>-1125000</v>
      </c>
      <c r="F210" s="66">
        <v>-1779195.2904000001</v>
      </c>
      <c r="G210" s="66">
        <v>-1957114.81944</v>
      </c>
      <c r="H210" s="66">
        <v>-2152826.3013840001</v>
      </c>
    </row>
    <row r="211" spans="1:8">
      <c r="A211" t="s">
        <v>128</v>
      </c>
      <c r="B211" t="s">
        <v>147</v>
      </c>
      <c r="C211" t="s">
        <v>129</v>
      </c>
      <c r="D211" t="s">
        <v>218</v>
      </c>
      <c r="E211" s="66">
        <v>-183750</v>
      </c>
      <c r="F211" s="66">
        <v>-240000</v>
      </c>
      <c r="G211" s="66">
        <v>-240000</v>
      </c>
      <c r="H211" s="66">
        <v>-240000</v>
      </c>
    </row>
    <row r="212" spans="1:8">
      <c r="A212" t="s">
        <v>128</v>
      </c>
      <c r="B212" t="s">
        <v>147</v>
      </c>
      <c r="C212" t="s">
        <v>129</v>
      </c>
      <c r="D212" t="s">
        <v>316</v>
      </c>
      <c r="E212" s="66">
        <v>-23450299</v>
      </c>
      <c r="F212" s="66">
        <v>-2800000</v>
      </c>
      <c r="G212" s="66">
        <v>0</v>
      </c>
      <c r="H212" s="66">
        <v>0</v>
      </c>
    </row>
    <row r="213" spans="1:8">
      <c r="A213" t="s">
        <v>128</v>
      </c>
      <c r="B213" t="s">
        <v>147</v>
      </c>
      <c r="C213" t="s">
        <v>129</v>
      </c>
      <c r="D213" t="s">
        <v>317</v>
      </c>
      <c r="E213" s="66">
        <v>-9000000</v>
      </c>
      <c r="F213" s="66">
        <v>-12000000</v>
      </c>
      <c r="G213" s="66">
        <v>-12000000</v>
      </c>
      <c r="H213" s="66">
        <v>-12000000</v>
      </c>
    </row>
    <row r="214" spans="1:8">
      <c r="A214" t="s">
        <v>128</v>
      </c>
      <c r="B214" t="s">
        <v>147</v>
      </c>
      <c r="C214" t="s">
        <v>129</v>
      </c>
      <c r="D214" t="s">
        <v>315</v>
      </c>
      <c r="E214" s="66">
        <v>-900000</v>
      </c>
      <c r="F214" s="66">
        <v>-1200000</v>
      </c>
      <c r="G214" s="66">
        <v>-1200000</v>
      </c>
      <c r="H214" s="66">
        <v>-1200000</v>
      </c>
    </row>
    <row r="215" spans="1:8">
      <c r="A215" t="s">
        <v>128</v>
      </c>
      <c r="B215" t="s">
        <v>147</v>
      </c>
      <c r="C215" t="s">
        <v>129</v>
      </c>
      <c r="D215" t="s">
        <v>318</v>
      </c>
      <c r="E215" s="66">
        <v>-2000000</v>
      </c>
      <c r="F215" s="66">
        <v>-2000000</v>
      </c>
      <c r="G215" s="66">
        <v>-2000000</v>
      </c>
      <c r="H215" s="66">
        <v>-2000000</v>
      </c>
    </row>
    <row r="216" spans="1:8">
      <c r="A216" t="s">
        <v>128</v>
      </c>
      <c r="B216" t="s">
        <v>147</v>
      </c>
      <c r="C216" t="s">
        <v>129</v>
      </c>
      <c r="D216" t="s">
        <v>207</v>
      </c>
      <c r="E216" s="66">
        <v>0</v>
      </c>
      <c r="F216" s="66">
        <v>-1125250</v>
      </c>
      <c r="G216" s="66">
        <v>-1125250</v>
      </c>
      <c r="H216" s="66">
        <v>-1125250</v>
      </c>
    </row>
    <row r="217" spans="1:8">
      <c r="A217" t="s">
        <v>128</v>
      </c>
      <c r="B217" t="s">
        <v>147</v>
      </c>
      <c r="C217" t="s">
        <v>129</v>
      </c>
      <c r="D217" t="s">
        <v>129</v>
      </c>
      <c r="E217" s="66">
        <v>0</v>
      </c>
      <c r="F217" s="66">
        <v>-8500000</v>
      </c>
      <c r="G217" s="66">
        <v>-9000000</v>
      </c>
      <c r="H217" s="66">
        <v>-9000000</v>
      </c>
    </row>
    <row r="218" spans="1:8">
      <c r="A218" t="s">
        <v>128</v>
      </c>
      <c r="B218" t="s">
        <v>147</v>
      </c>
      <c r="C218" t="s">
        <v>129</v>
      </c>
      <c r="D218" t="s">
        <v>219</v>
      </c>
      <c r="E218" s="66">
        <v>-15578965</v>
      </c>
      <c r="F218" s="66">
        <v>-20838620</v>
      </c>
      <c r="G218" s="66">
        <v>-21838620</v>
      </c>
      <c r="H218" s="66">
        <v>-22838620</v>
      </c>
    </row>
    <row r="219" spans="1:8">
      <c r="A219" t="s">
        <v>128</v>
      </c>
      <c r="B219" t="s">
        <v>147</v>
      </c>
      <c r="C219" t="s">
        <v>129</v>
      </c>
      <c r="D219" t="s">
        <v>263</v>
      </c>
      <c r="E219" s="66">
        <v>-1155184.5</v>
      </c>
      <c r="F219" s="66">
        <v>-1640246</v>
      </c>
      <c r="G219" s="66">
        <v>-1640246</v>
      </c>
      <c r="H219" s="66">
        <v>-1640246</v>
      </c>
    </row>
    <row r="220" spans="1:8">
      <c r="A220" t="s">
        <v>128</v>
      </c>
      <c r="B220" t="s">
        <v>147</v>
      </c>
      <c r="C220" t="s">
        <v>133</v>
      </c>
      <c r="D220" t="s">
        <v>246</v>
      </c>
      <c r="E220" s="66">
        <v>-790875</v>
      </c>
      <c r="F220" s="66">
        <v>-1062322.5806451612</v>
      </c>
      <c r="G220" s="66">
        <v>-1062322.5806451612</v>
      </c>
      <c r="H220" s="66">
        <v>-1062322.5806451612</v>
      </c>
    </row>
    <row r="221" spans="1:8">
      <c r="A221" t="s">
        <v>128</v>
      </c>
      <c r="B221" t="s">
        <v>147</v>
      </c>
      <c r="C221" t="s">
        <v>133</v>
      </c>
      <c r="D221" t="s">
        <v>247</v>
      </c>
      <c r="E221" s="66">
        <v>-704875</v>
      </c>
      <c r="F221" s="66">
        <v>-973795.69892473123</v>
      </c>
      <c r="G221" s="66">
        <v>-973795.69892473123</v>
      </c>
      <c r="H221" s="66">
        <v>-973795.69892473123</v>
      </c>
    </row>
    <row r="222" spans="1:8">
      <c r="A222" t="s">
        <v>128</v>
      </c>
      <c r="B222" t="s">
        <v>147</v>
      </c>
      <c r="C222" t="s">
        <v>133</v>
      </c>
      <c r="D222" t="s">
        <v>258</v>
      </c>
      <c r="E222" s="66">
        <v>-791745</v>
      </c>
      <c r="F222" s="66">
        <v>-841005.37634408602</v>
      </c>
      <c r="G222" s="66">
        <v>-841005.37634408602</v>
      </c>
      <c r="H222" s="66">
        <v>-841005.37634408602</v>
      </c>
    </row>
    <row r="223" spans="1:8">
      <c r="A223" t="s">
        <v>128</v>
      </c>
      <c r="B223" t="s">
        <v>147</v>
      </c>
      <c r="C223" t="s">
        <v>133</v>
      </c>
      <c r="D223" t="s">
        <v>245</v>
      </c>
      <c r="E223" s="66">
        <v>-174113</v>
      </c>
      <c r="F223" s="66">
        <v>-354107.52688172041</v>
      </c>
      <c r="G223" s="66">
        <v>-354107.52688172041</v>
      </c>
      <c r="H223" s="66">
        <v>-354107.52688172041</v>
      </c>
    </row>
    <row r="224" spans="1:8">
      <c r="A224" t="s">
        <v>128</v>
      </c>
      <c r="B224" t="s">
        <v>147</v>
      </c>
      <c r="C224" t="s">
        <v>129</v>
      </c>
      <c r="D224" t="s">
        <v>125</v>
      </c>
      <c r="E224" s="66">
        <v>-20000</v>
      </c>
      <c r="F224" s="66">
        <v>0</v>
      </c>
      <c r="G224" s="66">
        <v>0</v>
      </c>
      <c r="H224" s="66">
        <v>0</v>
      </c>
    </row>
    <row r="225" spans="1:8">
      <c r="A225" t="s">
        <v>128</v>
      </c>
      <c r="B225" t="s">
        <v>147</v>
      </c>
      <c r="C225" t="s">
        <v>129</v>
      </c>
      <c r="D225" t="s">
        <v>319</v>
      </c>
      <c r="E225" s="66">
        <v>-68332.62</v>
      </c>
      <c r="F225" s="66">
        <v>-61968.817204301078</v>
      </c>
      <c r="G225" s="66">
        <v>-61968.817204301078</v>
      </c>
      <c r="H225" s="66">
        <v>-61968.817204301078</v>
      </c>
    </row>
    <row r="226" spans="1:8">
      <c r="A226" t="s">
        <v>128</v>
      </c>
      <c r="B226" t="s">
        <v>220</v>
      </c>
      <c r="C226" t="s">
        <v>129</v>
      </c>
      <c r="D226" t="s">
        <v>221</v>
      </c>
      <c r="E226" s="66">
        <v>-11340000</v>
      </c>
      <c r="F226" s="66">
        <v>-15120000</v>
      </c>
      <c r="G226" s="66">
        <v>-15120000</v>
      </c>
      <c r="H226" s="66">
        <v>-15120000</v>
      </c>
    </row>
    <row r="227" spans="1:8">
      <c r="A227" t="s">
        <v>128</v>
      </c>
      <c r="B227" t="s">
        <v>220</v>
      </c>
      <c r="C227" t="s">
        <v>129</v>
      </c>
      <c r="D227" t="s">
        <v>222</v>
      </c>
      <c r="E227" s="66">
        <v>0</v>
      </c>
      <c r="F227" s="66">
        <v>-1640000</v>
      </c>
      <c r="G227" s="66">
        <v>-1640000</v>
      </c>
      <c r="H227" s="66">
        <v>-1640000</v>
      </c>
    </row>
    <row r="228" spans="1:8">
      <c r="A228" t="s">
        <v>128</v>
      </c>
      <c r="B228" t="s">
        <v>220</v>
      </c>
      <c r="C228" t="s">
        <v>129</v>
      </c>
      <c r="D228" t="s">
        <v>223</v>
      </c>
      <c r="E228" s="66">
        <v>-900000</v>
      </c>
      <c r="F228" s="66">
        <v>-500000</v>
      </c>
      <c r="G228" s="66">
        <v>-500000</v>
      </c>
      <c r="H228" s="66">
        <v>-500000</v>
      </c>
    </row>
    <row r="229" spans="1:8">
      <c r="A229" t="s">
        <v>128</v>
      </c>
      <c r="B229" t="s">
        <v>220</v>
      </c>
      <c r="C229" t="s">
        <v>129</v>
      </c>
      <c r="D229" t="s">
        <v>224</v>
      </c>
      <c r="E229" s="66">
        <v>-900000</v>
      </c>
      <c r="F229" s="66">
        <v>-1000000</v>
      </c>
      <c r="G229" s="66">
        <v>-1000000</v>
      </c>
      <c r="H229" s="66">
        <v>-1000000</v>
      </c>
    </row>
    <row r="230" spans="1:8">
      <c r="A230" t="s">
        <v>128</v>
      </c>
      <c r="B230" t="s">
        <v>220</v>
      </c>
      <c r="C230" t="s">
        <v>129</v>
      </c>
      <c r="D230" t="s">
        <v>225</v>
      </c>
      <c r="E230" s="66">
        <v>-2514000</v>
      </c>
      <c r="F230" s="66">
        <v>-3500000</v>
      </c>
      <c r="G230" s="66">
        <v>-3500000</v>
      </c>
      <c r="H230" s="66">
        <v>-3500000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SBK</vt:lpstr>
      <vt:lpstr>Rates</vt:lpstr>
      <vt:lpstr>CF</vt:lpstr>
      <vt:lpstr>SBK!Print_Area</vt:lpstr>
      <vt:lpstr>SBK!Print_Titles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scandizzo</dc:creator>
  <cp:lastModifiedBy>mariano scandizzo</cp:lastModifiedBy>
  <dcterms:created xsi:type="dcterms:W3CDTF">2017-04-19T05:08:06Z</dcterms:created>
  <dcterms:modified xsi:type="dcterms:W3CDTF">2020-03-19T19:05:21Z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cf371c49-3175-48a0-8419-2ec8c96b94f2</vt:lpwstr>
  </property>
</Properties>
</file>