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showInkAnnotation="0"/>
  <mc:AlternateContent xmlns:mc="http://schemas.openxmlformats.org/markup-compatibility/2006">
    <mc:Choice Requires="x15">
      <x15ac:absPath xmlns:x15ac="http://schemas.microsoft.com/office/spreadsheetml/2010/11/ac" url="C:\Users\coals01826\Desktop\Coding\hanson-bas\data\"/>
    </mc:Choice>
  </mc:AlternateContent>
  <xr:revisionPtr revIDLastSave="0" documentId="8_{34E8DBDC-128C-4D89-AA76-C96CFF20643B}" xr6:coauthVersionLast="46" xr6:coauthVersionMax="46" xr10:uidLastSave="{00000000-0000-0000-0000-000000000000}"/>
  <bookViews>
    <workbookView xWindow="28680" yWindow="-120" windowWidth="29040" windowHeight="15840" tabRatio="862" activeTab="6" xr2:uid="{00000000-000D-0000-FFFF-FFFF00000000}"/>
  </bookViews>
  <sheets>
    <sheet name="FIM" sheetId="14" r:id="rId1"/>
    <sheet name="FIM_ImaneUpdate" sheetId="19" r:id="rId2"/>
    <sheet name="Pivot" sheetId="7" r:id="rId3"/>
    <sheet name="Lighting_Pivot" sheetId="13" r:id="rId4"/>
    <sheet name="Electrical Panels" sheetId="20" r:id="rId5"/>
    <sheet name="17G0157D_EnergyAudit2" sheetId="1" r:id="rId6"/>
    <sheet name="FIM Calculations" sheetId="17" r:id="rId7"/>
    <sheet name=" Elec Utility (kWh)" sheetId="2" r:id="rId8"/>
    <sheet name="CEP Utility (Tons)" sheetId="3" r:id="rId9"/>
    <sheet name="Schedule-Building Info" sheetId="16" r:id="rId10"/>
    <sheet name="VAV wLowCFM" sheetId="11" r:id="rId11"/>
    <sheet name="Spec Wattages" sheetId="15" r:id="rId12"/>
    <sheet name="62.1_2013_Table6.2.2.1" sheetId="18" r:id="rId13"/>
  </sheets>
  <externalReferences>
    <externalReference r:id="rId14"/>
    <externalReference r:id="rId15"/>
  </externalReferences>
  <definedNames>
    <definedName name="_xlnm._FilterDatabase" localSheetId="0" hidden="1">FIM!$H$2:$H$48</definedName>
    <definedName name="_xlcn.LinkedTable_Electric271" hidden="1">Electric27[]</definedName>
    <definedName name="_xlcn.WorksheetConnection_17G0157A_EnergyAudit2.xlsxAHU1B_CHW1" hidden="1">AHU1B_CHW[]</definedName>
    <definedName name="_xlcn.WorksheetConnection_17G0157A_EnergyAudit2.xlsxAHU1C_CHW1" hidden="1">AHU1C_CHW</definedName>
    <definedName name="_xlcn.WorksheetConnection_17G0157A_EnergyAudit2.xlsxPlanGrid1" hidden="1">PlanGrid[]</definedName>
    <definedName name="_xlnm.Print_Area" localSheetId="0">FIM!$B$2:$G$51</definedName>
    <definedName name="_xlnm.Print_Area" localSheetId="1">FIM_ImaneUpdate!$B$2:$G$50</definedName>
  </definedNames>
  <calcPr calcId="181029"/>
  <pivotCaches>
    <pivotCache cacheId="0" r:id="rId16"/>
    <pivotCache cacheId="1" r:id="rId17"/>
    <pivotCache cacheId="2" r:id="rId18"/>
  </pivotCaches>
  <extLst>
    <ext xmlns:x15="http://schemas.microsoft.com/office/spreadsheetml/2010/11/main" uri="{FCE2AD5D-F65C-4FA6-A056-5C36A1767C68}">
      <x15:dataModel>
        <x15:modelTables>
          <x15:modelTable id="PlanGrid-68f75f83-7dd0-46f9-a007-99ecbb87b692" name="PlanGrid" connection="WorksheetConnection_17G0157A_EnergyAudit2.xlsx!PlanGrid"/>
          <x15:modelTable id="AHU1C_CHW-ec14d0ac-75cd-49c7-a791-254107a61fc4" name="AHU1C_CHW" connection="WorksheetConnection_17G0157A_EnergyAudit2.xlsx!AHU1C_CHW"/>
          <x15:modelTable id="AHU1B_CHW-16fd0c45-021c-4b9d-81ae-d20b93d466a7" name="AHU1B_CHW" connection="WorksheetConnection_17G0157A_EnergyAudit2.xlsx!AHU1B_CHW"/>
          <x15:modelTable id="Electric27-8c8dd980-8889-4a64-9f65-8ddb1083f851" name="Electric27" connection="LinkedTable_Electric27"/>
        </x15:modelTables>
        <x15:modelRelationships>
          <x15:modelRelationship fromTable="PlanGrid" fromColumn="Demand Watt" toTable="AHU1B_CHW" toColumn="Demand Watt"/>
          <x15:modelRelationship fromTable="PlanGrid" fromColumn="Demand Watt" toTable="AHU1C_CHW" toColumn="Demand Watt"/>
          <x15:modelRelationship fromTable="PlanGrid" fromColumn="kWh/yr" toTable="Electric27" toColumn="Unit Cost"/>
        </x15:modelRelationships>
      </x15:dataModel>
    </ext>
  </extLst>
</workbook>
</file>

<file path=xl/calcChain.xml><?xml version="1.0" encoding="utf-8"?>
<calcChain xmlns="http://schemas.openxmlformats.org/spreadsheetml/2006/main">
  <c r="B17" i="20" l="1"/>
  <c r="D3" i="20"/>
  <c r="D17" i="20" s="1"/>
  <c r="D9" i="20"/>
  <c r="D13" i="20"/>
  <c r="D7" i="20"/>
  <c r="D6" i="20"/>
  <c r="D16" i="20"/>
  <c r="D11" i="20"/>
  <c r="D14" i="20"/>
  <c r="D12" i="20"/>
  <c r="D15" i="20"/>
  <c r="D10" i="20"/>
  <c r="D8" i="20"/>
  <c r="D4" i="20"/>
  <c r="D5" i="20"/>
  <c r="C9" i="20"/>
  <c r="E9" i="20" s="1"/>
  <c r="C13" i="20"/>
  <c r="E13" i="20" s="1"/>
  <c r="C7" i="20"/>
  <c r="E7" i="20" s="1"/>
  <c r="C6" i="20"/>
  <c r="E6" i="20" s="1"/>
  <c r="C16" i="20"/>
  <c r="E16" i="20" s="1"/>
  <c r="C11" i="20"/>
  <c r="E11" i="20" s="1"/>
  <c r="C14" i="20"/>
  <c r="E14" i="20" s="1"/>
  <c r="C12" i="20"/>
  <c r="E12" i="20" s="1"/>
  <c r="C15" i="20"/>
  <c r="E15" i="20" s="1"/>
  <c r="C10" i="20"/>
  <c r="E10" i="20" s="1"/>
  <c r="C8" i="20"/>
  <c r="E8" i="20" s="1"/>
  <c r="C4" i="20"/>
  <c r="E4" i="20" s="1"/>
  <c r="C5" i="20"/>
  <c r="E5" i="20" s="1"/>
  <c r="C3" i="20"/>
  <c r="E3" i="20" s="1"/>
  <c r="E17" i="20" l="1"/>
  <c r="V12" i="3"/>
  <c r="D58" i="7"/>
  <c r="H3" i="20"/>
  <c r="H12" i="20" l="1"/>
  <c r="W11" i="3"/>
  <c r="W10" i="3"/>
  <c r="Q10" i="3"/>
  <c r="Q11" i="3" s="1"/>
  <c r="S8" i="3"/>
  <c r="T8" i="3" s="1"/>
  <c r="U8" i="3" s="1"/>
  <c r="Q8" i="3"/>
  <c r="U5" i="3"/>
  <c r="R5" i="3"/>
  <c r="Q5" i="3"/>
  <c r="E21" i="7"/>
  <c r="D21" i="7"/>
  <c r="B21" i="7"/>
  <c r="G21" i="7" s="1"/>
  <c r="F18" i="7"/>
  <c r="F23" i="7" s="1"/>
  <c r="C16" i="7"/>
  <c r="B17" i="7"/>
  <c r="C18" i="7"/>
  <c r="E15" i="7"/>
  <c r="C15" i="7"/>
  <c r="B19" i="7"/>
  <c r="B18" i="7"/>
  <c r="D15" i="7"/>
  <c r="E22" i="7"/>
  <c r="B16" i="7"/>
  <c r="B22" i="7"/>
  <c r="C19" i="7"/>
  <c r="D19" i="7"/>
  <c r="D20" i="7"/>
  <c r="C22" i="7"/>
  <c r="D16" i="7"/>
  <c r="D18" i="7"/>
  <c r="E20" i="7"/>
  <c r="E16" i="7"/>
  <c r="D17" i="7"/>
  <c r="E17" i="7"/>
  <c r="B15" i="7"/>
  <c r="C17" i="7"/>
  <c r="C20" i="7"/>
  <c r="D22" i="7"/>
  <c r="E18" i="7"/>
  <c r="B20" i="7"/>
  <c r="E19" i="7"/>
  <c r="S11" i="3" l="1"/>
  <c r="V8" i="3"/>
  <c r="G16" i="7"/>
  <c r="G19" i="7"/>
  <c r="F15" i="7"/>
  <c r="G15" i="7" s="1"/>
  <c r="B23" i="7"/>
  <c r="G23" i="7" s="1"/>
  <c r="D23" i="7"/>
  <c r="E23" i="7"/>
  <c r="G17" i="7"/>
  <c r="G20" i="7"/>
  <c r="G22" i="7"/>
  <c r="G18" i="7"/>
  <c r="C21" i="7"/>
  <c r="C23" i="7" s="1"/>
  <c r="R12" i="3" l="1"/>
  <c r="C26" i="7"/>
  <c r="E26" i="7" s="1"/>
  <c r="T5" i="16"/>
  <c r="D44" i="19" l="1"/>
  <c r="F44" i="19"/>
  <c r="H6" i="13" l="1"/>
  <c r="G7" i="13"/>
  <c r="G8" i="13"/>
  <c r="G9"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5" i="13"/>
  <c r="H2" i="1" l="1"/>
  <c r="H7" i="1"/>
  <c r="H9" i="1"/>
  <c r="H28" i="1"/>
  <c r="H85" i="1"/>
  <c r="H86" i="1"/>
  <c r="H105" i="1"/>
  <c r="H106" i="1"/>
  <c r="H107" i="1"/>
  <c r="H108" i="1"/>
  <c r="H109" i="1"/>
  <c r="H110" i="1"/>
  <c r="H111" i="1"/>
  <c r="H243" i="1"/>
  <c r="H244" i="1"/>
  <c r="H251" i="1"/>
  <c r="H252" i="1"/>
  <c r="H297" i="1"/>
  <c r="H298" i="1"/>
  <c r="H299" i="1"/>
  <c r="H300" i="1"/>
  <c r="H301" i="1"/>
  <c r="H302" i="1"/>
  <c r="H303" i="1"/>
  <c r="H304" i="1"/>
  <c r="H305" i="1"/>
  <c r="H306" i="1"/>
  <c r="H277" i="1"/>
  <c r="H278" i="1"/>
  <c r="H308" i="1"/>
  <c r="H288" i="1"/>
  <c r="H129" i="1"/>
  <c r="H121" i="1"/>
  <c r="H283" i="1"/>
  <c r="H279" i="1"/>
  <c r="H280" i="1"/>
  <c r="H284" i="1"/>
  <c r="H963" i="1"/>
  <c r="H285" i="1"/>
  <c r="H1107" i="1"/>
  <c r="H1089" i="1"/>
  <c r="H1068" i="1"/>
  <c r="H1090" i="1"/>
  <c r="H964" i="1"/>
  <c r="H286" i="1"/>
  <c r="H315" i="1"/>
  <c r="H337" i="1"/>
  <c r="H338" i="1"/>
  <c r="H339" i="1"/>
  <c r="H340" i="1"/>
  <c r="H342" i="1"/>
  <c r="H343" i="1"/>
  <c r="H344" i="1"/>
  <c r="H345" i="1"/>
  <c r="H346" i="1"/>
  <c r="H347" i="1"/>
  <c r="H348" i="1"/>
  <c r="H349" i="1"/>
  <c r="H350" i="1"/>
  <c r="H351" i="1"/>
  <c r="H352" i="1"/>
  <c r="H661" i="1"/>
  <c r="H662" i="1"/>
  <c r="H663" i="1"/>
  <c r="H664" i="1"/>
  <c r="H665" i="1"/>
  <c r="H666" i="1"/>
  <c r="H667" i="1"/>
  <c r="H668" i="1"/>
  <c r="H669" i="1"/>
  <c r="H736" i="1"/>
  <c r="H737" i="1"/>
  <c r="H748" i="1"/>
  <c r="H754" i="1"/>
  <c r="H772" i="1"/>
  <c r="H823" i="1"/>
  <c r="H824" i="1"/>
  <c r="H826" i="1"/>
  <c r="H828" i="1"/>
  <c r="H831" i="1"/>
  <c r="H832" i="1"/>
  <c r="H834" i="1"/>
  <c r="H836" i="1"/>
  <c r="H837"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1206" i="1"/>
  <c r="H4" i="1"/>
  <c r="H6" i="1"/>
  <c r="G1189" i="1"/>
  <c r="G1186" i="1" l="1"/>
  <c r="G1185" i="1"/>
  <c r="G1180" i="1"/>
  <c r="C6" i="17" l="1"/>
  <c r="E6" i="17" s="1"/>
  <c r="E7" i="17"/>
  <c r="E8" i="17"/>
  <c r="E9" i="17"/>
  <c r="C10" i="17"/>
  <c r="E10" i="17" s="1"/>
  <c r="F18" i="17"/>
  <c r="C25" i="17"/>
  <c r="C26" i="17" s="1"/>
  <c r="B31" i="17" s="1"/>
  <c r="E31" i="17" s="1"/>
  <c r="E27" i="17"/>
  <c r="E45" i="17"/>
  <c r="B52" i="17"/>
  <c r="E53" i="17" s="1"/>
  <c r="E114" i="17"/>
  <c r="E115" i="17" s="1"/>
  <c r="E130" i="17"/>
  <c r="E135" i="17"/>
  <c r="E142" i="17"/>
  <c r="E168" i="17"/>
  <c r="E173" i="17"/>
  <c r="E178" i="17"/>
  <c r="E11" i="17" l="1"/>
  <c r="C69" i="17" s="1"/>
  <c r="E330" i="1" l="1"/>
  <c r="H330" i="1" s="1"/>
  <c r="E331" i="1"/>
  <c r="H331" i="1" s="1"/>
  <c r="I331" i="1" s="1"/>
  <c r="E332" i="1"/>
  <c r="H332" i="1" s="1"/>
  <c r="E333" i="1"/>
  <c r="H333" i="1" s="1"/>
  <c r="E334" i="1"/>
  <c r="H334" i="1" s="1"/>
  <c r="E335" i="1"/>
  <c r="H335" i="1" s="1"/>
  <c r="I335" i="1" s="1"/>
  <c r="E336" i="1"/>
  <c r="H336" i="1" s="1"/>
  <c r="L5" i="16"/>
  <c r="O5" i="16"/>
  <c r="H6" i="16"/>
  <c r="H7" i="16"/>
  <c r="K7" i="16"/>
  <c r="D12" i="16"/>
  <c r="N12" i="16" s="1"/>
  <c r="V13" i="3" s="1"/>
  <c r="V14" i="3" s="1"/>
  <c r="D16" i="16"/>
  <c r="N16" i="16" s="1"/>
  <c r="B20" i="16"/>
  <c r="C21" i="16" s="1"/>
  <c r="B21" i="16"/>
  <c r="A31" i="16"/>
  <c r="D34" i="16" s="1"/>
  <c r="D36" i="16"/>
  <c r="I336" i="1" l="1"/>
  <c r="I334" i="1"/>
  <c r="N19" i="16"/>
  <c r="N22" i="16" s="1"/>
  <c r="A30" i="7"/>
  <c r="I904" i="1"/>
  <c r="I910" i="1"/>
  <c r="I924" i="1"/>
  <c r="I860" i="1"/>
  <c r="I303" i="1"/>
  <c r="I1090" i="1"/>
  <c r="I305" i="1"/>
  <c r="I883" i="1"/>
  <c r="I337" i="1"/>
  <c r="I930" i="1"/>
  <c r="I938" i="1"/>
  <c r="I661" i="1"/>
  <c r="I945" i="1"/>
  <c r="I881" i="1"/>
  <c r="I286" i="1"/>
  <c r="I343" i="1"/>
  <c r="I872" i="1"/>
  <c r="I351" i="1"/>
  <c r="I895" i="1"/>
  <c r="I283" i="1"/>
  <c r="I901" i="1"/>
  <c r="I664" i="1"/>
  <c r="I2" i="1"/>
  <c r="I667" i="1"/>
  <c r="I886" i="1"/>
  <c r="I916" i="1"/>
  <c r="I831" i="1"/>
  <c r="I251" i="1"/>
  <c r="I298" i="1"/>
  <c r="I939" i="1"/>
  <c r="I875" i="1"/>
  <c r="I285" i="1"/>
  <c r="I914" i="1"/>
  <c r="I922" i="1"/>
  <c r="I345" i="1"/>
  <c r="I937" i="1"/>
  <c r="I873" i="1"/>
  <c r="I284" i="1"/>
  <c r="I964" i="1"/>
  <c r="I4" i="1"/>
  <c r="I919" i="1"/>
  <c r="I863" i="1"/>
  <c r="I108" i="1"/>
  <c r="I893" i="1"/>
  <c r="I348" i="1"/>
  <c r="I927" i="1"/>
  <c r="I834" i="1"/>
  <c r="I908" i="1"/>
  <c r="I737" i="1"/>
  <c r="I106" i="1"/>
  <c r="I942" i="1"/>
  <c r="I931" i="1"/>
  <c r="I867" i="1"/>
  <c r="I288" i="1"/>
  <c r="I898" i="1"/>
  <c r="I906" i="1"/>
  <c r="I315" i="1"/>
  <c r="I929" i="1"/>
  <c r="I865" i="1"/>
  <c r="I278" i="1"/>
  <c r="I280" i="1"/>
  <c r="I903" i="1"/>
  <c r="I879" i="1"/>
  <c r="I350" i="1"/>
  <c r="I7" i="1"/>
  <c r="I885" i="1"/>
  <c r="I339" i="1"/>
  <c r="I887" i="1"/>
  <c r="I665" i="1"/>
  <c r="I900" i="1"/>
  <c r="I663" i="1"/>
  <c r="I928" i="1"/>
  <c r="I918" i="1"/>
  <c r="I923" i="1"/>
  <c r="I859" i="1"/>
  <c r="I302" i="1"/>
  <c r="I882" i="1"/>
  <c r="I890" i="1"/>
  <c r="I308" i="1"/>
  <c r="I921" i="1"/>
  <c r="I857" i="1"/>
  <c r="I300" i="1"/>
  <c r="I277" i="1"/>
  <c r="I666" i="1"/>
  <c r="I772" i="1"/>
  <c r="I109" i="1"/>
  <c r="I941" i="1"/>
  <c r="I877" i="1"/>
  <c r="I1089" i="1"/>
  <c r="I836" i="1"/>
  <c r="I340" i="1"/>
  <c r="I892" i="1"/>
  <c r="I347" i="1"/>
  <c r="I837" i="1"/>
  <c r="I902" i="1"/>
  <c r="I915" i="1"/>
  <c r="I828" i="1"/>
  <c r="I244" i="1"/>
  <c r="I858" i="1"/>
  <c r="I874" i="1"/>
  <c r="I301" i="1"/>
  <c r="I913" i="1"/>
  <c r="I824" i="1"/>
  <c r="I111" i="1"/>
  <c r="I299" i="1"/>
  <c r="I279" i="1"/>
  <c r="I870" i="1"/>
  <c r="I934" i="1"/>
  <c r="I933" i="1"/>
  <c r="I869" i="1"/>
  <c r="I121" i="1"/>
  <c r="I342" i="1"/>
  <c r="I297" i="1"/>
  <c r="I884" i="1"/>
  <c r="I338" i="1"/>
  <c r="I943" i="1"/>
  <c r="I878" i="1"/>
  <c r="I907" i="1"/>
  <c r="I736" i="1"/>
  <c r="I105" i="1"/>
  <c r="I963" i="1"/>
  <c r="I866" i="1"/>
  <c r="I243" i="1"/>
  <c r="I905" i="1"/>
  <c r="I668" i="1"/>
  <c r="I85" i="1"/>
  <c r="I110" i="1"/>
  <c r="I9" i="1"/>
  <c r="I920" i="1"/>
  <c r="I894" i="1"/>
  <c r="I925" i="1"/>
  <c r="I861" i="1"/>
  <c r="I304" i="1"/>
  <c r="I306" i="1"/>
  <c r="I940" i="1"/>
  <c r="I876" i="1"/>
  <c r="I1107" i="1"/>
  <c r="I911" i="1"/>
  <c r="I754" i="1"/>
  <c r="I899" i="1"/>
  <c r="I662" i="1"/>
  <c r="I912" i="1"/>
  <c r="I936" i="1"/>
  <c r="I826" i="1"/>
  <c r="I86" i="1"/>
  <c r="I897" i="1"/>
  <c r="I352" i="1"/>
  <c r="I896" i="1"/>
  <c r="I28" i="1"/>
  <c r="I6" i="1"/>
  <c r="I823" i="1"/>
  <c r="I862" i="1"/>
  <c r="I917" i="1"/>
  <c r="I832" i="1"/>
  <c r="I252" i="1"/>
  <c r="I926" i="1"/>
  <c r="I932" i="1"/>
  <c r="I868" i="1"/>
  <c r="I129" i="1"/>
  <c r="I871" i="1"/>
  <c r="I349" i="1"/>
  <c r="I891" i="1"/>
  <c r="I346" i="1"/>
  <c r="I946" i="1"/>
  <c r="I880" i="1"/>
  <c r="I669" i="1"/>
  <c r="G1190" i="1"/>
  <c r="I889" i="1"/>
  <c r="I344" i="1"/>
  <c r="I864" i="1"/>
  <c r="I944" i="1"/>
  <c r="I888" i="1"/>
  <c r="I935" i="1"/>
  <c r="I1068" i="1"/>
  <c r="I909" i="1"/>
  <c r="I748" i="1"/>
  <c r="I107" i="1"/>
  <c r="I333" i="1"/>
  <c r="K333" i="1" s="1"/>
  <c r="I332" i="1"/>
  <c r="L332" i="1" s="1"/>
  <c r="M332" i="1" s="1"/>
  <c r="I330" i="1"/>
  <c r="L330" i="1" s="1"/>
  <c r="M330" i="1" s="1"/>
  <c r="L336" i="1"/>
  <c r="M336" i="1" s="1"/>
  <c r="K336" i="1"/>
  <c r="L335" i="1"/>
  <c r="M335" i="1" s="1"/>
  <c r="K335" i="1"/>
  <c r="L334" i="1"/>
  <c r="M334" i="1" s="1"/>
  <c r="K334" i="1"/>
  <c r="L331" i="1"/>
  <c r="M331" i="1" s="1"/>
  <c r="K331" i="1"/>
  <c r="P5" i="16"/>
  <c r="P7" i="16" s="1"/>
  <c r="H9" i="16"/>
  <c r="P16" i="16"/>
  <c r="L7" i="16"/>
  <c r="K899" i="1" l="1"/>
  <c r="L899" i="1"/>
  <c r="M899" i="1" s="1"/>
  <c r="K943" i="1"/>
  <c r="L943" i="1"/>
  <c r="M943" i="1" s="1"/>
  <c r="K666" i="1"/>
  <c r="L666" i="1"/>
  <c r="M666" i="1" s="1"/>
  <c r="L302" i="1"/>
  <c r="M302" i="1" s="1"/>
  <c r="K302" i="1"/>
  <c r="L887" i="1"/>
  <c r="M887" i="1" s="1"/>
  <c r="K887" i="1"/>
  <c r="K278" i="1"/>
  <c r="L278" i="1"/>
  <c r="M278" i="1" s="1"/>
  <c r="L931" i="1"/>
  <c r="M931" i="1" s="1"/>
  <c r="K931" i="1"/>
  <c r="K893" i="1"/>
  <c r="L893" i="1"/>
  <c r="M893" i="1" s="1"/>
  <c r="L937" i="1"/>
  <c r="M937" i="1" s="1"/>
  <c r="K937" i="1"/>
  <c r="K251" i="1"/>
  <c r="L251" i="1"/>
  <c r="M251" i="1" s="1"/>
  <c r="L283" i="1"/>
  <c r="M283" i="1" s="1"/>
  <c r="K283" i="1"/>
  <c r="K661" i="1"/>
  <c r="L661" i="1"/>
  <c r="M661" i="1" s="1"/>
  <c r="L860" i="1"/>
  <c r="M860" i="1" s="1"/>
  <c r="K860" i="1"/>
  <c r="L926" i="1"/>
  <c r="M926" i="1" s="1"/>
  <c r="K926" i="1"/>
  <c r="K892" i="1"/>
  <c r="L892" i="1"/>
  <c r="M892" i="1" s="1"/>
  <c r="K346" i="1"/>
  <c r="L346" i="1"/>
  <c r="M346" i="1" s="1"/>
  <c r="L338" i="1"/>
  <c r="M338" i="1" s="1"/>
  <c r="K338" i="1"/>
  <c r="K859" i="1"/>
  <c r="L859" i="1"/>
  <c r="M859" i="1" s="1"/>
  <c r="K831" i="1"/>
  <c r="L831" i="1"/>
  <c r="M831" i="1" s="1"/>
  <c r="K332" i="1"/>
  <c r="L832" i="1"/>
  <c r="M832" i="1" s="1"/>
  <c r="K832" i="1"/>
  <c r="K911" i="1"/>
  <c r="L911" i="1"/>
  <c r="M911" i="1" s="1"/>
  <c r="K884" i="1"/>
  <c r="L884" i="1"/>
  <c r="M884" i="1" s="1"/>
  <c r="K279" i="1"/>
  <c r="L279" i="1"/>
  <c r="M279" i="1" s="1"/>
  <c r="L244" i="1"/>
  <c r="M244" i="1" s="1"/>
  <c r="K244" i="1"/>
  <c r="L836" i="1"/>
  <c r="M836" i="1" s="1"/>
  <c r="K836" i="1"/>
  <c r="L300" i="1"/>
  <c r="M300" i="1" s="1"/>
  <c r="K300" i="1"/>
  <c r="K923" i="1"/>
  <c r="L923" i="1"/>
  <c r="M923" i="1" s="1"/>
  <c r="L885" i="1"/>
  <c r="M885" i="1" s="1"/>
  <c r="K885" i="1"/>
  <c r="L929" i="1"/>
  <c r="M929" i="1" s="1"/>
  <c r="K929" i="1"/>
  <c r="K106" i="1"/>
  <c r="L106" i="1"/>
  <c r="M106" i="1" s="1"/>
  <c r="L863" i="1"/>
  <c r="M863" i="1" s="1"/>
  <c r="K863" i="1"/>
  <c r="L922" i="1"/>
  <c r="M922" i="1" s="1"/>
  <c r="K922" i="1"/>
  <c r="K916" i="1"/>
  <c r="L916" i="1"/>
  <c r="M916" i="1" s="1"/>
  <c r="L351" i="1"/>
  <c r="M351" i="1" s="1"/>
  <c r="K351" i="1"/>
  <c r="L930" i="1"/>
  <c r="M930" i="1" s="1"/>
  <c r="K930" i="1"/>
  <c r="L910" i="1"/>
  <c r="M910" i="1" s="1"/>
  <c r="K910" i="1"/>
  <c r="L888" i="1"/>
  <c r="M888" i="1" s="1"/>
  <c r="K888" i="1"/>
  <c r="K934" i="1"/>
  <c r="L934" i="1"/>
  <c r="M934" i="1" s="1"/>
  <c r="L252" i="1"/>
  <c r="M252" i="1" s="1"/>
  <c r="K252" i="1"/>
  <c r="L858" i="1"/>
  <c r="M858" i="1" s="1"/>
  <c r="K858" i="1"/>
  <c r="K942" i="1"/>
  <c r="L942" i="1"/>
  <c r="M942" i="1" s="1"/>
  <c r="K938" i="1"/>
  <c r="L938" i="1"/>
  <c r="M938" i="1" s="1"/>
  <c r="L891" i="1"/>
  <c r="M891" i="1" s="1"/>
  <c r="K891" i="1"/>
  <c r="L894" i="1"/>
  <c r="M894" i="1" s="1"/>
  <c r="K894" i="1"/>
  <c r="K349" i="1"/>
  <c r="L349" i="1"/>
  <c r="M349" i="1" s="1"/>
  <c r="L1107" i="1"/>
  <c r="M1107" i="1" s="1"/>
  <c r="K1107" i="1"/>
  <c r="K297" i="1"/>
  <c r="L297" i="1"/>
  <c r="M297" i="1" s="1"/>
  <c r="L299" i="1"/>
  <c r="M299" i="1" s="1"/>
  <c r="K299" i="1"/>
  <c r="K828" i="1"/>
  <c r="L828" i="1"/>
  <c r="M828" i="1" s="1"/>
  <c r="L1089" i="1"/>
  <c r="M1089" i="1" s="1"/>
  <c r="K1089" i="1"/>
  <c r="L857" i="1"/>
  <c r="M857" i="1" s="1"/>
  <c r="K857" i="1"/>
  <c r="L918" i="1"/>
  <c r="M918" i="1" s="1"/>
  <c r="K918" i="1"/>
  <c r="L7" i="1"/>
  <c r="M7" i="1" s="1"/>
  <c r="K7" i="1"/>
  <c r="K315" i="1"/>
  <c r="L315" i="1"/>
  <c r="M315" i="1" s="1"/>
  <c r="K737" i="1"/>
  <c r="L737" i="1"/>
  <c r="M737" i="1" s="1"/>
  <c r="L919" i="1"/>
  <c r="M919" i="1" s="1"/>
  <c r="K919" i="1"/>
  <c r="L914" i="1"/>
  <c r="M914" i="1" s="1"/>
  <c r="K914" i="1"/>
  <c r="L886" i="1"/>
  <c r="M886" i="1" s="1"/>
  <c r="K886" i="1"/>
  <c r="K872" i="1"/>
  <c r="L872" i="1"/>
  <c r="M872" i="1" s="1"/>
  <c r="L337" i="1"/>
  <c r="M337" i="1" s="1"/>
  <c r="K337" i="1"/>
  <c r="K904" i="1"/>
  <c r="L904" i="1"/>
  <c r="M904" i="1" s="1"/>
  <c r="K861" i="1"/>
  <c r="L861" i="1"/>
  <c r="M861" i="1" s="1"/>
  <c r="L754" i="1"/>
  <c r="M754" i="1" s="1"/>
  <c r="K754" i="1"/>
  <c r="K339" i="1"/>
  <c r="L339" i="1"/>
  <c r="M339" i="1" s="1"/>
  <c r="L876" i="1"/>
  <c r="M876" i="1" s="1"/>
  <c r="K876" i="1"/>
  <c r="L9" i="1"/>
  <c r="M9" i="1" s="1"/>
  <c r="K9" i="1"/>
  <c r="L105" i="1"/>
  <c r="M105" i="1" s="1"/>
  <c r="K105" i="1"/>
  <c r="L342" i="1"/>
  <c r="M342" i="1" s="1"/>
  <c r="K342" i="1"/>
  <c r="L111" i="1"/>
  <c r="M111" i="1" s="1"/>
  <c r="K111" i="1"/>
  <c r="L915" i="1"/>
  <c r="M915" i="1" s="1"/>
  <c r="K915" i="1"/>
  <c r="K877" i="1"/>
  <c r="L877" i="1"/>
  <c r="M877" i="1" s="1"/>
  <c r="L921" i="1"/>
  <c r="M921" i="1" s="1"/>
  <c r="K921" i="1"/>
  <c r="L928" i="1"/>
  <c r="M928" i="1" s="1"/>
  <c r="K928" i="1"/>
  <c r="K350" i="1"/>
  <c r="L350" i="1"/>
  <c r="M350" i="1" s="1"/>
  <c r="L906" i="1"/>
  <c r="M906" i="1" s="1"/>
  <c r="K906" i="1"/>
  <c r="L908" i="1"/>
  <c r="M908" i="1" s="1"/>
  <c r="K908" i="1"/>
  <c r="L4" i="1"/>
  <c r="M4" i="1" s="1"/>
  <c r="K4" i="1"/>
  <c r="L285" i="1"/>
  <c r="M285" i="1" s="1"/>
  <c r="K285" i="1"/>
  <c r="L667" i="1"/>
  <c r="M667" i="1" s="1"/>
  <c r="K667" i="1"/>
  <c r="L343" i="1"/>
  <c r="M343" i="1" s="1"/>
  <c r="K343" i="1"/>
  <c r="L883" i="1"/>
  <c r="M883" i="1" s="1"/>
  <c r="K883" i="1"/>
  <c r="L896" i="1"/>
  <c r="M896" i="1" s="1"/>
  <c r="K896" i="1"/>
  <c r="L874" i="1"/>
  <c r="M874" i="1" s="1"/>
  <c r="K874" i="1"/>
  <c r="L944" i="1"/>
  <c r="M944" i="1" s="1"/>
  <c r="K944" i="1"/>
  <c r="K243" i="1"/>
  <c r="L243" i="1"/>
  <c r="M243" i="1" s="1"/>
  <c r="L277" i="1"/>
  <c r="M277" i="1" s="1"/>
  <c r="K277" i="1"/>
  <c r="K345" i="1"/>
  <c r="L345" i="1"/>
  <c r="M345" i="1" s="1"/>
  <c r="L897" i="1"/>
  <c r="M897" i="1" s="1"/>
  <c r="K897" i="1"/>
  <c r="L917" i="1"/>
  <c r="M917" i="1" s="1"/>
  <c r="K917" i="1"/>
  <c r="L963" i="1"/>
  <c r="M963" i="1" s="1"/>
  <c r="K963" i="1"/>
  <c r="L748" i="1"/>
  <c r="M748" i="1" s="1"/>
  <c r="K748" i="1"/>
  <c r="L862" i="1"/>
  <c r="M862" i="1" s="1"/>
  <c r="K862" i="1"/>
  <c r="L909" i="1"/>
  <c r="M909" i="1" s="1"/>
  <c r="K909" i="1"/>
  <c r="L823" i="1"/>
  <c r="M823" i="1" s="1"/>
  <c r="K823" i="1"/>
  <c r="L110" i="1"/>
  <c r="M110" i="1" s="1"/>
  <c r="K110" i="1"/>
  <c r="K902" i="1"/>
  <c r="L902" i="1"/>
  <c r="M902" i="1" s="1"/>
  <c r="L898" i="1"/>
  <c r="M898" i="1" s="1"/>
  <c r="K898" i="1"/>
  <c r="L286" i="1"/>
  <c r="M286" i="1" s="1"/>
  <c r="K286" i="1"/>
  <c r="L946" i="1"/>
  <c r="M946" i="1" s="1"/>
  <c r="K946" i="1"/>
  <c r="L905" i="1"/>
  <c r="M905" i="1" s="1"/>
  <c r="K905" i="1"/>
  <c r="L925" i="1"/>
  <c r="M925" i="1" s="1"/>
  <c r="K925" i="1"/>
  <c r="K340" i="1"/>
  <c r="L340" i="1"/>
  <c r="M340" i="1" s="1"/>
  <c r="L108" i="1"/>
  <c r="M108" i="1" s="1"/>
  <c r="K108" i="1"/>
  <c r="K895" i="1"/>
  <c r="L895" i="1"/>
  <c r="M895" i="1" s="1"/>
  <c r="L864" i="1"/>
  <c r="M864" i="1" s="1"/>
  <c r="K864" i="1"/>
  <c r="L866" i="1"/>
  <c r="M866" i="1" s="1"/>
  <c r="K866" i="1"/>
  <c r="L107" i="1"/>
  <c r="M107" i="1" s="1"/>
  <c r="K107" i="1"/>
  <c r="L86" i="1"/>
  <c r="M86" i="1" s="1"/>
  <c r="K86" i="1"/>
  <c r="K330" i="1"/>
  <c r="L871" i="1"/>
  <c r="M871" i="1" s="1"/>
  <c r="K871" i="1"/>
  <c r="L936" i="1"/>
  <c r="M936" i="1" s="1"/>
  <c r="K936" i="1"/>
  <c r="K736" i="1"/>
  <c r="L736" i="1"/>
  <c r="M736" i="1" s="1"/>
  <c r="L824" i="1"/>
  <c r="M824" i="1" s="1"/>
  <c r="K824" i="1"/>
  <c r="L308" i="1"/>
  <c r="M308" i="1" s="1"/>
  <c r="K308" i="1"/>
  <c r="L879" i="1"/>
  <c r="M879" i="1" s="1"/>
  <c r="K879" i="1"/>
  <c r="K964" i="1"/>
  <c r="L964" i="1"/>
  <c r="M964" i="1" s="1"/>
  <c r="L875" i="1"/>
  <c r="M875" i="1" s="1"/>
  <c r="K875" i="1"/>
  <c r="L305" i="1"/>
  <c r="M305" i="1" s="1"/>
  <c r="K305" i="1"/>
  <c r="L333" i="1"/>
  <c r="M333" i="1" s="1"/>
  <c r="L1068" i="1"/>
  <c r="M1068" i="1" s="1"/>
  <c r="K1068" i="1"/>
  <c r="K868" i="1"/>
  <c r="L868" i="1"/>
  <c r="M868" i="1" s="1"/>
  <c r="K912" i="1"/>
  <c r="L912" i="1"/>
  <c r="M912" i="1" s="1"/>
  <c r="L306" i="1"/>
  <c r="M306" i="1" s="1"/>
  <c r="K306" i="1"/>
  <c r="L85" i="1"/>
  <c r="M85" i="1" s="1"/>
  <c r="K85" i="1"/>
  <c r="K907" i="1"/>
  <c r="L907" i="1"/>
  <c r="M907" i="1" s="1"/>
  <c r="L869" i="1"/>
  <c r="M869" i="1" s="1"/>
  <c r="K869" i="1"/>
  <c r="L913" i="1"/>
  <c r="M913" i="1" s="1"/>
  <c r="K913" i="1"/>
  <c r="K837" i="1"/>
  <c r="L837" i="1"/>
  <c r="M837" i="1" s="1"/>
  <c r="L109" i="1"/>
  <c r="M109" i="1" s="1"/>
  <c r="K109" i="1"/>
  <c r="L890" i="1"/>
  <c r="M890" i="1" s="1"/>
  <c r="K890" i="1"/>
  <c r="L900" i="1"/>
  <c r="M900" i="1" s="1"/>
  <c r="K900" i="1"/>
  <c r="L903" i="1"/>
  <c r="M903" i="1" s="1"/>
  <c r="K903" i="1"/>
  <c r="L288" i="1"/>
  <c r="M288" i="1" s="1"/>
  <c r="K288" i="1"/>
  <c r="L927" i="1"/>
  <c r="M927" i="1" s="1"/>
  <c r="K927" i="1"/>
  <c r="L284" i="1"/>
  <c r="M284" i="1" s="1"/>
  <c r="K284" i="1"/>
  <c r="L939" i="1"/>
  <c r="M939" i="1" s="1"/>
  <c r="K939" i="1"/>
  <c r="K664" i="1"/>
  <c r="L664" i="1"/>
  <c r="M664" i="1" s="1"/>
  <c r="L881" i="1"/>
  <c r="M881" i="1" s="1"/>
  <c r="K881" i="1"/>
  <c r="K1090" i="1"/>
  <c r="L1090" i="1"/>
  <c r="M1090" i="1" s="1"/>
  <c r="L352" i="1"/>
  <c r="M352" i="1" s="1"/>
  <c r="K352" i="1"/>
  <c r="K870" i="1"/>
  <c r="L870" i="1"/>
  <c r="M870" i="1" s="1"/>
  <c r="K865" i="1"/>
  <c r="L865" i="1"/>
  <c r="M865" i="1" s="1"/>
  <c r="L924" i="1"/>
  <c r="M924" i="1" s="1"/>
  <c r="K924" i="1"/>
  <c r="K344" i="1"/>
  <c r="L344" i="1"/>
  <c r="M344" i="1" s="1"/>
  <c r="L920" i="1"/>
  <c r="M920" i="1" s="1"/>
  <c r="K920" i="1"/>
  <c r="L889" i="1"/>
  <c r="M889" i="1" s="1"/>
  <c r="K889" i="1"/>
  <c r="L826" i="1"/>
  <c r="M826" i="1" s="1"/>
  <c r="K826" i="1"/>
  <c r="L129" i="1"/>
  <c r="M129" i="1" s="1"/>
  <c r="K129" i="1"/>
  <c r="L940" i="1"/>
  <c r="M940" i="1" s="1"/>
  <c r="K940" i="1"/>
  <c r="L121" i="1"/>
  <c r="M121" i="1" s="1"/>
  <c r="K121" i="1"/>
  <c r="K941" i="1"/>
  <c r="L941" i="1"/>
  <c r="M941" i="1" s="1"/>
  <c r="L663" i="1"/>
  <c r="M663" i="1" s="1"/>
  <c r="K663" i="1"/>
  <c r="L834" i="1"/>
  <c r="M834" i="1" s="1"/>
  <c r="K834" i="1"/>
  <c r="L2" i="1"/>
  <c r="M2" i="1" s="1"/>
  <c r="K2" i="1"/>
  <c r="K669" i="1"/>
  <c r="L669" i="1"/>
  <c r="M669" i="1" s="1"/>
  <c r="K6" i="1"/>
  <c r="L6" i="1"/>
  <c r="M6" i="1" s="1"/>
  <c r="K935" i="1"/>
  <c r="L935" i="1"/>
  <c r="M935" i="1" s="1"/>
  <c r="L880" i="1"/>
  <c r="M880" i="1" s="1"/>
  <c r="K880" i="1"/>
  <c r="L932" i="1"/>
  <c r="M932" i="1" s="1"/>
  <c r="K932" i="1"/>
  <c r="K28" i="1"/>
  <c r="L28" i="1"/>
  <c r="M28" i="1" s="1"/>
  <c r="L662" i="1"/>
  <c r="M662" i="1" s="1"/>
  <c r="K662" i="1"/>
  <c r="L304" i="1"/>
  <c r="M304" i="1" s="1"/>
  <c r="K304" i="1"/>
  <c r="L668" i="1"/>
  <c r="M668" i="1" s="1"/>
  <c r="K668" i="1"/>
  <c r="L878" i="1"/>
  <c r="M878" i="1" s="1"/>
  <c r="K878" i="1"/>
  <c r="L933" i="1"/>
  <c r="M933" i="1" s="1"/>
  <c r="K933" i="1"/>
  <c r="L301" i="1"/>
  <c r="M301" i="1" s="1"/>
  <c r="K301" i="1"/>
  <c r="L347" i="1"/>
  <c r="M347" i="1" s="1"/>
  <c r="K347" i="1"/>
  <c r="K772" i="1"/>
  <c r="L772" i="1"/>
  <c r="M772" i="1" s="1"/>
  <c r="L882" i="1"/>
  <c r="M882" i="1" s="1"/>
  <c r="K882" i="1"/>
  <c r="L665" i="1"/>
  <c r="M665" i="1" s="1"/>
  <c r="K665" i="1"/>
  <c r="L280" i="1"/>
  <c r="M280" i="1" s="1"/>
  <c r="K280" i="1"/>
  <c r="L867" i="1"/>
  <c r="M867" i="1" s="1"/>
  <c r="K867" i="1"/>
  <c r="K348" i="1"/>
  <c r="L348" i="1"/>
  <c r="M348" i="1" s="1"/>
  <c r="L873" i="1"/>
  <c r="M873" i="1" s="1"/>
  <c r="K873" i="1"/>
  <c r="L298" i="1"/>
  <c r="M298" i="1" s="1"/>
  <c r="K298" i="1"/>
  <c r="L901" i="1"/>
  <c r="M901" i="1" s="1"/>
  <c r="K901" i="1"/>
  <c r="L945" i="1"/>
  <c r="M945" i="1" s="1"/>
  <c r="K945" i="1"/>
  <c r="L303" i="1"/>
  <c r="M303" i="1" s="1"/>
  <c r="K303" i="1"/>
  <c r="H1092" i="1"/>
  <c r="I1092" i="1" s="1"/>
  <c r="H1144" i="1"/>
  <c r="I1144" i="1" s="1"/>
  <c r="H1145" i="1"/>
  <c r="I1145" i="1" s="1"/>
  <c r="H968" i="1"/>
  <c r="I968" i="1" s="1"/>
  <c r="H1101" i="1"/>
  <c r="I1101" i="1" s="1"/>
  <c r="H996" i="1"/>
  <c r="I996" i="1" s="1"/>
  <c r="H971" i="1"/>
  <c r="I971" i="1" s="1"/>
  <c r="H1110" i="1"/>
  <c r="I1110" i="1" s="1"/>
  <c r="H293" i="1"/>
  <c r="I293" i="1" s="1"/>
  <c r="H1027" i="1"/>
  <c r="I1027" i="1" s="1"/>
  <c r="H311" i="1"/>
  <c r="I311" i="1" s="1"/>
  <c r="H1125" i="1"/>
  <c r="I1125" i="1" s="1"/>
  <c r="H974" i="1"/>
  <c r="I974" i="1" s="1"/>
  <c r="H1028" i="1"/>
  <c r="I1028" i="1" s="1"/>
  <c r="H1030" i="1"/>
  <c r="I1030" i="1" s="1"/>
  <c r="H1096" i="1"/>
  <c r="I1096" i="1" s="1"/>
  <c r="H1097" i="1"/>
  <c r="I1097" i="1" s="1"/>
  <c r="H1031" i="1"/>
  <c r="I1031" i="1" s="1"/>
  <c r="H976" i="1"/>
  <c r="I976" i="1" s="1"/>
  <c r="H294" i="1"/>
  <c r="I294" i="1" s="1"/>
  <c r="H274" i="1"/>
  <c r="I274" i="1" s="1"/>
  <c r="H1129" i="1"/>
  <c r="I1129" i="1" s="1"/>
  <c r="H1070" i="1"/>
  <c r="I1070" i="1" s="1"/>
  <c r="H1162" i="1"/>
  <c r="I1162" i="1" s="1"/>
  <c r="H977" i="1"/>
  <c r="I977" i="1" s="1"/>
  <c r="H312" i="1"/>
  <c r="I312" i="1" s="1"/>
  <c r="H1126" i="1"/>
  <c r="I1126" i="1" s="1"/>
  <c r="H978" i="1"/>
  <c r="I978" i="1" s="1"/>
  <c r="H1033" i="1"/>
  <c r="I1033" i="1" s="1"/>
  <c r="H295" i="1"/>
  <c r="I295" i="1" s="1"/>
  <c r="H980" i="1"/>
  <c r="I980" i="1" s="1"/>
  <c r="H981" i="1"/>
  <c r="I981" i="1" s="1"/>
  <c r="H982" i="1"/>
  <c r="I982" i="1" s="1"/>
  <c r="H1161" i="1"/>
  <c r="I1161" i="1" s="1"/>
  <c r="H983" i="1"/>
  <c r="I983" i="1" s="1"/>
  <c r="H985" i="1"/>
  <c r="I985" i="1" s="1"/>
  <c r="H987" i="1"/>
  <c r="I987" i="1" s="1"/>
  <c r="H988" i="1"/>
  <c r="I988" i="1" s="1"/>
  <c r="H960" i="1"/>
  <c r="I960" i="1" s="1"/>
  <c r="H1035" i="1"/>
  <c r="I1035" i="1" s="1"/>
  <c r="H1036" i="1"/>
  <c r="I1036" i="1" s="1"/>
  <c r="H1037" i="1"/>
  <c r="I1037" i="1" s="1"/>
  <c r="H991" i="1"/>
  <c r="I991" i="1" s="1"/>
  <c r="H1039" i="1"/>
  <c r="I1039" i="1" s="1"/>
  <c r="H313" i="1"/>
  <c r="I313" i="1" s="1"/>
  <c r="H1041" i="1"/>
  <c r="I1041" i="1" s="1"/>
  <c r="H1043" i="1"/>
  <c r="I1043" i="1" s="1"/>
  <c r="H947" i="1"/>
  <c r="I947" i="1" s="1"/>
  <c r="H948" i="1"/>
  <c r="I948" i="1" s="1"/>
  <c r="H1045" i="1"/>
  <c r="I1045" i="1" s="1"/>
  <c r="H949" i="1"/>
  <c r="I949" i="1" s="1"/>
  <c r="H1046" i="1"/>
  <c r="I1046" i="1" s="1"/>
  <c r="H1047" i="1"/>
  <c r="I1047" i="1" s="1"/>
  <c r="H951" i="1"/>
  <c r="I951" i="1" s="1"/>
  <c r="H1063" i="1"/>
  <c r="I1063" i="1" s="1"/>
  <c r="H1048" i="1"/>
  <c r="I1048" i="1" s="1"/>
  <c r="H952" i="1"/>
  <c r="I952" i="1" s="1"/>
  <c r="H1050" i="1"/>
  <c r="I1050" i="1" s="1"/>
  <c r="H955" i="1"/>
  <c r="I955" i="1" s="1"/>
  <c r="H290" i="1"/>
  <c r="I290" i="1" s="1"/>
  <c r="H956" i="1"/>
  <c r="I956" i="1" s="1"/>
  <c r="H1091" i="1"/>
  <c r="I1091" i="1" s="1"/>
  <c r="H1152" i="1"/>
  <c r="I1152" i="1" s="1"/>
  <c r="H959" i="1"/>
  <c r="I959" i="1" s="1"/>
  <c r="H1098" i="1"/>
  <c r="I1098" i="1" s="1"/>
  <c r="H1086" i="1"/>
  <c r="I1086" i="1" s="1"/>
  <c r="H992" i="1"/>
  <c r="I992" i="1" s="1"/>
  <c r="H993" i="1"/>
  <c r="I993" i="1" s="1"/>
  <c r="H1078" i="1"/>
  <c r="I1078" i="1" s="1"/>
  <c r="H287" i="1"/>
  <c r="I287" i="1" s="1"/>
  <c r="H997" i="1"/>
  <c r="I997" i="1" s="1"/>
  <c r="H999" i="1"/>
  <c r="I999" i="1" s="1"/>
  <c r="H1001" i="1"/>
  <c r="I1001" i="1" s="1"/>
  <c r="H1003" i="1"/>
  <c r="I1003" i="1" s="1"/>
  <c r="H1004" i="1"/>
  <c r="I1004" i="1" s="1"/>
  <c r="H1005" i="1"/>
  <c r="I1005" i="1" s="1"/>
  <c r="H1099" i="1"/>
  <c r="I1099" i="1" s="1"/>
  <c r="H1065" i="1"/>
  <c r="I1065" i="1" s="1"/>
  <c r="H1007" i="1"/>
  <c r="I1007" i="1" s="1"/>
  <c r="H1009" i="1"/>
  <c r="I1009" i="1" s="1"/>
  <c r="H1102" i="1"/>
  <c r="I1102" i="1" s="1"/>
  <c r="H289" i="1"/>
  <c r="I289" i="1" s="1"/>
  <c r="H1118" i="1"/>
  <c r="I1118" i="1" s="1"/>
  <c r="H1154" i="1"/>
  <c r="I1154" i="1" s="1"/>
  <c r="H1052" i="1"/>
  <c r="I1052" i="1" s="1"/>
  <c r="H1103" i="1"/>
  <c r="I1103" i="1" s="1"/>
  <c r="H1116" i="1"/>
  <c r="I1116" i="1" s="1"/>
  <c r="H1114" i="1"/>
  <c r="I1114" i="1" s="1"/>
  <c r="H1053" i="1"/>
  <c r="I1053" i="1" s="1"/>
  <c r="H1112" i="1"/>
  <c r="I1112" i="1" s="1"/>
  <c r="H1084" i="1"/>
  <c r="I1084" i="1" s="1"/>
  <c r="H1010" i="1"/>
  <c r="I1010" i="1" s="1"/>
  <c r="H1013" i="1"/>
  <c r="I1013" i="1" s="1"/>
  <c r="H1056" i="1"/>
  <c r="I1056" i="1" s="1"/>
  <c r="H1015" i="1"/>
  <c r="I1015" i="1" s="1"/>
  <c r="H1018" i="1"/>
  <c r="I1018" i="1" s="1"/>
  <c r="H1061" i="1"/>
  <c r="I1061" i="1" s="1"/>
  <c r="H1020" i="1"/>
  <c r="I1020" i="1" s="1"/>
  <c r="H1022" i="1"/>
  <c r="I1022" i="1" s="1"/>
  <c r="H1159" i="1"/>
  <c r="I1159" i="1" s="1"/>
  <c r="H1133" i="1"/>
  <c r="I1133" i="1" s="1"/>
  <c r="H1140" i="1"/>
  <c r="I1140" i="1" s="1"/>
  <c r="H1122" i="1"/>
  <c r="I1122" i="1" s="1"/>
  <c r="H1141" i="1"/>
  <c r="I1141" i="1" s="1"/>
  <c r="H1146" i="1"/>
  <c r="I1146" i="1" s="1"/>
  <c r="H1139" i="1"/>
  <c r="I1139" i="1" s="1"/>
  <c r="H1158" i="1"/>
  <c r="I1158" i="1" s="1"/>
  <c r="H296" i="1"/>
  <c r="I296" i="1" s="1"/>
  <c r="H1137" i="1"/>
  <c r="I1137" i="1" s="1"/>
  <c r="H1147" i="1"/>
  <c r="I1147" i="1" s="1"/>
  <c r="H957" i="1"/>
  <c r="I957" i="1" s="1"/>
  <c r="H1155" i="1"/>
  <c r="I1155" i="1" s="1"/>
  <c r="H1150" i="1"/>
  <c r="I1150" i="1" s="1"/>
  <c r="H1151" i="1"/>
  <c r="I1151" i="1" s="1"/>
  <c r="H273" i="1"/>
  <c r="I273" i="1" s="1"/>
  <c r="H1142" i="1"/>
  <c r="I1142" i="1" s="1"/>
  <c r="H1076" i="1"/>
  <c r="I1076" i="1" s="1"/>
  <c r="H1071" i="1"/>
  <c r="I1071" i="1" s="1"/>
  <c r="H1164" i="1"/>
  <c r="I1164" i="1" s="1"/>
  <c r="H1163" i="1"/>
  <c r="I1163" i="1" s="1"/>
  <c r="P2" i="1"/>
  <c r="P3" i="1"/>
  <c r="P852" i="1"/>
  <c r="P1165" i="1"/>
  <c r="P1173" i="1"/>
  <c r="P7" i="1"/>
  <c r="P353" i="1"/>
  <c r="P113" i="1"/>
  <c r="P5" i="1"/>
  <c r="P9" i="1"/>
  <c r="P28" i="1"/>
  <c r="P8" i="1"/>
  <c r="P85" i="1"/>
  <c r="P10" i="1"/>
  <c r="P11" i="1"/>
  <c r="P12" i="1"/>
  <c r="P13" i="1"/>
  <c r="P114" i="1"/>
  <c r="P354" i="1"/>
  <c r="P355" i="1"/>
  <c r="P14" i="1"/>
  <c r="P115" i="1"/>
  <c r="P116" i="1"/>
  <c r="P117" i="1"/>
  <c r="P356" i="1"/>
  <c r="P357" i="1"/>
  <c r="P358" i="1"/>
  <c r="P359" i="1"/>
  <c r="P15" i="1"/>
  <c r="P16" i="1"/>
  <c r="P1167" i="1"/>
  <c r="P360" i="1"/>
  <c r="P1166" i="1"/>
  <c r="P17" i="1"/>
  <c r="P18" i="1"/>
  <c r="P19" i="1"/>
  <c r="P20" i="1"/>
  <c r="P21" i="1"/>
  <c r="P22" i="1"/>
  <c r="P23" i="1"/>
  <c r="P24" i="1"/>
  <c r="P25" i="1"/>
  <c r="P26" i="1"/>
  <c r="P27" i="1"/>
  <c r="P29" i="1"/>
  <c r="P30" i="1"/>
  <c r="P31" i="1"/>
  <c r="P32" i="1"/>
  <c r="P33" i="1"/>
  <c r="P34" i="1"/>
  <c r="P35" i="1"/>
  <c r="P36" i="1"/>
  <c r="P37" i="1"/>
  <c r="P38" i="1"/>
  <c r="P39" i="1"/>
  <c r="P825" i="1"/>
  <c r="P40" i="1"/>
  <c r="P87" i="1"/>
  <c r="P88" i="1"/>
  <c r="P41" i="1"/>
  <c r="P42" i="1"/>
  <c r="P43" i="1"/>
  <c r="P44" i="1"/>
  <c r="P45" i="1"/>
  <c r="P46" i="1"/>
  <c r="P826" i="1"/>
  <c r="P47" i="1"/>
  <c r="P48" i="1"/>
  <c r="P361" i="1"/>
  <c r="P362" i="1"/>
  <c r="P842" i="1"/>
  <c r="P363" i="1"/>
  <c r="P1168" i="1"/>
  <c r="P49" i="1"/>
  <c r="P119" i="1"/>
  <c r="P364" i="1"/>
  <c r="P365" i="1"/>
  <c r="P50" i="1"/>
  <c r="P120" i="1"/>
  <c r="P51" i="1"/>
  <c r="P1113" i="1"/>
  <c r="P52" i="1"/>
  <c r="P1169" i="1"/>
  <c r="P53" i="1"/>
  <c r="P54" i="1"/>
  <c r="P55" i="1"/>
  <c r="P56" i="1"/>
  <c r="P122" i="1"/>
  <c r="P123" i="1"/>
  <c r="P366" i="1"/>
  <c r="P367" i="1"/>
  <c r="P57" i="1"/>
  <c r="P58" i="1"/>
  <c r="P1075" i="1"/>
  <c r="P59" i="1"/>
  <c r="P60" i="1"/>
  <c r="P61" i="1"/>
  <c r="P62" i="1"/>
  <c r="P1170" i="1"/>
  <c r="P124" i="1"/>
  <c r="P125" i="1"/>
  <c r="P63" i="1"/>
  <c r="P64" i="1"/>
  <c r="P126" i="1"/>
  <c r="P368" i="1"/>
  <c r="P369" i="1"/>
  <c r="P370" i="1"/>
  <c r="P65" i="1"/>
  <c r="P66" i="1"/>
  <c r="P67" i="1"/>
  <c r="P68" i="1"/>
  <c r="P69" i="1"/>
  <c r="P1171" i="1"/>
  <c r="P127" i="1"/>
  <c r="P70" i="1"/>
  <c r="P371" i="1"/>
  <c r="P372" i="1"/>
  <c r="P128" i="1"/>
  <c r="P71" i="1"/>
  <c r="P72" i="1"/>
  <c r="P112" i="1"/>
  <c r="P1072" i="1"/>
  <c r="P73" i="1"/>
  <c r="P74" i="1"/>
  <c r="P75" i="1"/>
  <c r="P76" i="1"/>
  <c r="P373" i="1"/>
  <c r="P77" i="1"/>
  <c r="P130" i="1"/>
  <c r="P374" i="1"/>
  <c r="P78" i="1"/>
  <c r="P79" i="1"/>
  <c r="P80" i="1"/>
  <c r="P81" i="1"/>
  <c r="P82" i="1"/>
  <c r="P1073" i="1"/>
  <c r="P1172" i="1"/>
  <c r="P131" i="1"/>
  <c r="P375" i="1"/>
  <c r="P132" i="1"/>
  <c r="P376" i="1"/>
  <c r="P377" i="1"/>
  <c r="P133" i="1"/>
  <c r="P83" i="1"/>
  <c r="P84" i="1"/>
  <c r="P134" i="1"/>
  <c r="P378" i="1"/>
  <c r="P379" i="1"/>
  <c r="P380" i="1"/>
  <c r="P1074" i="1"/>
  <c r="P135" i="1"/>
  <c r="P246" i="1"/>
  <c r="P247" i="1"/>
  <c r="P249" i="1"/>
  <c r="P250" i="1"/>
  <c r="P1088" i="1"/>
  <c r="P1153" i="1"/>
  <c r="P1143" i="1"/>
  <c r="P843" i="1"/>
  <c r="P1117" i="1"/>
  <c r="P1100" i="1"/>
  <c r="P1156" i="1"/>
  <c r="P1092" i="1"/>
  <c r="P1144" i="1"/>
  <c r="P136" i="1"/>
  <c r="P381" i="1"/>
  <c r="P1145" i="1"/>
  <c r="P1121" i="1"/>
  <c r="P1024" i="1"/>
  <c r="P1025" i="1"/>
  <c r="P253" i="1"/>
  <c r="P1093" i="1"/>
  <c r="P844" i="1"/>
  <c r="P1083" i="1"/>
  <c r="P292" i="1"/>
  <c r="P1094" i="1"/>
  <c r="P967" i="1"/>
  <c r="P1026" i="1"/>
  <c r="P254" i="1"/>
  <c r="P382" i="1"/>
  <c r="P968" i="1"/>
  <c r="P969" i="1"/>
  <c r="P383" i="1"/>
  <c r="P1101" i="1"/>
  <c r="P995" i="1"/>
  <c r="P255" i="1"/>
  <c r="P970" i="1"/>
  <c r="P308" i="1"/>
  <c r="P827" i="1"/>
  <c r="P996" i="1"/>
  <c r="P256" i="1"/>
  <c r="P971" i="1"/>
  <c r="P310" i="1"/>
  <c r="P89" i="1"/>
  <c r="P1110" i="1"/>
  <c r="P293" i="1"/>
  <c r="P966" i="1"/>
  <c r="P1027" i="1"/>
  <c r="P297" i="1"/>
  <c r="P972" i="1"/>
  <c r="P311" i="1"/>
  <c r="P1125" i="1"/>
  <c r="P973" i="1"/>
  <c r="P974" i="1"/>
  <c r="P1028" i="1"/>
  <c r="P1066" i="1"/>
  <c r="P1095" i="1"/>
  <c r="P1029" i="1"/>
  <c r="P1030" i="1"/>
  <c r="P1096" i="1"/>
  <c r="P975" i="1"/>
  <c r="P1097" i="1"/>
  <c r="P1085" i="1"/>
  <c r="P1031" i="1"/>
  <c r="P1069" i="1"/>
  <c r="P976" i="1"/>
  <c r="P1032" i="1"/>
  <c r="P294" i="1"/>
  <c r="P274" i="1"/>
  <c r="P1129" i="1"/>
  <c r="P958" i="1"/>
  <c r="P1070" i="1"/>
  <c r="P1162" i="1"/>
  <c r="P977" i="1"/>
  <c r="P1131" i="1"/>
  <c r="P312" i="1"/>
  <c r="P1126" i="1"/>
  <c r="P978" i="1"/>
  <c r="P1033" i="1"/>
  <c r="P295" i="1"/>
  <c r="P298" i="1"/>
  <c r="P299" i="1"/>
  <c r="P300" i="1"/>
  <c r="P301" i="1"/>
  <c r="P257" i="1"/>
  <c r="P302" i="1"/>
  <c r="P303" i="1"/>
  <c r="P304" i="1"/>
  <c r="P384" i="1"/>
  <c r="P385" i="1"/>
  <c r="P305" i="1"/>
  <c r="P137" i="1"/>
  <c r="P306" i="1"/>
  <c r="P979" i="1"/>
  <c r="P980" i="1"/>
  <c r="P138" i="1"/>
  <c r="P139" i="1"/>
  <c r="P140" i="1"/>
  <c r="P386" i="1"/>
  <c r="P981" i="1"/>
  <c r="P387" i="1"/>
  <c r="P388" i="1"/>
  <c r="P982" i="1"/>
  <c r="P1161" i="1"/>
  <c r="P983" i="1"/>
  <c r="P984" i="1"/>
  <c r="P141" i="1"/>
  <c r="P985" i="1"/>
  <c r="P389" i="1"/>
  <c r="P390" i="1"/>
  <c r="P986" i="1"/>
  <c r="P1034" i="1"/>
  <c r="P987" i="1"/>
  <c r="P1108" i="1"/>
  <c r="P1119" i="1"/>
  <c r="P988" i="1"/>
  <c r="P989" i="1"/>
  <c r="P828" i="1"/>
  <c r="P391" i="1"/>
  <c r="P1104" i="1"/>
  <c r="P288" i="1"/>
  <c r="P142" i="1"/>
  <c r="P309" i="1"/>
  <c r="P1064" i="1"/>
  <c r="P1035" i="1"/>
  <c r="P392" i="1"/>
  <c r="P1036" i="1"/>
  <c r="P393" i="1"/>
  <c r="P143" i="1"/>
  <c r="P990" i="1"/>
  <c r="P1037" i="1"/>
  <c r="P275" i="1"/>
  <c r="P394" i="1"/>
  <c r="P144" i="1"/>
  <c r="P991" i="1"/>
  <c r="P90" i="1"/>
  <c r="P829" i="1"/>
  <c r="P845" i="1"/>
  <c r="P1038" i="1"/>
  <c r="P1077" i="1"/>
  <c r="P1039" i="1"/>
  <c r="P313" i="1"/>
  <c r="P1040" i="1"/>
  <c r="P1041" i="1"/>
  <c r="P1042" i="1"/>
  <c r="P1043" i="1"/>
  <c r="P1044" i="1"/>
  <c r="P314" i="1"/>
  <c r="P947" i="1"/>
  <c r="P948" i="1"/>
  <c r="P1045" i="1"/>
  <c r="P949" i="1"/>
  <c r="P1046" i="1"/>
  <c r="P1047" i="1"/>
  <c r="P950" i="1"/>
  <c r="P395" i="1"/>
  <c r="P118" i="1"/>
  <c r="P951" i="1"/>
  <c r="P1063" i="1"/>
  <c r="P276" i="1"/>
  <c r="P1048" i="1"/>
  <c r="P277" i="1"/>
  <c r="P145" i="1"/>
  <c r="P396" i="1"/>
  <c r="P1049" i="1"/>
  <c r="P952" i="1"/>
  <c r="P1050" i="1"/>
  <c r="P953" i="1"/>
  <c r="P954" i="1"/>
  <c r="P955" i="1"/>
  <c r="P290" i="1"/>
  <c r="P956" i="1"/>
  <c r="P1051" i="1"/>
  <c r="P1091" i="1"/>
  <c r="P1152" i="1"/>
  <c r="P959" i="1"/>
  <c r="P1098" i="1"/>
  <c r="P1120" i="1"/>
  <c r="P1086" i="1"/>
  <c r="P146" i="1"/>
  <c r="P147" i="1"/>
  <c r="P397" i="1"/>
  <c r="P398" i="1"/>
  <c r="P399" i="1"/>
  <c r="P992" i="1"/>
  <c r="P400" i="1"/>
  <c r="P1087" i="1"/>
  <c r="P278" i="1"/>
  <c r="P993" i="1"/>
  <c r="P994" i="1"/>
  <c r="P401" i="1"/>
  <c r="P1078" i="1"/>
  <c r="P1082" i="1"/>
  <c r="P402" i="1"/>
  <c r="P846" i="1"/>
  <c r="P148" i="1"/>
  <c r="P403" i="1"/>
  <c r="P404" i="1"/>
  <c r="P91" i="1"/>
  <c r="P258" i="1"/>
  <c r="P1111" i="1"/>
  <c r="P287" i="1"/>
  <c r="P149" i="1"/>
  <c r="P259" i="1"/>
  <c r="P997" i="1"/>
  <c r="P998" i="1"/>
  <c r="P854" i="1"/>
  <c r="P855" i="1"/>
  <c r="P856" i="1"/>
  <c r="P999" i="1"/>
  <c r="P1000" i="1"/>
  <c r="P405" i="1"/>
  <c r="P150" i="1"/>
  <c r="P1001" i="1"/>
  <c r="P1002" i="1"/>
  <c r="P1003" i="1"/>
  <c r="P1004" i="1"/>
  <c r="P1005" i="1"/>
  <c r="P1006" i="1"/>
  <c r="P151" i="1"/>
  <c r="P406" i="1"/>
  <c r="P1099" i="1"/>
  <c r="P1065" i="1"/>
  <c r="P1007" i="1"/>
  <c r="P1008" i="1"/>
  <c r="P1009" i="1"/>
  <c r="P1102" i="1"/>
  <c r="P289" i="1"/>
  <c r="P1118" i="1"/>
  <c r="P1154" i="1"/>
  <c r="P1052" i="1"/>
  <c r="P1103" i="1"/>
  <c r="P1116" i="1"/>
  <c r="P1114" i="1"/>
  <c r="P1053" i="1"/>
  <c r="P407" i="1"/>
  <c r="P1112" i="1"/>
  <c r="P1084" i="1"/>
  <c r="P152" i="1"/>
  <c r="P1010" i="1"/>
  <c r="P1054" i="1"/>
  <c r="P1011" i="1"/>
  <c r="P1055" i="1"/>
  <c r="P1012" i="1"/>
  <c r="P1013" i="1"/>
  <c r="P1056" i="1"/>
  <c r="P1014" i="1"/>
  <c r="P1015" i="1"/>
  <c r="P1057" i="1"/>
  <c r="P1016" i="1"/>
  <c r="P1017" i="1"/>
  <c r="P1060" i="1"/>
  <c r="P1018" i="1"/>
  <c r="P1061" i="1"/>
  <c r="P1019" i="1"/>
  <c r="P1020" i="1"/>
  <c r="P853" i="1"/>
  <c r="P1021" i="1"/>
  <c r="P1022" i="1"/>
  <c r="P1062" i="1"/>
  <c r="P408" i="1"/>
  <c r="P409" i="1"/>
  <c r="P153" i="1"/>
  <c r="P154" i="1"/>
  <c r="P410" i="1"/>
  <c r="P411" i="1"/>
  <c r="P1023" i="1"/>
  <c r="P1127" i="1"/>
  <c r="P463" i="1"/>
  <c r="P464" i="1"/>
  <c r="P465" i="1"/>
  <c r="P466" i="1"/>
  <c r="P467" i="1"/>
  <c r="P412" i="1"/>
  <c r="P468" i="1"/>
  <c r="P155" i="1"/>
  <c r="P469" i="1"/>
  <c r="P470" i="1"/>
  <c r="P413" i="1"/>
  <c r="P414" i="1"/>
  <c r="P471" i="1"/>
  <c r="P156" i="1"/>
  <c r="P472" i="1"/>
  <c r="P473" i="1"/>
  <c r="P474" i="1"/>
  <c r="P475" i="1"/>
  <c r="P415" i="1"/>
  <c r="P416" i="1"/>
  <c r="P830" i="1"/>
  <c r="P476" i="1"/>
  <c r="P477" i="1"/>
  <c r="P478" i="1"/>
  <c r="P479" i="1"/>
  <c r="P92" i="1"/>
  <c r="P847" i="1"/>
  <c r="P480" i="1"/>
  <c r="P157" i="1"/>
  <c r="P481" i="1"/>
  <c r="P158" i="1"/>
  <c r="P482" i="1"/>
  <c r="P417" i="1"/>
  <c r="P483" i="1"/>
  <c r="P484" i="1"/>
  <c r="P485" i="1"/>
  <c r="P486" i="1"/>
  <c r="P487" i="1"/>
  <c r="P488" i="1"/>
  <c r="P489" i="1"/>
  <c r="P490" i="1"/>
  <c r="P491" i="1"/>
  <c r="P492" i="1"/>
  <c r="P493" i="1"/>
  <c r="P494" i="1"/>
  <c r="P243" i="1"/>
  <c r="P244" i="1"/>
  <c r="P251" i="1"/>
  <c r="P495" i="1"/>
  <c r="P496" i="1"/>
  <c r="P159" i="1"/>
  <c r="P418" i="1"/>
  <c r="P497" i="1"/>
  <c r="P419" i="1"/>
  <c r="P498" i="1"/>
  <c r="P160" i="1"/>
  <c r="P499" i="1"/>
  <c r="P500" i="1"/>
  <c r="P501" i="1"/>
  <c r="P502" i="1"/>
  <c r="P503" i="1"/>
  <c r="P504" i="1"/>
  <c r="P505" i="1"/>
  <c r="P506" i="1"/>
  <c r="P161" i="1"/>
  <c r="P420" i="1"/>
  <c r="P507" i="1"/>
  <c r="P508" i="1"/>
  <c r="P162" i="1"/>
  <c r="P421" i="1"/>
  <c r="P509" i="1"/>
  <c r="P510" i="1"/>
  <c r="P511" i="1"/>
  <c r="P512" i="1"/>
  <c r="P513" i="1"/>
  <c r="P514" i="1"/>
  <c r="P515" i="1"/>
  <c r="P516" i="1"/>
  <c r="P260" i="1"/>
  <c r="P517" i="1"/>
  <c r="P518" i="1"/>
  <c r="P519" i="1"/>
  <c r="P520" i="1"/>
  <c r="P521" i="1"/>
  <c r="P522" i="1"/>
  <c r="P261" i="1"/>
  <c r="P523" i="1"/>
  <c r="P524" i="1"/>
  <c r="P525" i="1"/>
  <c r="P526" i="1"/>
  <c r="P527" i="1"/>
  <c r="P528" i="1"/>
  <c r="P529" i="1"/>
  <c r="P530" i="1"/>
  <c r="P163" i="1"/>
  <c r="P422" i="1"/>
  <c r="P531" i="1"/>
  <c r="P532" i="1"/>
  <c r="P164" i="1"/>
  <c r="P423" i="1"/>
  <c r="P533" i="1"/>
  <c r="P165" i="1"/>
  <c r="P424" i="1"/>
  <c r="P425" i="1"/>
  <c r="P534" i="1"/>
  <c r="P535" i="1"/>
  <c r="P536" i="1"/>
  <c r="P426" i="1"/>
  <c r="P93" i="1"/>
  <c r="P537" i="1"/>
  <c r="P538" i="1"/>
  <c r="P848" i="1"/>
  <c r="P166" i="1"/>
  <c r="P831" i="1"/>
  <c r="P427" i="1"/>
  <c r="P539" i="1"/>
  <c r="P540" i="1"/>
  <c r="P541" i="1"/>
  <c r="P542" i="1"/>
  <c r="P543" i="1"/>
  <c r="P544" i="1"/>
  <c r="P545" i="1"/>
  <c r="P428" i="1"/>
  <c r="P546" i="1"/>
  <c r="P547" i="1"/>
  <c r="P429" i="1"/>
  <c r="P430" i="1"/>
  <c r="P548" i="1"/>
  <c r="P549" i="1"/>
  <c r="P167" i="1"/>
  <c r="P94" i="1"/>
  <c r="P168" i="1"/>
  <c r="P832" i="1"/>
  <c r="P431" i="1"/>
  <c r="P550" i="1"/>
  <c r="P551" i="1"/>
  <c r="P552" i="1"/>
  <c r="P169" i="1"/>
  <c r="P553" i="1"/>
  <c r="P432" i="1"/>
  <c r="P554" i="1"/>
  <c r="P555" i="1"/>
  <c r="P556" i="1"/>
  <c r="P557" i="1"/>
  <c r="P558" i="1"/>
  <c r="P559" i="1"/>
  <c r="P560" i="1"/>
  <c r="P561" i="1"/>
  <c r="P562" i="1"/>
  <c r="P170" i="1"/>
  <c r="P563" i="1"/>
  <c r="P564" i="1"/>
  <c r="P433" i="1"/>
  <c r="P434" i="1"/>
  <c r="P565" i="1"/>
  <c r="P171" i="1"/>
  <c r="P566" i="1"/>
  <c r="P567" i="1"/>
  <c r="P568" i="1"/>
  <c r="P569" i="1"/>
  <c r="P435" i="1"/>
  <c r="P570" i="1"/>
  <c r="P571" i="1"/>
  <c r="P172" i="1"/>
  <c r="P572" i="1"/>
  <c r="P573" i="1"/>
  <c r="P574" i="1"/>
  <c r="P575" i="1"/>
  <c r="P576" i="1"/>
  <c r="P577" i="1"/>
  <c r="P436" i="1"/>
  <c r="P437" i="1"/>
  <c r="P173" i="1"/>
  <c r="P174" i="1"/>
  <c r="P578" i="1"/>
  <c r="P579" i="1"/>
  <c r="P580" i="1"/>
  <c r="P581" i="1"/>
  <c r="P582" i="1"/>
  <c r="P95" i="1"/>
  <c r="P438" i="1"/>
  <c r="P583" i="1"/>
  <c r="P175" i="1"/>
  <c r="P584" i="1"/>
  <c r="P585" i="1"/>
  <c r="P586" i="1"/>
  <c r="P1148" i="1"/>
  <c r="P1159" i="1"/>
  <c r="P307" i="1"/>
  <c r="P1160" i="1"/>
  <c r="P439" i="1"/>
  <c r="P176" i="1"/>
  <c r="P1133" i="1"/>
  <c r="P961" i="1"/>
  <c r="P129" i="1"/>
  <c r="P440" i="1"/>
  <c r="P1140" i="1"/>
  <c r="P177" i="1"/>
  <c r="P262" i="1"/>
  <c r="P441" i="1"/>
  <c r="P178" i="1"/>
  <c r="P121" i="1"/>
  <c r="P965" i="1"/>
  <c r="P282" i="1"/>
  <c r="P283" i="1"/>
  <c r="P279" i="1"/>
  <c r="P280" i="1"/>
  <c r="P179" i="1"/>
  <c r="P442" i="1"/>
  <c r="P284" i="1"/>
  <c r="P281" i="1"/>
  <c r="P263" i="1"/>
  <c r="P443" i="1"/>
  <c r="P444" i="1"/>
  <c r="P445" i="1"/>
  <c r="P1067" i="1"/>
  <c r="P180" i="1"/>
  <c r="P264" i="1"/>
  <c r="P963" i="1"/>
  <c r="P1138" i="1"/>
  <c r="P1134" i="1"/>
  <c r="P1122" i="1"/>
  <c r="P1157" i="1"/>
  <c r="P1141" i="1"/>
  <c r="P291" i="1"/>
  <c r="P446" i="1"/>
  <c r="P960" i="1"/>
  <c r="P447" i="1"/>
  <c r="P181" i="1"/>
  <c r="P182" i="1"/>
  <c r="P285" i="1"/>
  <c r="P1146" i="1"/>
  <c r="P1106" i="1"/>
  <c r="P1139" i="1"/>
  <c r="P1158" i="1"/>
  <c r="P1135" i="1"/>
  <c r="P1136" i="1"/>
  <c r="P1115" i="1"/>
  <c r="P296" i="1"/>
  <c r="P1132" i="1"/>
  <c r="P183" i="1"/>
  <c r="P448" i="1"/>
  <c r="P1137" i="1"/>
  <c r="P1123" i="1"/>
  <c r="P184" i="1"/>
  <c r="P1105" i="1"/>
  <c r="P1147" i="1"/>
  <c r="P1109" i="1"/>
  <c r="P1128" i="1"/>
  <c r="P957" i="1"/>
  <c r="P449" i="1"/>
  <c r="P450" i="1"/>
  <c r="P451" i="1"/>
  <c r="P185" i="1"/>
  <c r="P1107" i="1"/>
  <c r="P1089" i="1"/>
  <c r="P96" i="1"/>
  <c r="P265" i="1"/>
  <c r="P266" i="1"/>
  <c r="P267" i="1"/>
  <c r="P268" i="1"/>
  <c r="P269" i="1"/>
  <c r="P186" i="1"/>
  <c r="P187" i="1"/>
  <c r="P452" i="1"/>
  <c r="P453" i="1"/>
  <c r="P1068" i="1"/>
  <c r="P1090" i="1"/>
  <c r="P1149" i="1"/>
  <c r="P97" i="1"/>
  <c r="P1155" i="1"/>
  <c r="P1150" i="1"/>
  <c r="P1151" i="1"/>
  <c r="P273" i="1"/>
  <c r="P964" i="1"/>
  <c r="P1142" i="1"/>
  <c r="P286" i="1"/>
  <c r="P1124" i="1"/>
  <c r="P454" i="1"/>
  <c r="P455" i="1"/>
  <c r="P188" i="1"/>
  <c r="P642" i="1"/>
  <c r="P644" i="1"/>
  <c r="P645" i="1"/>
  <c r="P646" i="1"/>
  <c r="P647" i="1"/>
  <c r="P648" i="1"/>
  <c r="P649" i="1"/>
  <c r="P316" i="1"/>
  <c r="P317" i="1"/>
  <c r="P318" i="1"/>
  <c r="P319" i="1"/>
  <c r="P320" i="1"/>
  <c r="P321" i="1"/>
  <c r="P322" i="1"/>
  <c r="P456" i="1"/>
  <c r="P457" i="1"/>
  <c r="P323" i="1"/>
  <c r="P189" i="1"/>
  <c r="P324" i="1"/>
  <c r="P458" i="1"/>
  <c r="P190" i="1"/>
  <c r="P325" i="1"/>
  <c r="P326" i="1"/>
  <c r="P327" i="1"/>
  <c r="P459" i="1"/>
  <c r="P270" i="1"/>
  <c r="P328" i="1"/>
  <c r="P329" i="1"/>
  <c r="P460" i="1"/>
  <c r="P330" i="1"/>
  <c r="P191" i="1"/>
  <c r="P331" i="1"/>
  <c r="P332" i="1"/>
  <c r="P333" i="1"/>
  <c r="P461" i="1"/>
  <c r="P462" i="1"/>
  <c r="P192" i="1"/>
  <c r="P334" i="1"/>
  <c r="P335" i="1"/>
  <c r="P336" i="1"/>
  <c r="P193" i="1"/>
  <c r="P587" i="1"/>
  <c r="P673" i="1"/>
  <c r="P674" i="1"/>
  <c r="P849" i="1"/>
  <c r="P98" i="1"/>
  <c r="P833" i="1"/>
  <c r="P99" i="1"/>
  <c r="P100" i="1"/>
  <c r="P679" i="1"/>
  <c r="P680" i="1"/>
  <c r="P681" i="1"/>
  <c r="P682" i="1"/>
  <c r="P683" i="1"/>
  <c r="P689" i="1"/>
  <c r="P588" i="1"/>
  <c r="P194" i="1"/>
  <c r="P690" i="1"/>
  <c r="P195" i="1"/>
  <c r="P589" i="1"/>
  <c r="P590" i="1"/>
  <c r="P693" i="1"/>
  <c r="P196" i="1"/>
  <c r="P696" i="1"/>
  <c r="P697" i="1"/>
  <c r="P591" i="1"/>
  <c r="P197" i="1"/>
  <c r="P592" i="1"/>
  <c r="P701" i="1"/>
  <c r="P593" i="1"/>
  <c r="P594" i="1"/>
  <c r="P198" i="1"/>
  <c r="P703" i="1"/>
  <c r="P704" i="1"/>
  <c r="P199" i="1"/>
  <c r="P595" i="1"/>
  <c r="P596" i="1"/>
  <c r="P597" i="1"/>
  <c r="P271" i="1"/>
  <c r="P670" i="1"/>
  <c r="P671" i="1"/>
  <c r="P672" i="1"/>
  <c r="P675" i="1"/>
  <c r="P598" i="1"/>
  <c r="P200" i="1"/>
  <c r="P201" i="1"/>
  <c r="P676" i="1"/>
  <c r="P202" i="1"/>
  <c r="P203" i="1"/>
  <c r="P204" i="1"/>
  <c r="P205" i="1"/>
  <c r="P599" i="1"/>
  <c r="P600" i="1"/>
  <c r="P601" i="1"/>
  <c r="P602" i="1"/>
  <c r="P850" i="1"/>
  <c r="P677" i="1"/>
  <c r="P834" i="1"/>
  <c r="P678" i="1"/>
  <c r="P684" i="1"/>
  <c r="P685" i="1"/>
  <c r="P686" i="1"/>
  <c r="P206" i="1"/>
  <c r="P687" i="1"/>
  <c r="P688" i="1"/>
  <c r="P603" i="1"/>
  <c r="P604" i="1"/>
  <c r="P207" i="1"/>
  <c r="P691" i="1"/>
  <c r="P692" i="1"/>
  <c r="P694" i="1"/>
  <c r="P695" i="1"/>
  <c r="P698" i="1"/>
  <c r="P699" i="1"/>
  <c r="P208" i="1"/>
  <c r="P700" i="1"/>
  <c r="P835" i="1"/>
  <c r="P605" i="1"/>
  <c r="P702" i="1"/>
  <c r="P705" i="1"/>
  <c r="P706" i="1"/>
  <c r="P101" i="1"/>
  <c r="P707" i="1"/>
  <c r="P708" i="1"/>
  <c r="P606" i="1"/>
  <c r="P209" i="1"/>
  <c r="P709" i="1"/>
  <c r="P851" i="1"/>
  <c r="P710" i="1"/>
  <c r="P711" i="1"/>
  <c r="P712" i="1"/>
  <c r="P713" i="1"/>
  <c r="P210" i="1"/>
  <c r="P607" i="1"/>
  <c r="P608" i="1"/>
  <c r="P211" i="1"/>
  <c r="P714" i="1"/>
  <c r="P715" i="1"/>
  <c r="P716" i="1"/>
  <c r="P717" i="1"/>
  <c r="P718" i="1"/>
  <c r="P836" i="1"/>
  <c r="P719" i="1"/>
  <c r="P720" i="1"/>
  <c r="P721" i="1"/>
  <c r="P722" i="1"/>
  <c r="P723" i="1"/>
  <c r="P724" i="1"/>
  <c r="P725" i="1"/>
  <c r="P726" i="1"/>
  <c r="P727" i="1"/>
  <c r="P728" i="1"/>
  <c r="P729" i="1"/>
  <c r="P730" i="1"/>
  <c r="P731" i="1"/>
  <c r="P732" i="1"/>
  <c r="P733" i="1"/>
  <c r="P734" i="1"/>
  <c r="P837" i="1"/>
  <c r="P212" i="1"/>
  <c r="P735" i="1"/>
  <c r="P609" i="1"/>
  <c r="P610" i="1"/>
  <c r="P738" i="1"/>
  <c r="P739" i="1"/>
  <c r="P740" i="1"/>
  <c r="P741" i="1"/>
  <c r="P742" i="1"/>
  <c r="P743" i="1"/>
  <c r="P213" i="1"/>
  <c r="P611" i="1"/>
  <c r="P612" i="1"/>
  <c r="P744" i="1"/>
  <c r="P745" i="1"/>
  <c r="P746" i="1"/>
  <c r="P747" i="1"/>
  <c r="P748" i="1"/>
  <c r="P749" i="1"/>
  <c r="P750" i="1"/>
  <c r="P751" i="1"/>
  <c r="P613" i="1"/>
  <c r="P752" i="1"/>
  <c r="P214" i="1"/>
  <c r="P753" i="1"/>
  <c r="P754" i="1"/>
  <c r="P215" i="1"/>
  <c r="P614" i="1"/>
  <c r="P755" i="1"/>
  <c r="P756" i="1"/>
  <c r="P757" i="1"/>
  <c r="P758" i="1"/>
  <c r="P759" i="1"/>
  <c r="P216" i="1"/>
  <c r="P615" i="1"/>
  <c r="P616" i="1"/>
  <c r="P617" i="1"/>
  <c r="P217" i="1"/>
  <c r="P760" i="1"/>
  <c r="P761" i="1"/>
  <c r="P762" i="1"/>
  <c r="P763" i="1"/>
  <c r="P764" i="1"/>
  <c r="P618" i="1"/>
  <c r="P218" i="1"/>
  <c r="P765" i="1"/>
  <c r="P766" i="1"/>
  <c r="P767" i="1"/>
  <c r="P619" i="1"/>
  <c r="P768" i="1"/>
  <c r="P769" i="1"/>
  <c r="P770" i="1"/>
  <c r="P771" i="1"/>
  <c r="P620" i="1"/>
  <c r="P219" i="1"/>
  <c r="P772" i="1"/>
  <c r="P773" i="1"/>
  <c r="P621" i="1"/>
  <c r="P774" i="1"/>
  <c r="P622" i="1"/>
  <c r="P220" i="1"/>
  <c r="P623" i="1"/>
  <c r="P775" i="1"/>
  <c r="P776" i="1"/>
  <c r="P624" i="1"/>
  <c r="P221" i="1"/>
  <c r="P777" i="1"/>
  <c r="P778" i="1"/>
  <c r="P779" i="1"/>
  <c r="P838" i="1"/>
  <c r="P780" i="1"/>
  <c r="P781" i="1"/>
  <c r="P839" i="1"/>
  <c r="P782" i="1"/>
  <c r="P783" i="1"/>
  <c r="P784" i="1"/>
  <c r="P785" i="1"/>
  <c r="P222" i="1"/>
  <c r="P625" i="1"/>
  <c r="P786" i="1"/>
  <c r="P787" i="1"/>
  <c r="P272" i="1"/>
  <c r="P102" i="1"/>
  <c r="P626" i="1"/>
  <c r="P627" i="1"/>
  <c r="P223" i="1"/>
  <c r="P628" i="1"/>
  <c r="P788" i="1"/>
  <c r="P789" i="1"/>
  <c r="P790" i="1"/>
  <c r="P791" i="1"/>
  <c r="P792" i="1"/>
  <c r="P224" i="1"/>
  <c r="P629" i="1"/>
  <c r="P793" i="1"/>
  <c r="P794" i="1"/>
  <c r="P630" i="1"/>
  <c r="P631" i="1"/>
  <c r="P632" i="1"/>
  <c r="P225" i="1"/>
  <c r="P795" i="1"/>
  <c r="P633" i="1"/>
  <c r="P796" i="1"/>
  <c r="P634" i="1"/>
  <c r="P226" i="1"/>
  <c r="P797" i="1"/>
  <c r="P798" i="1"/>
  <c r="P799" i="1"/>
  <c r="P840" i="1"/>
  <c r="P227" i="1"/>
  <c r="P635" i="1"/>
  <c r="P800" i="1"/>
  <c r="P636" i="1"/>
  <c r="P801" i="1"/>
  <c r="P802" i="1"/>
  <c r="P637" i="1"/>
  <c r="P228" i="1"/>
  <c r="P803" i="1"/>
  <c r="P804" i="1"/>
  <c r="P805" i="1"/>
  <c r="P103" i="1"/>
  <c r="P638" i="1"/>
  <c r="P639" i="1"/>
  <c r="P640" i="1"/>
  <c r="P641" i="1"/>
  <c r="P229" i="1"/>
  <c r="P230" i="1"/>
  <c r="P643" i="1"/>
  <c r="P806" i="1"/>
  <c r="P650" i="1"/>
  <c r="P231" i="1"/>
  <c r="P807" i="1"/>
  <c r="P808" i="1"/>
  <c r="P809" i="1"/>
  <c r="P810" i="1"/>
  <c r="P811" i="1"/>
  <c r="P651" i="1"/>
  <c r="P652" i="1"/>
  <c r="P653" i="1"/>
  <c r="P232" i="1"/>
  <c r="P841" i="1"/>
  <c r="P812" i="1"/>
  <c r="P813" i="1"/>
  <c r="P233" i="1"/>
  <c r="P814" i="1"/>
  <c r="P234" i="1"/>
  <c r="P654" i="1"/>
  <c r="P815" i="1"/>
  <c r="P104" i="1"/>
  <c r="P816" i="1"/>
  <c r="P817" i="1"/>
  <c r="P818" i="1"/>
  <c r="P819" i="1"/>
  <c r="P235" i="1"/>
  <c r="P655" i="1"/>
  <c r="P820" i="1"/>
  <c r="P656" i="1"/>
  <c r="P821" i="1"/>
  <c r="P822" i="1"/>
  <c r="P236" i="1"/>
  <c r="P657" i="1"/>
  <c r="P658" i="1"/>
  <c r="P1058" i="1"/>
  <c r="P1059" i="1"/>
  <c r="P659" i="1"/>
  <c r="P660" i="1"/>
  <c r="P237" i="1"/>
  <c r="P1079" i="1"/>
  <c r="P1080" i="1"/>
  <c r="P1081" i="1"/>
  <c r="P245" i="1"/>
  <c r="H3" i="1"/>
  <c r="I3" i="1" s="1"/>
  <c r="E852" i="1"/>
  <c r="H852" i="1" s="1"/>
  <c r="I852" i="1" s="1"/>
  <c r="E1165" i="1"/>
  <c r="H1165" i="1" s="1"/>
  <c r="I1165" i="1" s="1"/>
  <c r="E1173" i="1"/>
  <c r="H1173" i="1" s="1"/>
  <c r="I1173" i="1" s="1"/>
  <c r="E353" i="1"/>
  <c r="H353" i="1" s="1"/>
  <c r="I353" i="1" s="1"/>
  <c r="E113" i="1"/>
  <c r="H113" i="1" s="1"/>
  <c r="I113" i="1" s="1"/>
  <c r="H5" i="1"/>
  <c r="I5" i="1" s="1"/>
  <c r="H8" i="1"/>
  <c r="I8" i="1" s="1"/>
  <c r="H10" i="1"/>
  <c r="I10" i="1" s="1"/>
  <c r="H11" i="1"/>
  <c r="I11" i="1" s="1"/>
  <c r="H12" i="1"/>
  <c r="I12" i="1" s="1"/>
  <c r="H13" i="1"/>
  <c r="I13" i="1" s="1"/>
  <c r="E114" i="1"/>
  <c r="H114" i="1" s="1"/>
  <c r="I114" i="1" s="1"/>
  <c r="E354" i="1"/>
  <c r="H354" i="1" s="1"/>
  <c r="I354" i="1" s="1"/>
  <c r="E355" i="1"/>
  <c r="H355" i="1" s="1"/>
  <c r="I355" i="1" s="1"/>
  <c r="H14" i="1"/>
  <c r="I14" i="1" s="1"/>
  <c r="E115" i="1"/>
  <c r="H115" i="1" s="1"/>
  <c r="I115" i="1" s="1"/>
  <c r="E116" i="1"/>
  <c r="H116" i="1" s="1"/>
  <c r="I116" i="1" s="1"/>
  <c r="E117" i="1"/>
  <c r="H117" i="1" s="1"/>
  <c r="I117" i="1" s="1"/>
  <c r="E356" i="1"/>
  <c r="H356" i="1" s="1"/>
  <c r="I356" i="1" s="1"/>
  <c r="E357" i="1"/>
  <c r="H357" i="1" s="1"/>
  <c r="I357" i="1" s="1"/>
  <c r="E358" i="1"/>
  <c r="H358" i="1" s="1"/>
  <c r="I358" i="1" s="1"/>
  <c r="E359" i="1"/>
  <c r="H359" i="1" s="1"/>
  <c r="I359" i="1" s="1"/>
  <c r="H15" i="1"/>
  <c r="I15" i="1" s="1"/>
  <c r="H16" i="1"/>
  <c r="I16" i="1" s="1"/>
  <c r="E1167" i="1"/>
  <c r="H1167" i="1" s="1"/>
  <c r="I1167" i="1" s="1"/>
  <c r="E360" i="1"/>
  <c r="H360" i="1" s="1"/>
  <c r="I360" i="1" s="1"/>
  <c r="E1166" i="1"/>
  <c r="H1166" i="1" s="1"/>
  <c r="I1166" i="1" s="1"/>
  <c r="H17" i="1"/>
  <c r="I17" i="1" s="1"/>
  <c r="H18" i="1"/>
  <c r="I18" i="1" s="1"/>
  <c r="H19" i="1"/>
  <c r="I19" i="1" s="1"/>
  <c r="H20" i="1"/>
  <c r="I20" i="1" s="1"/>
  <c r="H21" i="1"/>
  <c r="I21" i="1" s="1"/>
  <c r="H22" i="1"/>
  <c r="I22" i="1" s="1"/>
  <c r="H23" i="1"/>
  <c r="I23" i="1" s="1"/>
  <c r="H24" i="1"/>
  <c r="I24" i="1" s="1"/>
  <c r="H25" i="1"/>
  <c r="I25" i="1" s="1"/>
  <c r="H26" i="1"/>
  <c r="I26" i="1" s="1"/>
  <c r="H27" i="1"/>
  <c r="I27" i="1" s="1"/>
  <c r="H29" i="1"/>
  <c r="I29" i="1" s="1"/>
  <c r="H30" i="1"/>
  <c r="I30" i="1" s="1"/>
  <c r="H31" i="1"/>
  <c r="I31" i="1" s="1"/>
  <c r="H32" i="1"/>
  <c r="I32" i="1" s="1"/>
  <c r="H33" i="1"/>
  <c r="I33" i="1" s="1"/>
  <c r="H34" i="1"/>
  <c r="I34" i="1" s="1"/>
  <c r="H35" i="1"/>
  <c r="I35" i="1" s="1"/>
  <c r="H36" i="1"/>
  <c r="I36" i="1" s="1"/>
  <c r="H37" i="1"/>
  <c r="I37" i="1" s="1"/>
  <c r="H38" i="1"/>
  <c r="I38" i="1" s="1"/>
  <c r="H39" i="1"/>
  <c r="I39" i="1" s="1"/>
  <c r="E825" i="1"/>
  <c r="H825" i="1" s="1"/>
  <c r="I825" i="1" s="1"/>
  <c r="H40" i="1"/>
  <c r="I40" i="1" s="1"/>
  <c r="E87" i="1"/>
  <c r="H87" i="1" s="1"/>
  <c r="I87" i="1" s="1"/>
  <c r="E88" i="1"/>
  <c r="H88" i="1" s="1"/>
  <c r="I88" i="1" s="1"/>
  <c r="H41" i="1"/>
  <c r="I41" i="1" s="1"/>
  <c r="H42" i="1"/>
  <c r="I42" i="1" s="1"/>
  <c r="H43" i="1"/>
  <c r="I43" i="1" s="1"/>
  <c r="H44" i="1"/>
  <c r="I44" i="1" s="1"/>
  <c r="H45" i="1"/>
  <c r="I45" i="1" s="1"/>
  <c r="H46" i="1"/>
  <c r="I46" i="1" s="1"/>
  <c r="H47" i="1"/>
  <c r="I47" i="1" s="1"/>
  <c r="H48" i="1"/>
  <c r="I48" i="1" s="1"/>
  <c r="E361" i="1"/>
  <c r="H361" i="1" s="1"/>
  <c r="I361" i="1" s="1"/>
  <c r="E362" i="1"/>
  <c r="H362" i="1" s="1"/>
  <c r="I362" i="1" s="1"/>
  <c r="E842" i="1"/>
  <c r="H842" i="1" s="1"/>
  <c r="I842" i="1" s="1"/>
  <c r="E363" i="1"/>
  <c r="H363" i="1" s="1"/>
  <c r="I363" i="1" s="1"/>
  <c r="E1168" i="1"/>
  <c r="H1168" i="1" s="1"/>
  <c r="I1168" i="1" s="1"/>
  <c r="H49" i="1"/>
  <c r="I49" i="1" s="1"/>
  <c r="E119" i="1"/>
  <c r="H119" i="1" s="1"/>
  <c r="I119" i="1" s="1"/>
  <c r="E364" i="1"/>
  <c r="H364" i="1" s="1"/>
  <c r="I364" i="1" s="1"/>
  <c r="E365" i="1"/>
  <c r="H365" i="1" s="1"/>
  <c r="I365" i="1" s="1"/>
  <c r="H50" i="1"/>
  <c r="I50" i="1" s="1"/>
  <c r="E120" i="1"/>
  <c r="H120" i="1" s="1"/>
  <c r="I120" i="1" s="1"/>
  <c r="H51" i="1"/>
  <c r="I51" i="1" s="1"/>
  <c r="E1113" i="1"/>
  <c r="H1113" i="1" s="1"/>
  <c r="I1113" i="1" s="1"/>
  <c r="H52" i="1"/>
  <c r="I52" i="1" s="1"/>
  <c r="E1169" i="1"/>
  <c r="H53" i="1"/>
  <c r="I53" i="1" s="1"/>
  <c r="H54" i="1"/>
  <c r="I54" i="1" s="1"/>
  <c r="H55" i="1"/>
  <c r="I55" i="1" s="1"/>
  <c r="H56" i="1"/>
  <c r="I56" i="1" s="1"/>
  <c r="E122" i="1"/>
  <c r="H122" i="1" s="1"/>
  <c r="I122" i="1" s="1"/>
  <c r="E123" i="1"/>
  <c r="H123" i="1" s="1"/>
  <c r="I123" i="1" s="1"/>
  <c r="E366" i="1"/>
  <c r="H366" i="1" s="1"/>
  <c r="I366" i="1" s="1"/>
  <c r="E367" i="1"/>
  <c r="H367" i="1" s="1"/>
  <c r="I367" i="1" s="1"/>
  <c r="H57" i="1"/>
  <c r="I57" i="1" s="1"/>
  <c r="H58" i="1"/>
  <c r="I58" i="1" s="1"/>
  <c r="E1075" i="1"/>
  <c r="H1075" i="1" s="1"/>
  <c r="I1075" i="1" s="1"/>
  <c r="H59" i="1"/>
  <c r="I59" i="1" s="1"/>
  <c r="H60" i="1"/>
  <c r="I60" i="1" s="1"/>
  <c r="H61" i="1"/>
  <c r="I61" i="1" s="1"/>
  <c r="H62" i="1"/>
  <c r="I62" i="1" s="1"/>
  <c r="E1170" i="1"/>
  <c r="E124" i="1"/>
  <c r="H124" i="1" s="1"/>
  <c r="I124" i="1" s="1"/>
  <c r="E125" i="1"/>
  <c r="H125" i="1" s="1"/>
  <c r="I125" i="1" s="1"/>
  <c r="H63" i="1"/>
  <c r="I63" i="1" s="1"/>
  <c r="H64" i="1"/>
  <c r="I64" i="1" s="1"/>
  <c r="E126" i="1"/>
  <c r="H126" i="1" s="1"/>
  <c r="I126" i="1" s="1"/>
  <c r="E368" i="1"/>
  <c r="H368" i="1" s="1"/>
  <c r="I368" i="1" s="1"/>
  <c r="E369" i="1"/>
  <c r="H369" i="1" s="1"/>
  <c r="I369" i="1" s="1"/>
  <c r="E370" i="1"/>
  <c r="H370" i="1" s="1"/>
  <c r="I370" i="1" s="1"/>
  <c r="H65" i="1"/>
  <c r="I65" i="1" s="1"/>
  <c r="H66" i="1"/>
  <c r="I66" i="1" s="1"/>
  <c r="H67" i="1"/>
  <c r="I67" i="1" s="1"/>
  <c r="H68" i="1"/>
  <c r="I68" i="1" s="1"/>
  <c r="H69" i="1"/>
  <c r="I69" i="1" s="1"/>
  <c r="E1171" i="1"/>
  <c r="E127" i="1"/>
  <c r="H127" i="1" s="1"/>
  <c r="I127" i="1" s="1"/>
  <c r="H70" i="1"/>
  <c r="I70" i="1" s="1"/>
  <c r="E371" i="1"/>
  <c r="E372" i="1"/>
  <c r="H372" i="1" s="1"/>
  <c r="I372" i="1" s="1"/>
  <c r="E128" i="1"/>
  <c r="H128" i="1" s="1"/>
  <c r="I128" i="1" s="1"/>
  <c r="H71" i="1"/>
  <c r="I71" i="1" s="1"/>
  <c r="H72" i="1"/>
  <c r="I72" i="1" s="1"/>
  <c r="E112" i="1"/>
  <c r="H112" i="1" s="1"/>
  <c r="I112" i="1" s="1"/>
  <c r="E1072" i="1"/>
  <c r="H1072" i="1" s="1"/>
  <c r="I1072" i="1" s="1"/>
  <c r="H73" i="1"/>
  <c r="I73" i="1" s="1"/>
  <c r="H74" i="1"/>
  <c r="I74" i="1" s="1"/>
  <c r="H75" i="1"/>
  <c r="I75" i="1" s="1"/>
  <c r="H76" i="1"/>
  <c r="I76" i="1" s="1"/>
  <c r="E373" i="1"/>
  <c r="H373" i="1" s="1"/>
  <c r="I373" i="1" s="1"/>
  <c r="H77" i="1"/>
  <c r="I77" i="1" s="1"/>
  <c r="E130" i="1"/>
  <c r="H130" i="1" s="1"/>
  <c r="I130" i="1" s="1"/>
  <c r="E374" i="1"/>
  <c r="H374" i="1" s="1"/>
  <c r="I374" i="1" s="1"/>
  <c r="H78" i="1"/>
  <c r="I78" i="1" s="1"/>
  <c r="H79" i="1"/>
  <c r="I79" i="1" s="1"/>
  <c r="H80" i="1"/>
  <c r="I80" i="1" s="1"/>
  <c r="H81" i="1"/>
  <c r="I81" i="1" s="1"/>
  <c r="H82" i="1"/>
  <c r="I82" i="1" s="1"/>
  <c r="E1073" i="1"/>
  <c r="H1073" i="1" s="1"/>
  <c r="I1073" i="1" s="1"/>
  <c r="E1172" i="1"/>
  <c r="H1172" i="1" s="1"/>
  <c r="I1172" i="1" s="1"/>
  <c r="E131" i="1"/>
  <c r="H131" i="1" s="1"/>
  <c r="I131" i="1" s="1"/>
  <c r="E375" i="1"/>
  <c r="H375" i="1" s="1"/>
  <c r="I375" i="1" s="1"/>
  <c r="E132" i="1"/>
  <c r="H132" i="1" s="1"/>
  <c r="I132" i="1" s="1"/>
  <c r="E376" i="1"/>
  <c r="H376" i="1" s="1"/>
  <c r="I376" i="1" s="1"/>
  <c r="E377" i="1"/>
  <c r="H377" i="1" s="1"/>
  <c r="I377" i="1" s="1"/>
  <c r="E133" i="1"/>
  <c r="H133" i="1" s="1"/>
  <c r="I133" i="1" s="1"/>
  <c r="H83" i="1"/>
  <c r="I83" i="1" s="1"/>
  <c r="H84" i="1"/>
  <c r="I84" i="1" s="1"/>
  <c r="E134" i="1"/>
  <c r="H134" i="1" s="1"/>
  <c r="I134" i="1" s="1"/>
  <c r="E378" i="1"/>
  <c r="H378" i="1" s="1"/>
  <c r="I378" i="1" s="1"/>
  <c r="E379" i="1"/>
  <c r="H379" i="1" s="1"/>
  <c r="I379" i="1" s="1"/>
  <c r="E380" i="1"/>
  <c r="H380" i="1" s="1"/>
  <c r="I380" i="1" s="1"/>
  <c r="E1074" i="1"/>
  <c r="E135" i="1"/>
  <c r="H135" i="1" s="1"/>
  <c r="I135" i="1" s="1"/>
  <c r="H248" i="1"/>
  <c r="I248" i="1" s="1"/>
  <c r="H238" i="1"/>
  <c r="I238" i="1" s="1"/>
  <c r="H239" i="1"/>
  <c r="I239" i="1" s="1"/>
  <c r="H240" i="1"/>
  <c r="I240" i="1" s="1"/>
  <c r="H241" i="1"/>
  <c r="I241" i="1" s="1"/>
  <c r="H242" i="1"/>
  <c r="I242" i="1" s="1"/>
  <c r="H246" i="1"/>
  <c r="I246" i="1" s="1"/>
  <c r="H247" i="1"/>
  <c r="I247" i="1" s="1"/>
  <c r="H249" i="1"/>
  <c r="I249" i="1" s="1"/>
  <c r="H250" i="1"/>
  <c r="I250" i="1" s="1"/>
  <c r="E843" i="1"/>
  <c r="H843" i="1" s="1"/>
  <c r="I843" i="1" s="1"/>
  <c r="E136" i="1"/>
  <c r="H136" i="1" s="1"/>
  <c r="I136" i="1" s="1"/>
  <c r="E381" i="1"/>
  <c r="H381" i="1" s="1"/>
  <c r="I381" i="1" s="1"/>
  <c r="E253" i="1"/>
  <c r="H253" i="1" s="1"/>
  <c r="I253" i="1" s="1"/>
  <c r="E844" i="1"/>
  <c r="H844" i="1" s="1"/>
  <c r="I844" i="1" s="1"/>
  <c r="E254" i="1"/>
  <c r="H254" i="1" s="1"/>
  <c r="I254" i="1" s="1"/>
  <c r="E382" i="1"/>
  <c r="H382" i="1" s="1"/>
  <c r="I382" i="1" s="1"/>
  <c r="E383" i="1"/>
  <c r="H383" i="1" s="1"/>
  <c r="I383" i="1" s="1"/>
  <c r="E255" i="1"/>
  <c r="H255" i="1" s="1"/>
  <c r="I255" i="1" s="1"/>
  <c r="E827" i="1"/>
  <c r="H827" i="1" s="1"/>
  <c r="I827" i="1" s="1"/>
  <c r="E256" i="1"/>
  <c r="H256" i="1" s="1"/>
  <c r="I256" i="1" s="1"/>
  <c r="E89" i="1"/>
  <c r="H89" i="1" s="1"/>
  <c r="I89" i="1" s="1"/>
  <c r="E1131" i="1"/>
  <c r="H1131" i="1" s="1"/>
  <c r="E257" i="1"/>
  <c r="H257" i="1" s="1"/>
  <c r="I257" i="1" s="1"/>
  <c r="E384" i="1"/>
  <c r="H384" i="1" s="1"/>
  <c r="I384" i="1" s="1"/>
  <c r="E385" i="1"/>
  <c r="H385" i="1" s="1"/>
  <c r="I385" i="1" s="1"/>
  <c r="E137" i="1"/>
  <c r="H137" i="1" s="1"/>
  <c r="I137" i="1" s="1"/>
  <c r="E138" i="1"/>
  <c r="H138" i="1" s="1"/>
  <c r="I138" i="1" s="1"/>
  <c r="E139" i="1"/>
  <c r="H139" i="1" s="1"/>
  <c r="I139" i="1" s="1"/>
  <c r="E140" i="1"/>
  <c r="H140" i="1" s="1"/>
  <c r="I140" i="1" s="1"/>
  <c r="E386" i="1"/>
  <c r="H386" i="1" s="1"/>
  <c r="I386" i="1" s="1"/>
  <c r="E387" i="1"/>
  <c r="H387" i="1" s="1"/>
  <c r="I387" i="1" s="1"/>
  <c r="E388" i="1"/>
  <c r="H388" i="1" s="1"/>
  <c r="I388" i="1" s="1"/>
  <c r="E141" i="1"/>
  <c r="H141" i="1" s="1"/>
  <c r="I141" i="1" s="1"/>
  <c r="E389" i="1"/>
  <c r="H389" i="1" s="1"/>
  <c r="I389" i="1" s="1"/>
  <c r="E390" i="1"/>
  <c r="H390" i="1" s="1"/>
  <c r="I390" i="1" s="1"/>
  <c r="E391" i="1"/>
  <c r="H391" i="1" s="1"/>
  <c r="I391" i="1" s="1"/>
  <c r="E142" i="1"/>
  <c r="H142" i="1" s="1"/>
  <c r="I142" i="1" s="1"/>
  <c r="E392" i="1"/>
  <c r="H392" i="1" s="1"/>
  <c r="I392" i="1" s="1"/>
  <c r="E393" i="1"/>
  <c r="H393" i="1" s="1"/>
  <c r="I393" i="1" s="1"/>
  <c r="E143" i="1"/>
  <c r="H143" i="1" s="1"/>
  <c r="I143" i="1" s="1"/>
  <c r="E394" i="1"/>
  <c r="H394" i="1" s="1"/>
  <c r="I394" i="1" s="1"/>
  <c r="E144" i="1"/>
  <c r="H144" i="1" s="1"/>
  <c r="I144" i="1" s="1"/>
  <c r="E90" i="1"/>
  <c r="H90" i="1" s="1"/>
  <c r="I90" i="1" s="1"/>
  <c r="E829" i="1"/>
  <c r="H829" i="1" s="1"/>
  <c r="I829" i="1" s="1"/>
  <c r="E845" i="1"/>
  <c r="H845" i="1" s="1"/>
  <c r="I845" i="1" s="1"/>
  <c r="E395" i="1"/>
  <c r="H395" i="1" s="1"/>
  <c r="I395" i="1" s="1"/>
  <c r="E145" i="1"/>
  <c r="H145" i="1" s="1"/>
  <c r="I145" i="1" s="1"/>
  <c r="E396" i="1"/>
  <c r="H396" i="1" s="1"/>
  <c r="I396" i="1" s="1"/>
  <c r="E146" i="1"/>
  <c r="H146" i="1" s="1"/>
  <c r="I146" i="1" s="1"/>
  <c r="E147" i="1"/>
  <c r="H147" i="1" s="1"/>
  <c r="I147" i="1" s="1"/>
  <c r="E397" i="1"/>
  <c r="H397" i="1" s="1"/>
  <c r="I397" i="1" s="1"/>
  <c r="E398" i="1"/>
  <c r="H398" i="1" s="1"/>
  <c r="I398" i="1" s="1"/>
  <c r="E399" i="1"/>
  <c r="H399" i="1" s="1"/>
  <c r="I399" i="1" s="1"/>
  <c r="E400" i="1"/>
  <c r="H400" i="1" s="1"/>
  <c r="I400" i="1" s="1"/>
  <c r="E401" i="1"/>
  <c r="H401" i="1" s="1"/>
  <c r="I401" i="1" s="1"/>
  <c r="E402" i="1"/>
  <c r="H402" i="1" s="1"/>
  <c r="I402" i="1" s="1"/>
  <c r="E846" i="1"/>
  <c r="H846" i="1" s="1"/>
  <c r="I846" i="1" s="1"/>
  <c r="E148" i="1"/>
  <c r="H148" i="1" s="1"/>
  <c r="I148" i="1" s="1"/>
  <c r="E403" i="1"/>
  <c r="H403" i="1" s="1"/>
  <c r="I403" i="1" s="1"/>
  <c r="E404" i="1"/>
  <c r="H404" i="1" s="1"/>
  <c r="I404" i="1" s="1"/>
  <c r="E91" i="1"/>
  <c r="H91" i="1" s="1"/>
  <c r="I91" i="1" s="1"/>
  <c r="E258" i="1"/>
  <c r="H258" i="1" s="1"/>
  <c r="I258" i="1" s="1"/>
  <c r="E149" i="1"/>
  <c r="H149" i="1" s="1"/>
  <c r="I149" i="1" s="1"/>
  <c r="E259" i="1"/>
  <c r="H259" i="1" s="1"/>
  <c r="I259" i="1" s="1"/>
  <c r="E854" i="1"/>
  <c r="H854" i="1" s="1"/>
  <c r="I854" i="1" s="1"/>
  <c r="E855" i="1"/>
  <c r="H855" i="1" s="1"/>
  <c r="I855" i="1" s="1"/>
  <c r="E856" i="1"/>
  <c r="H856" i="1" s="1"/>
  <c r="I856" i="1" s="1"/>
  <c r="E405" i="1"/>
  <c r="H405" i="1" s="1"/>
  <c r="I405" i="1" s="1"/>
  <c r="E150" i="1"/>
  <c r="H150" i="1" s="1"/>
  <c r="I150" i="1" s="1"/>
  <c r="E151" i="1"/>
  <c r="H151" i="1" s="1"/>
  <c r="I151" i="1" s="1"/>
  <c r="E406" i="1"/>
  <c r="H406" i="1" s="1"/>
  <c r="I406" i="1" s="1"/>
  <c r="E407" i="1"/>
  <c r="H407" i="1" s="1"/>
  <c r="I407" i="1" s="1"/>
  <c r="E152" i="1"/>
  <c r="H152" i="1" s="1"/>
  <c r="I152" i="1" s="1"/>
  <c r="E853" i="1"/>
  <c r="H853" i="1" s="1"/>
  <c r="I853" i="1" s="1"/>
  <c r="E408" i="1"/>
  <c r="H408" i="1" s="1"/>
  <c r="I408" i="1" s="1"/>
  <c r="E409" i="1"/>
  <c r="H409" i="1" s="1"/>
  <c r="I409" i="1" s="1"/>
  <c r="E153" i="1"/>
  <c r="H153" i="1" s="1"/>
  <c r="I153" i="1" s="1"/>
  <c r="E154" i="1"/>
  <c r="H154" i="1" s="1"/>
  <c r="I154" i="1" s="1"/>
  <c r="E410" i="1"/>
  <c r="H410" i="1" s="1"/>
  <c r="I410" i="1" s="1"/>
  <c r="E411" i="1"/>
  <c r="H411" i="1" s="1"/>
  <c r="I411" i="1" s="1"/>
  <c r="H464" i="1"/>
  <c r="I464" i="1" s="1"/>
  <c r="H465" i="1"/>
  <c r="I465" i="1" s="1"/>
  <c r="H466" i="1"/>
  <c r="I466" i="1" s="1"/>
  <c r="H467" i="1"/>
  <c r="I467" i="1" s="1"/>
  <c r="E412" i="1"/>
  <c r="H412" i="1" s="1"/>
  <c r="I412" i="1" s="1"/>
  <c r="H468" i="1"/>
  <c r="I468" i="1" s="1"/>
  <c r="E155" i="1"/>
  <c r="H155" i="1" s="1"/>
  <c r="I155" i="1" s="1"/>
  <c r="H469" i="1"/>
  <c r="I469" i="1" s="1"/>
  <c r="H470" i="1"/>
  <c r="I470" i="1" s="1"/>
  <c r="E413" i="1"/>
  <c r="H413" i="1" s="1"/>
  <c r="I413" i="1" s="1"/>
  <c r="E414" i="1"/>
  <c r="H414" i="1" s="1"/>
  <c r="I414" i="1" s="1"/>
  <c r="H471" i="1"/>
  <c r="I471" i="1" s="1"/>
  <c r="E156" i="1"/>
  <c r="H156" i="1" s="1"/>
  <c r="I156" i="1" s="1"/>
  <c r="H472" i="1"/>
  <c r="I472" i="1" s="1"/>
  <c r="H473" i="1"/>
  <c r="I473" i="1" s="1"/>
  <c r="H474" i="1"/>
  <c r="I474" i="1" s="1"/>
  <c r="H475" i="1"/>
  <c r="I475" i="1" s="1"/>
  <c r="E415" i="1"/>
  <c r="H415" i="1" s="1"/>
  <c r="I415" i="1" s="1"/>
  <c r="E416" i="1"/>
  <c r="H416" i="1" s="1"/>
  <c r="I416" i="1" s="1"/>
  <c r="E830" i="1"/>
  <c r="H830" i="1" s="1"/>
  <c r="I830" i="1" s="1"/>
  <c r="H476" i="1"/>
  <c r="I476" i="1" s="1"/>
  <c r="H477" i="1"/>
  <c r="I477" i="1" s="1"/>
  <c r="H478" i="1"/>
  <c r="I478" i="1" s="1"/>
  <c r="H479" i="1"/>
  <c r="I479" i="1" s="1"/>
  <c r="E92" i="1"/>
  <c r="H92" i="1" s="1"/>
  <c r="I92" i="1" s="1"/>
  <c r="E847" i="1"/>
  <c r="H847" i="1" s="1"/>
  <c r="I847" i="1" s="1"/>
  <c r="H480" i="1"/>
  <c r="I480" i="1" s="1"/>
  <c r="E157" i="1"/>
  <c r="H157" i="1" s="1"/>
  <c r="I157" i="1" s="1"/>
  <c r="H481" i="1"/>
  <c r="I481" i="1" s="1"/>
  <c r="E158" i="1"/>
  <c r="H158" i="1" s="1"/>
  <c r="I158" i="1" s="1"/>
  <c r="H482" i="1"/>
  <c r="I482" i="1" s="1"/>
  <c r="E417" i="1"/>
  <c r="H417" i="1" s="1"/>
  <c r="I417"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E159" i="1"/>
  <c r="H159" i="1" s="1"/>
  <c r="I159" i="1" s="1"/>
  <c r="E418" i="1"/>
  <c r="H418" i="1" s="1"/>
  <c r="I418" i="1" s="1"/>
  <c r="H497" i="1"/>
  <c r="I497" i="1" s="1"/>
  <c r="E419" i="1"/>
  <c r="H419" i="1" s="1"/>
  <c r="I419" i="1" s="1"/>
  <c r="H498" i="1"/>
  <c r="I498" i="1" s="1"/>
  <c r="E160" i="1"/>
  <c r="H160" i="1" s="1"/>
  <c r="I160" i="1" s="1"/>
  <c r="H499" i="1"/>
  <c r="I499" i="1" s="1"/>
  <c r="H500" i="1"/>
  <c r="I500" i="1" s="1"/>
  <c r="H501" i="1"/>
  <c r="I501" i="1" s="1"/>
  <c r="H502" i="1"/>
  <c r="I502" i="1" s="1"/>
  <c r="H503" i="1"/>
  <c r="I503" i="1" s="1"/>
  <c r="H504" i="1"/>
  <c r="I504" i="1" s="1"/>
  <c r="H505" i="1"/>
  <c r="I505" i="1" s="1"/>
  <c r="H506" i="1"/>
  <c r="I506" i="1" s="1"/>
  <c r="E161" i="1"/>
  <c r="H161" i="1" s="1"/>
  <c r="I161" i="1" s="1"/>
  <c r="E420" i="1"/>
  <c r="H420" i="1" s="1"/>
  <c r="I420" i="1" s="1"/>
  <c r="H507" i="1"/>
  <c r="I507" i="1" s="1"/>
  <c r="H508" i="1"/>
  <c r="I508" i="1" s="1"/>
  <c r="E162" i="1"/>
  <c r="H162" i="1" s="1"/>
  <c r="I162" i="1" s="1"/>
  <c r="E421" i="1"/>
  <c r="H421" i="1" s="1"/>
  <c r="I421" i="1" s="1"/>
  <c r="H509" i="1"/>
  <c r="I509" i="1" s="1"/>
  <c r="H510" i="1"/>
  <c r="I510" i="1" s="1"/>
  <c r="H511" i="1"/>
  <c r="I511" i="1" s="1"/>
  <c r="H512" i="1"/>
  <c r="I512" i="1" s="1"/>
  <c r="H513" i="1"/>
  <c r="I513" i="1" s="1"/>
  <c r="H514" i="1"/>
  <c r="I514" i="1" s="1"/>
  <c r="H515" i="1"/>
  <c r="I515" i="1" s="1"/>
  <c r="H516" i="1"/>
  <c r="I516" i="1" s="1"/>
  <c r="E260" i="1"/>
  <c r="H260" i="1" s="1"/>
  <c r="I260" i="1" s="1"/>
  <c r="H517" i="1"/>
  <c r="I517" i="1" s="1"/>
  <c r="H518" i="1"/>
  <c r="I518" i="1" s="1"/>
  <c r="H519" i="1"/>
  <c r="I519" i="1" s="1"/>
  <c r="H520" i="1"/>
  <c r="I520" i="1" s="1"/>
  <c r="H521" i="1"/>
  <c r="I521" i="1" s="1"/>
  <c r="H522" i="1"/>
  <c r="I522" i="1" s="1"/>
  <c r="E261" i="1"/>
  <c r="H261" i="1" s="1"/>
  <c r="I261" i="1" s="1"/>
  <c r="H523" i="1"/>
  <c r="I523" i="1" s="1"/>
  <c r="H524" i="1"/>
  <c r="I524" i="1" s="1"/>
  <c r="H525" i="1"/>
  <c r="I525" i="1" s="1"/>
  <c r="H526" i="1"/>
  <c r="I526" i="1" s="1"/>
  <c r="H527" i="1"/>
  <c r="I527" i="1" s="1"/>
  <c r="H528" i="1"/>
  <c r="I528" i="1" s="1"/>
  <c r="H529" i="1"/>
  <c r="I529" i="1" s="1"/>
  <c r="H530" i="1"/>
  <c r="I530" i="1" s="1"/>
  <c r="E163" i="1"/>
  <c r="H163" i="1" s="1"/>
  <c r="I163" i="1" s="1"/>
  <c r="E422" i="1"/>
  <c r="H422" i="1" s="1"/>
  <c r="I422" i="1" s="1"/>
  <c r="H531" i="1"/>
  <c r="I531" i="1" s="1"/>
  <c r="H532" i="1"/>
  <c r="I532" i="1" s="1"/>
  <c r="E164" i="1"/>
  <c r="H164" i="1" s="1"/>
  <c r="I164" i="1" s="1"/>
  <c r="E423" i="1"/>
  <c r="H423" i="1" s="1"/>
  <c r="I423" i="1" s="1"/>
  <c r="H533" i="1"/>
  <c r="I533" i="1" s="1"/>
  <c r="E165" i="1"/>
  <c r="H165" i="1" s="1"/>
  <c r="I165" i="1" s="1"/>
  <c r="E424" i="1"/>
  <c r="H424" i="1" s="1"/>
  <c r="I424" i="1" s="1"/>
  <c r="E425" i="1"/>
  <c r="H425" i="1" s="1"/>
  <c r="I425" i="1" s="1"/>
  <c r="H534" i="1"/>
  <c r="I534" i="1" s="1"/>
  <c r="H535" i="1"/>
  <c r="I535" i="1" s="1"/>
  <c r="H536" i="1"/>
  <c r="I536" i="1" s="1"/>
  <c r="E426" i="1"/>
  <c r="H426" i="1" s="1"/>
  <c r="I426" i="1" s="1"/>
  <c r="E93" i="1"/>
  <c r="H93" i="1" s="1"/>
  <c r="I93" i="1" s="1"/>
  <c r="H537" i="1"/>
  <c r="I537" i="1" s="1"/>
  <c r="H538" i="1"/>
  <c r="I538" i="1" s="1"/>
  <c r="E848" i="1"/>
  <c r="H848" i="1" s="1"/>
  <c r="I848" i="1" s="1"/>
  <c r="E166" i="1"/>
  <c r="H166" i="1" s="1"/>
  <c r="I166" i="1" s="1"/>
  <c r="E427" i="1"/>
  <c r="H427" i="1" s="1"/>
  <c r="I427" i="1" s="1"/>
  <c r="H539" i="1"/>
  <c r="I539" i="1" s="1"/>
  <c r="H540" i="1"/>
  <c r="I540" i="1" s="1"/>
  <c r="H541" i="1"/>
  <c r="I541" i="1" s="1"/>
  <c r="H542" i="1"/>
  <c r="I542" i="1" s="1"/>
  <c r="H543" i="1"/>
  <c r="I543" i="1" s="1"/>
  <c r="H544" i="1"/>
  <c r="I544" i="1" s="1"/>
  <c r="H545" i="1"/>
  <c r="I545" i="1" s="1"/>
  <c r="E428" i="1"/>
  <c r="H428" i="1" s="1"/>
  <c r="I428" i="1" s="1"/>
  <c r="H546" i="1"/>
  <c r="I546" i="1" s="1"/>
  <c r="H547" i="1"/>
  <c r="I547" i="1" s="1"/>
  <c r="E429" i="1"/>
  <c r="H429" i="1" s="1"/>
  <c r="I429" i="1" s="1"/>
  <c r="E430" i="1"/>
  <c r="H430" i="1" s="1"/>
  <c r="I430" i="1" s="1"/>
  <c r="H548" i="1"/>
  <c r="I548" i="1" s="1"/>
  <c r="H549" i="1"/>
  <c r="I549" i="1" s="1"/>
  <c r="E167" i="1"/>
  <c r="H167" i="1" s="1"/>
  <c r="I167" i="1" s="1"/>
  <c r="E94" i="1"/>
  <c r="H94" i="1" s="1"/>
  <c r="I94" i="1" s="1"/>
  <c r="E168" i="1"/>
  <c r="H168" i="1" s="1"/>
  <c r="I168" i="1" s="1"/>
  <c r="E431" i="1"/>
  <c r="H431" i="1" s="1"/>
  <c r="I431" i="1" s="1"/>
  <c r="H550" i="1"/>
  <c r="I550" i="1" s="1"/>
  <c r="H551" i="1"/>
  <c r="I551" i="1" s="1"/>
  <c r="H552" i="1"/>
  <c r="I552" i="1" s="1"/>
  <c r="E169" i="1"/>
  <c r="H169" i="1" s="1"/>
  <c r="I169" i="1" s="1"/>
  <c r="H553" i="1"/>
  <c r="I553" i="1" s="1"/>
  <c r="E432" i="1"/>
  <c r="H432" i="1" s="1"/>
  <c r="I432" i="1" s="1"/>
  <c r="H554" i="1"/>
  <c r="I554" i="1" s="1"/>
  <c r="H555" i="1"/>
  <c r="I555" i="1" s="1"/>
  <c r="H556" i="1"/>
  <c r="I556" i="1" s="1"/>
  <c r="H557" i="1"/>
  <c r="I557" i="1" s="1"/>
  <c r="H558" i="1"/>
  <c r="I558" i="1" s="1"/>
  <c r="H559" i="1"/>
  <c r="I559" i="1" s="1"/>
  <c r="H560" i="1"/>
  <c r="I560" i="1" s="1"/>
  <c r="H561" i="1"/>
  <c r="I561" i="1" s="1"/>
  <c r="H562" i="1"/>
  <c r="I562" i="1" s="1"/>
  <c r="E170" i="1"/>
  <c r="H170" i="1" s="1"/>
  <c r="I170" i="1" s="1"/>
  <c r="H563" i="1"/>
  <c r="I563" i="1" s="1"/>
  <c r="H564" i="1"/>
  <c r="I564" i="1" s="1"/>
  <c r="E433" i="1"/>
  <c r="H433" i="1" s="1"/>
  <c r="I433" i="1" s="1"/>
  <c r="E434" i="1"/>
  <c r="H434" i="1" s="1"/>
  <c r="I434" i="1" s="1"/>
  <c r="H565" i="1"/>
  <c r="I565" i="1" s="1"/>
  <c r="E171" i="1"/>
  <c r="H171" i="1" s="1"/>
  <c r="I171" i="1" s="1"/>
  <c r="H566" i="1"/>
  <c r="I566" i="1" s="1"/>
  <c r="H567" i="1"/>
  <c r="I567" i="1" s="1"/>
  <c r="H568" i="1"/>
  <c r="I568" i="1" s="1"/>
  <c r="H569" i="1"/>
  <c r="I569" i="1" s="1"/>
  <c r="E435" i="1"/>
  <c r="H435" i="1" s="1"/>
  <c r="I435" i="1" s="1"/>
  <c r="H570" i="1"/>
  <c r="I570" i="1" s="1"/>
  <c r="H571" i="1"/>
  <c r="I571" i="1" s="1"/>
  <c r="E172" i="1"/>
  <c r="H172" i="1" s="1"/>
  <c r="I172" i="1" s="1"/>
  <c r="H572" i="1"/>
  <c r="I572" i="1" s="1"/>
  <c r="H573" i="1"/>
  <c r="I573" i="1" s="1"/>
  <c r="H574" i="1"/>
  <c r="I574" i="1" s="1"/>
  <c r="H575" i="1"/>
  <c r="I575" i="1" s="1"/>
  <c r="H576" i="1"/>
  <c r="I576" i="1" s="1"/>
  <c r="H577" i="1"/>
  <c r="I577" i="1" s="1"/>
  <c r="E436" i="1"/>
  <c r="H436" i="1" s="1"/>
  <c r="I436" i="1" s="1"/>
  <c r="E437" i="1"/>
  <c r="H437" i="1" s="1"/>
  <c r="I437" i="1" s="1"/>
  <c r="E173" i="1"/>
  <c r="H173" i="1" s="1"/>
  <c r="I173" i="1" s="1"/>
  <c r="E174" i="1"/>
  <c r="H174" i="1" s="1"/>
  <c r="I174" i="1" s="1"/>
  <c r="H578" i="1"/>
  <c r="I578" i="1" s="1"/>
  <c r="H579" i="1"/>
  <c r="I579" i="1" s="1"/>
  <c r="H580" i="1"/>
  <c r="I580" i="1" s="1"/>
  <c r="H581" i="1"/>
  <c r="I581" i="1" s="1"/>
  <c r="H582" i="1"/>
  <c r="I582" i="1" s="1"/>
  <c r="E95" i="1"/>
  <c r="H95" i="1" s="1"/>
  <c r="I95" i="1" s="1"/>
  <c r="E438" i="1"/>
  <c r="H438" i="1" s="1"/>
  <c r="I438" i="1" s="1"/>
  <c r="H583" i="1"/>
  <c r="I583" i="1" s="1"/>
  <c r="E175" i="1"/>
  <c r="H175" i="1" s="1"/>
  <c r="I175" i="1" s="1"/>
  <c r="H584" i="1"/>
  <c r="I584" i="1" s="1"/>
  <c r="H585" i="1"/>
  <c r="I585" i="1" s="1"/>
  <c r="H586" i="1"/>
  <c r="I586" i="1" s="1"/>
  <c r="E439" i="1"/>
  <c r="H439" i="1" s="1"/>
  <c r="I439" i="1" s="1"/>
  <c r="E176" i="1"/>
  <c r="H176" i="1" s="1"/>
  <c r="I176" i="1" s="1"/>
  <c r="E440" i="1"/>
  <c r="H440" i="1" s="1"/>
  <c r="I440" i="1" s="1"/>
  <c r="E177" i="1"/>
  <c r="H177" i="1" s="1"/>
  <c r="I177" i="1" s="1"/>
  <c r="E262" i="1"/>
  <c r="H262" i="1" s="1"/>
  <c r="I262" i="1" s="1"/>
  <c r="E441" i="1"/>
  <c r="H441" i="1" s="1"/>
  <c r="I441" i="1" s="1"/>
  <c r="E178" i="1"/>
  <c r="H178" i="1" s="1"/>
  <c r="I178" i="1" s="1"/>
  <c r="E179" i="1"/>
  <c r="H179" i="1" s="1"/>
  <c r="I179" i="1" s="1"/>
  <c r="E442" i="1"/>
  <c r="H442" i="1" s="1"/>
  <c r="I442" i="1" s="1"/>
  <c r="E263" i="1"/>
  <c r="H263" i="1" s="1"/>
  <c r="I263" i="1" s="1"/>
  <c r="E443" i="1"/>
  <c r="H443" i="1" s="1"/>
  <c r="I443" i="1" s="1"/>
  <c r="E444" i="1"/>
  <c r="H444" i="1" s="1"/>
  <c r="I444" i="1" s="1"/>
  <c r="E445" i="1"/>
  <c r="H445" i="1" s="1"/>
  <c r="I445" i="1" s="1"/>
  <c r="E180" i="1"/>
  <c r="H180" i="1" s="1"/>
  <c r="I180" i="1" s="1"/>
  <c r="E264" i="1"/>
  <c r="H264" i="1" s="1"/>
  <c r="I264" i="1" s="1"/>
  <c r="E446" i="1"/>
  <c r="H446" i="1" s="1"/>
  <c r="I446" i="1" s="1"/>
  <c r="E447" i="1"/>
  <c r="H447" i="1" s="1"/>
  <c r="I447" i="1" s="1"/>
  <c r="E181" i="1"/>
  <c r="H181" i="1" s="1"/>
  <c r="I181" i="1" s="1"/>
  <c r="E182" i="1"/>
  <c r="H182" i="1" s="1"/>
  <c r="I182" i="1" s="1"/>
  <c r="E183" i="1"/>
  <c r="H183" i="1" s="1"/>
  <c r="I183" i="1" s="1"/>
  <c r="E448" i="1"/>
  <c r="H448" i="1" s="1"/>
  <c r="I448" i="1" s="1"/>
  <c r="E184" i="1"/>
  <c r="H184" i="1" s="1"/>
  <c r="I184" i="1" s="1"/>
  <c r="E449" i="1"/>
  <c r="H449" i="1" s="1"/>
  <c r="I449" i="1" s="1"/>
  <c r="E450" i="1"/>
  <c r="H450" i="1" s="1"/>
  <c r="I450" i="1" s="1"/>
  <c r="E451" i="1"/>
  <c r="H451" i="1" s="1"/>
  <c r="I451" i="1" s="1"/>
  <c r="E185" i="1"/>
  <c r="H185" i="1" s="1"/>
  <c r="I185" i="1" s="1"/>
  <c r="E96" i="1"/>
  <c r="H96" i="1" s="1"/>
  <c r="I96" i="1" s="1"/>
  <c r="E265" i="1"/>
  <c r="H265" i="1" s="1"/>
  <c r="I265" i="1" s="1"/>
  <c r="E266" i="1"/>
  <c r="H266" i="1" s="1"/>
  <c r="I266" i="1" s="1"/>
  <c r="E267" i="1"/>
  <c r="H267" i="1" s="1"/>
  <c r="I267" i="1" s="1"/>
  <c r="E268" i="1"/>
  <c r="H268" i="1" s="1"/>
  <c r="I268" i="1" s="1"/>
  <c r="E269" i="1"/>
  <c r="H269" i="1" s="1"/>
  <c r="I269" i="1" s="1"/>
  <c r="E186" i="1"/>
  <c r="H186" i="1" s="1"/>
  <c r="I186" i="1" s="1"/>
  <c r="E187" i="1"/>
  <c r="H187" i="1" s="1"/>
  <c r="I187" i="1" s="1"/>
  <c r="E452" i="1"/>
  <c r="H452" i="1" s="1"/>
  <c r="I452" i="1" s="1"/>
  <c r="E453" i="1"/>
  <c r="H453" i="1" s="1"/>
  <c r="I453" i="1" s="1"/>
  <c r="E97" i="1"/>
  <c r="H97" i="1" s="1"/>
  <c r="I97" i="1" s="1"/>
  <c r="E454" i="1"/>
  <c r="H454" i="1" s="1"/>
  <c r="I454" i="1" s="1"/>
  <c r="E455" i="1"/>
  <c r="H455" i="1" s="1"/>
  <c r="I455" i="1" s="1"/>
  <c r="E188" i="1"/>
  <c r="H188" i="1" s="1"/>
  <c r="I188" i="1" s="1"/>
  <c r="H642" i="1"/>
  <c r="I642" i="1" s="1"/>
  <c r="H644" i="1"/>
  <c r="I644" i="1" s="1"/>
  <c r="H645" i="1"/>
  <c r="I645" i="1" s="1"/>
  <c r="H646" i="1"/>
  <c r="I646" i="1" s="1"/>
  <c r="H647" i="1"/>
  <c r="I647" i="1" s="1"/>
  <c r="H648" i="1"/>
  <c r="I648" i="1" s="1"/>
  <c r="H649" i="1"/>
  <c r="I649" i="1" s="1"/>
  <c r="E316" i="1"/>
  <c r="H316" i="1" s="1"/>
  <c r="I316" i="1" s="1"/>
  <c r="E317" i="1"/>
  <c r="H317" i="1" s="1"/>
  <c r="I317" i="1" s="1"/>
  <c r="E318" i="1"/>
  <c r="H318" i="1" s="1"/>
  <c r="I318" i="1" s="1"/>
  <c r="E319" i="1"/>
  <c r="H319" i="1" s="1"/>
  <c r="I319" i="1" s="1"/>
  <c r="E320" i="1"/>
  <c r="H320" i="1" s="1"/>
  <c r="I320" i="1" s="1"/>
  <c r="E321" i="1"/>
  <c r="H321" i="1" s="1"/>
  <c r="I321" i="1" s="1"/>
  <c r="E322" i="1"/>
  <c r="H322" i="1" s="1"/>
  <c r="I322" i="1" s="1"/>
  <c r="E456" i="1"/>
  <c r="H456" i="1" s="1"/>
  <c r="I456" i="1" s="1"/>
  <c r="E457" i="1"/>
  <c r="H457" i="1" s="1"/>
  <c r="I457" i="1" s="1"/>
  <c r="E323" i="1"/>
  <c r="H323" i="1" s="1"/>
  <c r="I323" i="1" s="1"/>
  <c r="E189" i="1"/>
  <c r="H189" i="1" s="1"/>
  <c r="I189" i="1" s="1"/>
  <c r="E324" i="1"/>
  <c r="H324" i="1" s="1"/>
  <c r="I324" i="1" s="1"/>
  <c r="E458" i="1"/>
  <c r="H458" i="1" s="1"/>
  <c r="I458" i="1" s="1"/>
  <c r="E190" i="1"/>
  <c r="H190" i="1" s="1"/>
  <c r="I190" i="1" s="1"/>
  <c r="E325" i="1"/>
  <c r="H325" i="1" s="1"/>
  <c r="I325" i="1" s="1"/>
  <c r="E326" i="1"/>
  <c r="H326" i="1" s="1"/>
  <c r="I326" i="1" s="1"/>
  <c r="E327" i="1"/>
  <c r="H327" i="1" s="1"/>
  <c r="I327" i="1" s="1"/>
  <c r="E459" i="1"/>
  <c r="H459" i="1" s="1"/>
  <c r="I459" i="1" s="1"/>
  <c r="E270" i="1"/>
  <c r="H270" i="1" s="1"/>
  <c r="I270" i="1" s="1"/>
  <c r="E328" i="1"/>
  <c r="H328" i="1" s="1"/>
  <c r="I328" i="1" s="1"/>
  <c r="E329" i="1"/>
  <c r="H329" i="1" s="1"/>
  <c r="I329" i="1" s="1"/>
  <c r="E460" i="1"/>
  <c r="H460" i="1" s="1"/>
  <c r="I460" i="1" s="1"/>
  <c r="E191" i="1"/>
  <c r="H191" i="1" s="1"/>
  <c r="I191" i="1" s="1"/>
  <c r="E461" i="1"/>
  <c r="H461" i="1" s="1"/>
  <c r="I461" i="1" s="1"/>
  <c r="E462" i="1"/>
  <c r="H462" i="1" s="1"/>
  <c r="I462" i="1" s="1"/>
  <c r="E192" i="1"/>
  <c r="H192" i="1" s="1"/>
  <c r="I192" i="1" s="1"/>
  <c r="E193" i="1"/>
  <c r="H193" i="1" s="1"/>
  <c r="I193" i="1" s="1"/>
  <c r="E587" i="1"/>
  <c r="H587" i="1" s="1"/>
  <c r="I587" i="1" s="1"/>
  <c r="H673" i="1"/>
  <c r="I673" i="1" s="1"/>
  <c r="H674" i="1"/>
  <c r="I674" i="1" s="1"/>
  <c r="E849" i="1"/>
  <c r="H849" i="1" s="1"/>
  <c r="I849" i="1" s="1"/>
  <c r="E98" i="1"/>
  <c r="H98" i="1" s="1"/>
  <c r="I98" i="1" s="1"/>
  <c r="E833" i="1"/>
  <c r="H833" i="1" s="1"/>
  <c r="I833" i="1" s="1"/>
  <c r="E99" i="1"/>
  <c r="H99" i="1" s="1"/>
  <c r="I99" i="1" s="1"/>
  <c r="E100" i="1"/>
  <c r="H100" i="1" s="1"/>
  <c r="I100" i="1" s="1"/>
  <c r="H679" i="1"/>
  <c r="I679" i="1" s="1"/>
  <c r="H680" i="1"/>
  <c r="I680" i="1" s="1"/>
  <c r="H681" i="1"/>
  <c r="I681" i="1" s="1"/>
  <c r="H682" i="1"/>
  <c r="I682" i="1" s="1"/>
  <c r="H683" i="1"/>
  <c r="I683" i="1" s="1"/>
  <c r="H689" i="1"/>
  <c r="I689" i="1" s="1"/>
  <c r="E588" i="1"/>
  <c r="H588" i="1" s="1"/>
  <c r="I588" i="1" s="1"/>
  <c r="E194" i="1"/>
  <c r="H194" i="1" s="1"/>
  <c r="I194" i="1" s="1"/>
  <c r="H690" i="1"/>
  <c r="I690" i="1" s="1"/>
  <c r="E195" i="1"/>
  <c r="H195" i="1" s="1"/>
  <c r="I195" i="1" s="1"/>
  <c r="E589" i="1"/>
  <c r="H589" i="1" s="1"/>
  <c r="I589" i="1" s="1"/>
  <c r="E590" i="1"/>
  <c r="H590" i="1" s="1"/>
  <c r="I590" i="1" s="1"/>
  <c r="H693" i="1"/>
  <c r="I693" i="1" s="1"/>
  <c r="E196" i="1"/>
  <c r="H196" i="1" s="1"/>
  <c r="I196" i="1" s="1"/>
  <c r="H696" i="1"/>
  <c r="I696" i="1" s="1"/>
  <c r="H697" i="1"/>
  <c r="I697" i="1" s="1"/>
  <c r="E591" i="1"/>
  <c r="H591" i="1" s="1"/>
  <c r="I591" i="1" s="1"/>
  <c r="E197" i="1"/>
  <c r="H197" i="1" s="1"/>
  <c r="I197" i="1" s="1"/>
  <c r="E592" i="1"/>
  <c r="H592" i="1" s="1"/>
  <c r="I592" i="1" s="1"/>
  <c r="H701" i="1"/>
  <c r="I701" i="1" s="1"/>
  <c r="E593" i="1"/>
  <c r="H593" i="1" s="1"/>
  <c r="I593" i="1" s="1"/>
  <c r="E594" i="1"/>
  <c r="H594" i="1" s="1"/>
  <c r="I594" i="1" s="1"/>
  <c r="E198" i="1"/>
  <c r="H198" i="1" s="1"/>
  <c r="I198" i="1" s="1"/>
  <c r="H703" i="1"/>
  <c r="I703" i="1" s="1"/>
  <c r="H704" i="1"/>
  <c r="I704" i="1" s="1"/>
  <c r="E199" i="1"/>
  <c r="H199" i="1" s="1"/>
  <c r="I199" i="1" s="1"/>
  <c r="E595" i="1"/>
  <c r="H595" i="1" s="1"/>
  <c r="I595" i="1" s="1"/>
  <c r="E596" i="1"/>
  <c r="H596" i="1" s="1"/>
  <c r="I596" i="1" s="1"/>
  <c r="E597" i="1"/>
  <c r="H597" i="1" s="1"/>
  <c r="I597" i="1" s="1"/>
  <c r="E271" i="1"/>
  <c r="H271" i="1" s="1"/>
  <c r="I271" i="1" s="1"/>
  <c r="E670" i="1"/>
  <c r="H670" i="1" s="1"/>
  <c r="I670" i="1" s="1"/>
  <c r="E671" i="1"/>
  <c r="H671" i="1" s="1"/>
  <c r="I671" i="1" s="1"/>
  <c r="E672" i="1"/>
  <c r="H672" i="1" s="1"/>
  <c r="I672" i="1" s="1"/>
  <c r="E675" i="1"/>
  <c r="H675" i="1" s="1"/>
  <c r="I675" i="1" s="1"/>
  <c r="E598" i="1"/>
  <c r="H598" i="1" s="1"/>
  <c r="I598" i="1" s="1"/>
  <c r="E200" i="1"/>
  <c r="H200" i="1" s="1"/>
  <c r="I200" i="1" s="1"/>
  <c r="E201" i="1"/>
  <c r="H201" i="1" s="1"/>
  <c r="I201" i="1" s="1"/>
  <c r="E676" i="1"/>
  <c r="H676" i="1" s="1"/>
  <c r="I676" i="1" s="1"/>
  <c r="E202" i="1"/>
  <c r="H202" i="1" s="1"/>
  <c r="I202" i="1" s="1"/>
  <c r="E203" i="1"/>
  <c r="H203" i="1" s="1"/>
  <c r="I203" i="1" s="1"/>
  <c r="E204" i="1"/>
  <c r="H204" i="1" s="1"/>
  <c r="I204" i="1" s="1"/>
  <c r="E205" i="1"/>
  <c r="H205" i="1" s="1"/>
  <c r="I205" i="1" s="1"/>
  <c r="E599" i="1"/>
  <c r="H599" i="1" s="1"/>
  <c r="I599" i="1" s="1"/>
  <c r="E600" i="1"/>
  <c r="H600" i="1" s="1"/>
  <c r="I600" i="1" s="1"/>
  <c r="E601" i="1"/>
  <c r="H601" i="1" s="1"/>
  <c r="I601" i="1" s="1"/>
  <c r="E602" i="1"/>
  <c r="H602" i="1" s="1"/>
  <c r="I602" i="1" s="1"/>
  <c r="E850" i="1"/>
  <c r="H850" i="1" s="1"/>
  <c r="I850" i="1" s="1"/>
  <c r="E677" i="1"/>
  <c r="H677" i="1" s="1"/>
  <c r="I677" i="1" s="1"/>
  <c r="E678" i="1"/>
  <c r="H678" i="1" s="1"/>
  <c r="I678" i="1" s="1"/>
  <c r="E684" i="1"/>
  <c r="H684" i="1" s="1"/>
  <c r="I684" i="1" s="1"/>
  <c r="E685" i="1"/>
  <c r="H685" i="1" s="1"/>
  <c r="I685" i="1" s="1"/>
  <c r="E686" i="1"/>
  <c r="H686" i="1" s="1"/>
  <c r="I686" i="1" s="1"/>
  <c r="E206" i="1"/>
  <c r="H206" i="1" s="1"/>
  <c r="I206" i="1" s="1"/>
  <c r="E687" i="1"/>
  <c r="H687" i="1" s="1"/>
  <c r="I687" i="1" s="1"/>
  <c r="E688" i="1"/>
  <c r="H688" i="1" s="1"/>
  <c r="I688" i="1" s="1"/>
  <c r="E603" i="1"/>
  <c r="H603" i="1" s="1"/>
  <c r="I603" i="1" s="1"/>
  <c r="E604" i="1"/>
  <c r="H604" i="1" s="1"/>
  <c r="I604" i="1" s="1"/>
  <c r="E207" i="1"/>
  <c r="H207" i="1" s="1"/>
  <c r="I207" i="1" s="1"/>
  <c r="E691" i="1"/>
  <c r="H691" i="1" s="1"/>
  <c r="I691" i="1" s="1"/>
  <c r="E692" i="1"/>
  <c r="H692" i="1" s="1"/>
  <c r="I692" i="1" s="1"/>
  <c r="E694" i="1"/>
  <c r="H694" i="1" s="1"/>
  <c r="I694" i="1" s="1"/>
  <c r="E695" i="1"/>
  <c r="H695" i="1" s="1"/>
  <c r="I695" i="1" s="1"/>
  <c r="E698" i="1"/>
  <c r="H698" i="1" s="1"/>
  <c r="I698" i="1" s="1"/>
  <c r="E699" i="1"/>
  <c r="H699" i="1" s="1"/>
  <c r="I699" i="1" s="1"/>
  <c r="E208" i="1"/>
  <c r="H208" i="1" s="1"/>
  <c r="I208" i="1" s="1"/>
  <c r="E700" i="1"/>
  <c r="H700" i="1" s="1"/>
  <c r="I700" i="1" s="1"/>
  <c r="E835" i="1"/>
  <c r="H835" i="1" s="1"/>
  <c r="I835" i="1" s="1"/>
  <c r="E605" i="1"/>
  <c r="H605" i="1" s="1"/>
  <c r="I605" i="1" s="1"/>
  <c r="E702" i="1"/>
  <c r="H702" i="1" s="1"/>
  <c r="I702" i="1" s="1"/>
  <c r="E705" i="1"/>
  <c r="H705" i="1" s="1"/>
  <c r="I705" i="1" s="1"/>
  <c r="E706" i="1"/>
  <c r="H706" i="1" s="1"/>
  <c r="I706" i="1" s="1"/>
  <c r="E101" i="1"/>
  <c r="H101" i="1" s="1"/>
  <c r="I101" i="1" s="1"/>
  <c r="E707" i="1"/>
  <c r="H707" i="1" s="1"/>
  <c r="I707" i="1" s="1"/>
  <c r="E708" i="1"/>
  <c r="H708" i="1" s="1"/>
  <c r="I708" i="1" s="1"/>
  <c r="E606" i="1"/>
  <c r="H606" i="1" s="1"/>
  <c r="I606" i="1" s="1"/>
  <c r="E209" i="1"/>
  <c r="H209" i="1" s="1"/>
  <c r="I209" i="1" s="1"/>
  <c r="E709" i="1"/>
  <c r="H709" i="1" s="1"/>
  <c r="I709" i="1" s="1"/>
  <c r="E851" i="1"/>
  <c r="H851" i="1" s="1"/>
  <c r="I851" i="1" s="1"/>
  <c r="E710" i="1"/>
  <c r="H710" i="1" s="1"/>
  <c r="I710" i="1" s="1"/>
  <c r="E711" i="1"/>
  <c r="H711" i="1" s="1"/>
  <c r="I711" i="1" s="1"/>
  <c r="E712" i="1"/>
  <c r="H712" i="1" s="1"/>
  <c r="I712" i="1" s="1"/>
  <c r="E713" i="1"/>
  <c r="H713" i="1" s="1"/>
  <c r="I713" i="1" s="1"/>
  <c r="E210" i="1"/>
  <c r="H210" i="1" s="1"/>
  <c r="I210" i="1" s="1"/>
  <c r="E607" i="1"/>
  <c r="H607" i="1" s="1"/>
  <c r="I607" i="1" s="1"/>
  <c r="E608" i="1"/>
  <c r="H608" i="1" s="1"/>
  <c r="I608" i="1" s="1"/>
  <c r="E211" i="1"/>
  <c r="H211" i="1" s="1"/>
  <c r="I211" i="1" s="1"/>
  <c r="E714" i="1"/>
  <c r="H714" i="1" s="1"/>
  <c r="I714" i="1" s="1"/>
  <c r="E715" i="1"/>
  <c r="H715" i="1" s="1"/>
  <c r="I715" i="1" s="1"/>
  <c r="E716" i="1"/>
  <c r="H716" i="1" s="1"/>
  <c r="I716" i="1" s="1"/>
  <c r="E717" i="1"/>
  <c r="H717" i="1" s="1"/>
  <c r="I717" i="1" s="1"/>
  <c r="E718" i="1"/>
  <c r="H718" i="1" s="1"/>
  <c r="I718" i="1" s="1"/>
  <c r="E719" i="1"/>
  <c r="H719" i="1" s="1"/>
  <c r="I719" i="1" s="1"/>
  <c r="E720" i="1"/>
  <c r="H720" i="1" s="1"/>
  <c r="I720" i="1" s="1"/>
  <c r="E721" i="1"/>
  <c r="H721" i="1" s="1"/>
  <c r="I721" i="1" s="1"/>
  <c r="E722" i="1"/>
  <c r="H722" i="1" s="1"/>
  <c r="I722" i="1" s="1"/>
  <c r="E723" i="1"/>
  <c r="H723" i="1" s="1"/>
  <c r="I723" i="1" s="1"/>
  <c r="E724" i="1"/>
  <c r="H724" i="1" s="1"/>
  <c r="I724" i="1" s="1"/>
  <c r="E725" i="1"/>
  <c r="H725" i="1" s="1"/>
  <c r="I725" i="1" s="1"/>
  <c r="E726" i="1"/>
  <c r="H726" i="1" s="1"/>
  <c r="I726" i="1" s="1"/>
  <c r="E727" i="1"/>
  <c r="H727" i="1" s="1"/>
  <c r="I727" i="1" s="1"/>
  <c r="E728" i="1"/>
  <c r="H728" i="1" s="1"/>
  <c r="I728" i="1" s="1"/>
  <c r="E729" i="1"/>
  <c r="H729" i="1" s="1"/>
  <c r="I729" i="1" s="1"/>
  <c r="E730" i="1"/>
  <c r="H730" i="1" s="1"/>
  <c r="I730" i="1" s="1"/>
  <c r="E731" i="1"/>
  <c r="H731" i="1" s="1"/>
  <c r="I731" i="1" s="1"/>
  <c r="E732" i="1"/>
  <c r="H732" i="1" s="1"/>
  <c r="I732" i="1" s="1"/>
  <c r="E733" i="1"/>
  <c r="H733" i="1" s="1"/>
  <c r="I733" i="1" s="1"/>
  <c r="E734" i="1"/>
  <c r="H734" i="1" s="1"/>
  <c r="I734" i="1" s="1"/>
  <c r="E212" i="1"/>
  <c r="H212" i="1" s="1"/>
  <c r="I212" i="1" s="1"/>
  <c r="E735" i="1"/>
  <c r="H735" i="1" s="1"/>
  <c r="I735" i="1" s="1"/>
  <c r="E609" i="1"/>
  <c r="H609" i="1" s="1"/>
  <c r="I609" i="1" s="1"/>
  <c r="E610" i="1"/>
  <c r="H610" i="1" s="1"/>
  <c r="I610" i="1" s="1"/>
  <c r="E738" i="1"/>
  <c r="H738" i="1" s="1"/>
  <c r="I738" i="1" s="1"/>
  <c r="E739" i="1"/>
  <c r="H739" i="1" s="1"/>
  <c r="I739" i="1" s="1"/>
  <c r="E740" i="1"/>
  <c r="H740" i="1" s="1"/>
  <c r="I740" i="1" s="1"/>
  <c r="E741" i="1"/>
  <c r="H741" i="1" s="1"/>
  <c r="I741" i="1" s="1"/>
  <c r="E742" i="1"/>
  <c r="H742" i="1" s="1"/>
  <c r="I742" i="1" s="1"/>
  <c r="E743" i="1"/>
  <c r="H743" i="1" s="1"/>
  <c r="I743" i="1" s="1"/>
  <c r="E213" i="1"/>
  <c r="H213" i="1" s="1"/>
  <c r="I213" i="1" s="1"/>
  <c r="E611" i="1"/>
  <c r="H611" i="1" s="1"/>
  <c r="I611" i="1" s="1"/>
  <c r="E612" i="1"/>
  <c r="H612" i="1" s="1"/>
  <c r="I612" i="1" s="1"/>
  <c r="E744" i="1"/>
  <c r="H744" i="1" s="1"/>
  <c r="I744" i="1" s="1"/>
  <c r="E745" i="1"/>
  <c r="H745" i="1" s="1"/>
  <c r="I745" i="1" s="1"/>
  <c r="E746" i="1"/>
  <c r="H746" i="1" s="1"/>
  <c r="I746" i="1" s="1"/>
  <c r="E747" i="1"/>
  <c r="H747" i="1" s="1"/>
  <c r="I747" i="1" s="1"/>
  <c r="E749" i="1"/>
  <c r="H749" i="1" s="1"/>
  <c r="I749" i="1" s="1"/>
  <c r="E750" i="1"/>
  <c r="H750" i="1" s="1"/>
  <c r="I750" i="1" s="1"/>
  <c r="E751" i="1"/>
  <c r="H751" i="1" s="1"/>
  <c r="I751" i="1" s="1"/>
  <c r="E613" i="1"/>
  <c r="H613" i="1" s="1"/>
  <c r="I613" i="1" s="1"/>
  <c r="E752" i="1"/>
  <c r="H752" i="1" s="1"/>
  <c r="I752" i="1" s="1"/>
  <c r="E214" i="1"/>
  <c r="H214" i="1" s="1"/>
  <c r="I214" i="1" s="1"/>
  <c r="E753" i="1"/>
  <c r="H753" i="1" s="1"/>
  <c r="I753" i="1" s="1"/>
  <c r="E215" i="1"/>
  <c r="H215" i="1" s="1"/>
  <c r="I215" i="1" s="1"/>
  <c r="E614" i="1"/>
  <c r="H614" i="1" s="1"/>
  <c r="I614" i="1" s="1"/>
  <c r="E755" i="1"/>
  <c r="H755" i="1" s="1"/>
  <c r="I755" i="1" s="1"/>
  <c r="E756" i="1"/>
  <c r="H756" i="1" s="1"/>
  <c r="I756" i="1" s="1"/>
  <c r="E757" i="1"/>
  <c r="H757" i="1" s="1"/>
  <c r="I757" i="1" s="1"/>
  <c r="E758" i="1"/>
  <c r="H758" i="1" s="1"/>
  <c r="I758" i="1" s="1"/>
  <c r="E759" i="1"/>
  <c r="H759" i="1" s="1"/>
  <c r="I759" i="1" s="1"/>
  <c r="E216" i="1"/>
  <c r="H216" i="1" s="1"/>
  <c r="I216" i="1" s="1"/>
  <c r="E615" i="1"/>
  <c r="H615" i="1" s="1"/>
  <c r="I615" i="1" s="1"/>
  <c r="E616" i="1"/>
  <c r="H616" i="1" s="1"/>
  <c r="I616" i="1" s="1"/>
  <c r="E617" i="1"/>
  <c r="H617" i="1" s="1"/>
  <c r="I617" i="1" s="1"/>
  <c r="E217" i="1"/>
  <c r="H217" i="1" s="1"/>
  <c r="I217" i="1" s="1"/>
  <c r="E760" i="1"/>
  <c r="H760" i="1" s="1"/>
  <c r="I760" i="1" s="1"/>
  <c r="E761" i="1"/>
  <c r="H761" i="1" s="1"/>
  <c r="I761" i="1" s="1"/>
  <c r="E762" i="1"/>
  <c r="H762" i="1" s="1"/>
  <c r="I762" i="1" s="1"/>
  <c r="E763" i="1"/>
  <c r="H763" i="1" s="1"/>
  <c r="I763" i="1" s="1"/>
  <c r="E764" i="1"/>
  <c r="H764" i="1" s="1"/>
  <c r="I764" i="1" s="1"/>
  <c r="E618" i="1"/>
  <c r="H618" i="1" s="1"/>
  <c r="I618" i="1" s="1"/>
  <c r="E218" i="1"/>
  <c r="H218" i="1" s="1"/>
  <c r="I218" i="1" s="1"/>
  <c r="E765" i="1"/>
  <c r="H765" i="1" s="1"/>
  <c r="I765" i="1" s="1"/>
  <c r="E766" i="1"/>
  <c r="H766" i="1" s="1"/>
  <c r="I766" i="1" s="1"/>
  <c r="E767" i="1"/>
  <c r="H767" i="1" s="1"/>
  <c r="I767" i="1" s="1"/>
  <c r="E619" i="1"/>
  <c r="H619" i="1" s="1"/>
  <c r="I619" i="1" s="1"/>
  <c r="E768" i="1"/>
  <c r="H768" i="1" s="1"/>
  <c r="I768" i="1" s="1"/>
  <c r="E769" i="1"/>
  <c r="H769" i="1" s="1"/>
  <c r="I769" i="1" s="1"/>
  <c r="E770" i="1"/>
  <c r="H770" i="1" s="1"/>
  <c r="I770" i="1" s="1"/>
  <c r="E771" i="1"/>
  <c r="H771" i="1" s="1"/>
  <c r="I771" i="1" s="1"/>
  <c r="E620" i="1"/>
  <c r="H620" i="1" s="1"/>
  <c r="I620" i="1" s="1"/>
  <c r="E219" i="1"/>
  <c r="H219" i="1" s="1"/>
  <c r="I219" i="1" s="1"/>
  <c r="E773" i="1"/>
  <c r="H773" i="1" s="1"/>
  <c r="I773" i="1" s="1"/>
  <c r="E621" i="1"/>
  <c r="H621" i="1" s="1"/>
  <c r="I621" i="1" s="1"/>
  <c r="E774" i="1"/>
  <c r="H774" i="1" s="1"/>
  <c r="I774" i="1" s="1"/>
  <c r="E622" i="1"/>
  <c r="H622" i="1" s="1"/>
  <c r="I622" i="1" s="1"/>
  <c r="E220" i="1"/>
  <c r="H220" i="1" s="1"/>
  <c r="I220" i="1" s="1"/>
  <c r="E623" i="1"/>
  <c r="H623" i="1" s="1"/>
  <c r="I623" i="1" s="1"/>
  <c r="E775" i="1"/>
  <c r="H775" i="1" s="1"/>
  <c r="I775" i="1" s="1"/>
  <c r="E776" i="1"/>
  <c r="H776" i="1" s="1"/>
  <c r="I776" i="1" s="1"/>
  <c r="E624" i="1"/>
  <c r="H624" i="1" s="1"/>
  <c r="I624" i="1" s="1"/>
  <c r="E221" i="1"/>
  <c r="H221" i="1" s="1"/>
  <c r="I221" i="1" s="1"/>
  <c r="E777" i="1"/>
  <c r="H777" i="1" s="1"/>
  <c r="I777" i="1" s="1"/>
  <c r="E778" i="1"/>
  <c r="H778" i="1" s="1"/>
  <c r="I778" i="1" s="1"/>
  <c r="E779" i="1"/>
  <c r="H779" i="1" s="1"/>
  <c r="I779" i="1" s="1"/>
  <c r="E838" i="1"/>
  <c r="H838" i="1" s="1"/>
  <c r="I838" i="1" s="1"/>
  <c r="E780" i="1"/>
  <c r="H780" i="1" s="1"/>
  <c r="I780" i="1" s="1"/>
  <c r="E781" i="1"/>
  <c r="H781" i="1" s="1"/>
  <c r="I781" i="1" s="1"/>
  <c r="E839" i="1"/>
  <c r="H839" i="1" s="1"/>
  <c r="I839" i="1" s="1"/>
  <c r="E782" i="1"/>
  <c r="H782" i="1" s="1"/>
  <c r="I782" i="1" s="1"/>
  <c r="E783" i="1"/>
  <c r="H783" i="1" s="1"/>
  <c r="I783" i="1" s="1"/>
  <c r="E784" i="1"/>
  <c r="H784" i="1" s="1"/>
  <c r="I784" i="1" s="1"/>
  <c r="E785" i="1"/>
  <c r="H785" i="1" s="1"/>
  <c r="I785" i="1" s="1"/>
  <c r="E222" i="1"/>
  <c r="H222" i="1" s="1"/>
  <c r="I222" i="1" s="1"/>
  <c r="E625" i="1"/>
  <c r="H625" i="1" s="1"/>
  <c r="I625" i="1" s="1"/>
  <c r="E786" i="1"/>
  <c r="H786" i="1" s="1"/>
  <c r="I786" i="1" s="1"/>
  <c r="E787" i="1"/>
  <c r="H787" i="1" s="1"/>
  <c r="I787" i="1" s="1"/>
  <c r="E272" i="1"/>
  <c r="H272" i="1" s="1"/>
  <c r="I272" i="1" s="1"/>
  <c r="E102" i="1"/>
  <c r="H102" i="1" s="1"/>
  <c r="I102" i="1" s="1"/>
  <c r="E626" i="1"/>
  <c r="H626" i="1" s="1"/>
  <c r="I626" i="1" s="1"/>
  <c r="E627" i="1"/>
  <c r="H627" i="1" s="1"/>
  <c r="I627" i="1" s="1"/>
  <c r="E223" i="1"/>
  <c r="H223" i="1" s="1"/>
  <c r="I223" i="1" s="1"/>
  <c r="E628" i="1"/>
  <c r="H628" i="1" s="1"/>
  <c r="I628" i="1" s="1"/>
  <c r="E788" i="1"/>
  <c r="H788" i="1" s="1"/>
  <c r="I788" i="1" s="1"/>
  <c r="E789" i="1"/>
  <c r="H789" i="1" s="1"/>
  <c r="I789" i="1" s="1"/>
  <c r="E790" i="1"/>
  <c r="H790" i="1" s="1"/>
  <c r="I790" i="1" s="1"/>
  <c r="E791" i="1"/>
  <c r="H791" i="1" s="1"/>
  <c r="I791" i="1" s="1"/>
  <c r="E792" i="1"/>
  <c r="H792" i="1" s="1"/>
  <c r="I792" i="1" s="1"/>
  <c r="E224" i="1"/>
  <c r="H224" i="1" s="1"/>
  <c r="I224" i="1" s="1"/>
  <c r="E629" i="1"/>
  <c r="H629" i="1" s="1"/>
  <c r="I629" i="1" s="1"/>
  <c r="E793" i="1"/>
  <c r="H793" i="1" s="1"/>
  <c r="I793" i="1" s="1"/>
  <c r="E794" i="1"/>
  <c r="H794" i="1" s="1"/>
  <c r="I794" i="1" s="1"/>
  <c r="E630" i="1"/>
  <c r="H630" i="1" s="1"/>
  <c r="I630" i="1" s="1"/>
  <c r="E631" i="1"/>
  <c r="H631" i="1" s="1"/>
  <c r="I631" i="1" s="1"/>
  <c r="E632" i="1"/>
  <c r="H632" i="1" s="1"/>
  <c r="I632" i="1" s="1"/>
  <c r="E225" i="1"/>
  <c r="H225" i="1" s="1"/>
  <c r="I225" i="1" s="1"/>
  <c r="E795" i="1"/>
  <c r="H795" i="1" s="1"/>
  <c r="I795" i="1" s="1"/>
  <c r="E633" i="1"/>
  <c r="H633" i="1" s="1"/>
  <c r="I633" i="1" s="1"/>
  <c r="E796" i="1"/>
  <c r="H796" i="1" s="1"/>
  <c r="I796" i="1" s="1"/>
  <c r="E634" i="1"/>
  <c r="H634" i="1" s="1"/>
  <c r="I634" i="1" s="1"/>
  <c r="E226" i="1"/>
  <c r="H226" i="1" s="1"/>
  <c r="I226" i="1" s="1"/>
  <c r="E797" i="1"/>
  <c r="H797" i="1" s="1"/>
  <c r="I797" i="1" s="1"/>
  <c r="E798" i="1"/>
  <c r="H798" i="1" s="1"/>
  <c r="I798" i="1" s="1"/>
  <c r="E799" i="1"/>
  <c r="H799" i="1" s="1"/>
  <c r="I799" i="1" s="1"/>
  <c r="E840" i="1"/>
  <c r="H840" i="1" s="1"/>
  <c r="I840" i="1" s="1"/>
  <c r="E227" i="1"/>
  <c r="H227" i="1" s="1"/>
  <c r="I227" i="1" s="1"/>
  <c r="E635" i="1"/>
  <c r="H635" i="1" s="1"/>
  <c r="I635" i="1" s="1"/>
  <c r="E800" i="1"/>
  <c r="H800" i="1" s="1"/>
  <c r="I800" i="1" s="1"/>
  <c r="E636" i="1"/>
  <c r="H636" i="1" s="1"/>
  <c r="I636" i="1" s="1"/>
  <c r="E801" i="1"/>
  <c r="H801" i="1" s="1"/>
  <c r="I801" i="1" s="1"/>
  <c r="E802" i="1"/>
  <c r="H802" i="1" s="1"/>
  <c r="I802" i="1" s="1"/>
  <c r="E637" i="1"/>
  <c r="H637" i="1" s="1"/>
  <c r="I637" i="1" s="1"/>
  <c r="E228" i="1"/>
  <c r="H228" i="1" s="1"/>
  <c r="I228" i="1" s="1"/>
  <c r="E803" i="1"/>
  <c r="H803" i="1" s="1"/>
  <c r="I803" i="1" s="1"/>
  <c r="E804" i="1"/>
  <c r="H804" i="1" s="1"/>
  <c r="I804" i="1" s="1"/>
  <c r="E805" i="1"/>
  <c r="H805" i="1" s="1"/>
  <c r="I805" i="1" s="1"/>
  <c r="E103" i="1"/>
  <c r="H103" i="1" s="1"/>
  <c r="I103" i="1" s="1"/>
  <c r="E638" i="1"/>
  <c r="H638" i="1" s="1"/>
  <c r="I638" i="1" s="1"/>
  <c r="E639" i="1"/>
  <c r="H639" i="1" s="1"/>
  <c r="I639" i="1" s="1"/>
  <c r="E640" i="1"/>
  <c r="H640" i="1" s="1"/>
  <c r="I640" i="1" s="1"/>
  <c r="E641" i="1"/>
  <c r="H641" i="1" s="1"/>
  <c r="I641" i="1" s="1"/>
  <c r="E229" i="1"/>
  <c r="H229" i="1" s="1"/>
  <c r="I229" i="1" s="1"/>
  <c r="E230" i="1"/>
  <c r="H230" i="1" s="1"/>
  <c r="I230" i="1" s="1"/>
  <c r="E643" i="1"/>
  <c r="H643" i="1" s="1"/>
  <c r="I643" i="1" s="1"/>
  <c r="E806" i="1"/>
  <c r="H806" i="1" s="1"/>
  <c r="I806" i="1" s="1"/>
  <c r="E650" i="1"/>
  <c r="H650" i="1" s="1"/>
  <c r="I650" i="1" s="1"/>
  <c r="E231" i="1"/>
  <c r="H231" i="1" s="1"/>
  <c r="I231" i="1" s="1"/>
  <c r="E807" i="1"/>
  <c r="H807" i="1" s="1"/>
  <c r="I807" i="1" s="1"/>
  <c r="E808" i="1"/>
  <c r="H808" i="1" s="1"/>
  <c r="I808" i="1" s="1"/>
  <c r="E809" i="1"/>
  <c r="H809" i="1" s="1"/>
  <c r="I809" i="1" s="1"/>
  <c r="E810" i="1"/>
  <c r="H810" i="1" s="1"/>
  <c r="I810" i="1" s="1"/>
  <c r="E811" i="1"/>
  <c r="H811" i="1" s="1"/>
  <c r="I811" i="1" s="1"/>
  <c r="E651" i="1"/>
  <c r="H651" i="1" s="1"/>
  <c r="I651" i="1" s="1"/>
  <c r="E652" i="1"/>
  <c r="H652" i="1" s="1"/>
  <c r="I652" i="1" s="1"/>
  <c r="E653" i="1"/>
  <c r="H653" i="1" s="1"/>
  <c r="I653" i="1" s="1"/>
  <c r="E232" i="1"/>
  <c r="H232" i="1" s="1"/>
  <c r="I232" i="1" s="1"/>
  <c r="E841" i="1"/>
  <c r="H841" i="1" s="1"/>
  <c r="I841" i="1" s="1"/>
  <c r="E812" i="1"/>
  <c r="H812" i="1" s="1"/>
  <c r="I812" i="1" s="1"/>
  <c r="E813" i="1"/>
  <c r="H813" i="1" s="1"/>
  <c r="I813" i="1" s="1"/>
  <c r="E233" i="1"/>
  <c r="H233" i="1" s="1"/>
  <c r="I233" i="1" s="1"/>
  <c r="E814" i="1"/>
  <c r="H814" i="1" s="1"/>
  <c r="I814" i="1" s="1"/>
  <c r="E234" i="1"/>
  <c r="H234" i="1" s="1"/>
  <c r="I234" i="1" s="1"/>
  <c r="E654" i="1"/>
  <c r="H654" i="1" s="1"/>
  <c r="I654" i="1" s="1"/>
  <c r="E815" i="1"/>
  <c r="H815" i="1" s="1"/>
  <c r="I815" i="1" s="1"/>
  <c r="E104" i="1"/>
  <c r="H104" i="1" s="1"/>
  <c r="I104" i="1" s="1"/>
  <c r="E816" i="1"/>
  <c r="H816" i="1" s="1"/>
  <c r="I816" i="1" s="1"/>
  <c r="E817" i="1"/>
  <c r="H817" i="1" s="1"/>
  <c r="I817" i="1" s="1"/>
  <c r="E818" i="1"/>
  <c r="H818" i="1" s="1"/>
  <c r="I818" i="1" s="1"/>
  <c r="E819" i="1"/>
  <c r="H819" i="1" s="1"/>
  <c r="I819" i="1" s="1"/>
  <c r="E235" i="1"/>
  <c r="H235" i="1" s="1"/>
  <c r="I235" i="1" s="1"/>
  <c r="E655" i="1"/>
  <c r="H655" i="1" s="1"/>
  <c r="I655" i="1" s="1"/>
  <c r="E820" i="1"/>
  <c r="H820" i="1" s="1"/>
  <c r="I820" i="1" s="1"/>
  <c r="E656" i="1"/>
  <c r="H656" i="1" s="1"/>
  <c r="I656" i="1" s="1"/>
  <c r="E821" i="1"/>
  <c r="H821" i="1" s="1"/>
  <c r="I821" i="1" s="1"/>
  <c r="E822" i="1"/>
  <c r="H822" i="1" s="1"/>
  <c r="I822" i="1" s="1"/>
  <c r="E236" i="1"/>
  <c r="H236" i="1" s="1"/>
  <c r="I236" i="1" s="1"/>
  <c r="E657" i="1"/>
  <c r="H657" i="1" s="1"/>
  <c r="I657" i="1" s="1"/>
  <c r="E658" i="1"/>
  <c r="H658" i="1" s="1"/>
  <c r="I658" i="1" s="1"/>
  <c r="H1058" i="1"/>
  <c r="I1058" i="1" s="1"/>
  <c r="H1059" i="1"/>
  <c r="I1059" i="1" s="1"/>
  <c r="E659" i="1"/>
  <c r="H659" i="1" s="1"/>
  <c r="I659" i="1" s="1"/>
  <c r="E660" i="1"/>
  <c r="H660" i="1" s="1"/>
  <c r="I660" i="1" s="1"/>
  <c r="E237" i="1"/>
  <c r="H237" i="1" s="1"/>
  <c r="I237" i="1" s="1"/>
  <c r="H1079" i="1"/>
  <c r="I1079" i="1" s="1"/>
  <c r="H1080" i="1"/>
  <c r="I1080" i="1" s="1"/>
  <c r="H1081" i="1"/>
  <c r="I1081" i="1" s="1"/>
  <c r="E245" i="1"/>
  <c r="H245" i="1" s="1"/>
  <c r="I245" i="1" s="1"/>
  <c r="K3" i="3"/>
  <c r="K51" i="3"/>
  <c r="N51" i="3" s="1"/>
  <c r="K52" i="3"/>
  <c r="N52" i="3" s="1"/>
  <c r="K53" i="3"/>
  <c r="K54" i="3"/>
  <c r="N54" i="3" s="1"/>
  <c r="K55" i="3"/>
  <c r="L51" i="3"/>
  <c r="L52" i="3"/>
  <c r="O52" i="3" s="1"/>
  <c r="L53" i="3"/>
  <c r="O53" i="3" s="1"/>
  <c r="L54" i="3"/>
  <c r="O54" i="3" s="1"/>
  <c r="L55" i="3"/>
  <c r="O55" i="3" s="1"/>
  <c r="M51" i="3"/>
  <c r="O51" i="3" s="1"/>
  <c r="M52" i="3"/>
  <c r="M53" i="3"/>
  <c r="M54" i="3"/>
  <c r="M55" i="3"/>
  <c r="N53" i="3"/>
  <c r="N55" i="3"/>
  <c r="I50" i="2"/>
  <c r="H1130" i="1" l="1"/>
  <c r="I1130" i="1" s="1"/>
  <c r="H341" i="1"/>
  <c r="I341" i="1" s="1"/>
  <c r="H1149" i="1"/>
  <c r="I1149" i="1" s="1"/>
  <c r="H1067" i="1"/>
  <c r="I1067" i="1" s="1"/>
  <c r="H1132" i="1"/>
  <c r="I1132" i="1" s="1"/>
  <c r="H1160" i="1"/>
  <c r="I1160" i="1" s="1"/>
  <c r="L1160" i="1" s="1"/>
  <c r="M1160" i="1" s="1"/>
  <c r="H307" i="1"/>
  <c r="I307" i="1" s="1"/>
  <c r="H1019" i="1"/>
  <c r="I1019" i="1" s="1"/>
  <c r="L1019" i="1" s="1"/>
  <c r="M1019" i="1" s="1"/>
  <c r="H1014" i="1"/>
  <c r="I1014" i="1" s="1"/>
  <c r="H1006" i="1"/>
  <c r="I1006" i="1" s="1"/>
  <c r="H998" i="1"/>
  <c r="I998" i="1" s="1"/>
  <c r="H1087" i="1"/>
  <c r="I1087" i="1" s="1"/>
  <c r="L1087" i="1" s="1"/>
  <c r="M1087" i="1" s="1"/>
  <c r="H1051" i="1"/>
  <c r="I1051" i="1" s="1"/>
  <c r="H1049" i="1"/>
  <c r="I1049" i="1" s="1"/>
  <c r="H1040" i="1"/>
  <c r="I1040" i="1" s="1"/>
  <c r="L1040" i="1" s="1"/>
  <c r="M1040" i="1" s="1"/>
  <c r="H990" i="1"/>
  <c r="I990" i="1" s="1"/>
  <c r="K990" i="1" s="1"/>
  <c r="H1119" i="1"/>
  <c r="I1119" i="1" s="1"/>
  <c r="K1119" i="1" s="1"/>
  <c r="I962" i="1"/>
  <c r="H975" i="1"/>
  <c r="I975" i="1" s="1"/>
  <c r="H973" i="1"/>
  <c r="I973" i="1" s="1"/>
  <c r="H310" i="1"/>
  <c r="I310" i="1" s="1"/>
  <c r="L310" i="1" s="1"/>
  <c r="M310" i="1" s="1"/>
  <c r="H1026" i="1"/>
  <c r="I1026" i="1" s="1"/>
  <c r="L1026" i="1" s="1"/>
  <c r="M1026" i="1" s="1"/>
  <c r="H1121" i="1"/>
  <c r="I1121" i="1" s="1"/>
  <c r="L1121" i="1" s="1"/>
  <c r="M1121" i="1" s="1"/>
  <c r="H1153" i="1"/>
  <c r="I1153" i="1" s="1"/>
  <c r="L1153" i="1" s="1"/>
  <c r="M1153" i="1" s="1"/>
  <c r="H291" i="1"/>
  <c r="I291" i="1" s="1"/>
  <c r="H1157" i="1"/>
  <c r="I1157" i="1" s="1"/>
  <c r="K1157" i="1" s="1"/>
  <c r="H1127" i="1"/>
  <c r="I1127" i="1" s="1"/>
  <c r="H1108" i="1"/>
  <c r="I1108" i="1" s="1"/>
  <c r="H281" i="1"/>
  <c r="I281" i="1" s="1"/>
  <c r="H967" i="1"/>
  <c r="I967" i="1" s="1"/>
  <c r="L967" i="1" s="1"/>
  <c r="M967" i="1" s="1"/>
  <c r="H1088" i="1"/>
  <c r="I1088" i="1" s="1"/>
  <c r="H1128" i="1"/>
  <c r="I1128" i="1" s="1"/>
  <c r="K1128" i="1" s="1"/>
  <c r="H965" i="1"/>
  <c r="I965" i="1" s="1"/>
  <c r="H1115" i="1"/>
  <c r="I1115" i="1" s="1"/>
  <c r="H1148" i="1"/>
  <c r="I1148" i="1" s="1"/>
  <c r="H1032" i="1"/>
  <c r="I1032" i="1" s="1"/>
  <c r="H1094" i="1"/>
  <c r="I1094" i="1" s="1"/>
  <c r="H371" i="1"/>
  <c r="I371" i="1" s="1"/>
  <c r="L371" i="1" s="1"/>
  <c r="M371" i="1" s="1"/>
  <c r="H1109" i="1"/>
  <c r="I1109" i="1" s="1"/>
  <c r="L1109" i="1" s="1"/>
  <c r="M1109" i="1" s="1"/>
  <c r="H282" i="1"/>
  <c r="I282" i="1" s="1"/>
  <c r="H1136" i="1"/>
  <c r="I1136" i="1" s="1"/>
  <c r="H1134" i="1"/>
  <c r="I1134" i="1" s="1"/>
  <c r="L1134" i="1" s="1"/>
  <c r="M1134" i="1" s="1"/>
  <c r="H1023" i="1"/>
  <c r="I1023" i="1" s="1"/>
  <c r="H1060" i="1"/>
  <c r="I1060" i="1" s="1"/>
  <c r="H1012" i="1"/>
  <c r="I1012" i="1" s="1"/>
  <c r="H1111" i="1"/>
  <c r="I1111" i="1" s="1"/>
  <c r="H1120" i="1"/>
  <c r="I1120" i="1" s="1"/>
  <c r="L1120" i="1" s="1"/>
  <c r="M1120" i="1" s="1"/>
  <c r="H314" i="1"/>
  <c r="I314" i="1" s="1"/>
  <c r="L314" i="1" s="1"/>
  <c r="M314" i="1" s="1"/>
  <c r="H1077" i="1"/>
  <c r="I1077" i="1" s="1"/>
  <c r="H1064" i="1"/>
  <c r="I1064" i="1" s="1"/>
  <c r="H118" i="1"/>
  <c r="I118" i="1" s="1"/>
  <c r="H1034" i="1"/>
  <c r="I1034" i="1" s="1"/>
  <c r="H1029" i="1"/>
  <c r="I1029" i="1" s="1"/>
  <c r="H972" i="1"/>
  <c r="I972" i="1" s="1"/>
  <c r="L972" i="1" s="1"/>
  <c r="M972" i="1" s="1"/>
  <c r="H970" i="1"/>
  <c r="I970" i="1" s="1"/>
  <c r="L970" i="1" s="1"/>
  <c r="M970" i="1" s="1"/>
  <c r="H292" i="1"/>
  <c r="I292" i="1" s="1"/>
  <c r="H1024" i="1"/>
  <c r="I1024" i="1" s="1"/>
  <c r="H1135" i="1"/>
  <c r="I1135" i="1" s="1"/>
  <c r="L1135" i="1" s="1"/>
  <c r="M1135" i="1" s="1"/>
  <c r="H1138" i="1"/>
  <c r="I1138" i="1" s="1"/>
  <c r="H1062" i="1"/>
  <c r="I1062" i="1" s="1"/>
  <c r="H1017" i="1"/>
  <c r="I1017" i="1" s="1"/>
  <c r="H1055" i="1"/>
  <c r="I1055" i="1" s="1"/>
  <c r="L1055" i="1" s="1"/>
  <c r="M1055" i="1" s="1"/>
  <c r="H1008" i="1"/>
  <c r="I1008" i="1" s="1"/>
  <c r="H1002" i="1"/>
  <c r="I1002" i="1" s="1"/>
  <c r="L1002" i="1" s="1"/>
  <c r="M1002" i="1" s="1"/>
  <c r="H1082" i="1"/>
  <c r="I1082" i="1" s="1"/>
  <c r="H954" i="1"/>
  <c r="I954" i="1" s="1"/>
  <c r="H950" i="1"/>
  <c r="I950" i="1" s="1"/>
  <c r="H1044" i="1"/>
  <c r="I1044" i="1" s="1"/>
  <c r="H1038" i="1"/>
  <c r="I1038" i="1" s="1"/>
  <c r="K960" i="1"/>
  <c r="L960" i="1"/>
  <c r="M960" i="1" s="1"/>
  <c r="H986" i="1"/>
  <c r="I986" i="1" s="1"/>
  <c r="H979" i="1"/>
  <c r="I979" i="1" s="1"/>
  <c r="H1069" i="1"/>
  <c r="I1069" i="1" s="1"/>
  <c r="H1095" i="1"/>
  <c r="I1095" i="1" s="1"/>
  <c r="H995" i="1"/>
  <c r="I995" i="1" s="1"/>
  <c r="H1083" i="1"/>
  <c r="I1083" i="1" s="1"/>
  <c r="K1083" i="1" s="1"/>
  <c r="H1156" i="1"/>
  <c r="I1156" i="1" s="1"/>
  <c r="H1105" i="1"/>
  <c r="I1105" i="1" s="1"/>
  <c r="K1105" i="1" s="1"/>
  <c r="H276" i="1"/>
  <c r="I276" i="1" s="1"/>
  <c r="H1016" i="1"/>
  <c r="I1016" i="1" s="1"/>
  <c r="H1011" i="1"/>
  <c r="I1011" i="1" s="1"/>
  <c r="H953" i="1"/>
  <c r="I953" i="1" s="1"/>
  <c r="H1104" i="1"/>
  <c r="I1104" i="1" s="1"/>
  <c r="H1066" i="1"/>
  <c r="I1066" i="1" s="1"/>
  <c r="H966" i="1"/>
  <c r="I966" i="1" s="1"/>
  <c r="H1093" i="1"/>
  <c r="I1093" i="1" s="1"/>
  <c r="L1093" i="1" s="1"/>
  <c r="M1093" i="1" s="1"/>
  <c r="H1100" i="1"/>
  <c r="I1100" i="1" s="1"/>
  <c r="H1143" i="1"/>
  <c r="I1143" i="1" s="1"/>
  <c r="L1143" i="1" s="1"/>
  <c r="M1143" i="1" s="1"/>
  <c r="H1106" i="1"/>
  <c r="I1106" i="1" s="1"/>
  <c r="H463" i="1"/>
  <c r="I463" i="1" s="1"/>
  <c r="H1123" i="1"/>
  <c r="I1123" i="1" s="1"/>
  <c r="H1124" i="1"/>
  <c r="I1124" i="1" s="1"/>
  <c r="H961" i="1"/>
  <c r="I961" i="1" s="1"/>
  <c r="L961" i="1" s="1"/>
  <c r="M961" i="1" s="1"/>
  <c r="H1021" i="1"/>
  <c r="I1021" i="1" s="1"/>
  <c r="L1021" i="1" s="1"/>
  <c r="M1021" i="1" s="1"/>
  <c r="H1057" i="1"/>
  <c r="I1057" i="1" s="1"/>
  <c r="H1054" i="1"/>
  <c r="I1054" i="1" s="1"/>
  <c r="H1000" i="1"/>
  <c r="I1000" i="1" s="1"/>
  <c r="H994" i="1"/>
  <c r="I994" i="1" s="1"/>
  <c r="H1042" i="1"/>
  <c r="I1042" i="1" s="1"/>
  <c r="H275" i="1"/>
  <c r="I275" i="1" s="1"/>
  <c r="L275" i="1" s="1"/>
  <c r="M275" i="1" s="1"/>
  <c r="H989" i="1"/>
  <c r="I989" i="1" s="1"/>
  <c r="K989" i="1" s="1"/>
  <c r="H984" i="1"/>
  <c r="I984" i="1" s="1"/>
  <c r="L984" i="1" s="1"/>
  <c r="M984" i="1" s="1"/>
  <c r="H958" i="1"/>
  <c r="I958" i="1" s="1"/>
  <c r="H1085" i="1"/>
  <c r="I1085" i="1" s="1"/>
  <c r="L1085" i="1" s="1"/>
  <c r="M1085" i="1" s="1"/>
  <c r="H969" i="1"/>
  <c r="I969" i="1" s="1"/>
  <c r="H1025" i="1"/>
  <c r="I1025" i="1" s="1"/>
  <c r="H1117" i="1"/>
  <c r="I1117" i="1" s="1"/>
  <c r="H309" i="1"/>
  <c r="I309" i="1" s="1"/>
  <c r="K309" i="1" s="1"/>
  <c r="F1174" i="1"/>
  <c r="I1131" i="1"/>
  <c r="K1131" i="1" s="1"/>
  <c r="H1074" i="1"/>
  <c r="I1074" i="1" s="1"/>
  <c r="H1169" i="1"/>
  <c r="I1169" i="1" s="1"/>
  <c r="H1171" i="1"/>
  <c r="I1171" i="1" s="1"/>
  <c r="L1171" i="1" s="1"/>
  <c r="M1171" i="1" s="1"/>
  <c r="L801" i="1"/>
  <c r="M801" i="1" s="1"/>
  <c r="K801" i="1"/>
  <c r="L619" i="1"/>
  <c r="M619" i="1" s="1"/>
  <c r="K619" i="1"/>
  <c r="L717" i="1"/>
  <c r="M717" i="1" s="1"/>
  <c r="K717" i="1"/>
  <c r="L205" i="1"/>
  <c r="M205" i="1" s="1"/>
  <c r="K205" i="1"/>
  <c r="L329" i="1"/>
  <c r="M329" i="1" s="1"/>
  <c r="K329" i="1"/>
  <c r="L583" i="1"/>
  <c r="M583" i="1" s="1"/>
  <c r="K583" i="1"/>
  <c r="L170" i="1"/>
  <c r="M170" i="1" s="1"/>
  <c r="K170" i="1"/>
  <c r="L514" i="1"/>
  <c r="M514" i="1" s="1"/>
  <c r="K514" i="1"/>
  <c r="L474" i="1"/>
  <c r="M474" i="1" s="1"/>
  <c r="K474" i="1"/>
  <c r="L394" i="1"/>
  <c r="M394" i="1" s="1"/>
  <c r="K394" i="1"/>
  <c r="L61" i="1"/>
  <c r="M61" i="1" s="1"/>
  <c r="K61" i="1"/>
  <c r="L825" i="1"/>
  <c r="M825" i="1" s="1"/>
  <c r="K825" i="1"/>
  <c r="L245" i="1"/>
  <c r="M245" i="1" s="1"/>
  <c r="K245" i="1"/>
  <c r="L1058" i="1"/>
  <c r="M1058" i="1" s="1"/>
  <c r="K1058" i="1"/>
  <c r="L655" i="1"/>
  <c r="M655" i="1" s="1"/>
  <c r="K655" i="1"/>
  <c r="L654" i="1"/>
  <c r="M654" i="1" s="1"/>
  <c r="K654" i="1"/>
  <c r="L653" i="1"/>
  <c r="M653" i="1" s="1"/>
  <c r="K653" i="1"/>
  <c r="L231" i="1"/>
  <c r="M231" i="1" s="1"/>
  <c r="K231" i="1"/>
  <c r="L639" i="1"/>
  <c r="M639" i="1" s="1"/>
  <c r="K639" i="1"/>
  <c r="L802" i="1"/>
  <c r="M802" i="1" s="1"/>
  <c r="K802" i="1"/>
  <c r="L798" i="1"/>
  <c r="M798" i="1" s="1"/>
  <c r="K798" i="1"/>
  <c r="L632" i="1"/>
  <c r="M632" i="1" s="1"/>
  <c r="K632" i="1"/>
  <c r="L791" i="1"/>
  <c r="M791" i="1" s="1"/>
  <c r="K791" i="1"/>
  <c r="L102" i="1"/>
  <c r="M102" i="1" s="1"/>
  <c r="K102" i="1"/>
  <c r="L783" i="1"/>
  <c r="M783" i="1" s="1"/>
  <c r="K783" i="1"/>
  <c r="L777" i="1"/>
  <c r="M777" i="1" s="1"/>
  <c r="K777" i="1"/>
  <c r="L774" i="1"/>
  <c r="M774" i="1" s="1"/>
  <c r="K774" i="1"/>
  <c r="L768" i="1"/>
  <c r="M768" i="1" s="1"/>
  <c r="K768" i="1"/>
  <c r="L763" i="1"/>
  <c r="M763" i="1" s="1"/>
  <c r="K763" i="1"/>
  <c r="L216" i="1"/>
  <c r="M216" i="1" s="1"/>
  <c r="K216" i="1"/>
  <c r="L753" i="1"/>
  <c r="M753" i="1" s="1"/>
  <c r="K753" i="1"/>
  <c r="L746" i="1"/>
  <c r="M746" i="1" s="1"/>
  <c r="K746" i="1"/>
  <c r="L741" i="1"/>
  <c r="M741" i="1" s="1"/>
  <c r="K741" i="1"/>
  <c r="L734" i="1"/>
  <c r="M734" i="1" s="1"/>
  <c r="K734" i="1"/>
  <c r="L726" i="1"/>
  <c r="M726" i="1" s="1"/>
  <c r="K726" i="1"/>
  <c r="L718" i="1"/>
  <c r="M718" i="1" s="1"/>
  <c r="K718" i="1"/>
  <c r="K210" i="1"/>
  <c r="L210" i="1"/>
  <c r="M210" i="1" s="1"/>
  <c r="L606" i="1"/>
  <c r="M606" i="1" s="1"/>
  <c r="K606" i="1"/>
  <c r="L835" i="1"/>
  <c r="M835" i="1" s="1"/>
  <c r="K835" i="1"/>
  <c r="L691" i="1"/>
  <c r="M691" i="1" s="1"/>
  <c r="K691" i="1"/>
  <c r="L685" i="1"/>
  <c r="M685" i="1" s="1"/>
  <c r="K685" i="1"/>
  <c r="L599" i="1"/>
  <c r="M599" i="1" s="1"/>
  <c r="K599" i="1"/>
  <c r="L598" i="1"/>
  <c r="M598" i="1" s="1"/>
  <c r="K598" i="1"/>
  <c r="L595" i="1"/>
  <c r="M595" i="1" s="1"/>
  <c r="K595" i="1"/>
  <c r="L592" i="1"/>
  <c r="M592" i="1" s="1"/>
  <c r="K592" i="1"/>
  <c r="L589" i="1"/>
  <c r="M589" i="1" s="1"/>
  <c r="K589" i="1"/>
  <c r="L681" i="1"/>
  <c r="M681" i="1" s="1"/>
  <c r="K681" i="1"/>
  <c r="L674" i="1"/>
  <c r="M674" i="1" s="1"/>
  <c r="K674" i="1"/>
  <c r="L460" i="1"/>
  <c r="M460" i="1" s="1"/>
  <c r="K460" i="1"/>
  <c r="L190" i="1"/>
  <c r="M190" i="1" s="1"/>
  <c r="K190" i="1"/>
  <c r="L321" i="1"/>
  <c r="M321" i="1" s="1"/>
  <c r="K321" i="1"/>
  <c r="L647" i="1"/>
  <c r="M647" i="1" s="1"/>
  <c r="K647" i="1"/>
  <c r="L97" i="1"/>
  <c r="M97" i="1" s="1"/>
  <c r="K97" i="1"/>
  <c r="L266" i="1"/>
  <c r="M266" i="1" s="1"/>
  <c r="K266" i="1"/>
  <c r="L448" i="1"/>
  <c r="M448" i="1" s="1"/>
  <c r="K448" i="1"/>
  <c r="L445" i="1"/>
  <c r="M445" i="1" s="1"/>
  <c r="K445" i="1"/>
  <c r="L262" i="1"/>
  <c r="M262" i="1" s="1"/>
  <c r="K262" i="1"/>
  <c r="L175" i="1"/>
  <c r="M175" i="1" s="1"/>
  <c r="K175" i="1"/>
  <c r="L578" i="1"/>
  <c r="M578" i="1" s="1"/>
  <c r="K578" i="1"/>
  <c r="L574" i="1"/>
  <c r="M574" i="1" s="1"/>
  <c r="K574" i="1"/>
  <c r="L568" i="1"/>
  <c r="M568" i="1" s="1"/>
  <c r="K568" i="1"/>
  <c r="L563" i="1"/>
  <c r="M563" i="1" s="1"/>
  <c r="K563" i="1"/>
  <c r="L556" i="1"/>
  <c r="M556" i="1" s="1"/>
  <c r="K556" i="1"/>
  <c r="L550" i="1"/>
  <c r="M550" i="1" s="1"/>
  <c r="K550" i="1"/>
  <c r="L429" i="1"/>
  <c r="M429" i="1" s="1"/>
  <c r="K429" i="1"/>
  <c r="L541" i="1"/>
  <c r="M541" i="1" s="1"/>
  <c r="K541" i="1"/>
  <c r="L93" i="1"/>
  <c r="M93" i="1" s="1"/>
  <c r="K93" i="1"/>
  <c r="L533" i="1"/>
  <c r="M533" i="1" s="1"/>
  <c r="K533" i="1"/>
  <c r="L529" i="1"/>
  <c r="M529" i="1" s="1"/>
  <c r="K529" i="1"/>
  <c r="L522" i="1"/>
  <c r="M522" i="1" s="1"/>
  <c r="K522" i="1"/>
  <c r="K515" i="1"/>
  <c r="L515" i="1"/>
  <c r="M515" i="1" s="1"/>
  <c r="L162" i="1"/>
  <c r="M162" i="1" s="1"/>
  <c r="K162" i="1"/>
  <c r="L503" i="1"/>
  <c r="M503" i="1" s="1"/>
  <c r="K503" i="1"/>
  <c r="L497" i="1"/>
  <c r="M497" i="1" s="1"/>
  <c r="K497" i="1"/>
  <c r="L491" i="1"/>
  <c r="M491" i="1" s="1"/>
  <c r="K491" i="1"/>
  <c r="L483" i="1"/>
  <c r="M483" i="1" s="1"/>
  <c r="K483" i="1"/>
  <c r="L92" i="1"/>
  <c r="M92" i="1" s="1"/>
  <c r="K92" i="1"/>
  <c r="L475" i="1"/>
  <c r="M475" i="1" s="1"/>
  <c r="K475" i="1"/>
  <c r="L470" i="1"/>
  <c r="M470" i="1" s="1"/>
  <c r="K470" i="1"/>
  <c r="L464" i="1"/>
  <c r="M464" i="1" s="1"/>
  <c r="K464" i="1"/>
  <c r="L853" i="1"/>
  <c r="M853" i="1" s="1"/>
  <c r="K853" i="1"/>
  <c r="L855" i="1"/>
  <c r="M855" i="1" s="1"/>
  <c r="K855" i="1"/>
  <c r="L148" i="1"/>
  <c r="M148" i="1" s="1"/>
  <c r="K148" i="1"/>
  <c r="L147" i="1"/>
  <c r="M147" i="1" s="1"/>
  <c r="K147" i="1"/>
  <c r="L144" i="1"/>
  <c r="M144" i="1" s="1"/>
  <c r="K144" i="1"/>
  <c r="L389" i="1"/>
  <c r="M389" i="1" s="1"/>
  <c r="K389" i="1"/>
  <c r="L137" i="1"/>
  <c r="M137" i="1" s="1"/>
  <c r="K137" i="1"/>
  <c r="L255" i="1"/>
  <c r="M255" i="1" s="1"/>
  <c r="K255" i="1"/>
  <c r="L843" i="1"/>
  <c r="M843" i="1" s="1"/>
  <c r="K843" i="1"/>
  <c r="L239" i="1"/>
  <c r="M239" i="1" s="1"/>
  <c r="K239" i="1"/>
  <c r="L134" i="1"/>
  <c r="M134" i="1" s="1"/>
  <c r="K134" i="1"/>
  <c r="L131" i="1"/>
  <c r="M131" i="1" s="1"/>
  <c r="K131" i="1"/>
  <c r="L374" i="1"/>
  <c r="M374" i="1" s="1"/>
  <c r="K374" i="1"/>
  <c r="L1072" i="1"/>
  <c r="M1072" i="1" s="1"/>
  <c r="K1072" i="1"/>
  <c r="L127" i="1"/>
  <c r="M127" i="1" s="1"/>
  <c r="K127" i="1"/>
  <c r="L369" i="1"/>
  <c r="M369" i="1" s="1"/>
  <c r="K369" i="1"/>
  <c r="L62" i="1"/>
  <c r="M62" i="1" s="1"/>
  <c r="K62" i="1"/>
  <c r="L366" i="1"/>
  <c r="M366" i="1" s="1"/>
  <c r="K366" i="1"/>
  <c r="L52" i="1"/>
  <c r="M52" i="1" s="1"/>
  <c r="K52" i="1"/>
  <c r="L49" i="1"/>
  <c r="M49" i="1" s="1"/>
  <c r="K49" i="1"/>
  <c r="L46" i="1"/>
  <c r="M46" i="1" s="1"/>
  <c r="K46" i="1"/>
  <c r="L40" i="1"/>
  <c r="M40" i="1" s="1"/>
  <c r="K40" i="1"/>
  <c r="L33" i="1"/>
  <c r="M33" i="1" s="1"/>
  <c r="K33" i="1"/>
  <c r="L24" i="1"/>
  <c r="M24" i="1" s="1"/>
  <c r="K24" i="1"/>
  <c r="L1166" i="1"/>
  <c r="M1166" i="1" s="1"/>
  <c r="K1166" i="1"/>
  <c r="L356" i="1"/>
  <c r="M356" i="1" s="1"/>
  <c r="K356" i="1"/>
  <c r="L13" i="1"/>
  <c r="M13" i="1" s="1"/>
  <c r="K13" i="1"/>
  <c r="L1173" i="1"/>
  <c r="M1173" i="1" s="1"/>
  <c r="K1173" i="1"/>
  <c r="L1164" i="1"/>
  <c r="M1164" i="1" s="1"/>
  <c r="K1164" i="1"/>
  <c r="L1155" i="1"/>
  <c r="M1155" i="1" s="1"/>
  <c r="K1155" i="1"/>
  <c r="L1137" i="1"/>
  <c r="M1137" i="1" s="1"/>
  <c r="K1137" i="1"/>
  <c r="L1146" i="1"/>
  <c r="M1146" i="1" s="1"/>
  <c r="K1146" i="1"/>
  <c r="L1133" i="1"/>
  <c r="M1133" i="1" s="1"/>
  <c r="K1133" i="1"/>
  <c r="L1020" i="1"/>
  <c r="M1020" i="1" s="1"/>
  <c r="K1020" i="1"/>
  <c r="L1015" i="1"/>
  <c r="M1015" i="1" s="1"/>
  <c r="K1015" i="1"/>
  <c r="L1010" i="1"/>
  <c r="M1010" i="1" s="1"/>
  <c r="K1010" i="1"/>
  <c r="L1154" i="1"/>
  <c r="M1154" i="1" s="1"/>
  <c r="K1154" i="1"/>
  <c r="L1099" i="1"/>
  <c r="M1099" i="1" s="1"/>
  <c r="K1099" i="1"/>
  <c r="L999" i="1"/>
  <c r="M999" i="1" s="1"/>
  <c r="K999" i="1"/>
  <c r="L993" i="1"/>
  <c r="M993" i="1" s="1"/>
  <c r="K993" i="1"/>
  <c r="L1091" i="1"/>
  <c r="M1091" i="1" s="1"/>
  <c r="K1091" i="1"/>
  <c r="L952" i="1"/>
  <c r="M952" i="1" s="1"/>
  <c r="K952" i="1"/>
  <c r="L949" i="1"/>
  <c r="M949" i="1" s="1"/>
  <c r="K949" i="1"/>
  <c r="L1041" i="1"/>
  <c r="M1041" i="1" s="1"/>
  <c r="K1041" i="1"/>
  <c r="L1037" i="1"/>
  <c r="M1037" i="1" s="1"/>
  <c r="K1037" i="1"/>
  <c r="L988" i="1"/>
  <c r="M988" i="1" s="1"/>
  <c r="K988" i="1"/>
  <c r="L983" i="1"/>
  <c r="M983" i="1" s="1"/>
  <c r="K983" i="1"/>
  <c r="L978" i="1"/>
  <c r="M978" i="1" s="1"/>
  <c r="K978" i="1"/>
  <c r="L1129" i="1"/>
  <c r="M1129" i="1" s="1"/>
  <c r="K1129" i="1"/>
  <c r="L1097" i="1"/>
  <c r="M1097" i="1" s="1"/>
  <c r="K1097" i="1"/>
  <c r="L974" i="1"/>
  <c r="M974" i="1" s="1"/>
  <c r="K974" i="1"/>
  <c r="L1110" i="1"/>
  <c r="M1110" i="1" s="1"/>
  <c r="K1110" i="1"/>
  <c r="L968" i="1"/>
  <c r="M968" i="1" s="1"/>
  <c r="K968" i="1"/>
  <c r="L1024" i="1"/>
  <c r="M1024" i="1" s="1"/>
  <c r="K1024" i="1"/>
  <c r="K1143" i="1"/>
  <c r="L658" i="1"/>
  <c r="M658" i="1" s="1"/>
  <c r="K658" i="1"/>
  <c r="L797" i="1"/>
  <c r="M797" i="1" s="1"/>
  <c r="K797" i="1"/>
  <c r="L221" i="1"/>
  <c r="M221" i="1" s="1"/>
  <c r="K221" i="1"/>
  <c r="L214" i="1"/>
  <c r="M214" i="1" s="1"/>
  <c r="K214" i="1"/>
  <c r="L700" i="1"/>
  <c r="M700" i="1" s="1"/>
  <c r="K700" i="1"/>
  <c r="L199" i="1"/>
  <c r="M199" i="1" s="1"/>
  <c r="K199" i="1"/>
  <c r="L320" i="1"/>
  <c r="M320" i="1" s="1"/>
  <c r="K320" i="1"/>
  <c r="L177" i="1"/>
  <c r="M177" i="1" s="1"/>
  <c r="K177" i="1"/>
  <c r="L431" i="1"/>
  <c r="M431" i="1" s="1"/>
  <c r="K431" i="1"/>
  <c r="L528" i="1"/>
  <c r="M528" i="1" s="1"/>
  <c r="K528" i="1"/>
  <c r="L479" i="1"/>
  <c r="M479" i="1" s="1"/>
  <c r="K479" i="1"/>
  <c r="L146" i="1"/>
  <c r="M146" i="1" s="1"/>
  <c r="K146" i="1"/>
  <c r="L84" i="1"/>
  <c r="M84" i="1" s="1"/>
  <c r="K84" i="1"/>
  <c r="L123" i="1"/>
  <c r="M123" i="1" s="1"/>
  <c r="K123" i="1"/>
  <c r="L12" i="1"/>
  <c r="M12" i="1" s="1"/>
  <c r="K12" i="1"/>
  <c r="L1141" i="1"/>
  <c r="M1141" i="1" s="1"/>
  <c r="K1141" i="1"/>
  <c r="L1014" i="1"/>
  <c r="M1014" i="1" s="1"/>
  <c r="K1014" i="1"/>
  <c r="L1006" i="1"/>
  <c r="M1006" i="1" s="1"/>
  <c r="K1006" i="1"/>
  <c r="L1045" i="1"/>
  <c r="M1045" i="1" s="1"/>
  <c r="K1045" i="1"/>
  <c r="L1119" i="1"/>
  <c r="M1119" i="1" s="1"/>
  <c r="L274" i="1"/>
  <c r="M274" i="1" s="1"/>
  <c r="K274" i="1"/>
  <c r="K310" i="1"/>
  <c r="L819" i="1"/>
  <c r="M819" i="1" s="1"/>
  <c r="K819" i="1"/>
  <c r="L806" i="1"/>
  <c r="M806" i="1" s="1"/>
  <c r="K806" i="1"/>
  <c r="L226" i="1"/>
  <c r="M226" i="1" s="1"/>
  <c r="K226" i="1"/>
  <c r="L787" i="1"/>
  <c r="M787" i="1" s="1"/>
  <c r="K787" i="1"/>
  <c r="L767" i="1"/>
  <c r="M767" i="1" s="1"/>
  <c r="K767" i="1"/>
  <c r="L758" i="1"/>
  <c r="M758" i="1" s="1"/>
  <c r="K758" i="1"/>
  <c r="L744" i="1"/>
  <c r="M744" i="1" s="1"/>
  <c r="K744" i="1"/>
  <c r="L732" i="1"/>
  <c r="M732" i="1" s="1"/>
  <c r="K732" i="1"/>
  <c r="L724" i="1"/>
  <c r="M724" i="1" s="1"/>
  <c r="K724" i="1"/>
  <c r="L716" i="1"/>
  <c r="M716" i="1" s="1"/>
  <c r="K716" i="1"/>
  <c r="L712" i="1"/>
  <c r="M712" i="1" s="1"/>
  <c r="K712" i="1"/>
  <c r="L707" i="1"/>
  <c r="M707" i="1" s="1"/>
  <c r="K707" i="1"/>
  <c r="L208" i="1"/>
  <c r="M208" i="1" s="1"/>
  <c r="K208" i="1"/>
  <c r="L604" i="1"/>
  <c r="M604" i="1" s="1"/>
  <c r="K604" i="1"/>
  <c r="L678" i="1"/>
  <c r="M678" i="1" s="1"/>
  <c r="K678" i="1"/>
  <c r="L204" i="1"/>
  <c r="M204" i="1" s="1"/>
  <c r="K204" i="1"/>
  <c r="L672" i="1"/>
  <c r="M672" i="1" s="1"/>
  <c r="K672" i="1"/>
  <c r="L704" i="1"/>
  <c r="M704" i="1" s="1"/>
  <c r="K704" i="1"/>
  <c r="L591" i="1"/>
  <c r="M591" i="1" s="1"/>
  <c r="K591" i="1"/>
  <c r="L690" i="1"/>
  <c r="M690" i="1" s="1"/>
  <c r="K690" i="1"/>
  <c r="L679" i="1"/>
  <c r="M679" i="1" s="1"/>
  <c r="K679" i="1"/>
  <c r="L587" i="1"/>
  <c r="M587" i="1" s="1"/>
  <c r="K587" i="1"/>
  <c r="L328" i="1"/>
  <c r="M328" i="1" s="1"/>
  <c r="K328" i="1"/>
  <c r="L324" i="1"/>
  <c r="M324" i="1" s="1"/>
  <c r="K324" i="1"/>
  <c r="L319" i="1"/>
  <c r="M319" i="1" s="1"/>
  <c r="K319" i="1"/>
  <c r="L645" i="1"/>
  <c r="M645" i="1" s="1"/>
  <c r="K645" i="1"/>
  <c r="L452" i="1"/>
  <c r="M452" i="1" s="1"/>
  <c r="K452" i="1"/>
  <c r="L96" i="1"/>
  <c r="M96" i="1" s="1"/>
  <c r="K96" i="1"/>
  <c r="L182" i="1"/>
  <c r="M182" i="1" s="1"/>
  <c r="K182" i="1"/>
  <c r="L443" i="1"/>
  <c r="M443" i="1" s="1"/>
  <c r="K443" i="1"/>
  <c r="L440" i="1"/>
  <c r="M440" i="1" s="1"/>
  <c r="K440" i="1"/>
  <c r="L438" i="1"/>
  <c r="M438" i="1" s="1"/>
  <c r="K438" i="1"/>
  <c r="L173" i="1"/>
  <c r="M173" i="1" s="1"/>
  <c r="K173" i="1"/>
  <c r="L572" i="1"/>
  <c r="M572" i="1" s="1"/>
  <c r="K572" i="1"/>
  <c r="L566" i="1"/>
  <c r="M566" i="1" s="1"/>
  <c r="K566" i="1"/>
  <c r="L562" i="1"/>
  <c r="M562" i="1" s="1"/>
  <c r="K562" i="1"/>
  <c r="L554" i="1"/>
  <c r="M554" i="1" s="1"/>
  <c r="K554" i="1"/>
  <c r="L168" i="1"/>
  <c r="M168" i="1" s="1"/>
  <c r="K168" i="1"/>
  <c r="L546" i="1"/>
  <c r="M546" i="1" s="1"/>
  <c r="K546" i="1"/>
  <c r="L539" i="1"/>
  <c r="M539" i="1" s="1"/>
  <c r="K539" i="1"/>
  <c r="L536" i="1"/>
  <c r="M536" i="1" s="1"/>
  <c r="K536" i="1"/>
  <c r="L164" i="1"/>
  <c r="M164" i="1" s="1"/>
  <c r="K164" i="1"/>
  <c r="L527" i="1"/>
  <c r="M527" i="1" s="1"/>
  <c r="K527" i="1"/>
  <c r="L520" i="1"/>
  <c r="M520" i="1" s="1"/>
  <c r="K520" i="1"/>
  <c r="L513" i="1"/>
  <c r="M513" i="1" s="1"/>
  <c r="K513" i="1"/>
  <c r="L507" i="1"/>
  <c r="M507" i="1" s="1"/>
  <c r="K507" i="1"/>
  <c r="L501" i="1"/>
  <c r="M501" i="1" s="1"/>
  <c r="K501" i="1"/>
  <c r="L159" i="1"/>
  <c r="M159" i="1" s="1"/>
  <c r="K159" i="1"/>
  <c r="L489" i="1"/>
  <c r="M489" i="1" s="1"/>
  <c r="K489" i="1"/>
  <c r="L482" i="1"/>
  <c r="M482" i="1" s="1"/>
  <c r="K482" i="1"/>
  <c r="L478" i="1"/>
  <c r="M478" i="1" s="1"/>
  <c r="K478" i="1"/>
  <c r="L473" i="1"/>
  <c r="M473" i="1" s="1"/>
  <c r="K473" i="1"/>
  <c r="L155" i="1"/>
  <c r="M155" i="1" s="1"/>
  <c r="K155" i="1"/>
  <c r="L411" i="1"/>
  <c r="M411" i="1" s="1"/>
  <c r="K411" i="1"/>
  <c r="L407" i="1"/>
  <c r="M407" i="1" s="1"/>
  <c r="K407" i="1"/>
  <c r="L259" i="1"/>
  <c r="M259" i="1" s="1"/>
  <c r="K259" i="1"/>
  <c r="L402" i="1"/>
  <c r="M402" i="1" s="1"/>
  <c r="K402" i="1"/>
  <c r="L396" i="1"/>
  <c r="M396" i="1" s="1"/>
  <c r="K396" i="1"/>
  <c r="L143" i="1"/>
  <c r="M143" i="1" s="1"/>
  <c r="K143" i="1"/>
  <c r="L388" i="1"/>
  <c r="M388" i="1" s="1"/>
  <c r="K388" i="1"/>
  <c r="L384" i="1"/>
  <c r="M384" i="1" s="1"/>
  <c r="K384" i="1"/>
  <c r="L382" i="1"/>
  <c r="M382" i="1" s="1"/>
  <c r="K382" i="1"/>
  <c r="L249" i="1"/>
  <c r="M249" i="1" s="1"/>
  <c r="K249" i="1"/>
  <c r="L248" i="1"/>
  <c r="M248" i="1" s="1"/>
  <c r="K248" i="1"/>
  <c r="L83" i="1"/>
  <c r="M83" i="1" s="1"/>
  <c r="K83" i="1"/>
  <c r="L1073" i="1"/>
  <c r="M1073" i="1" s="1"/>
  <c r="K1073" i="1"/>
  <c r="L77" i="1"/>
  <c r="M77" i="1" s="1"/>
  <c r="K77" i="1"/>
  <c r="L72" i="1"/>
  <c r="M72" i="1" s="1"/>
  <c r="K72" i="1"/>
  <c r="L69" i="1"/>
  <c r="M69" i="1" s="1"/>
  <c r="K69" i="1"/>
  <c r="L126" i="1"/>
  <c r="M126" i="1" s="1"/>
  <c r="K126" i="1"/>
  <c r="L60" i="1"/>
  <c r="M60" i="1" s="1"/>
  <c r="K60" i="1"/>
  <c r="L122" i="1"/>
  <c r="M122" i="1" s="1"/>
  <c r="K122" i="1"/>
  <c r="L51" i="1"/>
  <c r="M51" i="1" s="1"/>
  <c r="K51" i="1"/>
  <c r="L363" i="1"/>
  <c r="M363" i="1" s="1"/>
  <c r="K363" i="1"/>
  <c r="L44" i="1"/>
  <c r="M44" i="1" s="1"/>
  <c r="K44" i="1"/>
  <c r="L39" i="1"/>
  <c r="M39" i="1" s="1"/>
  <c r="K39" i="1"/>
  <c r="L31" i="1"/>
  <c r="M31" i="1" s="1"/>
  <c r="K31" i="1"/>
  <c r="L22" i="1"/>
  <c r="M22" i="1" s="1"/>
  <c r="K22" i="1"/>
  <c r="L1167" i="1"/>
  <c r="M1167" i="1" s="1"/>
  <c r="K1167" i="1"/>
  <c r="L116" i="1"/>
  <c r="M116" i="1" s="1"/>
  <c r="K116" i="1"/>
  <c r="L11" i="1"/>
  <c r="M11" i="1" s="1"/>
  <c r="K11" i="1"/>
  <c r="L852" i="1"/>
  <c r="M852" i="1" s="1"/>
  <c r="K852" i="1"/>
  <c r="L1071" i="1"/>
  <c r="M1071" i="1" s="1"/>
  <c r="K1071" i="1"/>
  <c r="L957" i="1"/>
  <c r="M957" i="1" s="1"/>
  <c r="K957" i="1"/>
  <c r="L296" i="1"/>
  <c r="M296" i="1" s="1"/>
  <c r="K296" i="1"/>
  <c r="L1159" i="1"/>
  <c r="M1159" i="1" s="1"/>
  <c r="K1159" i="1"/>
  <c r="L1061" i="1"/>
  <c r="M1061" i="1" s="1"/>
  <c r="K1061" i="1"/>
  <c r="L1056" i="1"/>
  <c r="M1056" i="1" s="1"/>
  <c r="K1056" i="1"/>
  <c r="L1112" i="1"/>
  <c r="M1112" i="1" s="1"/>
  <c r="K1112" i="1"/>
  <c r="L289" i="1"/>
  <c r="M289" i="1" s="1"/>
  <c r="K289" i="1"/>
  <c r="L1005" i="1"/>
  <c r="M1005" i="1" s="1"/>
  <c r="K1005" i="1"/>
  <c r="L997" i="1"/>
  <c r="M997" i="1" s="1"/>
  <c r="K997" i="1"/>
  <c r="L992" i="1"/>
  <c r="M992" i="1" s="1"/>
  <c r="K992" i="1"/>
  <c r="L956" i="1"/>
  <c r="M956" i="1" s="1"/>
  <c r="K956" i="1"/>
  <c r="L1048" i="1"/>
  <c r="M1048" i="1" s="1"/>
  <c r="K1048" i="1"/>
  <c r="L948" i="1"/>
  <c r="M948" i="1" s="1"/>
  <c r="K948" i="1"/>
  <c r="L313" i="1"/>
  <c r="M313" i="1" s="1"/>
  <c r="K313" i="1"/>
  <c r="L1036" i="1"/>
  <c r="M1036" i="1" s="1"/>
  <c r="K1036" i="1"/>
  <c r="L1108" i="1"/>
  <c r="M1108" i="1" s="1"/>
  <c r="K1108" i="1"/>
  <c r="L982" i="1"/>
  <c r="M982" i="1" s="1"/>
  <c r="K982" i="1"/>
  <c r="L312" i="1"/>
  <c r="M312" i="1" s="1"/>
  <c r="K312" i="1"/>
  <c r="L294" i="1"/>
  <c r="M294" i="1" s="1"/>
  <c r="K294" i="1"/>
  <c r="L1096" i="1"/>
  <c r="M1096" i="1" s="1"/>
  <c r="K1096" i="1"/>
  <c r="L1125" i="1"/>
  <c r="M1125" i="1" s="1"/>
  <c r="K1125" i="1"/>
  <c r="L971" i="1"/>
  <c r="M971" i="1" s="1"/>
  <c r="K971" i="1"/>
  <c r="L1145" i="1"/>
  <c r="M1145" i="1" s="1"/>
  <c r="K1145" i="1"/>
  <c r="L1088" i="1"/>
  <c r="M1088" i="1" s="1"/>
  <c r="K1088" i="1"/>
  <c r="L1081" i="1"/>
  <c r="M1081" i="1" s="1"/>
  <c r="K1081" i="1"/>
  <c r="L638" i="1"/>
  <c r="M638" i="1" s="1"/>
  <c r="K638" i="1"/>
  <c r="L621" i="1"/>
  <c r="M621" i="1" s="1"/>
  <c r="K621" i="1"/>
  <c r="L733" i="1"/>
  <c r="M733" i="1" s="1"/>
  <c r="K733" i="1"/>
  <c r="L207" i="1"/>
  <c r="M207" i="1" s="1"/>
  <c r="K207" i="1"/>
  <c r="L673" i="1"/>
  <c r="M673" i="1" s="1"/>
  <c r="K673" i="1"/>
  <c r="L265" i="1"/>
  <c r="M265" i="1" s="1"/>
  <c r="K265" i="1"/>
  <c r="L555" i="1"/>
  <c r="M555" i="1" s="1"/>
  <c r="K555" i="1"/>
  <c r="L521" i="1"/>
  <c r="M521" i="1" s="1"/>
  <c r="K521" i="1"/>
  <c r="L469" i="1"/>
  <c r="M469" i="1" s="1"/>
  <c r="K469" i="1"/>
  <c r="L385" i="1"/>
  <c r="M385" i="1" s="1"/>
  <c r="K385" i="1"/>
  <c r="L32" i="1"/>
  <c r="M32" i="1" s="1"/>
  <c r="K32" i="1"/>
  <c r="L1130" i="1"/>
  <c r="M1130" i="1" s="1"/>
  <c r="K1130" i="1"/>
  <c r="L1084" i="1"/>
  <c r="M1084" i="1" s="1"/>
  <c r="K1084" i="1"/>
  <c r="L998" i="1"/>
  <c r="M998" i="1" s="1"/>
  <c r="K998" i="1"/>
  <c r="L975" i="1"/>
  <c r="M975" i="1" s="1"/>
  <c r="K975" i="1"/>
  <c r="L1080" i="1"/>
  <c r="M1080" i="1" s="1"/>
  <c r="K1080" i="1"/>
  <c r="L651" i="1"/>
  <c r="M651" i="1" s="1"/>
  <c r="K651" i="1"/>
  <c r="L636" i="1"/>
  <c r="M636" i="1" s="1"/>
  <c r="K636" i="1"/>
  <c r="L789" i="1"/>
  <c r="M789" i="1" s="1"/>
  <c r="K789" i="1"/>
  <c r="L773" i="1"/>
  <c r="M773" i="1" s="1"/>
  <c r="K773" i="1"/>
  <c r="L761" i="1"/>
  <c r="M761" i="1" s="1"/>
  <c r="K761" i="1"/>
  <c r="L739" i="1"/>
  <c r="M739" i="1" s="1"/>
  <c r="K739" i="1"/>
  <c r="L236" i="1"/>
  <c r="M236" i="1" s="1"/>
  <c r="K236" i="1"/>
  <c r="L233" i="1"/>
  <c r="M233" i="1" s="1"/>
  <c r="K233" i="1"/>
  <c r="L643" i="1"/>
  <c r="M643" i="1" s="1"/>
  <c r="K643" i="1"/>
  <c r="L634" i="1"/>
  <c r="M634" i="1" s="1"/>
  <c r="K634" i="1"/>
  <c r="L788" i="1"/>
  <c r="M788" i="1" s="1"/>
  <c r="K788" i="1"/>
  <c r="L781" i="1"/>
  <c r="M781" i="1" s="1"/>
  <c r="K781" i="1"/>
  <c r="L219" i="1"/>
  <c r="M219" i="1" s="1"/>
  <c r="K219" i="1"/>
  <c r="L757" i="1"/>
  <c r="M757" i="1" s="1"/>
  <c r="K757" i="1"/>
  <c r="L612" i="1"/>
  <c r="M612" i="1" s="1"/>
  <c r="K612" i="1"/>
  <c r="L723" i="1"/>
  <c r="M723" i="1" s="1"/>
  <c r="K723" i="1"/>
  <c r="L711" i="1"/>
  <c r="M711" i="1" s="1"/>
  <c r="K711" i="1"/>
  <c r="L101" i="1"/>
  <c r="M101" i="1" s="1"/>
  <c r="K101" i="1"/>
  <c r="L603" i="1"/>
  <c r="M603" i="1" s="1"/>
  <c r="K603" i="1"/>
  <c r="L677" i="1"/>
  <c r="M677" i="1" s="1"/>
  <c r="K677" i="1"/>
  <c r="L203" i="1"/>
  <c r="M203" i="1" s="1"/>
  <c r="K203" i="1"/>
  <c r="L671" i="1"/>
  <c r="M671" i="1" s="1"/>
  <c r="K671" i="1"/>
  <c r="L703" i="1"/>
  <c r="M703" i="1" s="1"/>
  <c r="K703" i="1"/>
  <c r="L697" i="1"/>
  <c r="M697" i="1" s="1"/>
  <c r="K697" i="1"/>
  <c r="L194" i="1"/>
  <c r="M194" i="1" s="1"/>
  <c r="K194" i="1"/>
  <c r="L100" i="1"/>
  <c r="M100" i="1" s="1"/>
  <c r="K100" i="1"/>
  <c r="L193" i="1"/>
  <c r="M193" i="1" s="1"/>
  <c r="K193" i="1"/>
  <c r="L270" i="1"/>
  <c r="M270" i="1" s="1"/>
  <c r="K270" i="1"/>
  <c r="L189" i="1"/>
  <c r="M189" i="1" s="1"/>
  <c r="K189" i="1"/>
  <c r="L318" i="1"/>
  <c r="M318" i="1" s="1"/>
  <c r="K318" i="1"/>
  <c r="L644" i="1"/>
  <c r="M644" i="1" s="1"/>
  <c r="K644" i="1"/>
  <c r="L187" i="1"/>
  <c r="M187" i="1" s="1"/>
  <c r="K187" i="1"/>
  <c r="L185" i="1"/>
  <c r="M185" i="1" s="1"/>
  <c r="K185" i="1"/>
  <c r="L181" i="1"/>
  <c r="M181" i="1" s="1"/>
  <c r="K181" i="1"/>
  <c r="L263" i="1"/>
  <c r="M263" i="1" s="1"/>
  <c r="K263" i="1"/>
  <c r="L176" i="1"/>
  <c r="M176" i="1" s="1"/>
  <c r="K176" i="1"/>
  <c r="L95" i="1"/>
  <c r="M95" i="1" s="1"/>
  <c r="K95" i="1"/>
  <c r="L437" i="1"/>
  <c r="M437" i="1" s="1"/>
  <c r="K437" i="1"/>
  <c r="L172" i="1"/>
  <c r="M172" i="1" s="1"/>
  <c r="K172" i="1"/>
  <c r="L171" i="1"/>
  <c r="M171" i="1" s="1"/>
  <c r="K171" i="1"/>
  <c r="L561" i="1"/>
  <c r="M561" i="1" s="1"/>
  <c r="K561" i="1"/>
  <c r="L432" i="1"/>
  <c r="M432" i="1" s="1"/>
  <c r="K432" i="1"/>
  <c r="L94" i="1"/>
  <c r="M94" i="1" s="1"/>
  <c r="K94" i="1"/>
  <c r="L428" i="1"/>
  <c r="M428" i="1" s="1"/>
  <c r="K428" i="1"/>
  <c r="L427" i="1"/>
  <c r="M427" i="1" s="1"/>
  <c r="K427" i="1"/>
  <c r="L535" i="1"/>
  <c r="M535" i="1" s="1"/>
  <c r="K535" i="1"/>
  <c r="L532" i="1"/>
  <c r="M532" i="1" s="1"/>
  <c r="K532" i="1"/>
  <c r="L526" i="1"/>
  <c r="M526" i="1" s="1"/>
  <c r="K526" i="1"/>
  <c r="L519" i="1"/>
  <c r="M519" i="1" s="1"/>
  <c r="K519" i="1"/>
  <c r="L512" i="1"/>
  <c r="M512" i="1" s="1"/>
  <c r="K512" i="1"/>
  <c r="L420" i="1"/>
  <c r="M420" i="1" s="1"/>
  <c r="K420" i="1"/>
  <c r="L500" i="1"/>
  <c r="M500" i="1" s="1"/>
  <c r="K500" i="1"/>
  <c r="L496" i="1"/>
  <c r="M496" i="1" s="1"/>
  <c r="K496" i="1"/>
  <c r="L488" i="1"/>
  <c r="M488" i="1" s="1"/>
  <c r="K488" i="1"/>
  <c r="L158" i="1"/>
  <c r="M158" i="1" s="1"/>
  <c r="K158" i="1"/>
  <c r="L477" i="1"/>
  <c r="M477" i="1" s="1"/>
  <c r="K477" i="1"/>
  <c r="L472" i="1"/>
  <c r="M472" i="1" s="1"/>
  <c r="K472" i="1"/>
  <c r="L468" i="1"/>
  <c r="M468" i="1" s="1"/>
  <c r="K468" i="1"/>
  <c r="L410" i="1"/>
  <c r="M410" i="1" s="1"/>
  <c r="K410" i="1"/>
  <c r="L406" i="1"/>
  <c r="M406" i="1" s="1"/>
  <c r="K406" i="1"/>
  <c r="L149" i="1"/>
  <c r="M149" i="1" s="1"/>
  <c r="K149" i="1"/>
  <c r="L401" i="1"/>
  <c r="M401" i="1" s="1"/>
  <c r="K401" i="1"/>
  <c r="L145" i="1"/>
  <c r="M145" i="1" s="1"/>
  <c r="K145" i="1"/>
  <c r="L393" i="1"/>
  <c r="M393" i="1" s="1"/>
  <c r="K393" i="1"/>
  <c r="L387" i="1"/>
  <c r="M387" i="1" s="1"/>
  <c r="K387" i="1"/>
  <c r="L257" i="1"/>
  <c r="M257" i="1" s="1"/>
  <c r="K257" i="1"/>
  <c r="L254" i="1"/>
  <c r="M254" i="1" s="1"/>
  <c r="K254" i="1"/>
  <c r="L247" i="1"/>
  <c r="M247" i="1" s="1"/>
  <c r="K247" i="1"/>
  <c r="L135" i="1"/>
  <c r="M135" i="1" s="1"/>
  <c r="K135" i="1"/>
  <c r="L133" i="1"/>
  <c r="M133" i="1" s="1"/>
  <c r="K133" i="1"/>
  <c r="L82" i="1"/>
  <c r="M82" i="1" s="1"/>
  <c r="K82" i="1"/>
  <c r="L373" i="1"/>
  <c r="M373" i="1" s="1"/>
  <c r="K373" i="1"/>
  <c r="L71" i="1"/>
  <c r="M71" i="1" s="1"/>
  <c r="K71" i="1"/>
  <c r="L68" i="1"/>
  <c r="M68" i="1" s="1"/>
  <c r="K68" i="1"/>
  <c r="L64" i="1"/>
  <c r="M64" i="1" s="1"/>
  <c r="K64" i="1"/>
  <c r="L59" i="1"/>
  <c r="M59" i="1" s="1"/>
  <c r="K59" i="1"/>
  <c r="L56" i="1"/>
  <c r="M56" i="1" s="1"/>
  <c r="K56" i="1"/>
  <c r="L120" i="1"/>
  <c r="M120" i="1" s="1"/>
  <c r="K120" i="1"/>
  <c r="L842" i="1"/>
  <c r="M842" i="1" s="1"/>
  <c r="K842" i="1"/>
  <c r="L43" i="1"/>
  <c r="M43" i="1" s="1"/>
  <c r="K43" i="1"/>
  <c r="L38" i="1"/>
  <c r="M38" i="1" s="1"/>
  <c r="K38" i="1"/>
  <c r="L30" i="1"/>
  <c r="M30" i="1" s="1"/>
  <c r="K30" i="1"/>
  <c r="L21" i="1"/>
  <c r="M21" i="1" s="1"/>
  <c r="K21" i="1"/>
  <c r="L16" i="1"/>
  <c r="M16" i="1" s="1"/>
  <c r="K16" i="1"/>
  <c r="L115" i="1"/>
  <c r="M115" i="1" s="1"/>
  <c r="K115" i="1"/>
  <c r="L10" i="1"/>
  <c r="M10" i="1" s="1"/>
  <c r="K10" i="1"/>
  <c r="L3" i="1"/>
  <c r="M3" i="1" s="1"/>
  <c r="K3" i="1"/>
  <c r="L1076" i="1"/>
  <c r="M1076" i="1" s="1"/>
  <c r="K1076" i="1"/>
  <c r="K1115" i="1"/>
  <c r="L1115" i="1"/>
  <c r="M1115" i="1" s="1"/>
  <c r="L1122" i="1"/>
  <c r="M1122" i="1" s="1"/>
  <c r="K1122" i="1"/>
  <c r="K1148" i="1"/>
  <c r="L1148" i="1"/>
  <c r="M1148" i="1" s="1"/>
  <c r="L1018" i="1"/>
  <c r="M1018" i="1" s="1"/>
  <c r="K1018" i="1"/>
  <c r="L1013" i="1"/>
  <c r="M1013" i="1" s="1"/>
  <c r="K1013" i="1"/>
  <c r="L1053" i="1"/>
  <c r="M1053" i="1" s="1"/>
  <c r="K1053" i="1"/>
  <c r="L1102" i="1"/>
  <c r="M1102" i="1" s="1"/>
  <c r="K1102" i="1"/>
  <c r="L1004" i="1"/>
  <c r="M1004" i="1" s="1"/>
  <c r="K1004" i="1"/>
  <c r="L287" i="1"/>
  <c r="M287" i="1" s="1"/>
  <c r="K287" i="1"/>
  <c r="L1086" i="1"/>
  <c r="M1086" i="1" s="1"/>
  <c r="K1086" i="1"/>
  <c r="L290" i="1"/>
  <c r="M290" i="1" s="1"/>
  <c r="K290" i="1"/>
  <c r="L1063" i="1"/>
  <c r="M1063" i="1" s="1"/>
  <c r="K1063" i="1"/>
  <c r="L947" i="1"/>
  <c r="M947" i="1" s="1"/>
  <c r="K947" i="1"/>
  <c r="L1039" i="1"/>
  <c r="M1039" i="1" s="1"/>
  <c r="K1039" i="1"/>
  <c r="L1035" i="1"/>
  <c r="M1035" i="1" s="1"/>
  <c r="K1035" i="1"/>
  <c r="L987" i="1"/>
  <c r="M987" i="1" s="1"/>
  <c r="K987" i="1"/>
  <c r="L981" i="1"/>
  <c r="M981" i="1" s="1"/>
  <c r="K981" i="1"/>
  <c r="L1032" i="1"/>
  <c r="M1032" i="1" s="1"/>
  <c r="K1032" i="1"/>
  <c r="L1030" i="1"/>
  <c r="M1030" i="1" s="1"/>
  <c r="K1030" i="1"/>
  <c r="L311" i="1"/>
  <c r="M311" i="1" s="1"/>
  <c r="K311" i="1"/>
  <c r="L996" i="1"/>
  <c r="M996" i="1" s="1"/>
  <c r="K996" i="1"/>
  <c r="L1094" i="1"/>
  <c r="M1094" i="1" s="1"/>
  <c r="K1094" i="1"/>
  <c r="L1144" i="1"/>
  <c r="M1144" i="1" s="1"/>
  <c r="K1144" i="1"/>
  <c r="L234" i="1"/>
  <c r="M234" i="1" s="1"/>
  <c r="K234" i="1"/>
  <c r="L790" i="1"/>
  <c r="M790" i="1" s="1"/>
  <c r="K790" i="1"/>
  <c r="L762" i="1"/>
  <c r="M762" i="1" s="1"/>
  <c r="K762" i="1"/>
  <c r="L725" i="1"/>
  <c r="M725" i="1" s="1"/>
  <c r="K725" i="1"/>
  <c r="L684" i="1"/>
  <c r="M684" i="1" s="1"/>
  <c r="K684" i="1"/>
  <c r="L195" i="1"/>
  <c r="M195" i="1" s="1"/>
  <c r="K195" i="1"/>
  <c r="K458" i="1"/>
  <c r="L458" i="1"/>
  <c r="M458" i="1" s="1"/>
  <c r="L183" i="1"/>
  <c r="M183" i="1" s="1"/>
  <c r="K183" i="1"/>
  <c r="L174" i="1"/>
  <c r="M174" i="1" s="1"/>
  <c r="K174" i="1"/>
  <c r="L540" i="1"/>
  <c r="M540" i="1" s="1"/>
  <c r="K540" i="1"/>
  <c r="L502" i="1"/>
  <c r="M502" i="1" s="1"/>
  <c r="K502" i="1"/>
  <c r="L417" i="1"/>
  <c r="M417" i="1" s="1"/>
  <c r="K417" i="1"/>
  <c r="L846" i="1"/>
  <c r="M846" i="1" s="1"/>
  <c r="K846" i="1"/>
  <c r="L383" i="1"/>
  <c r="M383" i="1" s="1"/>
  <c r="K383" i="1"/>
  <c r="L368" i="1"/>
  <c r="M368" i="1" s="1"/>
  <c r="K368" i="1"/>
  <c r="L23" i="1"/>
  <c r="M23" i="1" s="1"/>
  <c r="K23" i="1"/>
  <c r="L1165" i="1"/>
  <c r="M1165" i="1" s="1"/>
  <c r="K1165" i="1"/>
  <c r="L1149" i="1"/>
  <c r="M1149" i="1" s="1"/>
  <c r="K1149" i="1"/>
  <c r="L1132" i="1"/>
  <c r="M1132" i="1" s="1"/>
  <c r="K1132" i="1"/>
  <c r="L1118" i="1"/>
  <c r="M1118" i="1" s="1"/>
  <c r="K1118" i="1"/>
  <c r="L1051" i="1"/>
  <c r="M1051" i="1" s="1"/>
  <c r="K1051" i="1"/>
  <c r="K1040" i="1"/>
  <c r="L1161" i="1"/>
  <c r="M1161" i="1" s="1"/>
  <c r="K1161" i="1"/>
  <c r="L1126" i="1"/>
  <c r="M1126" i="1" s="1"/>
  <c r="K1126" i="1"/>
  <c r="L973" i="1"/>
  <c r="M973" i="1" s="1"/>
  <c r="K973" i="1"/>
  <c r="L657" i="1"/>
  <c r="M657" i="1" s="1"/>
  <c r="K657" i="1"/>
  <c r="L814" i="1"/>
  <c r="M814" i="1" s="1"/>
  <c r="K814" i="1"/>
  <c r="L103" i="1"/>
  <c r="M103" i="1" s="1"/>
  <c r="K103" i="1"/>
  <c r="L630" i="1"/>
  <c r="M630" i="1" s="1"/>
  <c r="K630" i="1"/>
  <c r="L839" i="1"/>
  <c r="M839" i="1" s="1"/>
  <c r="K839" i="1"/>
  <c r="L624" i="1"/>
  <c r="M624" i="1" s="1"/>
  <c r="K624" i="1"/>
  <c r="L752" i="1"/>
  <c r="M752" i="1" s="1"/>
  <c r="K752" i="1"/>
  <c r="L1079" i="1"/>
  <c r="M1079" i="1" s="1"/>
  <c r="K1079" i="1"/>
  <c r="L818" i="1"/>
  <c r="M818" i="1" s="1"/>
  <c r="K818" i="1"/>
  <c r="L811" i="1"/>
  <c r="M811" i="1" s="1"/>
  <c r="K811" i="1"/>
  <c r="L805" i="1"/>
  <c r="M805" i="1" s="1"/>
  <c r="K805" i="1"/>
  <c r="L800" i="1"/>
  <c r="M800" i="1" s="1"/>
  <c r="K800" i="1"/>
  <c r="L794" i="1"/>
  <c r="M794" i="1" s="1"/>
  <c r="K794" i="1"/>
  <c r="L786" i="1"/>
  <c r="M786" i="1" s="1"/>
  <c r="K786" i="1"/>
  <c r="L776" i="1"/>
  <c r="M776" i="1" s="1"/>
  <c r="K776" i="1"/>
  <c r="L766" i="1"/>
  <c r="M766" i="1" s="1"/>
  <c r="K766" i="1"/>
  <c r="L760" i="1"/>
  <c r="M760" i="1" s="1"/>
  <c r="K760" i="1"/>
  <c r="K613" i="1"/>
  <c r="L613" i="1"/>
  <c r="M613" i="1" s="1"/>
  <c r="L738" i="1"/>
  <c r="M738" i="1" s="1"/>
  <c r="K738" i="1"/>
  <c r="L731" i="1"/>
  <c r="M731" i="1" s="1"/>
  <c r="K731" i="1"/>
  <c r="L715" i="1"/>
  <c r="M715" i="1" s="1"/>
  <c r="K715" i="1"/>
  <c r="L699" i="1"/>
  <c r="M699" i="1" s="1"/>
  <c r="K699" i="1"/>
  <c r="L237" i="1"/>
  <c r="M237" i="1" s="1"/>
  <c r="K237" i="1"/>
  <c r="L822" i="1"/>
  <c r="M822" i="1" s="1"/>
  <c r="K822" i="1"/>
  <c r="L817" i="1"/>
  <c r="M817" i="1" s="1"/>
  <c r="K817" i="1"/>
  <c r="L813" i="1"/>
  <c r="M813" i="1" s="1"/>
  <c r="K813" i="1"/>
  <c r="L810" i="1"/>
  <c r="M810" i="1" s="1"/>
  <c r="K810" i="1"/>
  <c r="L230" i="1"/>
  <c r="M230" i="1" s="1"/>
  <c r="K230" i="1"/>
  <c r="L804" i="1"/>
  <c r="M804" i="1" s="1"/>
  <c r="K804" i="1"/>
  <c r="L635" i="1"/>
  <c r="M635" i="1" s="1"/>
  <c r="K635" i="1"/>
  <c r="L796" i="1"/>
  <c r="M796" i="1" s="1"/>
  <c r="K796" i="1"/>
  <c r="K793" i="1"/>
  <c r="L793" i="1"/>
  <c r="M793" i="1" s="1"/>
  <c r="L628" i="1"/>
  <c r="M628" i="1" s="1"/>
  <c r="K628" i="1"/>
  <c r="L625" i="1"/>
  <c r="M625" i="1" s="1"/>
  <c r="K625" i="1"/>
  <c r="L780" i="1"/>
  <c r="M780" i="1" s="1"/>
  <c r="K780" i="1"/>
  <c r="L775" i="1"/>
  <c r="M775" i="1" s="1"/>
  <c r="K775" i="1"/>
  <c r="L620" i="1"/>
  <c r="M620" i="1" s="1"/>
  <c r="K620" i="1"/>
  <c r="L765" i="1"/>
  <c r="M765" i="1" s="1"/>
  <c r="K765" i="1"/>
  <c r="L217" i="1"/>
  <c r="M217" i="1" s="1"/>
  <c r="K217" i="1"/>
  <c r="L756" i="1"/>
  <c r="M756" i="1" s="1"/>
  <c r="K756" i="1"/>
  <c r="L751" i="1"/>
  <c r="M751" i="1" s="1"/>
  <c r="K751" i="1"/>
  <c r="L611" i="1"/>
  <c r="M611" i="1" s="1"/>
  <c r="K611" i="1"/>
  <c r="L610" i="1"/>
  <c r="M610" i="1" s="1"/>
  <c r="K610" i="1"/>
  <c r="L730" i="1"/>
  <c r="M730" i="1" s="1"/>
  <c r="K730" i="1"/>
  <c r="L722" i="1"/>
  <c r="M722" i="1" s="1"/>
  <c r="K722" i="1"/>
  <c r="L714" i="1"/>
  <c r="M714" i="1" s="1"/>
  <c r="K714" i="1"/>
  <c r="L710" i="1"/>
  <c r="M710" i="1" s="1"/>
  <c r="K710" i="1"/>
  <c r="L706" i="1"/>
  <c r="M706" i="1" s="1"/>
  <c r="K706" i="1"/>
  <c r="L698" i="1"/>
  <c r="M698" i="1" s="1"/>
  <c r="K698" i="1"/>
  <c r="L688" i="1"/>
  <c r="M688" i="1" s="1"/>
  <c r="K688" i="1"/>
  <c r="L850" i="1"/>
  <c r="M850" i="1" s="1"/>
  <c r="K850" i="1"/>
  <c r="L202" i="1"/>
  <c r="M202" i="1" s="1"/>
  <c r="K202" i="1"/>
  <c r="L670" i="1"/>
  <c r="M670" i="1" s="1"/>
  <c r="K670" i="1"/>
  <c r="L198" i="1"/>
  <c r="M198" i="1" s="1"/>
  <c r="K198" i="1"/>
  <c r="L696" i="1"/>
  <c r="M696" i="1" s="1"/>
  <c r="K696" i="1"/>
  <c r="L588" i="1"/>
  <c r="M588" i="1" s="1"/>
  <c r="K588" i="1"/>
  <c r="L99" i="1"/>
  <c r="M99" i="1" s="1"/>
  <c r="K99" i="1"/>
  <c r="L192" i="1"/>
  <c r="M192" i="1" s="1"/>
  <c r="K192" i="1"/>
  <c r="L459" i="1"/>
  <c r="M459" i="1" s="1"/>
  <c r="K459" i="1"/>
  <c r="L323" i="1"/>
  <c r="M323" i="1" s="1"/>
  <c r="K323" i="1"/>
  <c r="K317" i="1"/>
  <c r="L317" i="1"/>
  <c r="M317" i="1" s="1"/>
  <c r="L642" i="1"/>
  <c r="M642" i="1" s="1"/>
  <c r="K642" i="1"/>
  <c r="L186" i="1"/>
  <c r="M186" i="1" s="1"/>
  <c r="K186" i="1"/>
  <c r="L451" i="1"/>
  <c r="M451" i="1" s="1"/>
  <c r="K451" i="1"/>
  <c r="L447" i="1"/>
  <c r="M447" i="1" s="1"/>
  <c r="K447" i="1"/>
  <c r="L442" i="1"/>
  <c r="M442" i="1" s="1"/>
  <c r="K442" i="1"/>
  <c r="L439" i="1"/>
  <c r="M439" i="1" s="1"/>
  <c r="K439" i="1"/>
  <c r="L582" i="1"/>
  <c r="M582" i="1" s="1"/>
  <c r="K582" i="1"/>
  <c r="L436" i="1"/>
  <c r="M436" i="1" s="1"/>
  <c r="K436" i="1"/>
  <c r="L571" i="1"/>
  <c r="M571" i="1" s="1"/>
  <c r="K571" i="1"/>
  <c r="L565" i="1"/>
  <c r="M565" i="1" s="1"/>
  <c r="K565" i="1"/>
  <c r="K560" i="1"/>
  <c r="L560" i="1"/>
  <c r="M560" i="1" s="1"/>
  <c r="L553" i="1"/>
  <c r="M553" i="1" s="1"/>
  <c r="K553" i="1"/>
  <c r="L167" i="1"/>
  <c r="M167" i="1" s="1"/>
  <c r="K167" i="1"/>
  <c r="L545" i="1"/>
  <c r="M545" i="1" s="1"/>
  <c r="K545" i="1"/>
  <c r="L166" i="1"/>
  <c r="M166" i="1" s="1"/>
  <c r="K166" i="1"/>
  <c r="L534" i="1"/>
  <c r="M534" i="1" s="1"/>
  <c r="K534" i="1"/>
  <c r="L531" i="1"/>
  <c r="M531" i="1" s="1"/>
  <c r="K531" i="1"/>
  <c r="L525" i="1"/>
  <c r="M525" i="1" s="1"/>
  <c r="K525" i="1"/>
  <c r="L518" i="1"/>
  <c r="M518" i="1" s="1"/>
  <c r="K518" i="1"/>
  <c r="L511" i="1"/>
  <c r="M511" i="1" s="1"/>
  <c r="K511" i="1"/>
  <c r="L161" i="1"/>
  <c r="M161" i="1" s="1"/>
  <c r="K161" i="1"/>
  <c r="L499" i="1"/>
  <c r="M499" i="1" s="1"/>
  <c r="K499" i="1"/>
  <c r="L495" i="1"/>
  <c r="M495" i="1" s="1"/>
  <c r="K495" i="1"/>
  <c r="L487" i="1"/>
  <c r="M487" i="1" s="1"/>
  <c r="K487" i="1"/>
  <c r="L481" i="1"/>
  <c r="M481" i="1" s="1"/>
  <c r="K481" i="1"/>
  <c r="L476" i="1"/>
  <c r="M476" i="1" s="1"/>
  <c r="K476" i="1"/>
  <c r="L156" i="1"/>
  <c r="M156" i="1" s="1"/>
  <c r="K156" i="1"/>
  <c r="L412" i="1"/>
  <c r="M412" i="1" s="1"/>
  <c r="K412" i="1"/>
  <c r="L154" i="1"/>
  <c r="M154" i="1" s="1"/>
  <c r="K154" i="1"/>
  <c r="L151" i="1"/>
  <c r="M151" i="1" s="1"/>
  <c r="K151" i="1"/>
  <c r="L258" i="1"/>
  <c r="M258" i="1" s="1"/>
  <c r="K258" i="1"/>
  <c r="L400" i="1"/>
  <c r="M400" i="1" s="1"/>
  <c r="K400" i="1"/>
  <c r="L395" i="1"/>
  <c r="M395" i="1" s="1"/>
  <c r="K395" i="1"/>
  <c r="L392" i="1"/>
  <c r="M392" i="1" s="1"/>
  <c r="K392" i="1"/>
  <c r="L386" i="1"/>
  <c r="M386" i="1" s="1"/>
  <c r="K386" i="1"/>
  <c r="L844" i="1"/>
  <c r="M844" i="1" s="1"/>
  <c r="K844" i="1"/>
  <c r="L246" i="1"/>
  <c r="M246" i="1" s="1"/>
  <c r="K246" i="1"/>
  <c r="L1074" i="1"/>
  <c r="M1074" i="1" s="1"/>
  <c r="K1074" i="1"/>
  <c r="L377" i="1"/>
  <c r="M377" i="1" s="1"/>
  <c r="K377" i="1"/>
  <c r="L81" i="1"/>
  <c r="M81" i="1" s="1"/>
  <c r="K81" i="1"/>
  <c r="L76" i="1"/>
  <c r="M76" i="1" s="1"/>
  <c r="K76" i="1"/>
  <c r="L128" i="1"/>
  <c r="M128" i="1" s="1"/>
  <c r="K128" i="1"/>
  <c r="L67" i="1"/>
  <c r="M67" i="1" s="1"/>
  <c r="K67" i="1"/>
  <c r="L63" i="1"/>
  <c r="M63" i="1" s="1"/>
  <c r="K63" i="1"/>
  <c r="L1075" i="1"/>
  <c r="M1075" i="1" s="1"/>
  <c r="K1075" i="1"/>
  <c r="L55" i="1"/>
  <c r="M55" i="1" s="1"/>
  <c r="K55" i="1"/>
  <c r="L50" i="1"/>
  <c r="M50" i="1" s="1"/>
  <c r="K50" i="1"/>
  <c r="L362" i="1"/>
  <c r="M362" i="1" s="1"/>
  <c r="K362" i="1"/>
  <c r="L42" i="1"/>
  <c r="M42" i="1" s="1"/>
  <c r="K42" i="1"/>
  <c r="L37" i="1"/>
  <c r="M37" i="1" s="1"/>
  <c r="K37" i="1"/>
  <c r="L29" i="1"/>
  <c r="M29" i="1" s="1"/>
  <c r="K29" i="1"/>
  <c r="L20" i="1"/>
  <c r="M20" i="1" s="1"/>
  <c r="K20" i="1"/>
  <c r="L15" i="1"/>
  <c r="M15" i="1" s="1"/>
  <c r="K15" i="1"/>
  <c r="L14" i="1"/>
  <c r="M14" i="1" s="1"/>
  <c r="K14" i="1"/>
  <c r="L8" i="1"/>
  <c r="M8" i="1" s="1"/>
  <c r="K8" i="1"/>
  <c r="L1142" i="1"/>
  <c r="M1142" i="1" s="1"/>
  <c r="K1142" i="1"/>
  <c r="L1136" i="1"/>
  <c r="M1136" i="1" s="1"/>
  <c r="K1136" i="1"/>
  <c r="K1134" i="1"/>
  <c r="L1023" i="1"/>
  <c r="M1023" i="1" s="1"/>
  <c r="K1023" i="1"/>
  <c r="L1060" i="1"/>
  <c r="M1060" i="1" s="1"/>
  <c r="K1060" i="1"/>
  <c r="L1012" i="1"/>
  <c r="M1012" i="1" s="1"/>
  <c r="K1012" i="1"/>
  <c r="L1114" i="1"/>
  <c r="M1114" i="1" s="1"/>
  <c r="K1114" i="1"/>
  <c r="L1009" i="1"/>
  <c r="M1009" i="1" s="1"/>
  <c r="K1009" i="1"/>
  <c r="L1003" i="1"/>
  <c r="M1003" i="1" s="1"/>
  <c r="K1003" i="1"/>
  <c r="L955" i="1"/>
  <c r="M955" i="1" s="1"/>
  <c r="K955" i="1"/>
  <c r="L951" i="1"/>
  <c r="M951" i="1" s="1"/>
  <c r="K951" i="1"/>
  <c r="L1077" i="1"/>
  <c r="M1077" i="1" s="1"/>
  <c r="K1077" i="1"/>
  <c r="L1064" i="1"/>
  <c r="M1064" i="1" s="1"/>
  <c r="K1064" i="1"/>
  <c r="L1034" i="1"/>
  <c r="M1034" i="1" s="1"/>
  <c r="K1034" i="1"/>
  <c r="L980" i="1"/>
  <c r="M980" i="1" s="1"/>
  <c r="K980" i="1"/>
  <c r="L977" i="1"/>
  <c r="M977" i="1" s="1"/>
  <c r="K977" i="1"/>
  <c r="L976" i="1"/>
  <c r="M976" i="1" s="1"/>
  <c r="K976" i="1"/>
  <c r="L1029" i="1"/>
  <c r="M1029" i="1" s="1"/>
  <c r="K1029" i="1"/>
  <c r="L1092" i="1"/>
  <c r="M1092" i="1" s="1"/>
  <c r="K1092" i="1"/>
  <c r="L652" i="1"/>
  <c r="M652" i="1" s="1"/>
  <c r="K652" i="1"/>
  <c r="L782" i="1"/>
  <c r="M782" i="1" s="1"/>
  <c r="K782" i="1"/>
  <c r="L740" i="1"/>
  <c r="M740" i="1" s="1"/>
  <c r="K740" i="1"/>
  <c r="L675" i="1"/>
  <c r="M675" i="1" s="1"/>
  <c r="K675" i="1"/>
  <c r="L646" i="1"/>
  <c r="M646" i="1" s="1"/>
  <c r="K646" i="1"/>
  <c r="L573" i="1"/>
  <c r="M573" i="1" s="1"/>
  <c r="K573" i="1"/>
  <c r="L423" i="1"/>
  <c r="M423" i="1" s="1"/>
  <c r="K423" i="1"/>
  <c r="L418" i="1"/>
  <c r="M418" i="1" s="1"/>
  <c r="K418" i="1"/>
  <c r="L854" i="1"/>
  <c r="M854" i="1" s="1"/>
  <c r="K854" i="1"/>
  <c r="L141" i="1"/>
  <c r="M141" i="1" s="1"/>
  <c r="K141" i="1"/>
  <c r="L1172" i="1"/>
  <c r="M1172" i="1" s="1"/>
  <c r="K1172" i="1"/>
  <c r="L1113" i="1"/>
  <c r="M1113" i="1" s="1"/>
  <c r="K1113" i="1"/>
  <c r="L360" i="1"/>
  <c r="M360" i="1" s="1"/>
  <c r="K360" i="1"/>
  <c r="L660" i="1"/>
  <c r="M660" i="1" s="1"/>
  <c r="K660" i="1"/>
  <c r="L821" i="1"/>
  <c r="M821" i="1" s="1"/>
  <c r="K821" i="1"/>
  <c r="L816" i="1"/>
  <c r="M816" i="1" s="1"/>
  <c r="K816" i="1"/>
  <c r="L812" i="1"/>
  <c r="M812" i="1" s="1"/>
  <c r="K812" i="1"/>
  <c r="L809" i="1"/>
  <c r="M809" i="1" s="1"/>
  <c r="K809" i="1"/>
  <c r="L229" i="1"/>
  <c r="M229" i="1" s="1"/>
  <c r="K229" i="1"/>
  <c r="L803" i="1"/>
  <c r="M803" i="1" s="1"/>
  <c r="K803" i="1"/>
  <c r="L227" i="1"/>
  <c r="M227" i="1" s="1"/>
  <c r="K227" i="1"/>
  <c r="L633" i="1"/>
  <c r="M633" i="1" s="1"/>
  <c r="K633" i="1"/>
  <c r="L629" i="1"/>
  <c r="M629" i="1" s="1"/>
  <c r="K629" i="1"/>
  <c r="L223" i="1"/>
  <c r="M223" i="1" s="1"/>
  <c r="K223" i="1"/>
  <c r="L222" i="1"/>
  <c r="M222" i="1" s="1"/>
  <c r="K222" i="1"/>
  <c r="L838" i="1"/>
  <c r="M838" i="1" s="1"/>
  <c r="K838" i="1"/>
  <c r="L623" i="1"/>
  <c r="M623" i="1" s="1"/>
  <c r="K623" i="1"/>
  <c r="L771" i="1"/>
  <c r="M771" i="1" s="1"/>
  <c r="K771" i="1"/>
  <c r="L218" i="1"/>
  <c r="M218" i="1" s="1"/>
  <c r="K218" i="1"/>
  <c r="L617" i="1"/>
  <c r="M617" i="1" s="1"/>
  <c r="K617" i="1"/>
  <c r="L755" i="1"/>
  <c r="M755" i="1" s="1"/>
  <c r="K755" i="1"/>
  <c r="L750" i="1"/>
  <c r="M750" i="1" s="1"/>
  <c r="K750" i="1"/>
  <c r="L213" i="1"/>
  <c r="M213" i="1" s="1"/>
  <c r="K213" i="1"/>
  <c r="L609" i="1"/>
  <c r="M609" i="1" s="1"/>
  <c r="K609" i="1"/>
  <c r="L729" i="1"/>
  <c r="M729" i="1" s="1"/>
  <c r="K729" i="1"/>
  <c r="L721" i="1"/>
  <c r="M721" i="1" s="1"/>
  <c r="K721" i="1"/>
  <c r="K211" i="1"/>
  <c r="L211" i="1"/>
  <c r="M211" i="1" s="1"/>
  <c r="L851" i="1"/>
  <c r="M851" i="1" s="1"/>
  <c r="K851" i="1"/>
  <c r="L705" i="1"/>
  <c r="M705" i="1" s="1"/>
  <c r="K705" i="1"/>
  <c r="L695" i="1"/>
  <c r="M695" i="1" s="1"/>
  <c r="K695" i="1"/>
  <c r="L687" i="1"/>
  <c r="M687" i="1" s="1"/>
  <c r="K687" i="1"/>
  <c r="L602" i="1"/>
  <c r="M602" i="1" s="1"/>
  <c r="K602" i="1"/>
  <c r="L676" i="1"/>
  <c r="M676" i="1" s="1"/>
  <c r="K676" i="1"/>
  <c r="L271" i="1"/>
  <c r="M271" i="1" s="1"/>
  <c r="K271" i="1"/>
  <c r="L594" i="1"/>
  <c r="M594" i="1" s="1"/>
  <c r="K594" i="1"/>
  <c r="L196" i="1"/>
  <c r="M196" i="1" s="1"/>
  <c r="K196" i="1"/>
  <c r="L689" i="1"/>
  <c r="M689" i="1" s="1"/>
  <c r="K689" i="1"/>
  <c r="L833" i="1"/>
  <c r="M833" i="1" s="1"/>
  <c r="K833" i="1"/>
  <c r="L462" i="1"/>
  <c r="M462" i="1" s="1"/>
  <c r="K462" i="1"/>
  <c r="L327" i="1"/>
  <c r="M327" i="1" s="1"/>
  <c r="K327" i="1"/>
  <c r="K457" i="1"/>
  <c r="L457" i="1"/>
  <c r="M457" i="1" s="1"/>
  <c r="L316" i="1"/>
  <c r="M316" i="1" s="1"/>
  <c r="K316" i="1"/>
  <c r="L188" i="1"/>
  <c r="M188" i="1" s="1"/>
  <c r="K188" i="1"/>
  <c r="L269" i="1"/>
  <c r="M269" i="1" s="1"/>
  <c r="K269" i="1"/>
  <c r="L450" i="1"/>
  <c r="M450" i="1" s="1"/>
  <c r="K450" i="1"/>
  <c r="L446" i="1"/>
  <c r="M446" i="1" s="1"/>
  <c r="K446" i="1"/>
  <c r="L179" i="1"/>
  <c r="M179" i="1" s="1"/>
  <c r="K179" i="1"/>
  <c r="L586" i="1"/>
  <c r="M586" i="1" s="1"/>
  <c r="K586" i="1"/>
  <c r="L581" i="1"/>
  <c r="M581" i="1" s="1"/>
  <c r="K581" i="1"/>
  <c r="L577" i="1"/>
  <c r="M577" i="1" s="1"/>
  <c r="K577" i="1"/>
  <c r="L570" i="1"/>
  <c r="M570" i="1" s="1"/>
  <c r="K570" i="1"/>
  <c r="L434" i="1"/>
  <c r="M434" i="1" s="1"/>
  <c r="K434" i="1"/>
  <c r="K559" i="1"/>
  <c r="L559" i="1"/>
  <c r="M559" i="1" s="1"/>
  <c r="L169" i="1"/>
  <c r="M169" i="1" s="1"/>
  <c r="K169" i="1"/>
  <c r="L549" i="1"/>
  <c r="M549" i="1" s="1"/>
  <c r="K549" i="1"/>
  <c r="L544" i="1"/>
  <c r="M544" i="1" s="1"/>
  <c r="K544" i="1"/>
  <c r="L848" i="1"/>
  <c r="M848" i="1" s="1"/>
  <c r="K848" i="1"/>
  <c r="L425" i="1"/>
  <c r="M425" i="1" s="1"/>
  <c r="K425" i="1"/>
  <c r="L422" i="1"/>
  <c r="M422" i="1" s="1"/>
  <c r="K422" i="1"/>
  <c r="L524" i="1"/>
  <c r="M524" i="1" s="1"/>
  <c r="K524" i="1"/>
  <c r="L517" i="1"/>
  <c r="M517" i="1" s="1"/>
  <c r="K517" i="1"/>
  <c r="L510" i="1"/>
  <c r="M510" i="1" s="1"/>
  <c r="K510" i="1"/>
  <c r="L506" i="1"/>
  <c r="M506" i="1" s="1"/>
  <c r="K506" i="1"/>
  <c r="L160" i="1"/>
  <c r="M160" i="1" s="1"/>
  <c r="K160" i="1"/>
  <c r="L494" i="1"/>
  <c r="M494" i="1" s="1"/>
  <c r="K494" i="1"/>
  <c r="L486" i="1"/>
  <c r="M486" i="1" s="1"/>
  <c r="K486" i="1"/>
  <c r="L157" i="1"/>
  <c r="M157" i="1" s="1"/>
  <c r="K157" i="1"/>
  <c r="L830" i="1"/>
  <c r="M830" i="1" s="1"/>
  <c r="K830" i="1"/>
  <c r="L471" i="1"/>
  <c r="M471" i="1" s="1"/>
  <c r="K471" i="1"/>
  <c r="L467" i="1"/>
  <c r="M467" i="1" s="1"/>
  <c r="K467" i="1"/>
  <c r="L153" i="1"/>
  <c r="M153" i="1" s="1"/>
  <c r="K153" i="1"/>
  <c r="L150" i="1"/>
  <c r="M150" i="1" s="1"/>
  <c r="K150" i="1"/>
  <c r="L91" i="1"/>
  <c r="M91" i="1" s="1"/>
  <c r="K91" i="1"/>
  <c r="L399" i="1"/>
  <c r="M399" i="1" s="1"/>
  <c r="K399" i="1"/>
  <c r="L845" i="1"/>
  <c r="M845" i="1" s="1"/>
  <c r="K845" i="1"/>
  <c r="L142" i="1"/>
  <c r="M142" i="1" s="1"/>
  <c r="K142" i="1"/>
  <c r="L140" i="1"/>
  <c r="M140" i="1" s="1"/>
  <c r="K140" i="1"/>
  <c r="L89" i="1"/>
  <c r="M89" i="1" s="1"/>
  <c r="K89" i="1"/>
  <c r="L253" i="1"/>
  <c r="M253" i="1" s="1"/>
  <c r="K253" i="1"/>
  <c r="L242" i="1"/>
  <c r="M242" i="1" s="1"/>
  <c r="K242" i="1"/>
  <c r="L380" i="1"/>
  <c r="M380" i="1" s="1"/>
  <c r="K380" i="1"/>
  <c r="L376" i="1"/>
  <c r="M376" i="1" s="1"/>
  <c r="K376" i="1"/>
  <c r="K80" i="1"/>
  <c r="L80" i="1"/>
  <c r="M80" i="1" s="1"/>
  <c r="L75" i="1"/>
  <c r="M75" i="1" s="1"/>
  <c r="K75" i="1"/>
  <c r="L372" i="1"/>
  <c r="M372" i="1" s="1"/>
  <c r="K372" i="1"/>
  <c r="L66" i="1"/>
  <c r="M66" i="1" s="1"/>
  <c r="K66" i="1"/>
  <c r="L125" i="1"/>
  <c r="M125" i="1" s="1"/>
  <c r="K125" i="1"/>
  <c r="L58" i="1"/>
  <c r="M58" i="1" s="1"/>
  <c r="K58" i="1"/>
  <c r="L54" i="1"/>
  <c r="M54" i="1" s="1"/>
  <c r="K54" i="1"/>
  <c r="L365" i="1"/>
  <c r="M365" i="1" s="1"/>
  <c r="K365" i="1"/>
  <c r="L361" i="1"/>
  <c r="M361" i="1" s="1"/>
  <c r="K361" i="1"/>
  <c r="L41" i="1"/>
  <c r="M41" i="1" s="1"/>
  <c r="K41" i="1"/>
  <c r="L36" i="1"/>
  <c r="M36" i="1" s="1"/>
  <c r="K36" i="1"/>
  <c r="L27" i="1"/>
  <c r="M27" i="1" s="1"/>
  <c r="K27" i="1"/>
  <c r="L19" i="1"/>
  <c r="M19" i="1" s="1"/>
  <c r="K19" i="1"/>
  <c r="L359" i="1"/>
  <c r="M359" i="1" s="1"/>
  <c r="K359" i="1"/>
  <c r="L355" i="1"/>
  <c r="M355" i="1" s="1"/>
  <c r="K355" i="1"/>
  <c r="L5" i="1"/>
  <c r="M5" i="1" s="1"/>
  <c r="K5" i="1"/>
  <c r="L273" i="1"/>
  <c r="M273" i="1" s="1"/>
  <c r="K273" i="1"/>
  <c r="L1147" i="1"/>
  <c r="M1147" i="1" s="1"/>
  <c r="K1147" i="1"/>
  <c r="K1135" i="1"/>
  <c r="L1138" i="1"/>
  <c r="M1138" i="1" s="1"/>
  <c r="K1138" i="1"/>
  <c r="L1062" i="1"/>
  <c r="M1062" i="1" s="1"/>
  <c r="K1062" i="1"/>
  <c r="L1017" i="1"/>
  <c r="M1017" i="1" s="1"/>
  <c r="K1017" i="1"/>
  <c r="L1116" i="1"/>
  <c r="M1116" i="1" s="1"/>
  <c r="K1116" i="1"/>
  <c r="L1008" i="1"/>
  <c r="M1008" i="1" s="1"/>
  <c r="K1008" i="1"/>
  <c r="L1082" i="1"/>
  <c r="M1082" i="1" s="1"/>
  <c r="K1082" i="1"/>
  <c r="L1098" i="1"/>
  <c r="M1098" i="1" s="1"/>
  <c r="K1098" i="1"/>
  <c r="L954" i="1"/>
  <c r="M954" i="1" s="1"/>
  <c r="K954" i="1"/>
  <c r="L950" i="1"/>
  <c r="M950" i="1" s="1"/>
  <c r="K950" i="1"/>
  <c r="L1044" i="1"/>
  <c r="M1044" i="1" s="1"/>
  <c r="K1044" i="1"/>
  <c r="L1038" i="1"/>
  <c r="M1038" i="1" s="1"/>
  <c r="K1038" i="1"/>
  <c r="L986" i="1"/>
  <c r="M986" i="1" s="1"/>
  <c r="K986" i="1"/>
  <c r="L979" i="1"/>
  <c r="M979" i="1" s="1"/>
  <c r="K979" i="1"/>
  <c r="L1162" i="1"/>
  <c r="M1162" i="1" s="1"/>
  <c r="K1162" i="1"/>
  <c r="L1069" i="1"/>
  <c r="M1069" i="1" s="1"/>
  <c r="K1069" i="1"/>
  <c r="L1095" i="1"/>
  <c r="M1095" i="1" s="1"/>
  <c r="K1095" i="1"/>
  <c r="L1027" i="1"/>
  <c r="M1027" i="1" s="1"/>
  <c r="K1027" i="1"/>
  <c r="L995" i="1"/>
  <c r="M995" i="1" s="1"/>
  <c r="K995" i="1"/>
  <c r="L1156" i="1"/>
  <c r="M1156" i="1" s="1"/>
  <c r="K1156" i="1"/>
  <c r="L235" i="1"/>
  <c r="M235" i="1" s="1"/>
  <c r="K235" i="1"/>
  <c r="L631" i="1"/>
  <c r="M631" i="1" s="1"/>
  <c r="K631" i="1"/>
  <c r="L759" i="1"/>
  <c r="M759" i="1" s="1"/>
  <c r="K759" i="1"/>
  <c r="L713" i="1"/>
  <c r="M713" i="1" s="1"/>
  <c r="K713" i="1"/>
  <c r="L680" i="1"/>
  <c r="M680" i="1" s="1"/>
  <c r="K680" i="1"/>
  <c r="L444" i="1"/>
  <c r="M444" i="1" s="1"/>
  <c r="K444" i="1"/>
  <c r="L547" i="1"/>
  <c r="M547" i="1" s="1"/>
  <c r="K547" i="1"/>
  <c r="L508" i="1"/>
  <c r="M508" i="1" s="1"/>
  <c r="K508" i="1"/>
  <c r="L463" i="1"/>
  <c r="M463" i="1" s="1"/>
  <c r="K463" i="1"/>
  <c r="L250" i="1"/>
  <c r="M250" i="1" s="1"/>
  <c r="K250" i="1"/>
  <c r="L112" i="1"/>
  <c r="M112" i="1" s="1"/>
  <c r="K112" i="1"/>
  <c r="L45" i="1"/>
  <c r="M45" i="1" s="1"/>
  <c r="K45" i="1"/>
  <c r="L659" i="1"/>
  <c r="M659" i="1" s="1"/>
  <c r="K659" i="1"/>
  <c r="L104" i="1"/>
  <c r="M104" i="1" s="1"/>
  <c r="K104" i="1"/>
  <c r="L841" i="1"/>
  <c r="M841" i="1" s="1"/>
  <c r="K841" i="1"/>
  <c r="L808" i="1"/>
  <c r="M808" i="1" s="1"/>
  <c r="K808" i="1"/>
  <c r="L641" i="1"/>
  <c r="M641" i="1" s="1"/>
  <c r="K641" i="1"/>
  <c r="L228" i="1"/>
  <c r="M228" i="1" s="1"/>
  <c r="K228" i="1"/>
  <c r="L840" i="1"/>
  <c r="M840" i="1" s="1"/>
  <c r="K840" i="1"/>
  <c r="L795" i="1"/>
  <c r="M795" i="1" s="1"/>
  <c r="K795" i="1"/>
  <c r="L224" i="1"/>
  <c r="M224" i="1" s="1"/>
  <c r="K224" i="1"/>
  <c r="L627" i="1"/>
  <c r="M627" i="1" s="1"/>
  <c r="K627" i="1"/>
  <c r="L785" i="1"/>
  <c r="M785" i="1" s="1"/>
  <c r="K785" i="1"/>
  <c r="L779" i="1"/>
  <c r="M779" i="1" s="1"/>
  <c r="K779" i="1"/>
  <c r="L220" i="1"/>
  <c r="M220" i="1" s="1"/>
  <c r="K220" i="1"/>
  <c r="L770" i="1"/>
  <c r="M770" i="1" s="1"/>
  <c r="K770" i="1"/>
  <c r="L618" i="1"/>
  <c r="M618" i="1" s="1"/>
  <c r="K618" i="1"/>
  <c r="L616" i="1"/>
  <c r="M616" i="1" s="1"/>
  <c r="K616" i="1"/>
  <c r="K614" i="1"/>
  <c r="L614" i="1"/>
  <c r="M614" i="1" s="1"/>
  <c r="L749" i="1"/>
  <c r="M749" i="1" s="1"/>
  <c r="K749" i="1"/>
  <c r="L743" i="1"/>
  <c r="M743" i="1" s="1"/>
  <c r="K743" i="1"/>
  <c r="L735" i="1"/>
  <c r="M735" i="1" s="1"/>
  <c r="K735" i="1"/>
  <c r="L728" i="1"/>
  <c r="M728" i="1" s="1"/>
  <c r="K728" i="1"/>
  <c r="L720" i="1"/>
  <c r="M720" i="1" s="1"/>
  <c r="K720" i="1"/>
  <c r="L608" i="1"/>
  <c r="M608" i="1" s="1"/>
  <c r="K608" i="1"/>
  <c r="L709" i="1"/>
  <c r="M709" i="1" s="1"/>
  <c r="K709" i="1"/>
  <c r="L702" i="1"/>
  <c r="M702" i="1" s="1"/>
  <c r="K702" i="1"/>
  <c r="L694" i="1"/>
  <c r="M694" i="1" s="1"/>
  <c r="K694" i="1"/>
  <c r="L206" i="1"/>
  <c r="M206" i="1" s="1"/>
  <c r="K206" i="1"/>
  <c r="L601" i="1"/>
  <c r="M601" i="1" s="1"/>
  <c r="K601" i="1"/>
  <c r="L201" i="1"/>
  <c r="M201" i="1" s="1"/>
  <c r="K201" i="1"/>
  <c r="L597" i="1"/>
  <c r="M597" i="1" s="1"/>
  <c r="K597" i="1"/>
  <c r="L593" i="1"/>
  <c r="M593" i="1" s="1"/>
  <c r="K593" i="1"/>
  <c r="L693" i="1"/>
  <c r="M693" i="1" s="1"/>
  <c r="K693" i="1"/>
  <c r="L683" i="1"/>
  <c r="M683" i="1" s="1"/>
  <c r="K683" i="1"/>
  <c r="L98" i="1"/>
  <c r="M98" i="1" s="1"/>
  <c r="K98" i="1"/>
  <c r="L461" i="1"/>
  <c r="M461" i="1" s="1"/>
  <c r="K461" i="1"/>
  <c r="L326" i="1"/>
  <c r="M326" i="1" s="1"/>
  <c r="K326" i="1"/>
  <c r="L456" i="1"/>
  <c r="M456" i="1" s="1"/>
  <c r="K456" i="1"/>
  <c r="L649" i="1"/>
  <c r="M649" i="1" s="1"/>
  <c r="K649" i="1"/>
  <c r="L455" i="1"/>
  <c r="M455" i="1" s="1"/>
  <c r="K455" i="1"/>
  <c r="L268" i="1"/>
  <c r="M268" i="1" s="1"/>
  <c r="K268" i="1"/>
  <c r="L449" i="1"/>
  <c r="M449" i="1" s="1"/>
  <c r="K449" i="1"/>
  <c r="L264" i="1"/>
  <c r="M264" i="1" s="1"/>
  <c r="K264" i="1"/>
  <c r="L178" i="1"/>
  <c r="M178" i="1" s="1"/>
  <c r="K178" i="1"/>
  <c r="L585" i="1"/>
  <c r="M585" i="1" s="1"/>
  <c r="K585" i="1"/>
  <c r="L580" i="1"/>
  <c r="M580" i="1" s="1"/>
  <c r="K580" i="1"/>
  <c r="L576" i="1"/>
  <c r="M576" i="1" s="1"/>
  <c r="K576" i="1"/>
  <c r="L435" i="1"/>
  <c r="M435" i="1" s="1"/>
  <c r="K435" i="1"/>
  <c r="L433" i="1"/>
  <c r="M433" i="1" s="1"/>
  <c r="K433" i="1"/>
  <c r="L558" i="1"/>
  <c r="M558" i="1" s="1"/>
  <c r="K558" i="1"/>
  <c r="L552" i="1"/>
  <c r="M552" i="1" s="1"/>
  <c r="K552" i="1"/>
  <c r="L548" i="1"/>
  <c r="M548" i="1" s="1"/>
  <c r="K548" i="1"/>
  <c r="L543" i="1"/>
  <c r="M543" i="1" s="1"/>
  <c r="K543" i="1"/>
  <c r="L538" i="1"/>
  <c r="M538" i="1" s="1"/>
  <c r="K538" i="1"/>
  <c r="L424" i="1"/>
  <c r="M424" i="1" s="1"/>
  <c r="K424" i="1"/>
  <c r="L163" i="1"/>
  <c r="M163" i="1" s="1"/>
  <c r="K163" i="1"/>
  <c r="K523" i="1"/>
  <c r="L523" i="1"/>
  <c r="M523" i="1" s="1"/>
  <c r="L260" i="1"/>
  <c r="M260" i="1" s="1"/>
  <c r="K260" i="1"/>
  <c r="L509" i="1"/>
  <c r="M509" i="1" s="1"/>
  <c r="K509" i="1"/>
  <c r="L505" i="1"/>
  <c r="M505" i="1" s="1"/>
  <c r="K505" i="1"/>
  <c r="L498" i="1"/>
  <c r="M498" i="1" s="1"/>
  <c r="K498" i="1"/>
  <c r="L493" i="1"/>
  <c r="M493" i="1" s="1"/>
  <c r="K493" i="1"/>
  <c r="L485" i="1"/>
  <c r="M485" i="1" s="1"/>
  <c r="K485" i="1"/>
  <c r="L480" i="1"/>
  <c r="M480" i="1" s="1"/>
  <c r="K480" i="1"/>
  <c r="L416" i="1"/>
  <c r="M416" i="1" s="1"/>
  <c r="K416" i="1"/>
  <c r="L414" i="1"/>
  <c r="M414" i="1" s="1"/>
  <c r="K414" i="1"/>
  <c r="L466" i="1"/>
  <c r="M466" i="1" s="1"/>
  <c r="K466" i="1"/>
  <c r="L409" i="1"/>
  <c r="M409" i="1" s="1"/>
  <c r="K409" i="1"/>
  <c r="L405" i="1"/>
  <c r="M405" i="1" s="1"/>
  <c r="K405" i="1"/>
  <c r="L404" i="1"/>
  <c r="M404" i="1" s="1"/>
  <c r="K404" i="1"/>
  <c r="L398" i="1"/>
  <c r="M398" i="1" s="1"/>
  <c r="K398" i="1"/>
  <c r="L829" i="1"/>
  <c r="M829" i="1" s="1"/>
  <c r="K829" i="1"/>
  <c r="L391" i="1"/>
  <c r="M391" i="1" s="1"/>
  <c r="K391" i="1"/>
  <c r="L139" i="1"/>
  <c r="M139" i="1" s="1"/>
  <c r="K139" i="1"/>
  <c r="L256" i="1"/>
  <c r="M256" i="1" s="1"/>
  <c r="K256" i="1"/>
  <c r="L381" i="1"/>
  <c r="M381" i="1" s="1"/>
  <c r="K381" i="1"/>
  <c r="L241" i="1"/>
  <c r="M241" i="1" s="1"/>
  <c r="K241" i="1"/>
  <c r="L379" i="1"/>
  <c r="M379" i="1" s="1"/>
  <c r="K379" i="1"/>
  <c r="L132" i="1"/>
  <c r="M132" i="1" s="1"/>
  <c r="K132" i="1"/>
  <c r="L79" i="1"/>
  <c r="M79" i="1" s="1"/>
  <c r="K79" i="1"/>
  <c r="L74" i="1"/>
  <c r="M74" i="1" s="1"/>
  <c r="K74" i="1"/>
  <c r="L65" i="1"/>
  <c r="M65" i="1" s="1"/>
  <c r="K65" i="1"/>
  <c r="L124" i="1"/>
  <c r="M124" i="1" s="1"/>
  <c r="K124" i="1"/>
  <c r="L57" i="1"/>
  <c r="M57" i="1" s="1"/>
  <c r="K57" i="1"/>
  <c r="L53" i="1"/>
  <c r="M53" i="1" s="1"/>
  <c r="K53" i="1"/>
  <c r="L364" i="1"/>
  <c r="M364" i="1" s="1"/>
  <c r="K364" i="1"/>
  <c r="L48" i="1"/>
  <c r="M48" i="1" s="1"/>
  <c r="K48" i="1"/>
  <c r="L88" i="1"/>
  <c r="M88" i="1" s="1"/>
  <c r="K88" i="1"/>
  <c r="L35" i="1"/>
  <c r="M35" i="1" s="1"/>
  <c r="K35" i="1"/>
  <c r="L26" i="1"/>
  <c r="M26" i="1" s="1"/>
  <c r="K26" i="1"/>
  <c r="L18" i="1"/>
  <c r="M18" i="1" s="1"/>
  <c r="K18" i="1"/>
  <c r="L358" i="1"/>
  <c r="M358" i="1" s="1"/>
  <c r="K358" i="1"/>
  <c r="L354" i="1"/>
  <c r="M354" i="1" s="1"/>
  <c r="K354" i="1"/>
  <c r="L113" i="1"/>
  <c r="M113" i="1" s="1"/>
  <c r="K113" i="1"/>
  <c r="L1151" i="1"/>
  <c r="M1151" i="1" s="1"/>
  <c r="K1151" i="1"/>
  <c r="L1158" i="1"/>
  <c r="M1158" i="1" s="1"/>
  <c r="K1158" i="1"/>
  <c r="L1140" i="1"/>
  <c r="M1140" i="1" s="1"/>
  <c r="K1140" i="1"/>
  <c r="L1022" i="1"/>
  <c r="M1022" i="1" s="1"/>
  <c r="K1022" i="1"/>
  <c r="L1016" i="1"/>
  <c r="M1016" i="1" s="1"/>
  <c r="K1016" i="1"/>
  <c r="L1011" i="1"/>
  <c r="M1011" i="1" s="1"/>
  <c r="K1011" i="1"/>
  <c r="L1103" i="1"/>
  <c r="M1103" i="1" s="1"/>
  <c r="K1103" i="1"/>
  <c r="L1007" i="1"/>
  <c r="M1007" i="1" s="1"/>
  <c r="K1007" i="1"/>
  <c r="K1001" i="1"/>
  <c r="L1001" i="1"/>
  <c r="M1001" i="1" s="1"/>
  <c r="L1078" i="1"/>
  <c r="M1078" i="1" s="1"/>
  <c r="K1078" i="1"/>
  <c r="L959" i="1"/>
  <c r="M959" i="1" s="1"/>
  <c r="K959" i="1"/>
  <c r="L953" i="1"/>
  <c r="M953" i="1" s="1"/>
  <c r="K953" i="1"/>
  <c r="L1047" i="1"/>
  <c r="M1047" i="1" s="1"/>
  <c r="K1047" i="1"/>
  <c r="L1043" i="1"/>
  <c r="M1043" i="1" s="1"/>
  <c r="K1043" i="1"/>
  <c r="L991" i="1"/>
  <c r="M991" i="1" s="1"/>
  <c r="K991" i="1"/>
  <c r="L1104" i="1"/>
  <c r="M1104" i="1" s="1"/>
  <c r="K1104" i="1"/>
  <c r="L985" i="1"/>
  <c r="M985" i="1" s="1"/>
  <c r="K985" i="1"/>
  <c r="L295" i="1"/>
  <c r="M295" i="1" s="1"/>
  <c r="K295" i="1"/>
  <c r="L1070" i="1"/>
  <c r="M1070" i="1" s="1"/>
  <c r="K1070" i="1"/>
  <c r="L1031" i="1"/>
  <c r="M1031" i="1" s="1"/>
  <c r="K1031" i="1"/>
  <c r="L1101" i="1"/>
  <c r="M1101" i="1" s="1"/>
  <c r="K1101" i="1"/>
  <c r="L1100" i="1"/>
  <c r="M1100" i="1" s="1"/>
  <c r="K1100" i="1"/>
  <c r="L650" i="1"/>
  <c r="M650" i="1" s="1"/>
  <c r="K650" i="1"/>
  <c r="L272" i="1"/>
  <c r="M272" i="1" s="1"/>
  <c r="K272" i="1"/>
  <c r="L745" i="1"/>
  <c r="M745" i="1" s="1"/>
  <c r="K745" i="1"/>
  <c r="L708" i="1"/>
  <c r="M708" i="1" s="1"/>
  <c r="K708" i="1"/>
  <c r="L197" i="1"/>
  <c r="M197" i="1" s="1"/>
  <c r="K197" i="1"/>
  <c r="L453" i="1"/>
  <c r="M453" i="1" s="1"/>
  <c r="K453" i="1"/>
  <c r="L567" i="1"/>
  <c r="M567" i="1" s="1"/>
  <c r="K567" i="1"/>
  <c r="L426" i="1"/>
  <c r="M426" i="1" s="1"/>
  <c r="K426" i="1"/>
  <c r="L490" i="1"/>
  <c r="M490" i="1" s="1"/>
  <c r="K490" i="1"/>
  <c r="L152" i="1"/>
  <c r="M152" i="1" s="1"/>
  <c r="K152" i="1"/>
  <c r="L238" i="1"/>
  <c r="M238" i="1" s="1"/>
  <c r="K238" i="1"/>
  <c r="L130" i="1"/>
  <c r="M130" i="1" s="1"/>
  <c r="K130" i="1"/>
  <c r="L1168" i="1"/>
  <c r="M1168" i="1" s="1"/>
  <c r="K1168" i="1"/>
  <c r="L117" i="1"/>
  <c r="M117" i="1" s="1"/>
  <c r="K117" i="1"/>
  <c r="L656" i="1"/>
  <c r="M656" i="1" s="1"/>
  <c r="K656" i="1"/>
  <c r="L1059" i="1"/>
  <c r="M1059" i="1" s="1"/>
  <c r="K1059" i="1"/>
  <c r="L820" i="1"/>
  <c r="M820" i="1" s="1"/>
  <c r="K820" i="1"/>
  <c r="L815" i="1"/>
  <c r="M815" i="1" s="1"/>
  <c r="K815" i="1"/>
  <c r="L232" i="1"/>
  <c r="M232" i="1" s="1"/>
  <c r="K232" i="1"/>
  <c r="L807" i="1"/>
  <c r="M807" i="1" s="1"/>
  <c r="K807" i="1"/>
  <c r="L640" i="1"/>
  <c r="M640" i="1" s="1"/>
  <c r="K640" i="1"/>
  <c r="L637" i="1"/>
  <c r="M637" i="1" s="1"/>
  <c r="K637" i="1"/>
  <c r="L799" i="1"/>
  <c r="M799" i="1" s="1"/>
  <c r="K799" i="1"/>
  <c r="L225" i="1"/>
  <c r="M225" i="1" s="1"/>
  <c r="K225" i="1"/>
  <c r="L792" i="1"/>
  <c r="M792" i="1" s="1"/>
  <c r="K792" i="1"/>
  <c r="L626" i="1"/>
  <c r="M626" i="1" s="1"/>
  <c r="K626" i="1"/>
  <c r="L784" i="1"/>
  <c r="M784" i="1" s="1"/>
  <c r="K784" i="1"/>
  <c r="L778" i="1"/>
  <c r="M778" i="1" s="1"/>
  <c r="K778" i="1"/>
  <c r="L622" i="1"/>
  <c r="M622" i="1" s="1"/>
  <c r="K622" i="1"/>
  <c r="L769" i="1"/>
  <c r="M769" i="1" s="1"/>
  <c r="K769" i="1"/>
  <c r="L764" i="1"/>
  <c r="M764" i="1" s="1"/>
  <c r="K764" i="1"/>
  <c r="L615" i="1"/>
  <c r="M615" i="1" s="1"/>
  <c r="K615" i="1"/>
  <c r="L215" i="1"/>
  <c r="M215" i="1" s="1"/>
  <c r="K215" i="1"/>
  <c r="L747" i="1"/>
  <c r="M747" i="1" s="1"/>
  <c r="K747" i="1"/>
  <c r="L742" i="1"/>
  <c r="M742" i="1" s="1"/>
  <c r="K742" i="1"/>
  <c r="L212" i="1"/>
  <c r="M212" i="1" s="1"/>
  <c r="K212" i="1"/>
  <c r="L727" i="1"/>
  <c r="M727" i="1" s="1"/>
  <c r="K727" i="1"/>
  <c r="L719" i="1"/>
  <c r="M719" i="1" s="1"/>
  <c r="K719" i="1"/>
  <c r="L607" i="1"/>
  <c r="M607" i="1" s="1"/>
  <c r="K607" i="1"/>
  <c r="L209" i="1"/>
  <c r="M209" i="1" s="1"/>
  <c r="K209" i="1"/>
  <c r="L605" i="1"/>
  <c r="M605" i="1" s="1"/>
  <c r="K605" i="1"/>
  <c r="L692" i="1"/>
  <c r="M692" i="1" s="1"/>
  <c r="K692" i="1"/>
  <c r="L686" i="1"/>
  <c r="M686" i="1" s="1"/>
  <c r="K686" i="1"/>
  <c r="L600" i="1"/>
  <c r="M600" i="1" s="1"/>
  <c r="K600" i="1"/>
  <c r="L200" i="1"/>
  <c r="M200" i="1" s="1"/>
  <c r="K200" i="1"/>
  <c r="L596" i="1"/>
  <c r="M596" i="1" s="1"/>
  <c r="K596" i="1"/>
  <c r="L701" i="1"/>
  <c r="M701" i="1" s="1"/>
  <c r="K701" i="1"/>
  <c r="L590" i="1"/>
  <c r="M590" i="1" s="1"/>
  <c r="K590" i="1"/>
  <c r="L682" i="1"/>
  <c r="M682" i="1" s="1"/>
  <c r="K682" i="1"/>
  <c r="L849" i="1"/>
  <c r="M849" i="1" s="1"/>
  <c r="K849" i="1"/>
  <c r="L191" i="1"/>
  <c r="M191" i="1" s="1"/>
  <c r="K191" i="1"/>
  <c r="L325" i="1"/>
  <c r="M325" i="1" s="1"/>
  <c r="K325" i="1"/>
  <c r="L322" i="1"/>
  <c r="M322" i="1" s="1"/>
  <c r="K322" i="1"/>
  <c r="L648" i="1"/>
  <c r="M648" i="1" s="1"/>
  <c r="K648" i="1"/>
  <c r="L454" i="1"/>
  <c r="M454" i="1" s="1"/>
  <c r="K454" i="1"/>
  <c r="L267" i="1"/>
  <c r="M267" i="1" s="1"/>
  <c r="K267" i="1"/>
  <c r="L184" i="1"/>
  <c r="M184" i="1" s="1"/>
  <c r="K184" i="1"/>
  <c r="L180" i="1"/>
  <c r="M180" i="1" s="1"/>
  <c r="K180" i="1"/>
  <c r="L441" i="1"/>
  <c r="M441" i="1" s="1"/>
  <c r="K441" i="1"/>
  <c r="L584" i="1"/>
  <c r="M584" i="1" s="1"/>
  <c r="K584" i="1"/>
  <c r="K579" i="1"/>
  <c r="L579" i="1"/>
  <c r="M579" i="1" s="1"/>
  <c r="L575" i="1"/>
  <c r="M575" i="1" s="1"/>
  <c r="K575" i="1"/>
  <c r="L569" i="1"/>
  <c r="M569" i="1" s="1"/>
  <c r="K569" i="1"/>
  <c r="L564" i="1"/>
  <c r="M564" i="1" s="1"/>
  <c r="K564" i="1"/>
  <c r="L557" i="1"/>
  <c r="M557" i="1" s="1"/>
  <c r="K557" i="1"/>
  <c r="L551" i="1"/>
  <c r="M551" i="1" s="1"/>
  <c r="K551" i="1"/>
  <c r="L430" i="1"/>
  <c r="M430" i="1" s="1"/>
  <c r="K430" i="1"/>
  <c r="L542" i="1"/>
  <c r="M542" i="1" s="1"/>
  <c r="K542" i="1"/>
  <c r="L537" i="1"/>
  <c r="M537" i="1" s="1"/>
  <c r="K537" i="1"/>
  <c r="L165" i="1"/>
  <c r="M165" i="1" s="1"/>
  <c r="K165" i="1"/>
  <c r="L530" i="1"/>
  <c r="M530" i="1" s="1"/>
  <c r="K530" i="1"/>
  <c r="L261" i="1"/>
  <c r="M261" i="1" s="1"/>
  <c r="K261" i="1"/>
  <c r="L516" i="1"/>
  <c r="M516" i="1" s="1"/>
  <c r="K516" i="1"/>
  <c r="L421" i="1"/>
  <c r="M421" i="1" s="1"/>
  <c r="K421" i="1"/>
  <c r="L504" i="1"/>
  <c r="M504" i="1" s="1"/>
  <c r="K504" i="1"/>
  <c r="L419" i="1"/>
  <c r="M419" i="1" s="1"/>
  <c r="K419" i="1"/>
  <c r="L492" i="1"/>
  <c r="M492" i="1" s="1"/>
  <c r="K492" i="1"/>
  <c r="L484" i="1"/>
  <c r="M484" i="1" s="1"/>
  <c r="K484" i="1"/>
  <c r="L847" i="1"/>
  <c r="M847" i="1" s="1"/>
  <c r="K847" i="1"/>
  <c r="L415" i="1"/>
  <c r="M415" i="1" s="1"/>
  <c r="K415" i="1"/>
  <c r="L413" i="1"/>
  <c r="M413" i="1" s="1"/>
  <c r="K413" i="1"/>
  <c r="L465" i="1"/>
  <c r="M465" i="1" s="1"/>
  <c r="K465" i="1"/>
  <c r="L408" i="1"/>
  <c r="M408" i="1" s="1"/>
  <c r="K408" i="1"/>
  <c r="L856" i="1"/>
  <c r="M856" i="1" s="1"/>
  <c r="K856" i="1"/>
  <c r="L403" i="1"/>
  <c r="M403" i="1" s="1"/>
  <c r="K403" i="1"/>
  <c r="L397" i="1"/>
  <c r="M397" i="1" s="1"/>
  <c r="K397" i="1"/>
  <c r="L90" i="1"/>
  <c r="M90" i="1" s="1"/>
  <c r="K90" i="1"/>
  <c r="L390" i="1"/>
  <c r="M390" i="1" s="1"/>
  <c r="K390" i="1"/>
  <c r="L138" i="1"/>
  <c r="M138" i="1" s="1"/>
  <c r="K138" i="1"/>
  <c r="L827" i="1"/>
  <c r="M827" i="1" s="1"/>
  <c r="K827" i="1"/>
  <c r="L136" i="1"/>
  <c r="M136" i="1" s="1"/>
  <c r="K136" i="1"/>
  <c r="L240" i="1"/>
  <c r="M240" i="1" s="1"/>
  <c r="K240" i="1"/>
  <c r="L378" i="1"/>
  <c r="M378" i="1" s="1"/>
  <c r="K378" i="1"/>
  <c r="L375" i="1"/>
  <c r="M375" i="1" s="1"/>
  <c r="K375" i="1"/>
  <c r="L78" i="1"/>
  <c r="M78" i="1" s="1"/>
  <c r="K78" i="1"/>
  <c r="L73" i="1"/>
  <c r="M73" i="1" s="1"/>
  <c r="K73" i="1"/>
  <c r="L70" i="1"/>
  <c r="M70" i="1" s="1"/>
  <c r="K70" i="1"/>
  <c r="L370" i="1"/>
  <c r="M370" i="1" s="1"/>
  <c r="K370" i="1"/>
  <c r="H1170" i="1"/>
  <c r="I1170" i="1" s="1"/>
  <c r="K367" i="1"/>
  <c r="L367" i="1"/>
  <c r="M367" i="1" s="1"/>
  <c r="L1169" i="1"/>
  <c r="M1169" i="1" s="1"/>
  <c r="K1169" i="1"/>
  <c r="L119" i="1"/>
  <c r="M119" i="1" s="1"/>
  <c r="K119" i="1"/>
  <c r="L47" i="1"/>
  <c r="M47" i="1" s="1"/>
  <c r="K47" i="1"/>
  <c r="L87" i="1"/>
  <c r="M87" i="1" s="1"/>
  <c r="K87" i="1"/>
  <c r="L34" i="1"/>
  <c r="M34" i="1" s="1"/>
  <c r="K34" i="1"/>
  <c r="L25" i="1"/>
  <c r="M25" i="1" s="1"/>
  <c r="K25" i="1"/>
  <c r="L17" i="1"/>
  <c r="M17" i="1" s="1"/>
  <c r="K17" i="1"/>
  <c r="L357" i="1"/>
  <c r="M357" i="1" s="1"/>
  <c r="K357" i="1"/>
  <c r="L114" i="1"/>
  <c r="M114" i="1" s="1"/>
  <c r="K114" i="1"/>
  <c r="L353" i="1"/>
  <c r="M353" i="1" s="1"/>
  <c r="K353" i="1"/>
  <c r="L1163" i="1"/>
  <c r="M1163" i="1" s="1"/>
  <c r="K1163" i="1"/>
  <c r="L1150" i="1"/>
  <c r="M1150" i="1" s="1"/>
  <c r="K1150" i="1"/>
  <c r="L1123" i="1"/>
  <c r="M1123" i="1" s="1"/>
  <c r="K1123" i="1"/>
  <c r="L1139" i="1"/>
  <c r="M1139" i="1" s="1"/>
  <c r="K1139" i="1"/>
  <c r="L1057" i="1"/>
  <c r="M1057" i="1" s="1"/>
  <c r="K1057" i="1"/>
  <c r="L1054" i="1"/>
  <c r="M1054" i="1" s="1"/>
  <c r="K1054" i="1"/>
  <c r="L1052" i="1"/>
  <c r="M1052" i="1" s="1"/>
  <c r="K1052" i="1"/>
  <c r="L1065" i="1"/>
  <c r="M1065" i="1" s="1"/>
  <c r="K1065" i="1"/>
  <c r="K1000" i="1"/>
  <c r="L1000" i="1"/>
  <c r="M1000" i="1" s="1"/>
  <c r="L994" i="1"/>
  <c r="M994" i="1" s="1"/>
  <c r="K994" i="1"/>
  <c r="L1152" i="1"/>
  <c r="M1152" i="1" s="1"/>
  <c r="K1152" i="1"/>
  <c r="L1050" i="1"/>
  <c r="M1050" i="1" s="1"/>
  <c r="K1050" i="1"/>
  <c r="L1046" i="1"/>
  <c r="M1046" i="1" s="1"/>
  <c r="K1046" i="1"/>
  <c r="L1042" i="1"/>
  <c r="M1042" i="1" s="1"/>
  <c r="K1042" i="1"/>
  <c r="L989" i="1"/>
  <c r="M989" i="1" s="1"/>
  <c r="L1033" i="1"/>
  <c r="M1033" i="1" s="1"/>
  <c r="K1033" i="1"/>
  <c r="L958" i="1"/>
  <c r="M958" i="1" s="1"/>
  <c r="K958" i="1"/>
  <c r="L1028" i="1"/>
  <c r="M1028" i="1" s="1"/>
  <c r="K1028" i="1"/>
  <c r="L293" i="1"/>
  <c r="M293" i="1" s="1"/>
  <c r="K293" i="1"/>
  <c r="L969" i="1"/>
  <c r="M969" i="1" s="1"/>
  <c r="K969" i="1"/>
  <c r="L1025" i="1"/>
  <c r="M1025" i="1" s="1"/>
  <c r="K1025" i="1"/>
  <c r="L1117" i="1"/>
  <c r="M1117" i="1" s="1"/>
  <c r="K1117" i="1"/>
  <c r="C53" i="14"/>
  <c r="C52" i="14"/>
  <c r="K1087" i="1" l="1"/>
  <c r="K1066" i="1"/>
  <c r="L1083" i="1"/>
  <c r="M1083" i="1" s="1"/>
  <c r="L309" i="1"/>
  <c r="M309" i="1" s="1"/>
  <c r="K1111" i="1"/>
  <c r="L1066" i="1"/>
  <c r="M1066" i="1" s="1"/>
  <c r="L1111" i="1"/>
  <c r="M1111" i="1" s="1"/>
  <c r="K972" i="1"/>
  <c r="K1026" i="1"/>
  <c r="K967" i="1"/>
  <c r="K1160" i="1"/>
  <c r="K371" i="1"/>
  <c r="K275" i="1"/>
  <c r="K1085" i="1"/>
  <c r="K1055" i="1"/>
  <c r="K1049" i="1"/>
  <c r="L1049" i="1"/>
  <c r="M1049" i="1" s="1"/>
  <c r="K966" i="1"/>
  <c r="L966" i="1"/>
  <c r="M966" i="1" s="1"/>
  <c r="L1157" i="1"/>
  <c r="M1157" i="1" s="1"/>
  <c r="K961" i="1"/>
  <c r="K1109" i="1"/>
  <c r="K970" i="1"/>
  <c r="L1131" i="1"/>
  <c r="M1131" i="1" s="1"/>
  <c r="L990" i="1"/>
  <c r="M990" i="1" s="1"/>
  <c r="K1120" i="1"/>
  <c r="K292" i="1"/>
  <c r="L1105" i="1"/>
  <c r="M1105" i="1" s="1"/>
  <c r="K1121" i="1"/>
  <c r="L292" i="1"/>
  <c r="M292" i="1" s="1"/>
  <c r="K307" i="1"/>
  <c r="L307" i="1"/>
  <c r="M307" i="1" s="1"/>
  <c r="K1093" i="1"/>
  <c r="K1019" i="1"/>
  <c r="K1124" i="1"/>
  <c r="L1124" i="1"/>
  <c r="M1124" i="1" s="1"/>
  <c r="K1002" i="1"/>
  <c r="L1128" i="1"/>
  <c r="M1128" i="1" s="1"/>
  <c r="L281" i="1"/>
  <c r="M281" i="1" s="1"/>
  <c r="K281" i="1"/>
  <c r="K1153" i="1"/>
  <c r="L1067" i="1"/>
  <c r="M1067" i="1" s="1"/>
  <c r="K1067" i="1"/>
  <c r="K1021" i="1"/>
  <c r="L1106" i="1"/>
  <c r="M1106" i="1" s="1"/>
  <c r="K1106" i="1"/>
  <c r="L118" i="1"/>
  <c r="M118" i="1" s="1"/>
  <c r="K118" i="1"/>
  <c r="L1127" i="1"/>
  <c r="M1127" i="1" s="1"/>
  <c r="K1127" i="1"/>
  <c r="K282" i="1"/>
  <c r="L282" i="1"/>
  <c r="M282" i="1" s="1"/>
  <c r="K984" i="1"/>
  <c r="K314" i="1"/>
  <c r="L962" i="1"/>
  <c r="M962" i="1" s="1"/>
  <c r="K962" i="1"/>
  <c r="L341" i="1"/>
  <c r="M341" i="1" s="1"/>
  <c r="K341" i="1"/>
  <c r="L276" i="1"/>
  <c r="M276" i="1" s="1"/>
  <c r="K276" i="1"/>
  <c r="K965" i="1"/>
  <c r="L965" i="1"/>
  <c r="M965" i="1" s="1"/>
  <c r="K291" i="1"/>
  <c r="L291" i="1"/>
  <c r="M291" i="1" s="1"/>
  <c r="K1171" i="1"/>
  <c r="K1170" i="1"/>
  <c r="L1170" i="1"/>
  <c r="M1170" i="1" s="1"/>
  <c r="W16" i="13"/>
  <c r="O23" i="13" l="1"/>
  <c r="N8" i="7"/>
  <c r="N5" i="7"/>
  <c r="N6" i="7"/>
  <c r="K24" i="14"/>
  <c r="K25" i="14" s="1"/>
  <c r="M9" i="2" l="1"/>
  <c r="M10" i="2" s="1"/>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P43" i="13"/>
  <c r="J12" i="2" l="1"/>
  <c r="J13" i="2" s="1"/>
  <c r="T15" i="13"/>
  <c r="T14" i="13"/>
  <c r="T12" i="13"/>
  <c r="S12" i="13"/>
  <c r="S13" i="13"/>
  <c r="S14" i="13"/>
  <c r="S15" i="13"/>
  <c r="S16" i="13"/>
  <c r="S11" i="13"/>
  <c r="Q7" i="13"/>
  <c r="P26" i="13"/>
  <c r="O22" i="13" s="1"/>
  <c r="P20" i="13"/>
  <c r="O21" i="13" s="1"/>
  <c r="P51" i="13"/>
  <c r="P33" i="13"/>
  <c r="P34" i="13" s="1"/>
  <c r="O33" i="13"/>
  <c r="O34" i="13" s="1"/>
  <c r="P48" i="13"/>
  <c r="O24" i="13"/>
  <c r="P16" i="13"/>
  <c r="P15" i="13"/>
  <c r="P14" i="13"/>
  <c r="P13" i="13"/>
  <c r="P12" i="13"/>
  <c r="P11" i="13"/>
  <c r="P7" i="13"/>
  <c r="R7" i="13" l="1"/>
  <c r="E6" i="11" l="1"/>
  <c r="E7" i="11"/>
  <c r="E8" i="11"/>
  <c r="E9" i="11"/>
  <c r="E22" i="11" s="1"/>
  <c r="E10" i="11"/>
  <c r="E11" i="11"/>
  <c r="E12" i="11"/>
  <c r="E13" i="11"/>
  <c r="E14" i="11"/>
  <c r="E15" i="11"/>
  <c r="E16" i="11"/>
  <c r="E17" i="11"/>
  <c r="E18" i="11"/>
  <c r="E19" i="11"/>
  <c r="E20" i="11"/>
  <c r="E21" i="11"/>
  <c r="J4" i="2" l="1"/>
  <c r="J16" i="2" l="1"/>
  <c r="L3" i="3" l="1"/>
  <c r="O3" i="3" s="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5" i="3"/>
  <c r="L34" i="3"/>
  <c r="L36" i="3"/>
  <c r="L37" i="3"/>
  <c r="L38" i="3"/>
  <c r="L39" i="3"/>
  <c r="L40" i="3"/>
  <c r="L41" i="3"/>
  <c r="L42" i="3"/>
  <c r="L43" i="3"/>
  <c r="L44" i="3"/>
  <c r="L45" i="3"/>
  <c r="L46" i="3"/>
  <c r="L47" i="3"/>
  <c r="L48" i="3"/>
  <c r="L49" i="3"/>
  <c r="L50"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5" i="3"/>
  <c r="K34" i="3"/>
  <c r="K36" i="3"/>
  <c r="K37" i="3"/>
  <c r="K38" i="3"/>
  <c r="K39" i="3"/>
  <c r="K40" i="3"/>
  <c r="K41" i="3"/>
  <c r="K42" i="3"/>
  <c r="K43" i="3"/>
  <c r="K44" i="3"/>
  <c r="K45" i="3"/>
  <c r="K46" i="3"/>
  <c r="K47" i="3"/>
  <c r="K48" i="3"/>
  <c r="K49" i="3"/>
  <c r="K50"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5" i="3"/>
  <c r="M34" i="3"/>
  <c r="M36" i="3"/>
  <c r="M37" i="3"/>
  <c r="M38" i="3"/>
  <c r="M39" i="3"/>
  <c r="M40" i="3"/>
  <c r="M41" i="3"/>
  <c r="M42" i="3"/>
  <c r="M43" i="3"/>
  <c r="M44" i="3"/>
  <c r="M45" i="3"/>
  <c r="M46" i="3"/>
  <c r="M47" i="3"/>
  <c r="M48" i="3"/>
  <c r="M49" i="3"/>
  <c r="M50" i="3"/>
  <c r="S5" i="3" l="1"/>
  <c r="O43" i="3"/>
  <c r="O11" i="3"/>
  <c r="O46" i="3"/>
  <c r="O34" i="3"/>
  <c r="O22" i="3"/>
  <c r="O14" i="3"/>
  <c r="O6" i="3"/>
  <c r="O37" i="3"/>
  <c r="O25" i="3"/>
  <c r="O49" i="3"/>
  <c r="O45" i="3"/>
  <c r="O29" i="3"/>
  <c r="O21" i="3"/>
  <c r="O13" i="3"/>
  <c r="O5" i="3"/>
  <c r="O47" i="3"/>
  <c r="O39" i="3"/>
  <c r="O31" i="3"/>
  <c r="O23" i="3"/>
  <c r="O15" i="3"/>
  <c r="O7" i="3"/>
  <c r="O48" i="3"/>
  <c r="O40" i="3"/>
  <c r="O32" i="3"/>
  <c r="O24" i="3"/>
  <c r="O44" i="3"/>
  <c r="O36" i="3"/>
  <c r="O28" i="3"/>
  <c r="O20" i="3"/>
  <c r="O12" i="3"/>
  <c r="O4" i="3"/>
  <c r="T5" i="3" s="1"/>
  <c r="O50" i="3"/>
  <c r="N45" i="3"/>
  <c r="N37" i="3"/>
  <c r="N29" i="3"/>
  <c r="N21" i="3"/>
  <c r="N13" i="3"/>
  <c r="N5" i="3"/>
  <c r="N44" i="3"/>
  <c r="N36" i="3"/>
  <c r="N28" i="3"/>
  <c r="N20" i="3"/>
  <c r="N12" i="3"/>
  <c r="N4" i="3"/>
  <c r="N43" i="3"/>
  <c r="N34" i="3"/>
  <c r="N27" i="3"/>
  <c r="N19" i="3"/>
  <c r="N11" i="3"/>
  <c r="N3" i="3"/>
  <c r="N42" i="3"/>
  <c r="N35" i="3"/>
  <c r="N26" i="3"/>
  <c r="N18" i="3"/>
  <c r="N10" i="3"/>
  <c r="N49" i="3"/>
  <c r="N41" i="3"/>
  <c r="N33" i="3"/>
  <c r="N25" i="3"/>
  <c r="N17" i="3"/>
  <c r="N9" i="3"/>
  <c r="N48" i="3"/>
  <c r="N40" i="3"/>
  <c r="N32" i="3"/>
  <c r="N24" i="3"/>
  <c r="N16" i="3"/>
  <c r="N8" i="3"/>
  <c r="N47" i="3"/>
  <c r="N39" i="3"/>
  <c r="N31" i="3"/>
  <c r="N23" i="3"/>
  <c r="N15" i="3"/>
  <c r="N7" i="3"/>
  <c r="N46" i="3"/>
  <c r="N38" i="3"/>
  <c r="N30" i="3"/>
  <c r="N22" i="3"/>
  <c r="N14" i="3"/>
  <c r="N6" i="3"/>
  <c r="N50" i="3"/>
  <c r="O42" i="3"/>
  <c r="O35" i="3"/>
  <c r="O26" i="3"/>
  <c r="O18" i="3"/>
  <c r="O10" i="3"/>
  <c r="O41" i="3"/>
  <c r="O33" i="3"/>
  <c r="O17" i="3"/>
  <c r="O9" i="3"/>
  <c r="O16" i="3"/>
  <c r="O8" i="3"/>
  <c r="O38" i="3"/>
  <c r="O30" i="3"/>
  <c r="O27" i="3"/>
  <c r="O19" i="3"/>
  <c r="H1174" i="1" l="1"/>
  <c r="K1174" i="1"/>
  <c r="J6" i="2"/>
  <c r="J8" i="2"/>
  <c r="J10" i="2" s="1"/>
  <c r="L4" i="2"/>
  <c r="H6" i="17" s="1"/>
  <c r="E59" i="17" s="1"/>
  <c r="M4" i="2"/>
  <c r="M7" i="2"/>
  <c r="E148" i="17" l="1"/>
  <c r="E159" i="17"/>
  <c r="J883" i="1"/>
  <c r="J917" i="1"/>
  <c r="J924" i="1"/>
  <c r="J940" i="1"/>
  <c r="J862" i="1"/>
  <c r="J1089" i="1"/>
  <c r="J824" i="1"/>
  <c r="J885" i="1"/>
  <c r="J283" i="1"/>
  <c r="J938" i="1"/>
  <c r="J916" i="1"/>
  <c r="J6" i="1"/>
  <c r="J895" i="1"/>
  <c r="J946" i="1"/>
  <c r="J908" i="1"/>
  <c r="J880" i="1"/>
  <c r="J111" i="1"/>
  <c r="J909" i="1"/>
  <c r="J882" i="1"/>
  <c r="J900" i="1"/>
  <c r="J129" i="1"/>
  <c r="J832" i="1"/>
  <c r="J918" i="1"/>
  <c r="J662" i="1"/>
  <c r="J865" i="1"/>
  <c r="J834" i="1"/>
  <c r="J894" i="1"/>
  <c r="J286" i="1"/>
  <c r="J345" i="1"/>
  <c r="J667" i="1"/>
  <c r="J344" i="1"/>
  <c r="J887" i="1"/>
  <c r="J930" i="1"/>
  <c r="J864" i="1"/>
  <c r="J308" i="1"/>
  <c r="J891" i="1"/>
  <c r="J939" i="1"/>
  <c r="J874" i="1"/>
  <c r="J873" i="1"/>
  <c r="J933" i="1"/>
  <c r="J910" i="1"/>
  <c r="J886" i="1"/>
  <c r="J668" i="1"/>
  <c r="J869" i="1"/>
  <c r="J9" i="1"/>
  <c r="J876" i="1"/>
  <c r="J888" i="1"/>
  <c r="J911" i="1"/>
  <c r="J922" i="1"/>
  <c r="J926" i="1"/>
  <c r="J866" i="1"/>
  <c r="J934" i="1"/>
  <c r="J928" i="1"/>
  <c r="J897" i="1"/>
  <c r="J669" i="1"/>
  <c r="J110" i="1"/>
  <c r="J297" i="1"/>
  <c r="J280" i="1"/>
  <c r="J931" i="1"/>
  <c r="J901" i="1"/>
  <c r="J4" i="1"/>
  <c r="J748" i="1"/>
  <c r="J28" i="1"/>
  <c r="J923" i="1"/>
  <c r="J350" i="1"/>
  <c r="J904" i="1"/>
  <c r="J736" i="1"/>
  <c r="J837" i="1"/>
  <c r="J899" i="1"/>
  <c r="J859" i="1"/>
  <c r="J936" i="1"/>
  <c r="J121" i="1"/>
  <c r="J892" i="1"/>
  <c r="J935" i="1"/>
  <c r="J857" i="1"/>
  <c r="J340" i="1"/>
  <c r="J278" i="1"/>
  <c r="J243" i="1"/>
  <c r="J737" i="1"/>
  <c r="J106" i="1"/>
  <c r="J902" i="1"/>
  <c r="J831" i="1"/>
  <c r="J912" i="1"/>
  <c r="J665" i="1"/>
  <c r="J301" i="1"/>
  <c r="J7" i="1"/>
  <c r="J1068" i="1"/>
  <c r="J877" i="1"/>
  <c r="J884" i="1"/>
  <c r="J942" i="1"/>
  <c r="J906" i="1"/>
  <c r="J858" i="1"/>
  <c r="J867" i="1"/>
  <c r="J305" i="1"/>
  <c r="J348" i="1"/>
  <c r="J279" i="1"/>
  <c r="J872" i="1"/>
  <c r="J964" i="1"/>
  <c r="J772" i="1"/>
  <c r="J907" i="1"/>
  <c r="J898" i="1"/>
  <c r="J943" i="1"/>
  <c r="J913" i="1"/>
  <c r="J109" i="1"/>
  <c r="J343" i="1"/>
  <c r="J339" i="1"/>
  <c r="J861" i="1"/>
  <c r="J919" i="1"/>
  <c r="J868" i="1"/>
  <c r="J929" i="1"/>
  <c r="J251" i="1"/>
  <c r="J347" i="1"/>
  <c r="J944" i="1"/>
  <c r="J663" i="1"/>
  <c r="J351" i="1"/>
  <c r="J878" i="1"/>
  <c r="J932" i="1"/>
  <c r="J871" i="1"/>
  <c r="J836" i="1"/>
  <c r="J903" i="1"/>
  <c r="J881" i="1"/>
  <c r="J288" i="1"/>
  <c r="J666" i="1"/>
  <c r="J925" i="1"/>
  <c r="J304" i="1"/>
  <c r="J754" i="1"/>
  <c r="J315" i="1"/>
  <c r="J890" i="1"/>
  <c r="J896" i="1"/>
  <c r="J905" i="1"/>
  <c r="J963" i="1"/>
  <c r="J86" i="1"/>
  <c r="J349" i="1"/>
  <c r="J108" i="1"/>
  <c r="J870" i="1"/>
  <c r="J879" i="1"/>
  <c r="J893" i="1"/>
  <c r="J860" i="1"/>
  <c r="J342" i="1"/>
  <c r="J875" i="1"/>
  <c r="J921" i="1"/>
  <c r="J927" i="1"/>
  <c r="J346" i="1"/>
  <c r="J299" i="1"/>
  <c r="J298" i="1"/>
  <c r="J277" i="1"/>
  <c r="J664" i="1"/>
  <c r="J823" i="1"/>
  <c r="J937" i="1"/>
  <c r="J284" i="1"/>
  <c r="J826" i="1"/>
  <c r="J2" i="1"/>
  <c r="J302" i="1"/>
  <c r="J920" i="1"/>
  <c r="J244" i="1"/>
  <c r="J252" i="1"/>
  <c r="J105" i="1"/>
  <c r="J661" i="1"/>
  <c r="J945" i="1"/>
  <c r="J915" i="1"/>
  <c r="J828" i="1"/>
  <c r="J352" i="1"/>
  <c r="J863" i="1"/>
  <c r="J914" i="1"/>
  <c r="J300" i="1"/>
  <c r="J107" i="1"/>
  <c r="J303" i="1"/>
  <c r="J337" i="1"/>
  <c r="J338" i="1"/>
  <c r="J1107" i="1"/>
  <c r="J85" i="1"/>
  <c r="J941" i="1"/>
  <c r="J889" i="1"/>
  <c r="J285" i="1"/>
  <c r="J1090" i="1"/>
  <c r="J334" i="1"/>
  <c r="J331" i="1"/>
  <c r="J336" i="1"/>
  <c r="J333" i="1"/>
  <c r="J335" i="1"/>
  <c r="J330" i="1"/>
  <c r="J332" i="1"/>
  <c r="J306" i="1"/>
  <c r="J960" i="1"/>
  <c r="J170" i="1"/>
  <c r="J791" i="1"/>
  <c r="J753" i="1"/>
  <c r="J835" i="1"/>
  <c r="J681" i="1"/>
  <c r="J448" i="1"/>
  <c r="J515" i="1"/>
  <c r="J470" i="1"/>
  <c r="J137" i="1"/>
  <c r="J127" i="1"/>
  <c r="J33" i="1"/>
  <c r="J1137" i="1"/>
  <c r="J999" i="1"/>
  <c r="J983" i="1"/>
  <c r="J199" i="1"/>
  <c r="J819" i="1"/>
  <c r="J724" i="1"/>
  <c r="J672" i="1"/>
  <c r="J319" i="1"/>
  <c r="J173" i="1"/>
  <c r="J536" i="1"/>
  <c r="J489" i="1"/>
  <c r="J402" i="1"/>
  <c r="J83" i="1"/>
  <c r="J51" i="1"/>
  <c r="J11" i="1"/>
  <c r="J1159" i="1"/>
  <c r="J956" i="1"/>
  <c r="J294" i="1"/>
  <c r="J673" i="1"/>
  <c r="J1084" i="1"/>
  <c r="J1080" i="1"/>
  <c r="J761" i="1"/>
  <c r="J219" i="1"/>
  <c r="J203" i="1"/>
  <c r="J189" i="1"/>
  <c r="J95" i="1"/>
  <c r="J427" i="1"/>
  <c r="J496" i="1"/>
  <c r="J477" i="1"/>
  <c r="J149" i="1"/>
  <c r="J135" i="1"/>
  <c r="J56" i="1"/>
  <c r="J115" i="1"/>
  <c r="J1013" i="1"/>
  <c r="J947" i="1"/>
  <c r="J996" i="1"/>
  <c r="J195" i="1"/>
  <c r="J383" i="1"/>
  <c r="J1040" i="1"/>
  <c r="J839" i="1"/>
  <c r="J794" i="1"/>
  <c r="J715" i="1"/>
  <c r="J804" i="1"/>
  <c r="J620" i="1"/>
  <c r="J722" i="1"/>
  <c r="J670" i="1"/>
  <c r="J317" i="1"/>
  <c r="J436" i="1"/>
  <c r="J534" i="1"/>
  <c r="J487" i="1"/>
  <c r="J400" i="1"/>
  <c r="J81" i="1"/>
  <c r="J362" i="1"/>
  <c r="J1142" i="1"/>
  <c r="J1003" i="1"/>
  <c r="J573" i="1"/>
  <c r="J660" i="1"/>
  <c r="J633" i="1"/>
  <c r="J617" i="1"/>
  <c r="J851" i="1"/>
  <c r="J196" i="1"/>
  <c r="J462" i="1"/>
  <c r="J269" i="1"/>
  <c r="J434" i="1"/>
  <c r="J524" i="1"/>
  <c r="J830" i="1"/>
  <c r="J142" i="1"/>
  <c r="J619" i="1"/>
  <c r="J394" i="1"/>
  <c r="J231" i="1"/>
  <c r="J777" i="1"/>
  <c r="J734" i="1"/>
  <c r="J599" i="1"/>
  <c r="J190" i="1"/>
  <c r="J175" i="1"/>
  <c r="J541" i="1"/>
  <c r="J497" i="1"/>
  <c r="J855" i="1"/>
  <c r="J239" i="1"/>
  <c r="J366" i="1"/>
  <c r="J356" i="1"/>
  <c r="J1020" i="1"/>
  <c r="J952" i="1"/>
  <c r="J1097" i="1"/>
  <c r="J658" i="1"/>
  <c r="J431" i="1"/>
  <c r="J1014" i="1"/>
  <c r="J787" i="1"/>
  <c r="J707" i="1"/>
  <c r="J690" i="1"/>
  <c r="J96" i="1"/>
  <c r="J562" i="1"/>
  <c r="J520" i="1"/>
  <c r="J501" i="1"/>
  <c r="J473" i="1"/>
  <c r="J388" i="1"/>
  <c r="J72" i="1"/>
  <c r="J39" i="1"/>
  <c r="J957" i="1"/>
  <c r="J1112" i="1"/>
  <c r="J313" i="1"/>
  <c r="J971" i="1"/>
  <c r="J1081" i="1"/>
  <c r="J521" i="1"/>
  <c r="J233" i="1"/>
  <c r="J723" i="1"/>
  <c r="J697" i="1"/>
  <c r="J187" i="1"/>
  <c r="J171" i="1"/>
  <c r="J526" i="1"/>
  <c r="J393" i="1"/>
  <c r="J373" i="1"/>
  <c r="J43" i="1"/>
  <c r="J1076" i="1"/>
  <c r="J1004" i="1"/>
  <c r="J987" i="1"/>
  <c r="J234" i="1"/>
  <c r="J174" i="1"/>
  <c r="J1165" i="1"/>
  <c r="J973" i="1"/>
  <c r="J1079" i="1"/>
  <c r="J766" i="1"/>
  <c r="J329" i="1"/>
  <c r="J245" i="1"/>
  <c r="J798" i="1"/>
  <c r="J763" i="1"/>
  <c r="J210" i="1"/>
  <c r="J592" i="1"/>
  <c r="J97" i="1"/>
  <c r="J568" i="1"/>
  <c r="J529" i="1"/>
  <c r="J92" i="1"/>
  <c r="J144" i="1"/>
  <c r="J374" i="1"/>
  <c r="J46" i="1"/>
  <c r="J1164" i="1"/>
  <c r="J1154" i="1"/>
  <c r="J1037" i="1"/>
  <c r="J968" i="1"/>
  <c r="J214" i="1"/>
  <c r="J146" i="1"/>
  <c r="J744" i="1"/>
  <c r="J678" i="1"/>
  <c r="J328" i="1"/>
  <c r="J440" i="1"/>
  <c r="J572" i="1"/>
  <c r="J546" i="1"/>
  <c r="J407" i="1"/>
  <c r="J396" i="1"/>
  <c r="J249" i="1"/>
  <c r="J60" i="1"/>
  <c r="J1167" i="1"/>
  <c r="J852" i="1"/>
  <c r="J997" i="1"/>
  <c r="J982" i="1"/>
  <c r="J733" i="1"/>
  <c r="J32" i="1"/>
  <c r="J789" i="1"/>
  <c r="J788" i="1"/>
  <c r="J603" i="1"/>
  <c r="J193" i="1"/>
  <c r="J263" i="1"/>
  <c r="J94" i="1"/>
  <c r="J420" i="1"/>
  <c r="J410" i="1"/>
  <c r="J254" i="1"/>
  <c r="J64" i="1"/>
  <c r="J21" i="1"/>
  <c r="J10" i="1"/>
  <c r="J1148" i="1"/>
  <c r="J290" i="1"/>
  <c r="J1030" i="1"/>
  <c r="J725" i="1"/>
  <c r="J417" i="1"/>
  <c r="J1118" i="1"/>
  <c r="J103" i="1"/>
  <c r="J624" i="1"/>
  <c r="J805" i="1"/>
  <c r="J738" i="1"/>
  <c r="J810" i="1"/>
  <c r="J780" i="1"/>
  <c r="J610" i="1"/>
  <c r="J850" i="1"/>
  <c r="J459" i="1"/>
  <c r="J439" i="1"/>
  <c r="J545" i="1"/>
  <c r="J499" i="1"/>
  <c r="J151" i="1"/>
  <c r="J55" i="1"/>
  <c r="J14" i="1"/>
  <c r="J1114" i="1"/>
  <c r="J1029" i="1"/>
  <c r="J675" i="1"/>
  <c r="J1113" i="1"/>
  <c r="J803" i="1"/>
  <c r="J771" i="1"/>
  <c r="J721" i="1"/>
  <c r="J271" i="1"/>
  <c r="J316" i="1"/>
  <c r="J577" i="1"/>
  <c r="J425" i="1"/>
  <c r="J486" i="1"/>
  <c r="J399" i="1"/>
  <c r="J376" i="1"/>
  <c r="J514" i="1"/>
  <c r="J654" i="1"/>
  <c r="J102" i="1"/>
  <c r="J746" i="1"/>
  <c r="J691" i="1"/>
  <c r="J674" i="1"/>
  <c r="J445" i="1"/>
  <c r="J550" i="1"/>
  <c r="J162" i="1"/>
  <c r="J464" i="1"/>
  <c r="J255" i="1"/>
  <c r="J369" i="1"/>
  <c r="J24" i="1"/>
  <c r="J1146" i="1"/>
  <c r="J993" i="1"/>
  <c r="J978" i="1"/>
  <c r="J320" i="1"/>
  <c r="J12" i="1"/>
  <c r="J274" i="1"/>
  <c r="J806" i="1"/>
  <c r="J767" i="1"/>
  <c r="J716" i="1"/>
  <c r="J704" i="1"/>
  <c r="J645" i="1"/>
  <c r="J164" i="1"/>
  <c r="J482" i="1"/>
  <c r="J1073" i="1"/>
  <c r="J363" i="1"/>
  <c r="J1061" i="1"/>
  <c r="J1048" i="1"/>
  <c r="J1096" i="1"/>
  <c r="J265" i="1"/>
  <c r="J998" i="1"/>
  <c r="J739" i="1"/>
  <c r="J757" i="1"/>
  <c r="J671" i="1"/>
  <c r="J318" i="1"/>
  <c r="J437" i="1"/>
  <c r="J535" i="1"/>
  <c r="J488" i="1"/>
  <c r="J401" i="1"/>
  <c r="J133" i="1"/>
  <c r="J120" i="1"/>
  <c r="J1053" i="1"/>
  <c r="J1039" i="1"/>
  <c r="J1094" i="1"/>
  <c r="J458" i="1"/>
  <c r="J368" i="1"/>
  <c r="J1087" i="1"/>
  <c r="J1161" i="1"/>
  <c r="J786" i="1"/>
  <c r="J760" i="1"/>
  <c r="J699" i="1"/>
  <c r="J635" i="1"/>
  <c r="J765" i="1"/>
  <c r="J714" i="1"/>
  <c r="J198" i="1"/>
  <c r="J99" i="1"/>
  <c r="J642" i="1"/>
  <c r="J571" i="1"/>
  <c r="J531" i="1"/>
  <c r="J481" i="1"/>
  <c r="J412" i="1"/>
  <c r="J395" i="1"/>
  <c r="J76" i="1"/>
  <c r="J42" i="1"/>
  <c r="J955" i="1"/>
  <c r="J1064" i="1"/>
  <c r="J972" i="1"/>
  <c r="J423" i="1"/>
  <c r="J821" i="1"/>
  <c r="J629" i="1"/>
  <c r="J755" i="1"/>
  <c r="J705" i="1"/>
  <c r="J689" i="1"/>
  <c r="J450" i="1"/>
  <c r="J559" i="1"/>
  <c r="J517" i="1"/>
  <c r="J471" i="1"/>
  <c r="J140" i="1"/>
  <c r="J372" i="1"/>
  <c r="J36" i="1"/>
  <c r="J359" i="1"/>
  <c r="J1017" i="1"/>
  <c r="J1082" i="1"/>
  <c r="J717" i="1"/>
  <c r="J61" i="1"/>
  <c r="J639" i="1"/>
  <c r="J774" i="1"/>
  <c r="J726" i="1"/>
  <c r="J598" i="1"/>
  <c r="J321" i="1"/>
  <c r="J578" i="1"/>
  <c r="J93" i="1"/>
  <c r="J491" i="1"/>
  <c r="J148" i="1"/>
  <c r="J134" i="1"/>
  <c r="J52" i="1"/>
  <c r="J13" i="1"/>
  <c r="J1015" i="1"/>
  <c r="J949" i="1"/>
  <c r="J974" i="1"/>
  <c r="J797" i="1"/>
  <c r="J700" i="1"/>
  <c r="J528" i="1"/>
  <c r="J1006" i="1"/>
  <c r="J208" i="1"/>
  <c r="J679" i="1"/>
  <c r="J182" i="1"/>
  <c r="J554" i="1"/>
  <c r="J513" i="1"/>
  <c r="J155" i="1"/>
  <c r="J384" i="1"/>
  <c r="J69" i="1"/>
  <c r="J31" i="1"/>
  <c r="J296" i="1"/>
  <c r="J289" i="1"/>
  <c r="J1036" i="1"/>
  <c r="J1145" i="1"/>
  <c r="J638" i="1"/>
  <c r="J469" i="1"/>
  <c r="J651" i="1"/>
  <c r="J643" i="1"/>
  <c r="J711" i="1"/>
  <c r="J194" i="1"/>
  <c r="J185" i="1"/>
  <c r="J561" i="1"/>
  <c r="J519" i="1"/>
  <c r="J472" i="1"/>
  <c r="J387" i="1"/>
  <c r="J71" i="1"/>
  <c r="J38" i="1"/>
  <c r="J1115" i="1"/>
  <c r="J287" i="1"/>
  <c r="J981" i="1"/>
  <c r="J790" i="1"/>
  <c r="J540" i="1"/>
  <c r="J1149" i="1"/>
  <c r="J657" i="1"/>
  <c r="J818" i="1"/>
  <c r="J800" i="1"/>
  <c r="J817" i="1"/>
  <c r="J628" i="1"/>
  <c r="J751" i="1"/>
  <c r="J698" i="1"/>
  <c r="J447" i="1"/>
  <c r="J553" i="1"/>
  <c r="J511" i="1"/>
  <c r="J844" i="1"/>
  <c r="J63" i="1"/>
  <c r="J20" i="1"/>
  <c r="J1136" i="1"/>
  <c r="J1060" i="1"/>
  <c r="J977" i="1"/>
  <c r="J782" i="1"/>
  <c r="J141" i="1"/>
  <c r="J809" i="1"/>
  <c r="J838" i="1"/>
  <c r="J609" i="1"/>
  <c r="J602" i="1"/>
  <c r="J327" i="1"/>
  <c r="J586" i="1"/>
  <c r="J544" i="1"/>
  <c r="J160" i="1"/>
  <c r="J150" i="1"/>
  <c r="J583" i="1"/>
  <c r="J1058" i="1"/>
  <c r="J632" i="1"/>
  <c r="J216" i="1"/>
  <c r="J606" i="1"/>
  <c r="J589" i="1"/>
  <c r="J460" i="1"/>
  <c r="J266" i="1"/>
  <c r="J563" i="1"/>
  <c r="J522" i="1"/>
  <c r="J475" i="1"/>
  <c r="J389" i="1"/>
  <c r="J1072" i="1"/>
  <c r="J40" i="1"/>
  <c r="J1155" i="1"/>
  <c r="J1099" i="1"/>
  <c r="J988" i="1"/>
  <c r="J84" i="1"/>
  <c r="J310" i="1"/>
  <c r="J732" i="1"/>
  <c r="J204" i="1"/>
  <c r="J324" i="1"/>
  <c r="J438" i="1"/>
  <c r="J539" i="1"/>
  <c r="J159" i="1"/>
  <c r="J259" i="1"/>
  <c r="J248" i="1"/>
  <c r="J122" i="1"/>
  <c r="J116" i="1"/>
  <c r="J1071" i="1"/>
  <c r="J1157" i="1"/>
  <c r="J992" i="1"/>
  <c r="J312" i="1"/>
  <c r="J207" i="1"/>
  <c r="J1130" i="1"/>
  <c r="J773" i="1"/>
  <c r="J781" i="1"/>
  <c r="J677" i="1"/>
  <c r="J270" i="1"/>
  <c r="J176" i="1"/>
  <c r="J428" i="1"/>
  <c r="J500" i="1"/>
  <c r="J406" i="1"/>
  <c r="J247" i="1"/>
  <c r="J59" i="1"/>
  <c r="J16" i="1"/>
  <c r="J1018" i="1"/>
  <c r="J1102" i="1"/>
  <c r="J1063" i="1"/>
  <c r="J311" i="1"/>
  <c r="J684" i="1"/>
  <c r="J846" i="1"/>
  <c r="J630" i="1"/>
  <c r="J731" i="1"/>
  <c r="J230" i="1"/>
  <c r="J775" i="1"/>
  <c r="J730" i="1"/>
  <c r="J202" i="1"/>
  <c r="J696" i="1"/>
  <c r="J323" i="1"/>
  <c r="J582" i="1"/>
  <c r="J166" i="1"/>
  <c r="J495" i="1"/>
  <c r="J258" i="1"/>
  <c r="J377" i="1"/>
  <c r="J50" i="1"/>
  <c r="J8" i="1"/>
  <c r="J1009" i="1"/>
  <c r="J646" i="1"/>
  <c r="J360" i="1"/>
  <c r="J227" i="1"/>
  <c r="J218" i="1"/>
  <c r="J801" i="1"/>
  <c r="J474" i="1"/>
  <c r="J653" i="1"/>
  <c r="J783" i="1"/>
  <c r="J768" i="1"/>
  <c r="J741" i="1"/>
  <c r="J685" i="1"/>
  <c r="J262" i="1"/>
  <c r="J574" i="1"/>
  <c r="J429" i="1"/>
  <c r="J503" i="1"/>
  <c r="J853" i="1"/>
  <c r="J843" i="1"/>
  <c r="J62" i="1"/>
  <c r="J1166" i="1"/>
  <c r="J1133" i="1"/>
  <c r="J1091" i="1"/>
  <c r="J1129" i="1"/>
  <c r="J1143" i="1"/>
  <c r="J177" i="1"/>
  <c r="J1141" i="1"/>
  <c r="J226" i="1"/>
  <c r="J712" i="1"/>
  <c r="J591" i="1"/>
  <c r="J452" i="1"/>
  <c r="J566" i="1"/>
  <c r="J527" i="1"/>
  <c r="J478" i="1"/>
  <c r="J143" i="1"/>
  <c r="J77" i="1"/>
  <c r="J44" i="1"/>
  <c r="J1056" i="1"/>
  <c r="J948" i="1"/>
  <c r="J1125" i="1"/>
  <c r="J555" i="1"/>
  <c r="J975" i="1"/>
  <c r="J236" i="1"/>
  <c r="J612" i="1"/>
  <c r="J703" i="1"/>
  <c r="J100" i="1"/>
  <c r="J644" i="1"/>
  <c r="J172" i="1"/>
  <c r="J532" i="1"/>
  <c r="J158" i="1"/>
  <c r="J145" i="1"/>
  <c r="J82" i="1"/>
  <c r="J842" i="1"/>
  <c r="J3" i="1"/>
  <c r="J1035" i="1"/>
  <c r="J1144" i="1"/>
  <c r="J183" i="1"/>
  <c r="J23" i="1"/>
  <c r="J1051" i="1"/>
  <c r="J1126" i="1"/>
  <c r="J752" i="1"/>
  <c r="J776" i="1"/>
  <c r="J237" i="1"/>
  <c r="J796" i="1"/>
  <c r="J217" i="1"/>
  <c r="J710" i="1"/>
  <c r="J688" i="1"/>
  <c r="J186" i="1"/>
  <c r="J565" i="1"/>
  <c r="J525" i="1"/>
  <c r="J205" i="1"/>
  <c r="J825" i="1"/>
  <c r="J655" i="1"/>
  <c r="J802" i="1"/>
  <c r="J718" i="1"/>
  <c r="J595" i="1"/>
  <c r="J647" i="1"/>
  <c r="J556" i="1"/>
  <c r="J533" i="1"/>
  <c r="J483" i="1"/>
  <c r="J147" i="1"/>
  <c r="J131" i="1"/>
  <c r="J49" i="1"/>
  <c r="J1173" i="1"/>
  <c r="J1010" i="1"/>
  <c r="J1041" i="1"/>
  <c r="J1110" i="1"/>
  <c r="J221" i="1"/>
  <c r="J479" i="1"/>
  <c r="J123" i="1"/>
  <c r="J1045" i="1"/>
  <c r="J758" i="1"/>
  <c r="J604" i="1"/>
  <c r="J587" i="1"/>
  <c r="J443" i="1"/>
  <c r="J168" i="1"/>
  <c r="J507" i="1"/>
  <c r="J411" i="1"/>
  <c r="J382" i="1"/>
  <c r="J126" i="1"/>
  <c r="J22" i="1"/>
  <c r="J1005" i="1"/>
  <c r="J1108" i="1"/>
  <c r="J621" i="1"/>
  <c r="J385" i="1"/>
  <c r="J636" i="1"/>
  <c r="J634" i="1"/>
  <c r="J101" i="1"/>
  <c r="J181" i="1"/>
  <c r="J432" i="1"/>
  <c r="J512" i="1"/>
  <c r="J468" i="1"/>
  <c r="J257" i="1"/>
  <c r="J68" i="1"/>
  <c r="J30" i="1"/>
  <c r="J1122" i="1"/>
  <c r="J502" i="1"/>
  <c r="J822" i="1"/>
  <c r="J167" i="1"/>
  <c r="J156" i="1"/>
  <c r="J392" i="1"/>
  <c r="J246" i="1"/>
  <c r="J213" i="1"/>
  <c r="J446" i="1"/>
  <c r="J581" i="1"/>
  <c r="J510" i="1"/>
  <c r="J494" i="1"/>
  <c r="J89" i="1"/>
  <c r="J41" i="1"/>
  <c r="J19" i="1"/>
  <c r="J5" i="1"/>
  <c r="J1135" i="1"/>
  <c r="J950" i="1"/>
  <c r="J1027" i="1"/>
  <c r="J235" i="1"/>
  <c r="J463" i="1"/>
  <c r="J641" i="1"/>
  <c r="J220" i="1"/>
  <c r="J201" i="1"/>
  <c r="J456" i="1"/>
  <c r="J580" i="1"/>
  <c r="J538" i="1"/>
  <c r="J493" i="1"/>
  <c r="J404" i="1"/>
  <c r="J379" i="1"/>
  <c r="J74" i="1"/>
  <c r="J364" i="1"/>
  <c r="J113" i="1"/>
  <c r="J1007" i="1"/>
  <c r="J1104" i="1"/>
  <c r="J152" i="1"/>
  <c r="J626" i="1"/>
  <c r="J692" i="1"/>
  <c r="J180" i="1"/>
  <c r="J551" i="1"/>
  <c r="J465" i="1"/>
  <c r="J827" i="1"/>
  <c r="J87" i="1"/>
  <c r="J1046" i="1"/>
  <c r="J1065" i="1"/>
  <c r="J958" i="1"/>
  <c r="J1152" i="1"/>
  <c r="J1132" i="1"/>
  <c r="J814" i="1"/>
  <c r="J611" i="1"/>
  <c r="J451" i="1"/>
  <c r="J1012" i="1"/>
  <c r="J1092" i="1"/>
  <c r="J740" i="1"/>
  <c r="J695" i="1"/>
  <c r="J676" i="1"/>
  <c r="J188" i="1"/>
  <c r="J422" i="1"/>
  <c r="J845" i="1"/>
  <c r="J380" i="1"/>
  <c r="J75" i="1"/>
  <c r="J125" i="1"/>
  <c r="J986" i="1"/>
  <c r="J713" i="1"/>
  <c r="J45" i="1"/>
  <c r="J795" i="1"/>
  <c r="J616" i="1"/>
  <c r="J709" i="1"/>
  <c r="J693" i="1"/>
  <c r="J268" i="1"/>
  <c r="J433" i="1"/>
  <c r="J523" i="1"/>
  <c r="J416" i="1"/>
  <c r="J391" i="1"/>
  <c r="J57" i="1"/>
  <c r="J35" i="1"/>
  <c r="J1140" i="1"/>
  <c r="J959" i="1"/>
  <c r="J1070" i="1"/>
  <c r="J197" i="1"/>
  <c r="J1168" i="1"/>
  <c r="J640" i="1"/>
  <c r="J622" i="1"/>
  <c r="J727" i="1"/>
  <c r="J200" i="1"/>
  <c r="J322" i="1"/>
  <c r="J579" i="1"/>
  <c r="J537" i="1"/>
  <c r="J492" i="1"/>
  <c r="J403" i="1"/>
  <c r="J17" i="1"/>
  <c r="J353" i="1"/>
  <c r="J811" i="1"/>
  <c r="J793" i="1"/>
  <c r="J161" i="1"/>
  <c r="J1074" i="1"/>
  <c r="J29" i="1"/>
  <c r="J1134" i="1"/>
  <c r="J812" i="1"/>
  <c r="J223" i="1"/>
  <c r="J623" i="1"/>
  <c r="J211" i="1"/>
  <c r="J365" i="1"/>
  <c r="J1098" i="1"/>
  <c r="J1069" i="1"/>
  <c r="J547" i="1"/>
  <c r="J841" i="1"/>
  <c r="J785" i="1"/>
  <c r="J743" i="1"/>
  <c r="J206" i="1"/>
  <c r="J461" i="1"/>
  <c r="J178" i="1"/>
  <c r="J548" i="1"/>
  <c r="J505" i="1"/>
  <c r="J409" i="1"/>
  <c r="J398" i="1"/>
  <c r="J381" i="1"/>
  <c r="J358" i="1"/>
  <c r="J1011" i="1"/>
  <c r="J1043" i="1"/>
  <c r="J1100" i="1"/>
  <c r="J426" i="1"/>
  <c r="J1059" i="1"/>
  <c r="J225" i="1"/>
  <c r="J615" i="1"/>
  <c r="J209" i="1"/>
  <c r="J590" i="1"/>
  <c r="J267" i="1"/>
  <c r="J564" i="1"/>
  <c r="J261" i="1"/>
  <c r="J415" i="1"/>
  <c r="J390" i="1"/>
  <c r="J1025" i="1"/>
  <c r="J613" i="1"/>
  <c r="J560" i="1"/>
  <c r="J386" i="1"/>
  <c r="J179" i="1"/>
  <c r="J506" i="1"/>
  <c r="J253" i="1"/>
  <c r="J273" i="1"/>
  <c r="J1138" i="1"/>
  <c r="J1116" i="1"/>
  <c r="J1044" i="1"/>
  <c r="J995" i="1"/>
  <c r="J631" i="1"/>
  <c r="J250" i="1"/>
  <c r="J228" i="1"/>
  <c r="J770" i="1"/>
  <c r="J720" i="1"/>
  <c r="J702" i="1"/>
  <c r="J597" i="1"/>
  <c r="J649" i="1"/>
  <c r="J576" i="1"/>
  <c r="J424" i="1"/>
  <c r="J485" i="1"/>
  <c r="J414" i="1"/>
  <c r="J132" i="1"/>
  <c r="J48" i="1"/>
  <c r="J1151" i="1"/>
  <c r="J1001" i="1"/>
  <c r="J985" i="1"/>
  <c r="J745" i="1"/>
  <c r="J238" i="1"/>
  <c r="J232" i="1"/>
  <c r="J784" i="1"/>
  <c r="J742" i="1"/>
  <c r="J686" i="1"/>
  <c r="J191" i="1"/>
  <c r="J441" i="1"/>
  <c r="J430" i="1"/>
  <c r="J504" i="1"/>
  <c r="J408" i="1"/>
  <c r="J136" i="1"/>
  <c r="J34" i="1"/>
  <c r="J357" i="1"/>
  <c r="J1054" i="1"/>
  <c r="J1042" i="1"/>
  <c r="J969" i="1"/>
  <c r="J637" i="1"/>
  <c r="J792" i="1"/>
  <c r="J769" i="1"/>
  <c r="J648" i="1"/>
  <c r="J575" i="1"/>
  <c r="J484" i="1"/>
  <c r="J375" i="1"/>
  <c r="J367" i="1"/>
  <c r="J1000" i="1"/>
  <c r="J138" i="1"/>
  <c r="J1163" i="1"/>
  <c r="J1139" i="1"/>
  <c r="J1052" i="1"/>
  <c r="J756" i="1"/>
  <c r="J192" i="1"/>
  <c r="J128" i="1"/>
  <c r="J1075" i="1"/>
  <c r="J1034" i="1"/>
  <c r="J976" i="1"/>
  <c r="J652" i="1"/>
  <c r="J418" i="1"/>
  <c r="J1172" i="1"/>
  <c r="J687" i="1"/>
  <c r="J457" i="1"/>
  <c r="J169" i="1"/>
  <c r="J848" i="1"/>
  <c r="J467" i="1"/>
  <c r="J91" i="1"/>
  <c r="J58" i="1"/>
  <c r="J979" i="1"/>
  <c r="J680" i="1"/>
  <c r="J659" i="1"/>
  <c r="J224" i="1"/>
  <c r="J614" i="1"/>
  <c r="J683" i="1"/>
  <c r="J449" i="1"/>
  <c r="J558" i="1"/>
  <c r="J260" i="1"/>
  <c r="J498" i="1"/>
  <c r="J139" i="1"/>
  <c r="J65" i="1"/>
  <c r="J26" i="1"/>
  <c r="J1022" i="1"/>
  <c r="J953" i="1"/>
  <c r="J1031" i="1"/>
  <c r="J453" i="1"/>
  <c r="J117" i="1"/>
  <c r="J719" i="1"/>
  <c r="J596" i="1"/>
  <c r="J165" i="1"/>
  <c r="J397" i="1"/>
  <c r="J70" i="1"/>
  <c r="J1050" i="1"/>
  <c r="J25" i="1"/>
  <c r="J1086" i="1"/>
  <c r="J813" i="1"/>
  <c r="J518" i="1"/>
  <c r="J476" i="1"/>
  <c r="J154" i="1"/>
  <c r="J1023" i="1"/>
  <c r="J951" i="1"/>
  <c r="J222" i="1"/>
  <c r="J750" i="1"/>
  <c r="J729" i="1"/>
  <c r="J833" i="1"/>
  <c r="J570" i="1"/>
  <c r="J157" i="1"/>
  <c r="J361" i="1"/>
  <c r="J27" i="1"/>
  <c r="J355" i="1"/>
  <c r="J954" i="1"/>
  <c r="J1095" i="1"/>
  <c r="J508" i="1"/>
  <c r="J808" i="1"/>
  <c r="J779" i="1"/>
  <c r="J735" i="1"/>
  <c r="J601" i="1"/>
  <c r="J326" i="1"/>
  <c r="J585" i="1"/>
  <c r="J543" i="1"/>
  <c r="J163" i="1"/>
  <c r="J480" i="1"/>
  <c r="J405" i="1"/>
  <c r="J241" i="1"/>
  <c r="J53" i="1"/>
  <c r="J354" i="1"/>
  <c r="J1103" i="1"/>
  <c r="J991" i="1"/>
  <c r="J650" i="1"/>
  <c r="J490" i="1"/>
  <c r="J820" i="1"/>
  <c r="J215" i="1"/>
  <c r="J605" i="1"/>
  <c r="J600" i="1"/>
  <c r="J682" i="1"/>
  <c r="J184" i="1"/>
  <c r="J557" i="1"/>
  <c r="J516" i="1"/>
  <c r="J413" i="1"/>
  <c r="J47" i="1"/>
  <c r="J1028" i="1"/>
  <c r="J419" i="1"/>
  <c r="J856" i="1"/>
  <c r="J1032" i="1"/>
  <c r="J706" i="1"/>
  <c r="J442" i="1"/>
  <c r="J1109" i="1"/>
  <c r="J594" i="1"/>
  <c r="J242" i="1"/>
  <c r="J80" i="1"/>
  <c r="J66" i="1"/>
  <c r="J1147" i="1"/>
  <c r="J1062" i="1"/>
  <c r="J1038" i="1"/>
  <c r="J759" i="1"/>
  <c r="J444" i="1"/>
  <c r="J112" i="1"/>
  <c r="J840" i="1"/>
  <c r="J618" i="1"/>
  <c r="J608" i="1"/>
  <c r="J593" i="1"/>
  <c r="J455" i="1"/>
  <c r="J435" i="1"/>
  <c r="J829" i="1"/>
  <c r="J79" i="1"/>
  <c r="J88" i="1"/>
  <c r="J1158" i="1"/>
  <c r="J1078" i="1"/>
  <c r="J295" i="1"/>
  <c r="J708" i="1"/>
  <c r="J130" i="1"/>
  <c r="J807" i="1"/>
  <c r="J778" i="1"/>
  <c r="J212" i="1"/>
  <c r="J325" i="1"/>
  <c r="J584" i="1"/>
  <c r="J542" i="1"/>
  <c r="J240" i="1"/>
  <c r="J762" i="1"/>
  <c r="J625" i="1"/>
  <c r="J588" i="1"/>
  <c r="J67" i="1"/>
  <c r="J37" i="1"/>
  <c r="J15" i="1"/>
  <c r="J980" i="1"/>
  <c r="J854" i="1"/>
  <c r="J816" i="1"/>
  <c r="J229" i="1"/>
  <c r="J549" i="1"/>
  <c r="J153" i="1"/>
  <c r="J54" i="1"/>
  <c r="J1162" i="1"/>
  <c r="J104" i="1"/>
  <c r="J627" i="1"/>
  <c r="J749" i="1"/>
  <c r="J728" i="1"/>
  <c r="J694" i="1"/>
  <c r="J98" i="1"/>
  <c r="J264" i="1"/>
  <c r="J552" i="1"/>
  <c r="J509" i="1"/>
  <c r="J466" i="1"/>
  <c r="J256" i="1"/>
  <c r="J124" i="1"/>
  <c r="J18" i="1"/>
  <c r="J1016" i="1"/>
  <c r="J1047" i="1"/>
  <c r="J1101" i="1"/>
  <c r="J567" i="1"/>
  <c r="J656" i="1"/>
  <c r="J799" i="1"/>
  <c r="J764" i="1"/>
  <c r="J607" i="1"/>
  <c r="J701" i="1"/>
  <c r="J454" i="1"/>
  <c r="J569" i="1"/>
  <c r="J530" i="1"/>
  <c r="J847" i="1"/>
  <c r="J90" i="1"/>
  <c r="J78" i="1"/>
  <c r="J1169" i="1"/>
  <c r="J114" i="1"/>
  <c r="J994" i="1"/>
  <c r="J1033" i="1"/>
  <c r="J272" i="1"/>
  <c r="J815" i="1"/>
  <c r="J747" i="1"/>
  <c r="J849" i="1"/>
  <c r="J421" i="1"/>
  <c r="J370" i="1"/>
  <c r="J1150" i="1"/>
  <c r="J1057" i="1"/>
  <c r="J293" i="1"/>
  <c r="J378" i="1"/>
  <c r="J1117" i="1"/>
  <c r="J73" i="1"/>
  <c r="J119" i="1"/>
  <c r="J966" i="1"/>
  <c r="J1024" i="1"/>
  <c r="J1085" i="1"/>
  <c r="J1171" i="1"/>
  <c r="J307" i="1"/>
  <c r="J276" i="1"/>
  <c r="J1008" i="1"/>
  <c r="J1088" i="1"/>
  <c r="J1026" i="1"/>
  <c r="J1066" i="1"/>
  <c r="J967" i="1"/>
  <c r="J1083" i="1"/>
  <c r="J1106" i="1"/>
  <c r="J962" i="1"/>
  <c r="J1111" i="1"/>
  <c r="J309" i="1"/>
  <c r="J961" i="1"/>
  <c r="J1121" i="1"/>
  <c r="J1049" i="1"/>
  <c r="J1120" i="1"/>
  <c r="J1002" i="1"/>
  <c r="J1153" i="1"/>
  <c r="J1021" i="1"/>
  <c r="J118" i="1"/>
  <c r="J965" i="1"/>
  <c r="J1170" i="1"/>
  <c r="J984" i="1"/>
  <c r="J1105" i="1"/>
  <c r="J291" i="1"/>
  <c r="J1128" i="1"/>
  <c r="J1077" i="1"/>
  <c r="J1055" i="1"/>
  <c r="J1119" i="1"/>
  <c r="J1019" i="1"/>
  <c r="J990" i="1"/>
  <c r="J970" i="1"/>
  <c r="J989" i="1"/>
  <c r="J1123" i="1"/>
  <c r="J1160" i="1"/>
  <c r="J275" i="1"/>
  <c r="J1093" i="1"/>
  <c r="J341" i="1"/>
  <c r="J1156" i="1"/>
  <c r="J281" i="1"/>
  <c r="J314" i="1"/>
  <c r="J1131" i="1"/>
  <c r="J292" i="1"/>
  <c r="J371" i="1"/>
  <c r="J1124" i="1"/>
  <c r="J1127" i="1"/>
  <c r="J282" i="1"/>
  <c r="J1067" i="1"/>
  <c r="H6" i="20"/>
  <c r="H9" i="20" s="1"/>
  <c r="G1191" i="1"/>
  <c r="G1193" i="1" s="1"/>
  <c r="G1194" i="1" s="1"/>
  <c r="N4" i="2"/>
  <c r="P30" i="13"/>
  <c r="O25" i="13"/>
  <c r="O26" i="13" s="1"/>
  <c r="O4" i="2" l="1"/>
  <c r="H8" i="17"/>
  <c r="E35" i="17"/>
  <c r="D15" i="17"/>
  <c r="E20" i="17" s="1"/>
  <c r="N7" i="7"/>
  <c r="P54" i="13"/>
  <c r="P55" i="13" s="1"/>
  <c r="P36" i="13"/>
  <c r="P35" i="13"/>
  <c r="I1174" i="1"/>
  <c r="B26" i="7" l="1"/>
  <c r="E36" i="17"/>
  <c r="E37" i="17" s="1"/>
  <c r="E38" i="17" s="1"/>
  <c r="E39" i="17" s="1"/>
  <c r="F15" i="17"/>
  <c r="J4" i="17"/>
  <c r="E147" i="17" s="1"/>
  <c r="E149" i="17" s="1"/>
  <c r="J6" i="17"/>
  <c r="E65" i="17" s="1"/>
  <c r="P45" i="13"/>
  <c r="N76" i="13"/>
  <c r="P39" i="13"/>
  <c r="L1174" i="1"/>
  <c r="M1174" i="1"/>
  <c r="J1174" i="1"/>
  <c r="E158" i="17" l="1"/>
  <c r="E160" i="17" s="1"/>
  <c r="E43" i="17"/>
  <c r="E46" i="17" s="1"/>
  <c r="E47" i="17" s="1"/>
  <c r="N9" i="7"/>
  <c r="O10" i="7"/>
  <c r="P5" i="7" s="1"/>
  <c r="P44" i="13"/>
  <c r="P37" i="13" s="1"/>
  <c r="P38" i="13" s="1"/>
  <c r="E51" i="17" l="1"/>
  <c r="E54" i="17" s="1"/>
  <c r="E55" i="17" s="1"/>
  <c r="E60" i="17" s="1"/>
  <c r="E61" i="17" s="1"/>
  <c r="E66" i="17" s="1"/>
  <c r="P8" i="7"/>
  <c r="N10" i="7"/>
  <c r="P9" i="7"/>
  <c r="P7" i="7"/>
  <c r="P6" i="7"/>
  <c r="P10" i="7" l="1"/>
  <c r="E77" i="17"/>
  <c r="E78" i="17"/>
  <c r="C70" i="17"/>
  <c r="C71" i="17" s="1"/>
  <c r="E79" i="17" l="1"/>
  <c r="E80" i="17" l="1"/>
  <c r="E81" i="17"/>
  <c r="E86" i="17" l="1"/>
  <c r="E87" i="17" s="1"/>
  <c r="E88" i="17" l="1"/>
  <c r="E95" i="17" s="1"/>
  <c r="E94" i="17" l="1"/>
  <c r="E96" i="17" s="1"/>
  <c r="E97" i="17" l="1"/>
  <c r="E98" i="17"/>
  <c r="E106" i="17" s="1"/>
  <c r="E107" i="17" s="1"/>
  <c r="E108" i="17" l="1"/>
  <c r="E116"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Imane El Ghazouani</author>
  </authors>
  <commentList>
    <comment ref="C10" authorId="0" shapeId="0" xr:uid="{00000000-0006-0000-0600-000001000000}">
      <text>
        <r>
          <rPr>
            <b/>
            <sz val="9"/>
            <color indexed="81"/>
            <rFont val="Tahoma"/>
            <family val="2"/>
          </rPr>
          <t>Imane El Ghazouani:</t>
        </r>
        <r>
          <rPr>
            <sz val="9"/>
            <color indexed="81"/>
            <rFont val="Tahoma"/>
            <family val="2"/>
          </rPr>
          <t xml:space="preserve">
Price Taken from RSMeans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Electric27" type="102" refreshedVersion="5" minRefreshableVersion="5">
    <extLst>
      <ext xmlns:x15="http://schemas.microsoft.com/office/spreadsheetml/2010/11/main" uri="{DE250136-89BD-433C-8126-D09CA5730AF9}">
        <x15:connection id="Electric27-8c8dd980-8889-4a64-9f65-8ddb1083f851">
          <x15:rangePr sourceName="_xlcn.LinkedTable_Electric271"/>
        </x15:connection>
      </ext>
    </extLst>
  </connection>
  <connection id="2" xr16:uid="{00000000-0015-0000-FFFF-FFFF0100000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17G0157A_EnergyAudit2.xlsx!AHU1B_CHW" type="102" refreshedVersion="5" minRefreshableVersion="5">
    <extLst>
      <ext xmlns:x15="http://schemas.microsoft.com/office/spreadsheetml/2010/11/main" uri="{DE250136-89BD-433C-8126-D09CA5730AF9}">
        <x15:connection id="AHU1B_CHW-16fd0c45-021c-4b9d-81ae-d20b93d466a7">
          <x15:rangePr sourceName="_xlcn.WorksheetConnection_17G0157A_EnergyAudit2.xlsxAHU1B_CHW1"/>
        </x15:connection>
      </ext>
    </extLst>
  </connection>
  <connection id="4" xr16:uid="{00000000-0015-0000-FFFF-FFFF03000000}" name="WorksheetConnection_17G0157A_EnergyAudit2.xlsx!AHU1C_CHW" type="102" refreshedVersion="5" minRefreshableVersion="5">
    <extLst>
      <ext xmlns:x15="http://schemas.microsoft.com/office/spreadsheetml/2010/11/main" uri="{DE250136-89BD-433C-8126-D09CA5730AF9}">
        <x15:connection id="AHU1C_CHW-ec14d0ac-75cd-49c7-a791-254107a61fc4">
          <x15:rangePr sourceName="_xlcn.WorksheetConnection_17G0157A_EnergyAudit2.xlsxAHU1C_CHW1"/>
        </x15:connection>
      </ext>
    </extLst>
  </connection>
  <connection id="5" xr16:uid="{00000000-0015-0000-FFFF-FFFF04000000}" name="WorksheetConnection_17G0157A_EnergyAudit2.xlsx!PlanGrid" type="102" refreshedVersion="5" minRefreshableVersion="5">
    <extLst>
      <ext xmlns:x15="http://schemas.microsoft.com/office/spreadsheetml/2010/11/main" uri="{DE250136-89BD-433C-8126-D09CA5730AF9}">
        <x15:connection id="PlanGrid-68f75f83-7dd0-46f9-a007-99ecbb87b692">
          <x15:rangePr sourceName="_xlcn.WorksheetConnection_17G0157A_EnergyAudit2.xlsxPlanGrid1"/>
        </x15:connection>
      </ext>
    </extLst>
  </connection>
</connections>
</file>

<file path=xl/sharedStrings.xml><?xml version="1.0" encoding="utf-8"?>
<sst xmlns="http://schemas.openxmlformats.org/spreadsheetml/2006/main" count="8612" uniqueCount="1355">
  <si>
    <t>Issue #</t>
  </si>
  <si>
    <t>Stamp</t>
  </si>
  <si>
    <t>Title</t>
  </si>
  <si>
    <t>Description</t>
  </si>
  <si>
    <t>Date</t>
  </si>
  <si>
    <t>Sheet</t>
  </si>
  <si>
    <t>Created By</t>
  </si>
  <si>
    <t># Photos</t>
  </si>
  <si>
    <t>Archived</t>
  </si>
  <si>
    <t>Last Updated</t>
  </si>
  <si>
    <t>Miscellaneous</t>
  </si>
  <si>
    <t>mcoalson@hanson-inc.com</t>
  </si>
  <si>
    <t>No</t>
  </si>
  <si>
    <t>MS</t>
  </si>
  <si>
    <t>Printer</t>
  </si>
  <si>
    <t>M</t>
  </si>
  <si>
    <t>Monitor</t>
  </si>
  <si>
    <t>Refrigerator</t>
  </si>
  <si>
    <t>Phone</t>
  </si>
  <si>
    <t>13 W</t>
  </si>
  <si>
    <t>DT</t>
  </si>
  <si>
    <t>Space Heater</t>
  </si>
  <si>
    <t>T8</t>
  </si>
  <si>
    <t>2 2*4 3</t>
  </si>
  <si>
    <t>Toaster</t>
  </si>
  <si>
    <t>Coffee</t>
  </si>
  <si>
    <t>Microwave</t>
  </si>
  <si>
    <t>1 2*4 3</t>
  </si>
  <si>
    <t>6 2*4 3</t>
  </si>
  <si>
    <t>TV</t>
  </si>
  <si>
    <t>Television</t>
  </si>
  <si>
    <t>Mar 14, 2018 @ 12:44</t>
  </si>
  <si>
    <t>LC</t>
  </si>
  <si>
    <t>Lighting Control</t>
  </si>
  <si>
    <t>Toggle</t>
  </si>
  <si>
    <t>Mini</t>
  </si>
  <si>
    <t>2 .5*4 2</t>
  </si>
  <si>
    <t>Lg</t>
  </si>
  <si>
    <t>Mar 14, 2018 @ 12:42</t>
  </si>
  <si>
    <t>Sm</t>
  </si>
  <si>
    <t>Shredder</t>
  </si>
  <si>
    <t>4 2*4 3</t>
  </si>
  <si>
    <t>Med</t>
  </si>
  <si>
    <t>LF</t>
  </si>
  <si>
    <t>Lighting Fixture</t>
  </si>
  <si>
    <t xml:space="preserve">6 2*4 3 </t>
  </si>
  <si>
    <t xml:space="preserve">2 2*4 3 </t>
  </si>
  <si>
    <t>5 2*4 3</t>
  </si>
  <si>
    <t>Pump</t>
  </si>
  <si>
    <t>AU</t>
  </si>
  <si>
    <t>Mechanical</t>
  </si>
  <si>
    <t>nboyd@hanson-inc.com</t>
  </si>
  <si>
    <t>Spec Wattage</t>
  </si>
  <si>
    <t>With Correction Factor (kW)</t>
  </si>
  <si>
    <t>Unit Cost Average (Most Recent Year)</t>
  </si>
  <si>
    <t>Est. Max Demand kW</t>
  </si>
  <si>
    <t>Sum of most Recent Year kWh</t>
  </si>
  <si>
    <t>Sum of Most Recent Year $</t>
  </si>
  <si>
    <r>
      <t xml:space="preserve">Rows </t>
    </r>
    <r>
      <rPr>
        <b/>
        <u/>
        <sz val="11"/>
        <color theme="0"/>
        <rFont val="Calibri"/>
        <family val="2"/>
        <scheme val="minor"/>
      </rPr>
      <t>B</t>
    </r>
    <r>
      <rPr>
        <b/>
        <sz val="11"/>
        <color theme="0"/>
        <rFont val="Calibri"/>
        <family val="2"/>
        <scheme val="minor"/>
      </rPr>
      <t xml:space="preserve"> through </t>
    </r>
    <r>
      <rPr>
        <b/>
        <u/>
        <sz val="11"/>
        <color theme="0"/>
        <rFont val="Calibri"/>
        <family val="2"/>
        <scheme val="minor"/>
      </rPr>
      <t>F</t>
    </r>
    <r>
      <rPr>
        <b/>
        <sz val="11"/>
        <color theme="0"/>
        <rFont val="Calibri"/>
        <family val="2"/>
        <scheme val="minor"/>
      </rPr>
      <t xml:space="preserve"> may be used to import into EnergyStar</t>
    </r>
    <r>
      <rPr>
        <b/>
        <sz val="11"/>
        <color theme="0"/>
        <rFont val="Calibri"/>
        <family val="2"/>
      </rPr>
      <t>® or BuildingEQ®</t>
    </r>
  </si>
  <si>
    <t>Unit Cost</t>
  </si>
  <si>
    <t>Estimation (Required)</t>
  </si>
  <si>
    <t>Cost (Optional)</t>
  </si>
  <si>
    <t>Usage (Required)</t>
  </si>
  <si>
    <t>End Date (Required)</t>
  </si>
  <si>
    <t>Start Date (Required)</t>
  </si>
  <si>
    <t>Row Labels</t>
  </si>
  <si>
    <t>Grand Total</t>
  </si>
  <si>
    <t>Sum of Usage (Required)</t>
  </si>
  <si>
    <t>Sum of Cost (Optional)</t>
  </si>
  <si>
    <t xml:space="preserve"> The data should have the most recent billing period at the top and the oldest billing period at the bottom of the table.</t>
  </si>
  <si>
    <r>
      <t xml:space="preserve">Rows </t>
    </r>
    <r>
      <rPr>
        <b/>
        <u/>
        <sz val="11"/>
        <color theme="0"/>
        <rFont val="Calibri"/>
        <family val="2"/>
        <scheme val="minor"/>
      </rPr>
      <t>B</t>
    </r>
    <r>
      <rPr>
        <b/>
        <sz val="11"/>
        <color theme="0"/>
        <rFont val="Calibri"/>
        <family val="2"/>
        <scheme val="minor"/>
      </rPr>
      <t xml:space="preserve"> through </t>
    </r>
    <r>
      <rPr>
        <b/>
        <u/>
        <sz val="11"/>
        <color theme="0"/>
        <rFont val="Calibri"/>
        <family val="2"/>
        <scheme val="minor"/>
      </rPr>
      <t>F</t>
    </r>
    <r>
      <rPr>
        <b/>
        <sz val="11"/>
        <color theme="0"/>
        <rFont val="Calibri"/>
        <family val="2"/>
        <scheme val="minor"/>
      </rPr>
      <t xml:space="preserve"> may be used to import into EnergyStar</t>
    </r>
    <r>
      <rPr>
        <b/>
        <sz val="11"/>
        <color theme="0"/>
        <rFont val="Calibri"/>
        <family val="2"/>
      </rPr>
      <t xml:space="preserve">® or BuildingEQ® </t>
    </r>
  </si>
  <si>
    <t>Use/Day</t>
  </si>
  <si>
    <t>hrs</t>
  </si>
  <si>
    <t>Sat-Sun</t>
  </si>
  <si>
    <t>Mon-Friday</t>
  </si>
  <si>
    <t>Occupancy Schedule</t>
  </si>
  <si>
    <t>100% Assumes no holidays which should lead to high estimates.</t>
  </si>
  <si>
    <t>Augmeted Sch hrs/yr</t>
  </si>
  <si>
    <t>Augment Sch hrs/yr by %</t>
  </si>
  <si>
    <t>Scheduled Run time for Mech</t>
  </si>
  <si>
    <t>Equipment Count</t>
  </si>
  <si>
    <t>Utilization %</t>
  </si>
  <si>
    <t>Demand Watt</t>
  </si>
  <si>
    <t>kWh/yr</t>
  </si>
  <si>
    <t>W/ft2</t>
  </si>
  <si>
    <t>kBtu/yr</t>
  </si>
  <si>
    <t>kBtu/ft2-yr</t>
  </si>
  <si>
    <t>Plug Load</t>
  </si>
  <si>
    <t>Lighting</t>
  </si>
  <si>
    <t>Building Address</t>
  </si>
  <si>
    <t>Orlando</t>
  </si>
  <si>
    <t>FL</t>
  </si>
  <si>
    <t>ft2</t>
  </si>
  <si>
    <t>FTE</t>
  </si>
  <si>
    <t>Build Yr</t>
  </si>
  <si>
    <t>Sum of kBtu/ft2-yr</t>
  </si>
  <si>
    <t>Sum of W/ft2</t>
  </si>
  <si>
    <t>Sum of kWh/yr</t>
  </si>
  <si>
    <t>Sum of Demand Watt</t>
  </si>
  <si>
    <t>Sum of kBtu/yr</t>
  </si>
  <si>
    <t>tons</t>
  </si>
  <si>
    <t>$</t>
  </si>
  <si>
    <t>Annual Elec $</t>
  </si>
  <si>
    <t>AHU</t>
  </si>
  <si>
    <t>Billing Period</t>
  </si>
  <si>
    <t>kBtu</t>
  </si>
  <si>
    <t>Demand kWh/mnth</t>
  </si>
  <si>
    <t>(kBtu/h)/mnth</t>
  </si>
  <si>
    <t>kW Demand</t>
  </si>
  <si>
    <t>Annual kWh</t>
  </si>
  <si>
    <t>DHW</t>
  </si>
  <si>
    <t>Max Daily kWh 2017</t>
  </si>
  <si>
    <t>Min Daily kWh 2017</t>
  </si>
  <si>
    <t>Sum of most Recent Year tons*hr</t>
  </si>
  <si>
    <t xml:space="preserve">.78 kw/ton CEP </t>
  </si>
  <si>
    <t>Implement Sky Spark FDD after BAS upgrade</t>
  </si>
  <si>
    <t>VAV</t>
  </si>
  <si>
    <t>Commission all FIMS</t>
  </si>
  <si>
    <t>Implement IT policy for computer shutoff</t>
  </si>
  <si>
    <t>Install occupancy/smart power strips to ensure plugloads are shut off after hours</t>
  </si>
  <si>
    <t>Implement a Floor Captain policy</t>
  </si>
  <si>
    <t>Develop a systems manual for updated systems</t>
  </si>
  <si>
    <t>Install electrical utility submeter</t>
  </si>
  <si>
    <t>Comments and Recommendations</t>
  </si>
  <si>
    <t>Simple Payback (years)</t>
  </si>
  <si>
    <t>Projected Savings</t>
  </si>
  <si>
    <t>Implementation Costs</t>
  </si>
  <si>
    <t>Measure Description</t>
  </si>
  <si>
    <t>Tag</t>
  </si>
  <si>
    <t>Lighting Strategies</t>
  </si>
  <si>
    <t>113</t>
  </si>
  <si>
    <t>1C-12</t>
  </si>
  <si>
    <t>105</t>
  </si>
  <si>
    <t>1C-11</t>
  </si>
  <si>
    <t>105B</t>
  </si>
  <si>
    <t>108</t>
  </si>
  <si>
    <t>1C-10</t>
  </si>
  <si>
    <t>109D</t>
  </si>
  <si>
    <t>1C-9</t>
  </si>
  <si>
    <t>115E</t>
  </si>
  <si>
    <t>1C-3</t>
  </si>
  <si>
    <t>109G</t>
  </si>
  <si>
    <t>1C-2</t>
  </si>
  <si>
    <t>?</t>
  </si>
  <si>
    <t>114</t>
  </si>
  <si>
    <t>1C-1</t>
  </si>
  <si>
    <t>109H</t>
  </si>
  <si>
    <t>106B</t>
  </si>
  <si>
    <t>1B-14</t>
  </si>
  <si>
    <t>106F</t>
  </si>
  <si>
    <t>1B-13</t>
  </si>
  <si>
    <t>100</t>
  </si>
  <si>
    <t>1B-12</t>
  </si>
  <si>
    <t>111</t>
  </si>
  <si>
    <t>1B-11</t>
  </si>
  <si>
    <t>107Z</t>
  </si>
  <si>
    <t>1B-9</t>
  </si>
  <si>
    <t>101Z</t>
  </si>
  <si>
    <t>1B-8</t>
  </si>
  <si>
    <t>105J</t>
  </si>
  <si>
    <t>1B-5</t>
  </si>
  <si>
    <t>% Diff</t>
  </si>
  <si>
    <t>Tested CFM</t>
  </si>
  <si>
    <t>Design CFM</t>
  </si>
  <si>
    <t>Room #</t>
  </si>
  <si>
    <t>VTU</t>
  </si>
  <si>
    <t>25</t>
  </si>
  <si>
    <t>Total VTU's</t>
  </si>
  <si>
    <t>This only represents VTU's with obvious disparities.</t>
  </si>
  <si>
    <t>Upgrade personal / desk incandesent and fluorescent bulbs to LED</t>
  </si>
  <si>
    <t>HVAC Strategies</t>
  </si>
  <si>
    <t>Replace obsolete BAS with approved vendor BAS</t>
  </si>
  <si>
    <t>Install a bypass around the CHW pumps</t>
  </si>
  <si>
    <t>Implement dynamic CHW differential pressure setpoint reset</t>
  </si>
  <si>
    <t>Implement dynamic SA duct static pressure setpoint reset</t>
  </si>
  <si>
    <t>Tune VFD and actuator PID loops to match span range</t>
  </si>
  <si>
    <t>Building Envelope Strategies</t>
  </si>
  <si>
    <t>Other Facility Improvement Measure Strategies</t>
  </si>
  <si>
    <t>No Cost</t>
  </si>
  <si>
    <t>Immediate</t>
  </si>
  <si>
    <t>Reduce minimum flow settings in VAV terminals</t>
  </si>
  <si>
    <t>Implement demand-control ventilation</t>
  </si>
  <si>
    <t>Relax zone cooling setpoints</t>
  </si>
  <si>
    <t>Requires FIM 1.1</t>
  </si>
  <si>
    <t>Check for air leaks in HVAC duct system and seal ductwork</t>
  </si>
  <si>
    <t>Further Analysis Required</t>
  </si>
  <si>
    <t>N/A</t>
  </si>
  <si>
    <t>Requires FIM 1.1.  Savings will be primarily O&amp;M labor, as this FIM improves troubleshooting and response capabilities</t>
  </si>
  <si>
    <t>Implement supply air temperature setpoint reset</t>
  </si>
  <si>
    <t>Requires FIM 1.1.  Implementation cost assumes two zone relative humidity sensors per AHU</t>
  </si>
  <si>
    <t>Digitize project records and equipment information in BAS graphics</t>
  </si>
  <si>
    <t>Rooftop Solar Photovoltaic Array</t>
  </si>
  <si>
    <t>Rebalance airside and hydronic HVAC systems after BAS replacement</t>
  </si>
  <si>
    <t>TBD</t>
  </si>
  <si>
    <t>Cost</t>
  </si>
  <si>
    <t>Rebalance airside and hydronic HVAC system for BAS</t>
  </si>
  <si>
    <t>Est Annual Utility Cost for FIM 1.1 - 1.14:</t>
  </si>
  <si>
    <t>Expected payback (yr)</t>
  </si>
  <si>
    <t>Total Savings</t>
  </si>
  <si>
    <t>Calc in CEP Utility cell AA11</t>
  </si>
  <si>
    <t>Expected fan power reduction</t>
  </si>
  <si>
    <t>Test duct system for leaks and seal ductwork</t>
  </si>
  <si>
    <t>Est Annual Utility Cost for FIM 1.1 - 1.13:</t>
  </si>
  <si>
    <t>CHW savings</t>
  </si>
  <si>
    <t>Expected CHW load savings</t>
  </si>
  <si>
    <t>Check hydronic vavles and airside damper actuators</t>
  </si>
  <si>
    <t>Digitize project records and equipment info in BAS</t>
  </si>
  <si>
    <t>Est Annual Utility Cost for FIM 1.1 - 1.11:</t>
  </si>
  <si>
    <t>Total Savings for DCV</t>
  </si>
  <si>
    <t>Electric Reheat Savings</t>
  </si>
  <si>
    <t>Expected electric reheat savings</t>
  </si>
  <si>
    <t>Install Occupancy sensors and integrate with BAS</t>
  </si>
  <si>
    <t>Est Annual Utility Cost for FIM 1.1 - 1.10:</t>
  </si>
  <si>
    <t>Implement Supply Air Temperature setpoint reset</t>
  </si>
  <si>
    <t>Est Annual Utility Cost for FIM 1.1 - 1.9:</t>
  </si>
  <si>
    <t>Implement Demand Control Ventilation</t>
  </si>
  <si>
    <t>Payback (yr)</t>
  </si>
  <si>
    <t>Est. Savings</t>
  </si>
  <si>
    <t>Total Cost</t>
  </si>
  <si>
    <t>Summed Savings and Payback for FIM's 1.1-1.8</t>
  </si>
  <si>
    <t>Est Annual Utility Cost for FIM 1.1 - 1.8:</t>
  </si>
  <si>
    <t>Savings for reduced fan load</t>
  </si>
  <si>
    <t>Expected % Savings</t>
  </si>
  <si>
    <t>Tune PID control loop routines to match VFD</t>
  </si>
  <si>
    <t>Est Annual Utility Cost for FIM 1.1 - 1.7:</t>
  </si>
  <si>
    <t>Annual savings w/10% Fan Power Reduc</t>
  </si>
  <si>
    <t>% of Total Electical Bill</t>
  </si>
  <si>
    <t>Est. Annual Cost of Fan Power Original</t>
  </si>
  <si>
    <t>Implement dynamic supply air static pressure setpoint</t>
  </si>
  <si>
    <t>Est Annual Utility Cost for FIM 1.1 - 1.6:</t>
  </si>
  <si>
    <t>Total Savings for FIM 1.5</t>
  </si>
  <si>
    <t>Savings for reduced reheat load</t>
  </si>
  <si>
    <t>Anticipated Cost of Electric reheat coil</t>
  </si>
  <si>
    <t>Savings for reduced CHW load</t>
  </si>
  <si>
    <t>Expected Percent Savings</t>
  </si>
  <si>
    <t>Implement OA econimizer mode</t>
  </si>
  <si>
    <t>Est Annual Utility Cost for FIM 1.1 - 1.5:</t>
  </si>
  <si>
    <t>Eliminate OA ventilation during warm-up/cool-down</t>
  </si>
  <si>
    <t>Est Annual Utility Cost for FIM 1.1-1.4</t>
  </si>
  <si>
    <t>Savings of FIM 1.4</t>
  </si>
  <si>
    <t>Total Savings of FIM 1.1 - 1.4</t>
  </si>
  <si>
    <t>W/ savings FIM 1.1 - 1.3 implemented</t>
  </si>
  <si>
    <t>Initial Cost</t>
  </si>
  <si>
    <t>Expected savings 2F relaxed setpoint.</t>
  </si>
  <si>
    <t>Relax zone cooling setpoint</t>
  </si>
  <si>
    <t>Total Savings for FIM</t>
  </si>
  <si>
    <t>Annual VAV Savings</t>
  </si>
  <si>
    <t>Annual kBtu Savings</t>
  </si>
  <si>
    <t>Annual $ kWh</t>
  </si>
  <si>
    <t>CFM Reduction</t>
  </si>
  <si>
    <t>% Change</t>
  </si>
  <si>
    <t>Affinity Law</t>
  </si>
  <si>
    <t>Annual Space Heater Savings</t>
  </si>
  <si>
    <t>New W</t>
  </si>
  <si>
    <t>Chilled Water Savings Determined with Calc on CEP Utility Form</t>
  </si>
  <si>
    <t>Original W</t>
  </si>
  <si>
    <t>Reduced min flow settings VAV terminals (25% of half the terminals)</t>
  </si>
  <si>
    <t>Updated Annual kWh</t>
  </si>
  <si>
    <t>Below Calculation based off changing the schedule hours of Mech Equipment</t>
  </si>
  <si>
    <t>Updated Cost CEP 1 &amp; 2</t>
  </si>
  <si>
    <t>New Annual Cost</t>
  </si>
  <si>
    <t>of original</t>
  </si>
  <si>
    <t>New Schedule operates</t>
  </si>
  <si>
    <t>Optimal Start &amp; Schedule Alignment</t>
  </si>
  <si>
    <t>ECM Pump</t>
  </si>
  <si>
    <t>DX Split</t>
  </si>
  <si>
    <t>Annual Utility Costs</t>
  </si>
  <si>
    <t>FCU</t>
  </si>
  <si>
    <t>Electric Annual Cost</t>
  </si>
  <si>
    <t>Total</t>
  </si>
  <si>
    <t>Hrs</t>
  </si>
  <si>
    <t>Materials</t>
  </si>
  <si>
    <t>Item</t>
  </si>
  <si>
    <t>Labor/hr</t>
  </si>
  <si>
    <t>% of Total</t>
  </si>
  <si>
    <t>BAS Upgrade Estimates</t>
  </si>
  <si>
    <t>Repair CHW piping at AHUs</t>
  </si>
  <si>
    <t>Repair CHW pump CHWP-2</t>
  </si>
  <si>
    <t>Install a bypass around CHWP on CHW supply side</t>
  </si>
  <si>
    <t>Expected Payback (yr)</t>
  </si>
  <si>
    <t>Convert Constant Volume CHWP to variable speed</t>
  </si>
  <si>
    <t>Convert 3-way CHW valves to 2-way w/ bypass</t>
  </si>
  <si>
    <t>Implement dynamic CHW DP setpoint reset</t>
  </si>
  <si>
    <t>Re-zone HVAC system to match space use</t>
  </si>
  <si>
    <t>Fan Power Savings</t>
  </si>
  <si>
    <t>Column1</t>
  </si>
  <si>
    <t>Sum of Equipment Count</t>
  </si>
  <si>
    <t>Worker $/Hr</t>
  </si>
  <si>
    <t>Fixtures/Hr</t>
  </si>
  <si>
    <t>Installation Cost</t>
  </si>
  <si>
    <t>LED Replacement</t>
  </si>
  <si>
    <t>Listed Cost</t>
  </si>
  <si>
    <t>Est. Equip Cost</t>
  </si>
  <si>
    <t>Est. Install Cost (Use Quick Table)</t>
  </si>
  <si>
    <t>CFL</t>
  </si>
  <si>
    <t>Retrofit Kit 2*4</t>
  </si>
  <si>
    <t>Retrofit Kit 2*2</t>
  </si>
  <si>
    <t>Current Exit sign</t>
  </si>
  <si>
    <t>LED Exit</t>
  </si>
  <si>
    <t>Avg. Count/Floor</t>
  </si>
  <si>
    <t>Wattage</t>
  </si>
  <si>
    <t>Total Wattage</t>
  </si>
  <si>
    <t>Annual kWh Current</t>
  </si>
  <si>
    <t>Proposed kWh</t>
  </si>
  <si>
    <t>Equipment Cost</t>
  </si>
  <si>
    <t>Annual Saving</t>
  </si>
  <si>
    <t>Payback (yrs)</t>
  </si>
  <si>
    <t>Count of 2*4 Fixtures per Floor</t>
  </si>
  <si>
    <t>Actual Watts/Fix</t>
  </si>
  <si>
    <t>Proposed Watt/Fix</t>
  </si>
  <si>
    <t>Average Annual Cost/kWh</t>
  </si>
  <si>
    <t xml:space="preserve">This is for buildings with majority 2*4 fixtures. But, is univiersal in that you can always change the wattage per/fixture. </t>
  </si>
  <si>
    <t>Number of Floors</t>
  </si>
  <si>
    <t>Actual</t>
  </si>
  <si>
    <t>Proposed Saving</t>
  </si>
  <si>
    <t>Summed Wattage</t>
  </si>
  <si>
    <t>Summed kW</t>
  </si>
  <si>
    <t>Current $ kWh used/Floor for lighting:</t>
  </si>
  <si>
    <t>Record results below.</t>
  </si>
  <si>
    <t>Annual LED Bulb Replacement Saving:</t>
  </si>
  <si>
    <t>Annual LED + Occ Sensor Savings:</t>
  </si>
  <si>
    <t>Savings/Floor:</t>
  </si>
  <si>
    <t>LED Bulb Yr Saving:</t>
  </si>
  <si>
    <t>Estimated Switches</t>
  </si>
  <si>
    <t>Dimming Wired Occ</t>
  </si>
  <si>
    <t>Occ Sensor Saving/Fl:</t>
  </si>
  <si>
    <t>Rooms Available for Daylighting</t>
  </si>
  <si>
    <t>Cost/Daylighting Sensor</t>
  </si>
  <si>
    <t>Daylighting Equipment Cost for Building</t>
  </si>
  <si>
    <t>Saving per Year for Timer Switch Install:</t>
  </si>
  <si>
    <r>
      <t xml:space="preserve">The below number is </t>
    </r>
    <r>
      <rPr>
        <b/>
        <sz val="12"/>
        <rFont val="Calibri"/>
        <family val="2"/>
        <scheme val="minor"/>
      </rPr>
      <t>unreliable</t>
    </r>
    <r>
      <rPr>
        <b/>
        <sz val="11"/>
        <color theme="0"/>
        <rFont val="Calibri"/>
        <family val="2"/>
        <scheme val="minor"/>
      </rPr>
      <t xml:space="preserve">, UNTIL you adjust the Fixtures per floor to reflect the Avg # of rooms w/ 30 of a window providing natural light. </t>
    </r>
  </si>
  <si>
    <t>Daylighting Savings</t>
  </si>
  <si>
    <t xml:space="preserve">Trougher Replace 2*4 </t>
  </si>
  <si>
    <t>Trougher Replace 2*2</t>
  </si>
  <si>
    <t>Switch Timer $</t>
  </si>
  <si>
    <t># Mech/Elec Rooms</t>
  </si>
  <si>
    <t>Bulbs/Mech or Elec Rooms</t>
  </si>
  <si>
    <t>Wattage/Bulb (Average is acceptable)</t>
  </si>
  <si>
    <t>20% Annual Mech Space Light Saving (kWh):</t>
  </si>
  <si>
    <t>This table may be used to quickly estimate the cost of lighting replacements. The total should be recorded in the Est. Install Cost cell associated with the particular equipment you are building an estimate for.</t>
  </si>
  <si>
    <t>Safety Factor in Pricing of (Current as of 2018/04/15)</t>
  </si>
  <si>
    <t xml:space="preserve">Calibration Check </t>
  </si>
  <si>
    <t>Exp Payback (Yr)</t>
  </si>
  <si>
    <t>Exp Savings/Yr</t>
  </si>
  <si>
    <t>Payback:</t>
  </si>
  <si>
    <t>FIMs 2.1 through 2.5 are calculating in the Lighting_Pivot tab.</t>
  </si>
  <si>
    <t>Seal around all penetrations of building envelope</t>
  </si>
  <si>
    <t>Impement utility service submeter and integrate BAS</t>
  </si>
  <si>
    <t>Floor Captain Policy to turn off lights</t>
  </si>
  <si>
    <t>Expected lighting savings (w/ no other FIM)</t>
  </si>
  <si>
    <t>Annual lighting expenses</t>
  </si>
  <si>
    <t>Total lighting savings</t>
  </si>
  <si>
    <t>Reduce plug load through integrated controls</t>
  </si>
  <si>
    <t>Expected Annual Savings</t>
  </si>
  <si>
    <t>Annual plug load (non-computer) expenses</t>
  </si>
  <si>
    <t>Total plug load savings</t>
  </si>
  <si>
    <t>Reduce computer load through IT power management</t>
  </si>
  <si>
    <t>Sum of FIM 1.2-1.12</t>
  </si>
  <si>
    <t>kBtu/Mnth</t>
  </si>
  <si>
    <t>Avg Use/Day kWh</t>
  </si>
  <si>
    <t>total kBtu</t>
  </si>
  <si>
    <t>kbtu/ft2</t>
  </si>
  <si>
    <t>Additional Annual Savings/Yr (25%):</t>
  </si>
  <si>
    <t>Summed kBtu</t>
  </si>
  <si>
    <t>Annual $ CEP Elec</t>
  </si>
  <si>
    <t>Weekly Operating Hours</t>
  </si>
  <si>
    <t>Mech</t>
  </si>
  <si>
    <t>Occ</t>
  </si>
  <si>
    <t>For EP</t>
  </si>
  <si>
    <t>Summation of CHW Load, kBtu/Year</t>
  </si>
  <si>
    <t>Load Source</t>
  </si>
  <si>
    <t>CEP kWh</t>
  </si>
  <si>
    <t>CHW kBtu</t>
  </si>
  <si>
    <t>% of Total CHW Load</t>
  </si>
  <si>
    <t>Totals</t>
  </si>
  <si>
    <t>Equipment Type</t>
  </si>
  <si>
    <t>Fan</t>
  </si>
  <si>
    <t>Mean</t>
  </si>
  <si>
    <t>Standard Error</t>
  </si>
  <si>
    <t>Median</t>
  </si>
  <si>
    <t>Mode</t>
  </si>
  <si>
    <t>Standard Deviation</t>
  </si>
  <si>
    <t>Sample Variance</t>
  </si>
  <si>
    <t>Kurtosis</t>
  </si>
  <si>
    <t>Skewness</t>
  </si>
  <si>
    <t>Range</t>
  </si>
  <si>
    <t>Minimum</t>
  </si>
  <si>
    <t>Maximum</t>
  </si>
  <si>
    <t>Sum</t>
  </si>
  <si>
    <t>Count</t>
  </si>
  <si>
    <t>Confidence Level(95.0%)</t>
  </si>
  <si>
    <t>% savings</t>
  </si>
  <si>
    <t>2.1 a</t>
  </si>
  <si>
    <t>2.1 c</t>
  </si>
  <si>
    <t>2.1 b</t>
  </si>
  <si>
    <t>Install LED retrofit-kits</t>
  </si>
  <si>
    <t>c) $21,000</t>
  </si>
  <si>
    <t>b) $18,800</t>
  </si>
  <si>
    <t xml:space="preserve">a) $14,000               </t>
  </si>
  <si>
    <t>b) $2,800</t>
  </si>
  <si>
    <t>c) $3,000</t>
  </si>
  <si>
    <t xml:space="preserve">a) $2,500               </t>
  </si>
  <si>
    <t>Replace existing T8 to LED tube replacements</t>
  </si>
  <si>
    <t>Install LED fixtures</t>
  </si>
  <si>
    <t>kgCO2e/ft2</t>
  </si>
  <si>
    <t>People</t>
  </si>
  <si>
    <t>OA/Envelope/Infiltration</t>
  </si>
  <si>
    <t>Simultanious Heat/Cool</t>
  </si>
  <si>
    <t>mbh</t>
  </si>
  <si>
    <t>Max kBtu/h/yr</t>
  </si>
  <si>
    <t>% of Max</t>
  </si>
  <si>
    <t>Included in FIM 1.1</t>
  </si>
  <si>
    <t>- CHW actuator appears in good condition. No load, no modulation witnessed.
- filters are clean.
- Siemens and Trane Summit controls appear to be hooked up to AHU 1-1. Siemens is labeled as OA Monitor.
- Vent in space is hand closed.</t>
  </si>
  <si>
    <t>AH</t>
  </si>
  <si>
    <t>Leak on AHU 1-1 after the cooling coil.</t>
  </si>
  <si>
    <t>41 Energy Star</t>
  </si>
  <si>
    <t>Desktop</t>
  </si>
  <si>
    <t>71 student workstations</t>
  </si>
  <si>
    <t>71 monitors</t>
  </si>
  <si>
    <t>Fcu-4 above ceiling</t>
  </si>
  <si>
    <t>Erv-1</t>
  </si>
  <si>
    <t>- light switch is in unacceptable location. If a person enters from the elevator they must walk around AHU 3 to get to the light switch in total darkness. Add light switch or occ sensor.</t>
  </si>
  <si>
    <t>Fcu-5 above ceiling, fcu-3-1 on drawings</t>
  </si>
  <si>
    <t>BA</t>
  </si>
  <si>
    <t>BAS</t>
  </si>
  <si>
    <t>Tstat</t>
  </si>
  <si>
    <t>T-stat</t>
  </si>
  <si>
    <t>Smart board projector</t>
  </si>
  <si>
    <t>Energy web srver</t>
  </si>
  <si>
    <t>Tracer BCU</t>
  </si>
  <si>
    <t>196 Monitors</t>
  </si>
  <si>
    <t>196 Count</t>
  </si>
  <si>
    <t>OA monitor (Siemens)</t>
  </si>
  <si>
    <t>Tracer summit panel</t>
  </si>
  <si>
    <t>Tstat, always cold</t>
  </si>
  <si>
    <t>Internet server</t>
  </si>
  <si>
    <t>Tracer panel</t>
  </si>
  <si>
    <t>oa monitor</t>
  </si>
  <si>
    <t>RE</t>
  </si>
  <si>
    <t>C</t>
  </si>
  <si>
    <t>T-Stat</t>
  </si>
  <si>
    <t>SH</t>
  </si>
  <si>
    <t>12 Count</t>
  </si>
  <si>
    <t>6 Count</t>
  </si>
  <si>
    <t>Tracer controls</t>
  </si>
  <si>
    <t>Siemens oa control</t>
  </si>
  <si>
    <t>2 Count</t>
  </si>
  <si>
    <t>2 Coun</t>
  </si>
  <si>
    <t>CO</t>
  </si>
  <si>
    <t>Copier</t>
  </si>
  <si>
    <t>E</t>
  </si>
  <si>
    <t>Electrical</t>
  </si>
  <si>
    <t>Xfmer</t>
  </si>
  <si>
    <t>ATS</t>
  </si>
  <si>
    <t>Intermittent harmonic buzzing above ceiling</t>
  </si>
  <si>
    <t>GL</t>
  </si>
  <si>
    <t>Glass</t>
  </si>
  <si>
    <t>Fire door</t>
  </si>
  <si>
    <t>IT</t>
  </si>
  <si>
    <t>Information technology</t>
  </si>
  <si>
    <t>AV cabinet</t>
  </si>
  <si>
    <t>120v 23a ups</t>
  </si>
  <si>
    <t>240v 23a ups</t>
  </si>
  <si>
    <t>LD</t>
  </si>
  <si>
    <t>LED Fixture</t>
  </si>
  <si>
    <t>60W</t>
  </si>
  <si>
    <t>Light Fixture</t>
  </si>
  <si>
    <t>3 2*4*3 24/7</t>
  </si>
  <si>
    <t>25 2*4 3</t>
  </si>
  <si>
    <t>15 2*4*3, 1 24/7</t>
  </si>
  <si>
    <t>4 2*4*3</t>
  </si>
  <si>
    <t>32 2*4 3</t>
  </si>
  <si>
    <t>5 .5*4 2</t>
  </si>
  <si>
    <t>16 2*2 3</t>
  </si>
  <si>
    <t>16 2*4 3</t>
  </si>
  <si>
    <t>7 2*4 3</t>
  </si>
  <si>
    <t>2 2*4*3</t>
  </si>
  <si>
    <t>LT</t>
  </si>
  <si>
    <t>Laptop</t>
  </si>
  <si>
    <t xml:space="preserve">3 2*4 3 </t>
  </si>
  <si>
    <t>1 2*2 3</t>
  </si>
  <si>
    <t>5 2*2 3</t>
  </si>
  <si>
    <t>2 2*2 3</t>
  </si>
  <si>
    <t>2*2*3</t>
  </si>
  <si>
    <t>7 2*4*3 24/7</t>
  </si>
  <si>
    <t>4 .5*4 2</t>
  </si>
  <si>
    <t>3 2*4*3</t>
  </si>
  <si>
    <t>3 2*4 3</t>
  </si>
  <si>
    <t>1 2*4 1</t>
  </si>
  <si>
    <t>10 2*4 3</t>
  </si>
  <si>
    <t>2 4'</t>
  </si>
  <si>
    <t>15 2*4 2 dimmable (T12)</t>
  </si>
  <si>
    <t>8 Touch screen computer TV</t>
  </si>
  <si>
    <t>8 2*2 3</t>
  </si>
  <si>
    <t>1 2*4*3</t>
  </si>
  <si>
    <t>2*4*3</t>
  </si>
  <si>
    <t>8 4' per floor</t>
  </si>
  <si>
    <t>6 2*4*3</t>
  </si>
  <si>
    <t>4 2*4*3, 2 run 24/7</t>
  </si>
  <si>
    <t>5 4' 2 bulb, 24/7</t>
  </si>
  <si>
    <t>2 4' 3</t>
  </si>
  <si>
    <t>1 4' underdesk</t>
  </si>
  <si>
    <t>2 2*4 2</t>
  </si>
  <si>
    <t>2' desklamp</t>
  </si>
  <si>
    <t>2 2*4*3, buzzing ballast</t>
  </si>
  <si>
    <t>4' desklamp</t>
  </si>
  <si>
    <t>2 2*4 1</t>
  </si>
  <si>
    <t>2 2*4 5</t>
  </si>
  <si>
    <t>22 2*4 3</t>
  </si>
  <si>
    <t>4 4'</t>
  </si>
  <si>
    <t>7 2*2*3</t>
  </si>
  <si>
    <t>1 .5*4 2</t>
  </si>
  <si>
    <t>TY</t>
  </si>
  <si>
    <t>Typical Office</t>
  </si>
  <si>
    <t>7 1*2 1</t>
  </si>
  <si>
    <t>2 1*2 1</t>
  </si>
  <si>
    <t xml:space="preserve">28 2*4 3 </t>
  </si>
  <si>
    <t>4 2*4*3 24/7</t>
  </si>
  <si>
    <t>6 2*2*3 24/7</t>
  </si>
  <si>
    <t xml:space="preserve">5 2*4 3 </t>
  </si>
  <si>
    <t>9 2*4 3</t>
  </si>
  <si>
    <t>Lighting controls</t>
  </si>
  <si>
    <t>Switch</t>
  </si>
  <si>
    <t>Hall lights timer</t>
  </si>
  <si>
    <t>Toddle</t>
  </si>
  <si>
    <t>Occ sensor</t>
  </si>
  <si>
    <t>Crestron lighting control panel</t>
  </si>
  <si>
    <t>8 pir occ sensors</t>
  </si>
  <si>
    <t>2 dual mode occ sensors</t>
  </si>
  <si>
    <t xml:space="preserve">Switch
</t>
  </si>
  <si>
    <t xml:space="preserve">Switch </t>
  </si>
  <si>
    <t>Switc</t>
  </si>
  <si>
    <t>Lutron controls GRAFIK Eye</t>
  </si>
  <si>
    <t>FN</t>
  </si>
  <si>
    <t>On roof</t>
  </si>
  <si>
    <t>On roof
- fans need a cover to protect from rain infiltration.</t>
  </si>
  <si>
    <t xml:space="preserve">Single switch, far side from elevator, no occ sensor.  Unsafe.  No emergency lights </t>
  </si>
  <si>
    <t>Switch, storage usually off</t>
  </si>
  <si>
    <t>Ipad</t>
  </si>
  <si>
    <t>On</t>
  </si>
  <si>
    <t>17 4p 2b recessed</t>
  </si>
  <si>
    <t xml:space="preserve">40 4p 2b </t>
  </si>
  <si>
    <t>4p 2b recessed can</t>
  </si>
  <si>
    <t>48 4p 2b</t>
  </si>
  <si>
    <t>11 4p 2b</t>
  </si>
  <si>
    <t xml:space="preserve">2 25w incandescent </t>
  </si>
  <si>
    <t>Decorative led</t>
  </si>
  <si>
    <t>12 4p 2b recessed 32W</t>
  </si>
  <si>
    <t>A19 led desklamp</t>
  </si>
  <si>
    <t>72w desk lamp</t>
  </si>
  <si>
    <t>13w CFL desklamp</t>
  </si>
  <si>
    <t>Cfl</t>
  </si>
  <si>
    <t>Led</t>
  </si>
  <si>
    <t>13 w cfl desk lamp</t>
  </si>
  <si>
    <t>100W desk lamp</t>
  </si>
  <si>
    <t>60W desk lamp</t>
  </si>
  <si>
    <t>11 4p 2b recessed 32W</t>
  </si>
  <si>
    <t>7 4p 2b</t>
  </si>
  <si>
    <t>8 wall sconce, assume 150w hps</t>
  </si>
  <si>
    <t>20 2*2 led</t>
  </si>
  <si>
    <t xml:space="preserve">25w incandescent </t>
  </si>
  <si>
    <t>50w halogen quarts</t>
  </si>
  <si>
    <t>Desk lamp 13 W</t>
  </si>
  <si>
    <t xml:space="preserve">16 4P 2b recessed </t>
  </si>
  <si>
    <t>150w hps</t>
  </si>
  <si>
    <t>11 4p 2b recessed can</t>
  </si>
  <si>
    <t xml:space="preserve">34 4p 2b </t>
  </si>
  <si>
    <t xml:space="preserve">11 4p 2b </t>
  </si>
  <si>
    <t>11 4p 2b recessed</t>
  </si>
  <si>
    <t xml:space="preserve">2 100w incandescent track lighting </t>
  </si>
  <si>
    <t>1 4p 2b recessed</t>
  </si>
  <si>
    <t>10 4p 2b</t>
  </si>
  <si>
    <t>7 4p 2b recessed</t>
  </si>
  <si>
    <t xml:space="preserve">4 4p 2b </t>
  </si>
  <si>
    <t>4 150w hps</t>
  </si>
  <si>
    <t>13w cfl</t>
  </si>
  <si>
    <t>7 50w halogen a19 , 24/7</t>
  </si>
  <si>
    <t>2 24w CFL, 24/7</t>
  </si>
  <si>
    <t>Office lamp 2 75W bulb</t>
  </si>
  <si>
    <t>Desk lamp 2 60W</t>
  </si>
  <si>
    <t>Desk lamp 1 100W</t>
  </si>
  <si>
    <t>10 4pin 2bulb 32w per bulb recessed can</t>
  </si>
  <si>
    <t>16 4pin 2bulb 32W per bulb recessed can</t>
  </si>
  <si>
    <t>11 4p 2b 32W  recessed can</t>
  </si>
  <si>
    <t>11 4p 2b 32W recessed can</t>
  </si>
  <si>
    <t>1 2' LED</t>
  </si>
  <si>
    <t>Desk lamp 60W 1b</t>
  </si>
  <si>
    <t xml:space="preserve">8 4p 2b 32W </t>
  </si>
  <si>
    <t>Desk lamp 20W</t>
  </si>
  <si>
    <t>Very cold in 105</t>
  </si>
  <si>
    <t>Elevator gear</t>
  </si>
  <si>
    <t>Dirty SA vent.</t>
  </si>
  <si>
    <t>Air separator</t>
  </si>
  <si>
    <t>Dirty supply grills</t>
  </si>
  <si>
    <t>Need to clean return</t>
  </si>
  <si>
    <t>Mechanical hvac hum above ceiling room 223</t>
  </si>
  <si>
    <t>Dirty supply diffusers, a lot of air movement</t>
  </si>
  <si>
    <t>MV</t>
  </si>
  <si>
    <t>Toaster oven</t>
  </si>
  <si>
    <t>FR</t>
  </si>
  <si>
    <t>Minifridge</t>
  </si>
  <si>
    <t>Projector</t>
  </si>
  <si>
    <t>Creston media processor</t>
  </si>
  <si>
    <t>Coin machine</t>
  </si>
  <si>
    <t>Instant hot</t>
  </si>
  <si>
    <t>3 Soda machines. See pics</t>
  </si>
  <si>
    <t>2 dry goods vending machines.</t>
  </si>
  <si>
    <t>VFD - note the motor overload is in alarm.</t>
  </si>
  <si>
    <t xml:space="preserve">VFD </t>
  </si>
  <si>
    <t xml:space="preserve">Expansion tank with both valves closed. </t>
  </si>
  <si>
    <t>Temp: 70.2 CO2 492 RH 33.9%</t>
  </si>
  <si>
    <t>Temp 70.1 CO2 540 RH 34%</t>
  </si>
  <si>
    <t>8 TV</t>
  </si>
  <si>
    <t>Server</t>
  </si>
  <si>
    <t xml:space="preserve">UPS </t>
  </si>
  <si>
    <t xml:space="preserve">Water Fountain </t>
  </si>
  <si>
    <t>Classroom controls</t>
  </si>
  <si>
    <t xml:space="preserve">Creston 3 series audio visual for classroom, runs like a full server? </t>
  </si>
  <si>
    <t xml:space="preserve">Projector </t>
  </si>
  <si>
    <t>Temp 70 CO2 527 RH 33%</t>
  </si>
  <si>
    <t>Temp 71 CO2 458 RH 35%</t>
  </si>
  <si>
    <t xml:space="preserve">Word processor </t>
  </si>
  <si>
    <t>Laminator</t>
  </si>
  <si>
    <t>Toaster sm</t>
  </si>
  <si>
    <t>Fan is making a lot of noise in this room.</t>
  </si>
  <si>
    <t xml:space="preserve">Temp 68 CO2 464 RH 33% </t>
  </si>
  <si>
    <t>Temp 69 CO2 457 RH 33%</t>
  </si>
  <si>
    <t>HT</t>
  </si>
  <si>
    <t>Personal heater</t>
  </si>
  <si>
    <t>1500w</t>
  </si>
  <si>
    <t>1200w</t>
  </si>
  <si>
    <t>200w</t>
  </si>
  <si>
    <t>PH</t>
  </si>
  <si>
    <t>P</t>
  </si>
  <si>
    <t>Plumbing</t>
  </si>
  <si>
    <t>Drinking fountains</t>
  </si>
  <si>
    <t>8kw instant hot water heater ewh-1</t>
  </si>
  <si>
    <t>PR</t>
  </si>
  <si>
    <t xml:space="preserve">Sm </t>
  </si>
  <si>
    <t>MD</t>
  </si>
  <si>
    <t xml:space="preserve">SM </t>
  </si>
  <si>
    <t>SM</t>
  </si>
  <si>
    <t>Scanner</t>
  </si>
  <si>
    <t>LG</t>
  </si>
  <si>
    <t>Fax Machine</t>
  </si>
  <si>
    <t xml:space="preserve">Med </t>
  </si>
  <si>
    <t xml:space="preserve">LG </t>
  </si>
  <si>
    <t xml:space="preserve">Chilled water Onicaon flow and energy measurement is not reading properly. </t>
  </si>
  <si>
    <t>RM</t>
  </si>
  <si>
    <t>Room</t>
  </si>
  <si>
    <t>113h</t>
  </si>
  <si>
    <t>113c always cold</t>
  </si>
  <si>
    <t>T-12 Light Fixture</t>
  </si>
  <si>
    <t>24 2*4 3</t>
  </si>
  <si>
    <t>15 2*4 3</t>
  </si>
  <si>
    <t>VF</t>
  </si>
  <si>
    <t>VFD</t>
  </si>
  <si>
    <t>AHU-3 VFD</t>
  </si>
  <si>
    <t>WH</t>
  </si>
  <si>
    <t>Water Heater</t>
  </si>
  <si>
    <t>Water Cooler</t>
  </si>
  <si>
    <t>Water heater and cooler</t>
  </si>
  <si>
    <t>38 Amp instant hot</t>
  </si>
  <si>
    <t>Water Fountain</t>
  </si>
  <si>
    <t>UPS</t>
  </si>
  <si>
    <t>Typical Cube</t>
  </si>
  <si>
    <t>Transformer</t>
  </si>
  <si>
    <t>Misc</t>
  </si>
  <si>
    <t>Storage</t>
  </si>
  <si>
    <t>LEDs</t>
  </si>
  <si>
    <t>LED</t>
  </si>
  <si>
    <t>Desktop + Monitor</t>
  </si>
  <si>
    <t>Conference Room</t>
  </si>
  <si>
    <t>Break Room</t>
  </si>
  <si>
    <t>Audio Visual</t>
  </si>
  <si>
    <t>Audio And Visual</t>
  </si>
  <si>
    <t>Mar 12, 2018 @ 12:34</t>
  </si>
  <si>
    <t>Mar 12, 2018 @ 12:39</t>
  </si>
  <si>
    <t>Mar 14, 2018 @ 15:06</t>
  </si>
  <si>
    <t>Mar 14, 2018 @ 15:07</t>
  </si>
  <si>
    <t>Mar 12, 2018 @ 12:59</t>
  </si>
  <si>
    <t>Mar 14, 2018 @ 15:08</t>
  </si>
  <si>
    <t>Mar 14, 2018 @ 15:09</t>
  </si>
  <si>
    <t>Mar 14, 2018 @ 13:35</t>
  </si>
  <si>
    <t>Mar 12, 2018 @ 13:49</t>
  </si>
  <si>
    <t>Mar 12, 2018 @ 13:28</t>
  </si>
  <si>
    <t>Mar 12, 2018 @ 13:20</t>
  </si>
  <si>
    <t>Mar 12, 2018 @ 18:49</t>
  </si>
  <si>
    <t>Mar 14, 2018 @ 15:11</t>
  </si>
  <si>
    <t>Mar 14, 2018 @ 15:15</t>
  </si>
  <si>
    <t>Mar 14, 2018 @ 15:19</t>
  </si>
  <si>
    <t>Mar 14, 2018 @ 15:25</t>
  </si>
  <si>
    <t>Mar 14, 2018 @ 15:13</t>
  </si>
  <si>
    <t>Mar 14, 2018 @ 15:31</t>
  </si>
  <si>
    <t>Mar 14, 2018 @ 15:26</t>
  </si>
  <si>
    <t>Mar 14, 2018 @ 15:34</t>
  </si>
  <si>
    <t>Mar 14, 2018 @ 15:22</t>
  </si>
  <si>
    <t>Mar 14, 2018 @ 15:17</t>
  </si>
  <si>
    <t>Mar 14, 2018 @ 15:24</t>
  </si>
  <si>
    <t>Mar 14, 2018 @ 15:36</t>
  </si>
  <si>
    <t>Mar 14, 2018 @ 15:43</t>
  </si>
  <si>
    <t>Mar 14, 2018 @ 15:55</t>
  </si>
  <si>
    <t>Mar 14, 2018 @ 16:04</t>
  </si>
  <si>
    <t>Mar 14, 2018 @ 16:07</t>
  </si>
  <si>
    <t>Mar 14, 2018 @ 16:01</t>
  </si>
  <si>
    <t>Mar 14, 2018 @ 16:17</t>
  </si>
  <si>
    <t>Mar 14, 2018 @ 16:14</t>
  </si>
  <si>
    <t>Mar 14, 2018 @ 16:26</t>
  </si>
  <si>
    <t>Mar 14, 2018 @ 16:28</t>
  </si>
  <si>
    <t>Mar 14, 2018 @ 17:48</t>
  </si>
  <si>
    <t>Mar 14, 2018 @ 17:43</t>
  </si>
  <si>
    <t>Mar 14, 2018 @ 17:51</t>
  </si>
  <si>
    <t>Mar 12, 2018 @ 19:45</t>
  </si>
  <si>
    <t>Mar 12, 2018 @ 19:40</t>
  </si>
  <si>
    <t>Mar 12, 2018 @ 19:52</t>
  </si>
  <si>
    <t>Mar 12, 2018 @ 19:49</t>
  </si>
  <si>
    <t>Mar 14, 2018 @ 13:05</t>
  </si>
  <si>
    <t>Mar 14, 2018 @ 13:11</t>
  </si>
  <si>
    <t>Mar 14, 2018 @ 13:18</t>
  </si>
  <si>
    <t>Mar 14, 2018 @ 13:26</t>
  </si>
  <si>
    <t>Mar 14, 2018 @ 13:27</t>
  </si>
  <si>
    <t>Mar 14, 2018 @ 13:42</t>
  </si>
  <si>
    <t>Mar 14, 2018 @ 15:46</t>
  </si>
  <si>
    <t>Mar 14, 2018 @ 13:56</t>
  </si>
  <si>
    <t>Mar 14, 2018 @ 15:47</t>
  </si>
  <si>
    <t>Mar 14, 2018 @ 14:12</t>
  </si>
  <si>
    <t>Mar 14, 2018 @ 14:14</t>
  </si>
  <si>
    <t>Mar 14, 2018 @ 14:42</t>
  </si>
  <si>
    <t>Mar 14, 2018 @ 14:43</t>
  </si>
  <si>
    <t>Mar 14, 2018 @ 14:45</t>
  </si>
  <si>
    <t>Mar 14, 2018 @ 15:50</t>
  </si>
  <si>
    <t>Mar 14, 2018 @ 14:46</t>
  </si>
  <si>
    <t>Mar 14, 2018 @ 14:58</t>
  </si>
  <si>
    <t>Mar 14, 2018 @ 15:51</t>
  </si>
  <si>
    <t>Mar 14, 2018 @ 15:58</t>
  </si>
  <si>
    <t>Mar 14, 2018 @ 15:03</t>
  </si>
  <si>
    <t>Mar 14, 2018 @ 15:52</t>
  </si>
  <si>
    <t>Mar 14, 2018 @ 15:04</t>
  </si>
  <si>
    <t>Mar 14, 2018 @ 15:00</t>
  </si>
  <si>
    <t>Mar 14, 2018 @ 15:59</t>
  </si>
  <si>
    <t>Mar 14, 2018 @ 15:53</t>
  </si>
  <si>
    <t>Mar 12, 2018 @ 13:44</t>
  </si>
  <si>
    <t>Mar 12, 2018 @ 14:09</t>
  </si>
  <si>
    <t>Mar 12, 2018 @ 14:16</t>
  </si>
  <si>
    <t>Mar 12, 2018 @ 14:18</t>
  </si>
  <si>
    <t>Mar 14, 2018 @ 15:54</t>
  </si>
  <si>
    <t>Mar 12, 2018 @ 14:37</t>
  </si>
  <si>
    <t>Mar 12, 2018 @ 14:31</t>
  </si>
  <si>
    <t>Mar 12, 2018 @ 14:38</t>
  </si>
  <si>
    <t>Mar 12, 2018 @ 14:33</t>
  </si>
  <si>
    <t>Mar 14, 2018 @ 15:56</t>
  </si>
  <si>
    <t>Mar 12, 2018 @ 14:46</t>
  </si>
  <si>
    <t>Mar 12, 2018 @ 14:53</t>
  </si>
  <si>
    <t>Mar 14, 2018 @ 15:57</t>
  </si>
  <si>
    <t>Mar 12, 2018 @ 14:50</t>
  </si>
  <si>
    <t>Mar 12, 2018 @ 15:07</t>
  </si>
  <si>
    <t>Mar 12, 2018 @ 15:13</t>
  </si>
  <si>
    <t>Mar 12, 2018 @ 15:25</t>
  </si>
  <si>
    <t>Mar 12, 2018 @ 15:49</t>
  </si>
  <si>
    <t>Mar 12, 2018 @ 15:50</t>
  </si>
  <si>
    <t>Mar 14, 2018 @ 16:03</t>
  </si>
  <si>
    <t>Mar 12, 2018 @ 18:39</t>
  </si>
  <si>
    <t>Mar 12, 2018 @ 18:43</t>
  </si>
  <si>
    <t>Mar 14, 2018 @ 16:06</t>
  </si>
  <si>
    <t>Mar 12, 2018 @ 18:41</t>
  </si>
  <si>
    <t>Mar 12, 2018 @ 18:48</t>
  </si>
  <si>
    <t>Mar 12, 2018 @ 19:00</t>
  </si>
  <si>
    <t>Mar 12, 2018 @ 19:05</t>
  </si>
  <si>
    <t>Mar 14, 2018 @ 16:02</t>
  </si>
  <si>
    <t>Mar 12, 2018 @ 19:09</t>
  </si>
  <si>
    <t>Mar 12, 2018 @ 19:11</t>
  </si>
  <si>
    <t>Mar 12, 2018 @ 19:07</t>
  </si>
  <si>
    <t>Mar 12, 2018 @ 19:14</t>
  </si>
  <si>
    <t>Mar 14, 2018 @ 16:10</t>
  </si>
  <si>
    <t>Mar 12, 2018 @ 19:15</t>
  </si>
  <si>
    <t>Mar 12, 2018 @ 19:23</t>
  </si>
  <si>
    <t>Mar 14, 2018 @ 16:23</t>
  </si>
  <si>
    <t>Mar 14, 2018 @ 16:27</t>
  </si>
  <si>
    <t>Mar 14, 2018 @ 13:34</t>
  </si>
  <si>
    <t>Mar 14, 2018 @ 14:16</t>
  </si>
  <si>
    <t>Mar 14, 2018 @ 16:05</t>
  </si>
  <si>
    <t>Mar 14, 2018 @ 14:57</t>
  </si>
  <si>
    <t>Mar 14, 2018 @ 16:12</t>
  </si>
  <si>
    <t>Mar 12, 2018 @ 14:11</t>
  </si>
  <si>
    <t>Mar 12, 2018 @ 18:40</t>
  </si>
  <si>
    <t>Mar 14, 2018 @ 15:30</t>
  </si>
  <si>
    <t>Mar 14, 2018 @ 15:33</t>
  </si>
  <si>
    <t>Mar 14, 2018 @ 14:02</t>
  </si>
  <si>
    <t>Mar 14, 2018 @ 14:36</t>
  </si>
  <si>
    <t>Mar 12, 2018 @ 14:54</t>
  </si>
  <si>
    <t>Mar 12, 2018 @ 14:56</t>
  </si>
  <si>
    <t>Mar 14, 2018 @ 15:12</t>
  </si>
  <si>
    <t>Mar 14, 2018 @ 14:06</t>
  </si>
  <si>
    <t>Mar 12, 2018 @ 15:00</t>
  </si>
  <si>
    <t>Mar 12, 2018 @ 19:24</t>
  </si>
  <si>
    <t>Mar 14, 2018 @ 15:44</t>
  </si>
  <si>
    <t>Mar 14, 2018 @ 15:48</t>
  </si>
  <si>
    <t>Mar 14, 2018 @ 16:25</t>
  </si>
  <si>
    <t>Mar 14, 2018 @ 16:09</t>
  </si>
  <si>
    <t>Mar 14, 2018 @ 16:34</t>
  </si>
  <si>
    <t>Mar 14, 2018 @ 16:29</t>
  </si>
  <si>
    <t>Mar 14, 2018 @ 16:36</t>
  </si>
  <si>
    <t>Mar 14, 2018 @ 16:24</t>
  </si>
  <si>
    <t>Mar 14, 2018 @ 17:44</t>
  </si>
  <si>
    <t>Mar 12, 2018 @ 19:38</t>
  </si>
  <si>
    <t>Mar 12, 2018 @ 19:51</t>
  </si>
  <si>
    <t>Mar 12, 2018 @ 19:55</t>
  </si>
  <si>
    <t>Mar 14, 2018 @ 13:10</t>
  </si>
  <si>
    <t>Mar 14, 2018 @ 13:25</t>
  </si>
  <si>
    <t>Mar 14, 2018 @ 13:19</t>
  </si>
  <si>
    <t>Mar 14, 2018 @ 13:20</t>
  </si>
  <si>
    <t>Mar 14, 2018 @ 13:30</t>
  </si>
  <si>
    <t>Mar 14, 2018 @ 13:24</t>
  </si>
  <si>
    <t>Mar 14, 2018 @ 13:32</t>
  </si>
  <si>
    <t>Mar 14, 2018 @ 13:28</t>
  </si>
  <si>
    <t>Mar 14, 2018 @ 13:29</t>
  </si>
  <si>
    <t>Mar 14, 2018 @ 13:31</t>
  </si>
  <si>
    <t>Mar 14, 2018 @ 13:41</t>
  </si>
  <si>
    <t>Mar 14, 2018 @ 13:44</t>
  </si>
  <si>
    <t>Mar 14, 2018 @ 13:47</t>
  </si>
  <si>
    <t>Mar 14, 2018 @ 13:48</t>
  </si>
  <si>
    <t>Mar 14, 2018 @ 14:03</t>
  </si>
  <si>
    <t>Mar 14, 2018 @ 14:05</t>
  </si>
  <si>
    <t>Mar 14, 2018 @ 12:56</t>
  </si>
  <si>
    <t>Mar 14, 2018 @ 14:15</t>
  </si>
  <si>
    <t>Mar 14, 2018 @ 14:19</t>
  </si>
  <si>
    <t>Mar 14, 2018 @ 14:13</t>
  </si>
  <si>
    <t>Mar 14, 2018 @ 14:31</t>
  </si>
  <si>
    <t>Mar 14, 2018 @ 14:40</t>
  </si>
  <si>
    <t>Mar 14, 2018 @ 14:41</t>
  </si>
  <si>
    <t>Mar 14, 2018 @ 14:44</t>
  </si>
  <si>
    <t>Mar 14, 2018 @ 13:21</t>
  </si>
  <si>
    <t>Mar 14, 2018 @ 14:56</t>
  </si>
  <si>
    <t>Mar 14, 2018 @ 13:23</t>
  </si>
  <si>
    <t>Mar 14, 2018 @ 14:50</t>
  </si>
  <si>
    <t>Mar 14, 2018 @ 14:53</t>
  </si>
  <si>
    <t>Mar 14, 2018 @ 14:55</t>
  </si>
  <si>
    <t>Mar 14, 2018 @ 15:02</t>
  </si>
  <si>
    <t>Mar 14, 2018 @ 14:59</t>
  </si>
  <si>
    <t>Mar 12, 2018 @ 13:35</t>
  </si>
  <si>
    <t>Mar 12, 2018 @ 14:03</t>
  </si>
  <si>
    <t>Mar 12, 2018 @ 14:07</t>
  </si>
  <si>
    <t>Mar 12, 2018 @ 14:14</t>
  </si>
  <si>
    <t>Mar 12, 2018 @ 14:10</t>
  </si>
  <si>
    <t>Mar 12, 2018 @ 14:17</t>
  </si>
  <si>
    <t>Mar 14, 2018 @ 13:33</t>
  </si>
  <si>
    <t>Mar 12, 2018 @ 14:12</t>
  </si>
  <si>
    <t>Mar 12, 2018 @ 14:19</t>
  </si>
  <si>
    <t>Mar 12, 2018 @ 14:26</t>
  </si>
  <si>
    <t>Mar 12, 2018 @ 14:21</t>
  </si>
  <si>
    <t>Mar 12, 2018 @ 14:22</t>
  </si>
  <si>
    <t>Mar 12, 2018 @ 14:27</t>
  </si>
  <si>
    <t>Mar 12, 2018 @ 14:28</t>
  </si>
  <si>
    <t>Mar 12, 2018 @ 14:30</t>
  </si>
  <si>
    <t>Mar 12, 2018 @ 14:40</t>
  </si>
  <si>
    <t>Mar 12, 2018 @ 14:35</t>
  </si>
  <si>
    <t>Mar 12, 2018 @ 14:36</t>
  </si>
  <si>
    <t>Mar 12, 2018 @ 14:43</t>
  </si>
  <si>
    <t>Mar 14, 2018 @ 13:49</t>
  </si>
  <si>
    <t>Mar 12, 2018 @ 14:44</t>
  </si>
  <si>
    <t>Mar 12, 2018 @ 14:39</t>
  </si>
  <si>
    <t>Mar 12, 2018 @ 14:42</t>
  </si>
  <si>
    <t>Mar 14, 2018 @ 13:58</t>
  </si>
  <si>
    <t>Mar 12, 2018 @ 14:55</t>
  </si>
  <si>
    <t>Mar 12, 2018 @ 14:48</t>
  </si>
  <si>
    <t>Mar 12, 2018 @ 14:58</t>
  </si>
  <si>
    <t>Mar 12, 2018 @ 15:04</t>
  </si>
  <si>
    <t>Mar 12, 2018 @ 15:01</t>
  </si>
  <si>
    <t>Mar 12, 2018 @ 15:09</t>
  </si>
  <si>
    <t>Mar 12, 2018 @ 15:03</t>
  </si>
  <si>
    <t>Mar 12, 2018 @ 15:10</t>
  </si>
  <si>
    <t>Mar 12, 2018 @ 15:19</t>
  </si>
  <si>
    <t>Mar 12, 2018 @ 15:14</t>
  </si>
  <si>
    <t>Mar 12, 2018 @ 15:22</t>
  </si>
  <si>
    <t>Mar 14, 2018 @ 14:22</t>
  </si>
  <si>
    <t>Mar 12, 2018 @ 15:26</t>
  </si>
  <si>
    <t>Mar 12, 2018 @ 15:31</t>
  </si>
  <si>
    <t>Mar 14, 2018 @ 14:24</t>
  </si>
  <si>
    <t>Mar 14, 2018 @ 14:18</t>
  </si>
  <si>
    <t>Mar 14, 2018 @ 14:25</t>
  </si>
  <si>
    <t>Mar 12, 2018 @ 15:34</t>
  </si>
  <si>
    <t>Mar 12, 2018 @ 15:36</t>
  </si>
  <si>
    <t>Mar 14, 2018 @ 14:28</t>
  </si>
  <si>
    <t>Mar 14, 2018 @ 14:21</t>
  </si>
  <si>
    <t>Mar 12, 2018 @ 15:39</t>
  </si>
  <si>
    <t>Mar 12, 2018 @ 15:40</t>
  </si>
  <si>
    <t>Mar 14, 2018 @ 14:37</t>
  </si>
  <si>
    <t>Mar 12, 2018 @ 15:42</t>
  </si>
  <si>
    <t>Mar 12, 2018 @ 15:43</t>
  </si>
  <si>
    <t>Mar 14, 2018 @ 14:32</t>
  </si>
  <si>
    <t>Mar 12, 2018 @ 15:46</t>
  </si>
  <si>
    <t>Mar 12, 2018 @ 15:47</t>
  </si>
  <si>
    <t>Mar 12, 2018 @ 15:51</t>
  </si>
  <si>
    <t>Mar 12, 2018 @ 15:53</t>
  </si>
  <si>
    <t>Mar 12, 2018 @ 15:54</t>
  </si>
  <si>
    <t>Mar 12, 2018 @ 15:55</t>
  </si>
  <si>
    <t>Mar 14, 2018 @ 14:39</t>
  </si>
  <si>
    <t>Mar 12, 2018 @ 15:56</t>
  </si>
  <si>
    <t>Mar 12, 2018 @ 15:59</t>
  </si>
  <si>
    <t>Mar 12, 2018 @ 18:42</t>
  </si>
  <si>
    <t>Mar 12, 2018 @ 18:36</t>
  </si>
  <si>
    <t>Mar 12, 2018 @ 18:46</t>
  </si>
  <si>
    <t>Mar 12, 2018 @ 18:45</t>
  </si>
  <si>
    <t>Mar 12, 2018 @ 18:54</t>
  </si>
  <si>
    <t>Mar 14, 2018 @ 14:51</t>
  </si>
  <si>
    <t>Mar 12, 2018 @ 19:02</t>
  </si>
  <si>
    <t>Mar 12, 2018 @ 19:06</t>
  </si>
  <si>
    <t>Mar 12, 2018 @ 19:10</t>
  </si>
  <si>
    <t>Mar 12, 2018 @ 19:12</t>
  </si>
  <si>
    <t>Mar 12, 2018 @ 19:08</t>
  </si>
  <si>
    <t>Mar 12, 2018 @ 19:17</t>
  </si>
  <si>
    <t>Mar 12, 2018 @ 19:13</t>
  </si>
  <si>
    <t>Mar 12, 2018 @ 19:19</t>
  </si>
  <si>
    <t>Mar 12, 2018 @ 19:21</t>
  </si>
  <si>
    <t>Mar 12, 2018 @ 19:22</t>
  </si>
  <si>
    <t>Mar 14, 2018 @ 14:54</t>
  </si>
  <si>
    <t>Mar 12, 2018 @ 19:28</t>
  </si>
  <si>
    <t>Mar 12, 2018 @ 19:35</t>
  </si>
  <si>
    <t>Mar 14, 2018 @ 15:10</t>
  </si>
  <si>
    <t>Mar 14, 2018 @ 15:18</t>
  </si>
  <si>
    <t>Mar 14, 2018 @ 15:23</t>
  </si>
  <si>
    <t>Mar 14, 2018 @ 15:45</t>
  </si>
  <si>
    <t>Mar 14, 2018 @ 16:15</t>
  </si>
  <si>
    <t>Mar 12, 2018 @ 19:41</t>
  </si>
  <si>
    <t>Mar 14, 2018 @ 15:05</t>
  </si>
  <si>
    <t>Mar 12, 2018 @ 19:44</t>
  </si>
  <si>
    <t>Mar 14, 2018 @ 13:09</t>
  </si>
  <si>
    <t>Mar 14, 2018 @ 13:46</t>
  </si>
  <si>
    <t>Mar 12, 2018 @ 13:43</t>
  </si>
  <si>
    <t>Mar 12, 2018 @ 13:45</t>
  </si>
  <si>
    <t>Mar 12, 2018 @ 13:42</t>
  </si>
  <si>
    <t>Mar 12, 2018 @ 14:05</t>
  </si>
  <si>
    <t>Mar 12, 2018 @ 14:20</t>
  </si>
  <si>
    <t>Mar 12, 2018 @ 14:08</t>
  </si>
  <si>
    <t>Mar 12, 2018 @ 14:15</t>
  </si>
  <si>
    <t>Mar 12, 2018 @ 14:29</t>
  </si>
  <si>
    <t>Mar 12, 2018 @ 14:41</t>
  </si>
  <si>
    <t>Mar 12, 2018 @ 14:34</t>
  </si>
  <si>
    <t>Mar 12, 2018 @ 14:45</t>
  </si>
  <si>
    <t>Mar 12, 2018 @ 14:52</t>
  </si>
  <si>
    <t>Mar 12, 2018 @ 14:59</t>
  </si>
  <si>
    <t>Mar 12, 2018 @ 14:23</t>
  </si>
  <si>
    <t>Mar 12, 2018 @ 14:24</t>
  </si>
  <si>
    <t>Mar 12, 2018 @ 15:12</t>
  </si>
  <si>
    <t>Mar 12, 2018 @ 15:24</t>
  </si>
  <si>
    <t>Mar 12, 2018 @ 15:41</t>
  </si>
  <si>
    <t>Mar 12, 2018 @ 15:45</t>
  </si>
  <si>
    <t>Mar 12, 2018 @ 15:52</t>
  </si>
  <si>
    <t>Mar 12, 2018 @ 18:44</t>
  </si>
  <si>
    <t>Mar 12, 2018 @ 14:32</t>
  </si>
  <si>
    <t>Mar 12, 2018 @ 18:58</t>
  </si>
  <si>
    <t>Mar 12, 2018 @ 19:01</t>
  </si>
  <si>
    <t>Mar 12, 2018 @ 19:04</t>
  </si>
  <si>
    <t>Mar 14, 2018 @ 15:16</t>
  </si>
  <si>
    <t>Mar 12, 2018 @ 14:51</t>
  </si>
  <si>
    <t>Mar 14, 2018 @ 16:13</t>
  </si>
  <si>
    <t>Mar 14, 2018 @ 16:20</t>
  </si>
  <si>
    <t>Mar 12, 2018 @ 19:37</t>
  </si>
  <si>
    <t>Mar 12, 2018 @ 19:42</t>
  </si>
  <si>
    <t>Mar 14, 2018 @ 13:22</t>
  </si>
  <si>
    <t>Mar 12, 2018 @ 14:47</t>
  </si>
  <si>
    <t>Mar 14, 2018 @ 13:43</t>
  </si>
  <si>
    <t>Mar 14, 2018 @ 13:54</t>
  </si>
  <si>
    <t>Mar 14, 2018 @ 13:55</t>
  </si>
  <si>
    <t>Mar 14, 2018 @ 13:59</t>
  </si>
  <si>
    <t>Mar 14, 2018 @ 14:04</t>
  </si>
  <si>
    <t>Mar 12, 2018 @ 14:49</t>
  </si>
  <si>
    <t>Mar 12, 2018 @ 14:57</t>
  </si>
  <si>
    <t>Mar 14, 2018 @ 14:49</t>
  </si>
  <si>
    <t>Mar 12, 2018 @ 13:54</t>
  </si>
  <si>
    <t>Mar 12, 2018 @ 13:55</t>
  </si>
  <si>
    <t>Mar 12, 2018 @ 15:05</t>
  </si>
  <si>
    <t>Mar 12, 2018 @ 15:02</t>
  </si>
  <si>
    <t>Mar 12, 2018 @ 15:27</t>
  </si>
  <si>
    <t>Mar 12, 2018 @ 15:44</t>
  </si>
  <si>
    <t>Mar 12, 2018 @ 18:50</t>
  </si>
  <si>
    <t>Mar 12, 2018 @ 19:03</t>
  </si>
  <si>
    <t>Mar 12, 2018 @ 19:34</t>
  </si>
  <si>
    <t>Mar 12, 2018 @ 15:06</t>
  </si>
  <si>
    <t>Mar 14, 2018 @ 15:20</t>
  </si>
  <si>
    <t>Mar 14, 2018 @ 17:41</t>
  </si>
  <si>
    <t>Mar 14, 2018 @ 14:01</t>
  </si>
  <si>
    <t>Mar 12, 2018 @ 18:47</t>
  </si>
  <si>
    <t>Mar 12, 2018 @ 15:20</t>
  </si>
  <si>
    <t>Mar 12, 2018 @ 15:32</t>
  </si>
  <si>
    <t>Mar 12, 2018 @ 15:15</t>
  </si>
  <si>
    <t>Mar 12, 2018 @ 18:37</t>
  </si>
  <si>
    <t>Mar 12, 2018 @ 15:23</t>
  </si>
  <si>
    <t>Mar 12, 2018 @ 19:18</t>
  </si>
  <si>
    <t>Mar 12, 2018 @ 15:30</t>
  </si>
  <si>
    <t>Mar 12, 2018 @ 15:33</t>
  </si>
  <si>
    <t>Mar 14, 2018 @ 16:16</t>
  </si>
  <si>
    <t>Mar 14, 2018 @ 16:18</t>
  </si>
  <si>
    <t>Mar 14, 2018 @ 17:45</t>
  </si>
  <si>
    <t>Mar 14, 2018 @ 17:57</t>
  </si>
  <si>
    <t>Mar 16, 2018 @ 15:35</t>
  </si>
  <si>
    <t>Mar 16, 2018 @ 15:43</t>
  </si>
  <si>
    <t>Mar 12, 2018 @ 19:47</t>
  </si>
  <si>
    <t>Mar 12, 2018 @ 19:53</t>
  </si>
  <si>
    <t>Mar 14, 2018 @ 13:37</t>
  </si>
  <si>
    <t>Mar 14, 2018 @ 13:57</t>
  </si>
  <si>
    <t>Mar 14, 2018 @ 14:00</t>
  </si>
  <si>
    <t>Mar 14, 2018 @ 14:52</t>
  </si>
  <si>
    <t>Mar 16, 2018 @ 15:46</t>
  </si>
  <si>
    <t>Mar 16, 2018 @ 15:56</t>
  </si>
  <si>
    <t>Mar 12, 2018 @ 15:29</t>
  </si>
  <si>
    <t>Mar 12, 2018 @ 19:36</t>
  </si>
  <si>
    <t>Mar 16, 2018 @ 16:07</t>
  </si>
  <si>
    <t>Mar 16, 2018 @ 16:11</t>
  </si>
  <si>
    <t>Mar 12, 2018 @ 14:13</t>
  </si>
  <si>
    <t>Mar 12, 2018 @ 15:16</t>
  </si>
  <si>
    <t>Mar 12, 2018 @ 15:57</t>
  </si>
  <si>
    <t>Mar 12, 2018 @ 15:58</t>
  </si>
  <si>
    <t>Mar 12, 2018 @ 16:00</t>
  </si>
  <si>
    <t>Mar 12, 2018 @ 18:55</t>
  </si>
  <si>
    <t>Mar 12, 2018 @ 18:56</t>
  </si>
  <si>
    <t>Mar 14, 2018 @ 16:30</t>
  </si>
  <si>
    <t>Mar 12, 2018 @ 14:06</t>
  </si>
  <si>
    <t>Mar 12, 2018 @ 19:16</t>
  </si>
  <si>
    <t>Mar 12, 2018 @ 19:20</t>
  </si>
  <si>
    <t>Mar 12, 2018 @ 19:29</t>
  </si>
  <si>
    <t>Mar 14, 2018 @ 17:39</t>
  </si>
  <si>
    <t>Mar 14, 2018 @ 17:46</t>
  </si>
  <si>
    <t>Mar 14, 2018 @ 14:47</t>
  </si>
  <si>
    <t>Mar 14, 2018 @ 15:32</t>
  </si>
  <si>
    <t>Mar 12, 2018 @ 13:47</t>
  </si>
  <si>
    <t>Mar 14, 2018 @ 16:35</t>
  </si>
  <si>
    <t>Mar 12, 2018 @ 15:37</t>
  </si>
  <si>
    <t>Mar 12, 2018 @ 12:56</t>
  </si>
  <si>
    <t>Mar 12, 2018 @ 13:14</t>
  </si>
  <si>
    <t>Mar 12, 2018 @ 13:50</t>
  </si>
  <si>
    <t>Mar 14, 2018 @ 11:58</t>
  </si>
  <si>
    <t>Mar 12, 2018 @ 13:23</t>
  </si>
  <si>
    <t>Mar 12, 2018 @ 18:51</t>
  </si>
  <si>
    <t>Mar 14, 2018 @ 15:14</t>
  </si>
  <si>
    <t>Mar 14, 2018 @ 15:27</t>
  </si>
  <si>
    <t>Mar 14, 2018 @ 15:35</t>
  </si>
  <si>
    <t>Mar 14, 2018 @ 16:00</t>
  </si>
  <si>
    <t>Mar 12, 2018 @ 19:39</t>
  </si>
  <si>
    <t>Mar 14, 2018 @ 13:16</t>
  </si>
  <si>
    <t>Mar 14, 2018 @ 14:07</t>
  </si>
  <si>
    <t>Mar 12, 2018 @ 13:33</t>
  </si>
  <si>
    <t>Mar 12, 2018 @ 18:28</t>
  </si>
  <si>
    <t>Mar 12, 2018 @ 18:30</t>
  </si>
  <si>
    <t>Mar 12, 2018 @ 18:33</t>
  </si>
  <si>
    <t>Mar 12, 2018 @ 18:59</t>
  </si>
  <si>
    <t>Mar 14, 2018 @ 16:21</t>
  </si>
  <si>
    <t>Mar 14, 2018 @ 15:38</t>
  </si>
  <si>
    <t>Mar 14, 2018 @ 15:49</t>
  </si>
  <si>
    <t>Mar 14, 2018 @ 16:22</t>
  </si>
  <si>
    <t>Mar 14, 2018 @ 13:06</t>
  </si>
  <si>
    <t>Mar 14, 2018 @ 13:38</t>
  </si>
  <si>
    <t>Mar 14, 2018 @ 14:34</t>
  </si>
  <si>
    <t>Mar 14, 2018 @ 12:58</t>
  </si>
  <si>
    <t>Mar 12, 2018 @ 13:57</t>
  </si>
  <si>
    <t>Mar 12, 2018 @ 15:11</t>
  </si>
  <si>
    <t>Mar 12, 2018 @ 18:29</t>
  </si>
  <si>
    <t>Mar 12, 2018 @ 18:31</t>
  </si>
  <si>
    <t>Mar 12, 2018 @ 18:35</t>
  </si>
  <si>
    <t>Mar 14, 2018 @ 15:39</t>
  </si>
  <si>
    <t>Mar 12, 2018 @ 19:46</t>
  </si>
  <si>
    <t>Mar 14, 2018 @ 13:02</t>
  </si>
  <si>
    <t>Mar 14, 2018 @ 15:01</t>
  </si>
  <si>
    <t>Mar 14, 2018 @ 13:50</t>
  </si>
  <si>
    <t>Mar 14, 2018 @ 14:09</t>
  </si>
  <si>
    <t>Mar 12, 2018 @ 13:53</t>
  </si>
  <si>
    <t>Mar 12, 2018 @ 14:25</t>
  </si>
  <si>
    <t>Mar 12, 2018 @ 15:08</t>
  </si>
  <si>
    <t>Mar 12, 2018 @ 15:17</t>
  </si>
  <si>
    <t>Mar 12, 2018 @ 15:18</t>
  </si>
  <si>
    <t>Mar 12, 2018 @ 18:53</t>
  </si>
  <si>
    <t>Mar 12, 2018 @ 19:43</t>
  </si>
  <si>
    <t>Mar 12, 2018 @ 13:56</t>
  </si>
  <si>
    <t>Mar 12, 2018 @ 18:57</t>
  </si>
  <si>
    <t>Mar 14, 2018 @ 15:21</t>
  </si>
  <si>
    <t>Mar 14, 2018 @ 17:42</t>
  </si>
  <si>
    <t>Mar 14, 2018 @ 19:36</t>
  </si>
  <si>
    <t>Mar 16, 2018 @ 15:37</t>
  </si>
  <si>
    <t>Mar 16, 2018 @ 15:45</t>
  </si>
  <si>
    <t>Mar 12, 2018 @ 19:48</t>
  </si>
  <si>
    <t>Mar 14, 2018 @ 13:45</t>
  </si>
  <si>
    <t>Mar 16, 2018 @ 15:57</t>
  </si>
  <si>
    <t>Mar 12, 2018 @ 19:30</t>
  </si>
  <si>
    <t>Mar 16, 2018 @ 16:15</t>
  </si>
  <si>
    <t>Mar 12, 2018 @ 18:38</t>
  </si>
  <si>
    <t>Mar 12, 2018 @ 18:34</t>
  </si>
  <si>
    <t>Mar 14, 2018 @ 17:53</t>
  </si>
  <si>
    <t>Mar 14, 2018 @ 17:40</t>
  </si>
  <si>
    <t>Mar 14, 2018 @ 14:48</t>
  </si>
  <si>
    <t>1st Floor</t>
  </si>
  <si>
    <t>2nd Floor</t>
  </si>
  <si>
    <t>M401</t>
  </si>
  <si>
    <t>VTU3-20</t>
  </si>
  <si>
    <t>Yielding a utilization factor of:</t>
  </si>
  <si>
    <t>Or 2 hrs of heavy elevator use/day</t>
  </si>
  <si>
    <t>min</t>
  </si>
  <si>
    <t xml:space="preserve">8 breaks at 15 min each: </t>
  </si>
  <si>
    <t>The period between classes elevators are used more frequently for 15min</t>
  </si>
  <si>
    <t>class periods per day.</t>
  </si>
  <si>
    <t>(12hrs occupancy a day)/(1.5 hrs for a class) =</t>
  </si>
  <si>
    <t>Elevators utilized most frequently between classes.</t>
  </si>
  <si>
    <t>Classes 1.5 hr each on average.</t>
  </si>
  <si>
    <t xml:space="preserve">Elevator Run Time Thought Process. </t>
  </si>
  <si>
    <t>Scratch Pad 1.</t>
  </si>
  <si>
    <t>Augmented Avg Hr/day</t>
  </si>
  <si>
    <t>If you need to have a piece of equipment run year around change the Utilization % to the below quantity.</t>
  </si>
  <si>
    <t xml:space="preserve"> </t>
  </si>
  <si>
    <t>Total:</t>
  </si>
  <si>
    <t>Height 3</t>
  </si>
  <si>
    <t>Perimeter 3</t>
  </si>
  <si>
    <t>Sanity check</t>
  </si>
  <si>
    <t>Height 2</t>
  </si>
  <si>
    <t>Perimeter 2</t>
  </si>
  <si>
    <t>Actual compared to 62.1 Minimum Standard</t>
  </si>
  <si>
    <t>FTE/1000ft2</t>
  </si>
  <si>
    <t>Height 1</t>
  </si>
  <si>
    <t>Perimeter 1</t>
  </si>
  <si>
    <t>Surface Area</t>
  </si>
  <si>
    <t># of Floors</t>
  </si>
  <si>
    <t>Office space</t>
  </si>
  <si>
    <t>ASHRAE Ventilation Space Type:</t>
  </si>
  <si>
    <t>ASHRAE Estimated CFM</t>
  </si>
  <si>
    <t>CFM/Person</t>
  </si>
  <si>
    <t>Occupants/1000ft2</t>
  </si>
  <si>
    <t>Item Count</t>
  </si>
  <si>
    <t>Please indicate which calculations you've completed.</t>
  </si>
  <si>
    <t>The numbers in this spreadsheet are all from Building 27</t>
  </si>
  <si>
    <t>Quick Calcs:</t>
  </si>
  <si>
    <r>
      <t xml:space="preserve">HP </t>
    </r>
    <r>
      <rPr>
        <b/>
        <sz val="11"/>
        <color theme="1"/>
        <rFont val="Calibri"/>
        <family val="2"/>
      </rPr>
      <t>→</t>
    </r>
    <r>
      <rPr>
        <b/>
        <sz val="11"/>
        <color theme="1"/>
        <rFont val="Calibri"/>
        <family val="2"/>
        <scheme val="minor"/>
      </rPr>
      <t>Watts</t>
    </r>
  </si>
  <si>
    <t>Enter HP</t>
  </si>
  <si>
    <t>Watts</t>
  </si>
  <si>
    <r>
      <t xml:space="preserve">Watts </t>
    </r>
    <r>
      <rPr>
        <b/>
        <sz val="11"/>
        <color theme="1"/>
        <rFont val="Calibri"/>
        <family val="2"/>
      </rPr>
      <t>→</t>
    </r>
    <r>
      <rPr>
        <b/>
        <sz val="11"/>
        <color theme="1"/>
        <rFont val="Calibri"/>
        <family val="2"/>
        <scheme val="minor"/>
      </rPr>
      <t xml:space="preserve"> kBtu/hr</t>
    </r>
    <r>
      <rPr>
        <b/>
        <sz val="11"/>
        <color theme="1"/>
        <rFont val="Calibri"/>
        <family val="2"/>
      </rPr>
      <t>→Tons</t>
    </r>
  </si>
  <si>
    <t>Enter Watts</t>
  </si>
  <si>
    <t>kBtu/hr</t>
  </si>
  <si>
    <t>Tons (cooling)</t>
  </si>
  <si>
    <t>Stages, studios</t>
  </si>
  <si>
    <t>Game arcades</t>
  </si>
  <si>
    <t>Gambling casinos</t>
  </si>
  <si>
    <t>Bowling alley (seating</t>
  </si>
  <si>
    <t>Health club/weight rooms</t>
  </si>
  <si>
    <t>Health club/aerobics room</t>
  </si>
  <si>
    <t>Disco/dance floors</t>
  </si>
  <si>
    <t>Swimming (pool &amp; deck)</t>
  </si>
  <si>
    <t>Spectator areas</t>
  </si>
  <si>
    <t>Gym, sports arena (play area)</t>
  </si>
  <si>
    <t>Coin-operated laundries</t>
  </si>
  <si>
    <t>Supermarket</t>
  </si>
  <si>
    <t>Pet shops (animal areas)</t>
  </si>
  <si>
    <t>Beauty and nail salons</t>
  </si>
  <si>
    <t>Barbershop</t>
  </si>
  <si>
    <t>Mall common areas</t>
  </si>
  <si>
    <t>Sales (except as below)</t>
  </si>
  <si>
    <r>
      <rPr>
        <sz val="9"/>
        <rFont val="Times New Roman"/>
        <family val="1"/>
      </rPr>
      <t>—</t>
    </r>
  </si>
  <si>
    <t>-</t>
  </si>
  <si>
    <t>Common corridors</t>
  </si>
  <si>
    <t>Dwelling unit</t>
  </si>
  <si>
    <t>Museums/galleries</t>
  </si>
  <si>
    <t>Museums (children’s)</t>
  </si>
  <si>
    <t>Lobbies</t>
  </si>
  <si>
    <t>Libraries</t>
  </si>
  <si>
    <t>Legislative chambers</t>
  </si>
  <si>
    <t>Courtrooms</t>
  </si>
  <si>
    <t>Places of religious worship</t>
  </si>
  <si>
    <r>
      <rPr>
        <b/>
        <sz val="9"/>
        <rFont val="Times New Roman"/>
        <family val="1"/>
      </rPr>
      <t xml:space="preserve">
</t>
    </r>
    <r>
      <rPr>
        <sz val="9"/>
        <rFont val="Times New Roman"/>
        <family val="1"/>
      </rPr>
      <t>Auditorium seating area</t>
    </r>
  </si>
  <si>
    <t>Warehouses</t>
  </si>
  <si>
    <t>Transportation waiting</t>
  </si>
  <si>
    <t>Telephone closets</t>
  </si>
  <si>
    <r>
      <t xml:space="preserve">Sorting, packing, light
</t>
    </r>
    <r>
      <rPr>
        <sz val="9"/>
        <rFont val="Times New Roman"/>
        <family val="1"/>
      </rPr>
      <t>assembly</t>
    </r>
  </si>
  <si>
    <t>Shipping/receiving</t>
  </si>
  <si>
    <t>Photo studios</t>
  </si>
  <si>
    <t>Pharmacy (prep. area)</t>
  </si>
  <si>
    <t>General manufacturing (excludes heavy industrial and processes using chemicals)</t>
  </si>
  <si>
    <t>Freezer and refrigerated spaces (&lt;50°F)</t>
  </si>
  <si>
    <t>Computer (not printing)</t>
  </si>
  <si>
    <t>Banks or bank lobbies</t>
  </si>
  <si>
    <t>Bank vaults/safe deposit</t>
  </si>
  <si>
    <t>Telephone/data entry</t>
  </si>
  <si>
    <t xml:space="preserve">Reception areas </t>
  </si>
  <si>
    <r>
      <rPr>
        <sz val="9"/>
        <rFont val="Times New Roman"/>
        <family val="1"/>
      </rPr>
      <t xml:space="preserve">Occupiable storage rooms
</t>
    </r>
    <r>
      <rPr>
        <sz val="9"/>
        <rFont val="Times New Roman"/>
        <family val="1"/>
      </rPr>
      <t>for dry materials</t>
    </r>
  </si>
  <si>
    <t>Main entry lobbies</t>
  </si>
  <si>
    <t xml:space="preserve">Breakrooms </t>
  </si>
  <si>
    <t>Multipurpose assembly</t>
  </si>
  <si>
    <t>Lobbies/prefunction</t>
  </si>
  <si>
    <r>
      <rPr>
        <sz val="9"/>
        <rFont val="Times New Roman"/>
        <family val="1"/>
      </rPr>
      <t xml:space="preserve">Laundry rooms within
</t>
    </r>
    <r>
      <rPr>
        <sz val="9"/>
        <rFont val="Times New Roman"/>
        <family val="1"/>
      </rPr>
      <t>dwelling units</t>
    </r>
  </si>
  <si>
    <t>Laundry rooms, central</t>
  </si>
  <si>
    <t>Barracks sleeping areas</t>
  </si>
  <si>
    <t>Bedroom/living room</t>
  </si>
  <si>
    <r>
      <rPr>
        <sz val="9"/>
        <rFont val="Times New Roman"/>
        <family val="1"/>
      </rPr>
      <t xml:space="preserve">Occupiable storage rooms
</t>
    </r>
    <r>
      <rPr>
        <sz val="9"/>
        <rFont val="Times New Roman"/>
        <family val="1"/>
      </rPr>
      <t>for liquids or gels</t>
    </r>
  </si>
  <si>
    <t>—</t>
  </si>
  <si>
    <t>Corridors</t>
  </si>
  <si>
    <t>Conference/meeting</t>
  </si>
  <si>
    <t>Coffee stations</t>
  </si>
  <si>
    <t>Break rooms</t>
  </si>
  <si>
    <r>
      <rPr>
        <sz val="9"/>
        <rFont val="Times New Roman"/>
        <family val="1"/>
      </rPr>
      <t>Kitchen (cooking)</t>
    </r>
  </si>
  <si>
    <r>
      <rPr>
        <sz val="9"/>
        <rFont val="Times New Roman"/>
        <family val="1"/>
      </rPr>
      <t>Bars, cocktail lounges</t>
    </r>
  </si>
  <si>
    <r>
      <rPr>
        <sz val="9"/>
        <rFont val="Times New Roman"/>
        <family val="1"/>
      </rPr>
      <t>Cafeteria/fast-food dining</t>
    </r>
  </si>
  <si>
    <r>
      <rPr>
        <sz val="9"/>
        <rFont val="Times New Roman"/>
        <family val="1"/>
      </rPr>
      <t>Restaurant dining rooms</t>
    </r>
  </si>
  <si>
    <r>
      <rPr>
        <sz val="9"/>
        <rFont val="Times New Roman"/>
        <family val="1"/>
      </rPr>
      <t>Multiuse assembly</t>
    </r>
  </si>
  <si>
    <r>
      <rPr>
        <sz val="9"/>
        <rFont val="Times New Roman"/>
        <family val="1"/>
      </rPr>
      <t>Music/theater/dance</t>
    </r>
  </si>
  <si>
    <r>
      <rPr>
        <sz val="9"/>
        <rFont val="Times New Roman"/>
        <family val="1"/>
      </rPr>
      <t>Media center</t>
    </r>
  </si>
  <si>
    <r>
      <rPr>
        <sz val="9"/>
        <rFont val="Times New Roman"/>
        <family val="1"/>
      </rPr>
      <t>Computer lab</t>
    </r>
  </si>
  <si>
    <r>
      <rPr>
        <sz val="9"/>
        <rFont val="Times New Roman"/>
        <family val="1"/>
      </rPr>
      <t>Wood/metal shop</t>
    </r>
  </si>
  <si>
    <r>
      <rPr>
        <sz val="9"/>
        <rFont val="Times New Roman"/>
        <family val="1"/>
      </rPr>
      <t>Science laboratories</t>
    </r>
  </si>
  <si>
    <r>
      <rPr>
        <sz val="9"/>
        <rFont val="Times New Roman"/>
        <family val="1"/>
      </rPr>
      <t>Art classroom</t>
    </r>
  </si>
  <si>
    <r>
      <rPr>
        <sz val="9"/>
        <rFont val="Times New Roman"/>
        <family val="1"/>
      </rPr>
      <t>Lecture hall (fixed seats)</t>
    </r>
  </si>
  <si>
    <r>
      <rPr>
        <sz val="9"/>
        <rFont val="Times New Roman"/>
        <family val="1"/>
      </rPr>
      <t>Lecture classroom</t>
    </r>
  </si>
  <si>
    <r>
      <rPr>
        <sz val="9"/>
        <rFont val="Times New Roman"/>
        <family val="1"/>
      </rPr>
      <t>Classrooms (age 9 plus)</t>
    </r>
  </si>
  <si>
    <r>
      <rPr>
        <sz val="9"/>
        <rFont val="Times New Roman"/>
        <family val="1"/>
      </rPr>
      <t>Classrooms (ages 5–8)</t>
    </r>
  </si>
  <si>
    <r>
      <rPr>
        <sz val="9"/>
        <rFont val="Times New Roman"/>
        <family val="1"/>
      </rPr>
      <t>Daycare sickroom</t>
    </r>
  </si>
  <si>
    <r>
      <rPr>
        <sz val="9"/>
        <rFont val="Times New Roman"/>
        <family val="1"/>
      </rPr>
      <t>Daycare (through age 4)</t>
    </r>
  </si>
  <si>
    <r>
      <rPr>
        <sz val="9"/>
        <rFont val="Times New Roman"/>
        <family val="1"/>
      </rPr>
      <t>Booking/waiting</t>
    </r>
  </si>
  <si>
    <r>
      <rPr>
        <sz val="9"/>
        <rFont val="Times New Roman"/>
        <family val="1"/>
      </rPr>
      <t>Guard stations</t>
    </r>
  </si>
  <si>
    <r>
      <rPr>
        <sz val="9"/>
        <rFont val="Times New Roman"/>
        <family val="1"/>
      </rPr>
      <t>Dayroom</t>
    </r>
  </si>
  <si>
    <r>
      <rPr>
        <sz val="9"/>
        <rFont val="Times New Roman"/>
        <family val="1"/>
      </rPr>
      <t>Cell</t>
    </r>
  </si>
  <si>
    <t>L/s*person</t>
  </si>
  <si>
    <t>cfm/person</t>
  </si>
  <si>
    <t>#/1000ft2</t>
  </si>
  <si>
    <t>L/s*m2</t>
  </si>
  <si>
    <t>cfm/ft2</t>
  </si>
  <si>
    <t>Combined Outdoor Air Rate</t>
  </si>
  <si>
    <t>Occupant Density</t>
  </si>
  <si>
    <t>Area Outdoor Air Rate</t>
  </si>
  <si>
    <t xml:space="preserve">People Outdoor Air Rate </t>
  </si>
  <si>
    <t>ASHRAE 62.1 Table 6.2.2.1 - 2013</t>
  </si>
  <si>
    <t>Parasitic Loss</t>
  </si>
  <si>
    <t>kWh</t>
  </si>
  <si>
    <t>Sum Demand KVA</t>
  </si>
  <si>
    <t>Impedence Avg</t>
  </si>
  <si>
    <t>kWh Lost</t>
  </si>
  <si>
    <t>$ Value Lost</t>
  </si>
  <si>
    <t>±5% of Elec Utility?</t>
  </si>
  <si>
    <t>Elevator</t>
  </si>
  <si>
    <t>Length</t>
  </si>
  <si>
    <t>Width</t>
  </si>
  <si>
    <t>Summed kBtu 2017</t>
  </si>
  <si>
    <t>4336 Scorpius Street</t>
  </si>
  <si>
    <t>% Diff OS/Spreadsheet</t>
  </si>
  <si>
    <t>Notes:</t>
  </si>
  <si>
    <t>Heating</t>
  </si>
  <si>
    <t>CHW</t>
  </si>
  <si>
    <t>Utility kBtu/yr</t>
  </si>
  <si>
    <t>% Difference Excel Model/Utility</t>
  </si>
  <si>
    <t>% Difference OS/Utility</t>
  </si>
  <si>
    <t>Utility/Est (%)</t>
  </si>
  <si>
    <t>People, Simultanious Heat/Cool, and OA/Envelope/Infiltration found in Energy Plus Energy Model Report.</t>
  </si>
  <si>
    <t>Lecture classroom</t>
  </si>
  <si>
    <t>lighting avg</t>
  </si>
  <si>
    <t>w</t>
  </si>
  <si>
    <t>250 fixtures</t>
  </si>
  <si>
    <t>Table of Recommended Facility Improvement Measures</t>
  </si>
  <si>
    <t>Implement optimal start routine and keep OA air at minimum</t>
  </si>
  <si>
    <t>Link occupancy sensors with VAV systems to set back temperatures</t>
  </si>
  <si>
    <t>Link to lighting occ sensor fim, Requires FIM 1.1</t>
  </si>
  <si>
    <t xml:space="preserve">Damper position programming </t>
  </si>
  <si>
    <t>Currently AHU-4 has the RAD commanded to 100% if the OAD damper is commanded to anything less than 100%. VFD speed can be reduced by reducing the total static pressure across the unit.</t>
  </si>
  <si>
    <t>Replace damaged/broken CHW DP sensors</t>
  </si>
  <si>
    <t>The CHW DP sensor was reading 0 psi in the data we were provided and at the time of the building walk through. This sensor should be replaced and a backup DP sensor should be added. The sensor appears to be working fine according to trending log.</t>
  </si>
  <si>
    <t>Reset unoccupied dehumiditification setpoints</t>
  </si>
  <si>
    <t>Currently the unoccupied dehumidity sequence begins when the sensors reads 70% RH and ends at 65%. It is suggested to reset this to ON at 60% and OFF under 55%.</t>
  </si>
  <si>
    <t>Retune DP dynamic DP setpoint</t>
  </si>
  <si>
    <t>Once the DP sensor for the CHW system has been replaced the system should be rebalanced with T&amp;B.</t>
  </si>
  <si>
    <t>Service dampers at OAD</t>
  </si>
  <si>
    <t xml:space="preserve">Specifically for AHU-3 the OA setpoint is not being met and the most likely cause is faulty damper control. It would be worthwhile to service all damper actuators while the technician is on hand. </t>
  </si>
  <si>
    <t>This will be mandatory to calibrate the new BAS</t>
  </si>
  <si>
    <t>Replace all pneumatic controls with DDC</t>
  </si>
  <si>
    <t>There are roughly 50 pneumatic controls in Building 45. DDCs will increase interoperability with the SkySpark system, improve comfort, and reduce system seeking by the AHUs.</t>
  </si>
  <si>
    <t>Clean ducts of debris</t>
  </si>
  <si>
    <t>Numerous vents in Building 45 showed signs of dirt and debris collecting on and around the vents.</t>
  </si>
  <si>
    <t>Consider a displacement air ventilation strategy</t>
  </si>
  <si>
    <t xml:space="preserve">The high ceilings in large open spaces found in the first and second floor of Building 45 create a large cubic footage that is conditioned unnecessiarly. This strategy would focus cooling efforts on the occupied spaces only.  </t>
  </si>
  <si>
    <t xml:space="preserve">a) 6 </t>
  </si>
  <si>
    <t>The majority of lighting has already been upgraded to LED's. The lighting that has not been upgraded is identified in the Notable Conditions  section.</t>
  </si>
  <si>
    <t>b) 7</t>
  </si>
  <si>
    <t>c) 7</t>
  </si>
  <si>
    <t>Integrate lighting control system into BAS and align lighting system schedule to correspond to building occupancy schedule</t>
  </si>
  <si>
    <t>Implement a daylighting scheme</t>
  </si>
  <si>
    <t>There is considerable light that comes in through the numerous windows. Especially in the office space on the third and fourth floor lighting could be reduced with the addition of photocells in appropriate office spaces.</t>
  </si>
  <si>
    <t>Power wash the roof</t>
  </si>
  <si>
    <t xml:space="preserve">The roof is currently dirty and is absorbing more heat than it would with with a simple power wash. </t>
  </si>
  <si>
    <t>Install water utility submeter</t>
  </si>
  <si>
    <t>Water should be metered seperately for Building 45 and Building 94 to better identify areas of waste.</t>
  </si>
  <si>
    <t>Sum of Spec Wattage</t>
  </si>
  <si>
    <t>(blank)</t>
  </si>
  <si>
    <t>incl w 1.1</t>
  </si>
  <si>
    <t>BAS contractor to verify function for reuse</t>
  </si>
  <si>
    <t>same as 1.16</t>
  </si>
  <si>
    <t>Total GHG Emissions Intensity (kgCO2e/ft²)</t>
  </si>
  <si>
    <t>Sq. Ft.</t>
  </si>
  <si>
    <t>Total GHG Emissions (kgCO2e)</t>
  </si>
  <si>
    <t>GHG (Portfolio Manager)</t>
  </si>
  <si>
    <r>
      <t>kBtu/ft</t>
    </r>
    <r>
      <rPr>
        <b/>
        <vertAlign val="superscript"/>
        <sz val="11"/>
        <color theme="1"/>
        <rFont val="Calibri"/>
        <family val="2"/>
        <scheme val="minor"/>
      </rPr>
      <t>2</t>
    </r>
    <r>
      <rPr>
        <b/>
        <sz val="11"/>
        <color theme="1"/>
        <rFont val="Calibri"/>
        <family val="2"/>
        <scheme val="minor"/>
      </rPr>
      <t>-yr</t>
    </r>
  </si>
  <si>
    <r>
      <t>W/ft</t>
    </r>
    <r>
      <rPr>
        <b/>
        <vertAlign val="superscript"/>
        <sz val="11"/>
        <color theme="1"/>
        <rFont val="Calibri"/>
        <family val="2"/>
        <scheme val="minor"/>
      </rPr>
      <t>2</t>
    </r>
  </si>
  <si>
    <t>OS - kBtu/yr</t>
  </si>
  <si>
    <t>Electrical-Parasitic</t>
  </si>
  <si>
    <t>Hanson</t>
  </si>
  <si>
    <t>UCF's OEIS</t>
  </si>
  <si>
    <t>kW</t>
  </si>
  <si>
    <t>kBtu/sqft</t>
  </si>
  <si>
    <t>kbtu/sqft</t>
  </si>
  <si>
    <t>Elec</t>
  </si>
  <si>
    <t>% CHW</t>
  </si>
  <si>
    <t>% Elec</t>
  </si>
  <si>
    <t>HVAC Zone Eq &amp; Other Sensible Air Heating [kBtu]</t>
  </si>
  <si>
    <t>HVAC Zone Eq &amp; Other Sensible Air Cooling [ton-hrs]</t>
  </si>
  <si>
    <t>HVAC Terminal Unit Sensible Air Heating [kBtu]</t>
  </si>
  <si>
    <t>HVAC Terminal Unit Sensible Air Cooling [ton-hrs]</t>
  </si>
  <si>
    <t>HVAC Input Heated Surface Heating [kBtu]</t>
  </si>
  <si>
    <t>HVAC Input Cooled Surface Cooling [ton-hrs]</t>
  </si>
  <si>
    <t>People Sensible Heat Addition [kBtu]</t>
  </si>
  <si>
    <t>Lights Sensible Heat Addition [kBtu]</t>
  </si>
  <si>
    <t>Equipment Sensible Heat Addition [kBtu]</t>
  </si>
  <si>
    <t>Window Heat Addition [kBtu]</t>
  </si>
  <si>
    <t>Interzone Air Transfer Heat Addition [kBtu]</t>
  </si>
  <si>
    <t>Infiltration Heat Addition [kBtu]</t>
  </si>
  <si>
    <t>Opaque Surface Conduction and Other Heat Addition [kBtu]</t>
  </si>
  <si>
    <t>Equipment Sensible Heat Removal [kBtu]</t>
  </si>
  <si>
    <t>Window Heat Removal [kBtu]</t>
  </si>
  <si>
    <t>Interzone Air Transfer Heat Removal [kBtu]</t>
  </si>
  <si>
    <t>Infiltration Heat Removal [kBtu]</t>
  </si>
  <si>
    <t>Opaque Surface Conduction and Other Heat Removal [kBtu]</t>
  </si>
  <si>
    <t>BLOCKS-20823_EDUCATION_1_CORE</t>
  </si>
  <si>
    <t>BLOCKS-20824_OFFICE_1_CORE</t>
  </si>
  <si>
    <t>BLOCKS-20825_OFFICE_1_CORE</t>
  </si>
  <si>
    <t>PNNL_ASSET_RATING_OFFICE_SPACE_TYPE_MID_PLENUM</t>
  </si>
  <si>
    <t>PNNL_ASSET_RATING_OFFICE_SPACE_TYPE_TOP_PLENUM</t>
  </si>
  <si>
    <t>PNNL_ASSET_RATING_SCHOOL_SPACE_TYPE_MID_PLENUM</t>
  </si>
  <si>
    <t>Total Facility</t>
  </si>
  <si>
    <t>HVAC Terminal Unit [kBtu]</t>
  </si>
  <si>
    <t>Total (kBtu)</t>
  </si>
  <si>
    <t>Sensible Heat Gain Summary.</t>
  </si>
  <si>
    <t>Estimated Tonnage/Yr from Lighting on CHW</t>
  </si>
  <si>
    <t>Lighting CHW Demand (kW)</t>
  </si>
  <si>
    <t>Est. Lighting CHW (kWh/yr)</t>
  </si>
  <si>
    <t>Lighting kWh/Total CHW kWh</t>
  </si>
  <si>
    <t>Quantity</t>
  </si>
  <si>
    <t>Summed kVA</t>
  </si>
  <si>
    <r>
      <t xml:space="preserve">kVA (est. to nearest </t>
    </r>
    <r>
      <rPr>
        <sz val="11"/>
        <color theme="1"/>
        <rFont val="Calibri"/>
        <family val="2"/>
      </rPr>
      <t>±</t>
    </r>
    <r>
      <rPr>
        <sz val="11"/>
        <color theme="1"/>
        <rFont val="Calibri"/>
        <family val="2"/>
        <scheme val="minor"/>
      </rPr>
      <t xml:space="preserve"> 2kVA)</t>
    </r>
  </si>
  <si>
    <t xml:space="preserve">Avg. Impedance </t>
  </si>
  <si>
    <t>Enter all known Impedances.</t>
  </si>
  <si>
    <t>% Loss due to Impedances</t>
  </si>
  <si>
    <t>Total kWh/yr lost</t>
  </si>
  <si>
    <t xml:space="preserve">Total $/yr lost </t>
  </si>
  <si>
    <t>Tons Cooling from waste heat</t>
  </si>
  <si>
    <t>Suggested FIM?</t>
  </si>
  <si>
    <t>Yes</t>
  </si>
  <si>
    <t>Possible with Plenum Return?</t>
  </si>
  <si>
    <t>Yes, but COVID</t>
  </si>
  <si>
    <t>Yes, ask Wade if he has an idea of how to verify with exisiting data?</t>
  </si>
  <si>
    <t>Yes, ask Wade to double check my assesment of rtu1_ssFan. ON/OFF operation is all I can see used. Also, supposed VFD ready in notes of M6.2. Supposed to be here per 2007 reno drawings M6.2</t>
  </si>
  <si>
    <t>Yes, it is in existing SOO, but can find no evidence of it being utilized.</t>
  </si>
  <si>
    <t>This is a cost of 1.9 &amp; 1.10</t>
  </si>
  <si>
    <t>Estimated potential savings</t>
  </si>
  <si>
    <t>Q: for Wade</t>
  </si>
  <si>
    <t>Heating FIMs???</t>
  </si>
  <si>
    <t xml:space="preserve">Let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</si>
</sst>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44" formatCode="_(&quot;$&quot;* #,##0.00_);_(&quot;$&quot;* \(#,##0.00\);_(&quot;$&quot;* &quot;-&quot;??_);_(@_)"/>
    <numFmt numFmtId="43" formatCode="_(* #,##0.00_);_(* \(#,##0.00\);_(* &quot;-&quot;??_);_(@_)"/>
    <numFmt numFmtId="164" formatCode="_(* #,##0_);_(* \(#,##0\);_(* &quot;-&quot;??_);_(@_)"/>
    <numFmt numFmtId="165" formatCode="0.000"/>
    <numFmt numFmtId="166" formatCode="_(&quot;$&quot;* #,##0_);_(&quot;$&quot;* \(#,##0\);_(&quot;$&quot;* &quot;-&quot;??_);_(@_)"/>
    <numFmt numFmtId="167" formatCode="_(* #,##0.0_);_(* \(#,##0.0\);_(* &quot;-&quot;??_);_(@_)"/>
    <numFmt numFmtId="168" formatCode="&quot;$&quot;#,##0"/>
    <numFmt numFmtId="169" formatCode="0.0"/>
    <numFmt numFmtId="170" formatCode="_(&quot;$&quot;* #,##0.0_);_(&quot;$&quot;* \(#,##0.0\);_(&quot;$&quot;* &quot;-&quot;??_);_(@_)"/>
    <numFmt numFmtId="171" formatCode="0.0%"/>
    <numFmt numFmtId="172" formatCode="_(&quot;$&quot;* #,##0.0000_);_(&quot;$&quot;* \(#,##0.0000\);_(&quot;$&quot;* &quot;-&quot;??_);_(@_)"/>
  </numFmts>
  <fonts count="4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0"/>
      <name val="Calibri"/>
      <family val="2"/>
      <scheme val="minor"/>
    </font>
    <font>
      <b/>
      <sz val="11"/>
      <color theme="0"/>
      <name val="Calibri"/>
      <family val="2"/>
    </font>
    <font>
      <b/>
      <sz val="15"/>
      <name val="Calibri"/>
      <family val="2"/>
      <scheme val="minor"/>
    </font>
    <font>
      <sz val="11"/>
      <name val="Calibri"/>
      <family val="2"/>
      <scheme val="minor"/>
    </font>
    <font>
      <b/>
      <sz val="11"/>
      <name val="Calibri"/>
      <family val="2"/>
      <scheme val="minor"/>
    </font>
    <font>
      <b/>
      <sz val="14"/>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b/>
      <sz val="12"/>
      <name val="Calibri"/>
      <family val="2"/>
      <scheme val="minor"/>
    </font>
    <font>
      <i/>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1"/>
      <color theme="1"/>
      <name val="Calibri"/>
      <scheme val="minor"/>
    </font>
    <font>
      <b/>
      <sz val="11"/>
      <color theme="1"/>
      <name val="Calibri"/>
      <family val="2"/>
    </font>
    <font>
      <sz val="10"/>
      <color rgb="FF000000"/>
      <name val="Times New Roman"/>
      <family val="1"/>
    </font>
    <font>
      <sz val="9"/>
      <color rgb="FF000000"/>
      <name val="Times New Roman"/>
      <family val="2"/>
    </font>
    <font>
      <sz val="9"/>
      <name val="Times New Roman"/>
      <family val="1"/>
    </font>
    <font>
      <b/>
      <sz val="9"/>
      <name val="Times New Roman"/>
      <family val="1"/>
    </font>
    <font>
      <sz val="11"/>
      <color theme="1"/>
      <name val="Calibri"/>
      <family val="2"/>
    </font>
    <font>
      <strike/>
      <sz val="11"/>
      <name val="Calibri"/>
      <family val="2"/>
      <scheme val="minor"/>
    </font>
    <font>
      <sz val="8"/>
      <color rgb="FF000000"/>
      <name val="Arial"/>
      <family val="2"/>
    </font>
    <font>
      <b/>
      <vertAlign val="superscript"/>
      <sz val="11"/>
      <color theme="1"/>
      <name val="Calibri"/>
      <family val="2"/>
      <scheme val="minor"/>
    </font>
    <font>
      <sz val="14"/>
      <color rgb="FF000000"/>
      <name val="Times New Roman"/>
      <family val="1"/>
    </font>
    <font>
      <b/>
      <sz val="12"/>
      <color rgb="FF000000"/>
      <name val="Calibri"/>
      <family val="2"/>
      <scheme val="minor"/>
    </font>
    <font>
      <sz val="12"/>
      <color rgb="FF00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bgColor theme="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5" tint="0.59999389629810485"/>
        <bgColor indexed="64"/>
      </patternFill>
    </fill>
  </fills>
  <borders count="1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rgb="FF7F7F7F"/>
      </left>
      <right style="medium">
        <color indexed="64"/>
      </right>
      <top/>
      <bottom style="medium">
        <color indexed="64"/>
      </bottom>
      <diagonal/>
    </border>
    <border>
      <left style="thin">
        <color rgb="FF7F7F7F"/>
      </left>
      <right style="thin">
        <color rgb="FF7F7F7F"/>
      </right>
      <top/>
      <bottom style="medium">
        <color indexed="64"/>
      </bottom>
      <diagonal/>
    </border>
    <border>
      <left style="medium">
        <color indexed="64"/>
      </left>
      <right style="thin">
        <color rgb="FF7F7F7F"/>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n">
        <color rgb="FF7F7F7F"/>
      </left>
      <right style="thin">
        <color rgb="FF7F7F7F"/>
      </right>
      <top style="medium">
        <color indexed="64"/>
      </top>
      <bottom style="thin">
        <color rgb="FF7F7F7F"/>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rgb="FF7F7F7F"/>
      </left>
      <right style="medium">
        <color indexed="64"/>
      </right>
      <top style="thin">
        <color rgb="FF7F7F7F"/>
      </top>
      <bottom/>
      <diagonal/>
    </border>
    <border>
      <left style="thin">
        <color rgb="FF7F7F7F"/>
      </left>
      <right style="thin">
        <color rgb="FF7F7F7F"/>
      </right>
      <top style="thin">
        <color rgb="FF7F7F7F"/>
      </top>
      <bottom/>
      <diagonal/>
    </border>
    <border>
      <left style="medium">
        <color indexed="64"/>
      </left>
      <right style="thin">
        <color rgb="FF7F7F7F"/>
      </right>
      <top style="thin">
        <color rgb="FF7F7F7F"/>
      </top>
      <bottom/>
      <diagonal/>
    </border>
    <border>
      <left style="medium">
        <color indexed="64"/>
      </left>
      <right style="medium">
        <color indexed="64"/>
      </right>
      <top style="thin">
        <color rgb="FF7F7F7F"/>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top style="thin">
        <color rgb="FF7F7F7F"/>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rgb="FF7F7F7F"/>
      </left>
      <right style="medium">
        <color indexed="64"/>
      </right>
      <top style="medium">
        <color indexed="64"/>
      </top>
      <bottom style="medium">
        <color indexed="64"/>
      </bottom>
      <diagonal/>
    </border>
    <border>
      <left style="medium">
        <color indexed="64"/>
      </left>
      <right style="thin">
        <color rgb="FF7F7F7F"/>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rgb="FF7F7F7F"/>
      </left>
      <right style="medium">
        <color indexed="64"/>
      </right>
      <top/>
      <bottom style="thin">
        <color rgb="FF7F7F7F"/>
      </bottom>
      <diagonal/>
    </border>
    <border>
      <left style="thin">
        <color rgb="FF7F7F7F"/>
      </left>
      <right style="medium">
        <color indexed="64"/>
      </right>
      <top style="thin">
        <color rgb="FF7F7F7F"/>
      </top>
      <bottom style="thin">
        <color rgb="FF7F7F7F"/>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rgb="FF7F7F7F"/>
      </right>
      <top style="thin">
        <color rgb="FF7F7F7F"/>
      </top>
      <bottom style="thin">
        <color rgb="FF7F7F7F"/>
      </bottom>
      <diagonal/>
    </border>
    <border>
      <left style="thin">
        <color indexed="64"/>
      </left>
      <right/>
      <top style="medium">
        <color indexed="64"/>
      </top>
      <bottom/>
      <diagonal/>
    </border>
    <border>
      <left/>
      <right style="medium">
        <color indexed="64"/>
      </right>
      <top/>
      <bottom style="thin">
        <color rgb="FF7F7F7F"/>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thin">
        <color rgb="FF7F7F7F"/>
      </left>
      <right/>
      <top style="thin">
        <color rgb="FF7F7F7F"/>
      </top>
      <bottom style="thin">
        <color rgb="FF7F7F7F"/>
      </bottom>
      <diagonal/>
    </border>
    <border>
      <left style="medium">
        <color indexed="64"/>
      </left>
      <right/>
      <top style="thin">
        <color rgb="FF7F7F7F"/>
      </top>
      <bottom/>
      <diagonal/>
    </border>
    <border>
      <left/>
      <right style="thin">
        <color indexed="64"/>
      </right>
      <top style="thin">
        <color rgb="FF7F7F7F"/>
      </top>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top/>
      <bottom style="thin">
        <color rgb="FF000000"/>
      </bottom>
      <diagonal/>
    </border>
    <border>
      <left/>
      <right/>
      <top style="thin">
        <color indexed="64"/>
      </top>
      <bottom/>
      <diagonal/>
    </border>
    <border>
      <left/>
      <right/>
      <top style="thin">
        <color rgb="FF000000"/>
      </top>
      <bottom/>
      <diagonal/>
    </border>
    <border>
      <left style="thin">
        <color rgb="FF7F7F7F"/>
      </left>
      <right/>
      <top style="thin">
        <color rgb="FF7F7F7F"/>
      </top>
      <bottom style="medium">
        <color indexed="64"/>
      </bottom>
      <diagonal/>
    </border>
    <border>
      <left/>
      <right/>
      <top/>
      <bottom style="thin">
        <color theme="4" tint="0.39997558519241921"/>
      </bottom>
      <diagonal/>
    </border>
    <border>
      <left style="thin">
        <color indexed="64"/>
      </left>
      <right/>
      <top/>
      <bottom/>
      <diagonal/>
    </border>
    <border>
      <left/>
      <right/>
      <top style="thin">
        <color theme="4" tint="0.39997558519241921"/>
      </top>
      <bottom/>
      <diagonal/>
    </border>
    <border>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indexed="64"/>
      </left>
      <right/>
      <top/>
      <bottom style="thin">
        <color rgb="FF000000"/>
      </bottom>
      <diagonal/>
    </border>
    <border>
      <left style="thin">
        <color rgb="FF000000"/>
      </left>
      <right style="medium">
        <color indexed="64"/>
      </right>
      <top/>
      <bottom style="thin">
        <color rgb="FF000000"/>
      </bottom>
      <diagonal/>
    </border>
    <border>
      <left style="medium">
        <color indexed="64"/>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diagonal/>
    </border>
    <border>
      <left style="thin">
        <color rgb="FF000000"/>
      </left>
      <right style="medium">
        <color indexed="64"/>
      </right>
      <top style="thin">
        <color rgb="FF000000"/>
      </top>
      <bottom/>
      <diagonal/>
    </border>
    <border>
      <left style="medium">
        <color indexed="64"/>
      </left>
      <right style="medium">
        <color indexed="64"/>
      </right>
      <top style="medium">
        <color indexed="64"/>
      </top>
      <bottom style="thin">
        <color rgb="FF7F7F7F"/>
      </bottom>
      <diagonal/>
    </border>
  </borders>
  <cellStyleXfs count="47">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5" fillId="0" borderId="0" applyNumberFormat="0" applyFill="0" applyBorder="0" applyAlignment="0" applyProtection="0"/>
    <xf numFmtId="0" fontId="35" fillId="0" borderId="0"/>
  </cellStyleXfs>
  <cellXfs count="741">
    <xf numFmtId="0" fontId="0" fillId="0" borderId="0" xfId="0"/>
    <xf numFmtId="0" fontId="0" fillId="0" borderId="0" xfId="0" applyNumberFormat="1"/>
    <xf numFmtId="14" fontId="0" fillId="0" borderId="0" xfId="0" applyNumberFormat="1" applyAlignment="1">
      <alignment horizontal="left"/>
    </xf>
    <xf numFmtId="0" fontId="0" fillId="0" borderId="0" xfId="0" applyBorder="1"/>
    <xf numFmtId="44" fontId="0" fillId="0" borderId="0" xfId="2" applyFont="1" applyBorder="1"/>
    <xf numFmtId="43" fontId="0" fillId="0" borderId="0" xfId="1" applyFont="1" applyBorder="1"/>
    <xf numFmtId="44" fontId="0" fillId="0" borderId="0" xfId="2" applyNumberFormat="1" applyFont="1"/>
    <xf numFmtId="164" fontId="0" fillId="0" borderId="0" xfId="1" applyNumberFormat="1" applyFont="1"/>
    <xf numFmtId="0" fontId="0" fillId="0" borderId="0" xfId="0" applyAlignment="1">
      <alignment horizontal="left"/>
    </xf>
    <xf numFmtId="164" fontId="11" fillId="6" borderId="10" xfId="13" applyNumberFormat="1" applyBorder="1"/>
    <xf numFmtId="0" fontId="16" fillId="0" borderId="13" xfId="0" applyFont="1" applyBorder="1"/>
    <xf numFmtId="164" fontId="11" fillId="6" borderId="16" xfId="13" applyNumberFormat="1" applyBorder="1"/>
    <xf numFmtId="44" fontId="11" fillId="6" borderId="12" xfId="13" applyNumberFormat="1" applyBorder="1"/>
    <xf numFmtId="43" fontId="11" fillId="6" borderId="16" xfId="13" applyNumberFormat="1" applyBorder="1"/>
    <xf numFmtId="0" fontId="16" fillId="0" borderId="14" xfId="0" applyFont="1" applyBorder="1"/>
    <xf numFmtId="0" fontId="16" fillId="0" borderId="15" xfId="0" applyFont="1" applyBorder="1"/>
    <xf numFmtId="0" fontId="16" fillId="0" borderId="17" xfId="0" applyFont="1" applyBorder="1"/>
    <xf numFmtId="44" fontId="16" fillId="0" borderId="0" xfId="2" applyFont="1" applyBorder="1"/>
    <xf numFmtId="43" fontId="16" fillId="0" borderId="0" xfId="1" applyFont="1" applyBorder="1"/>
    <xf numFmtId="0" fontId="0" fillId="33" borderId="0" xfId="0" applyFill="1"/>
    <xf numFmtId="0" fontId="0" fillId="0" borderId="0" xfId="0" pivotButton="1"/>
    <xf numFmtId="44" fontId="0" fillId="0" borderId="0" xfId="2" applyFont="1"/>
    <xf numFmtId="14" fontId="0" fillId="0" borderId="0" xfId="0" applyNumberFormat="1"/>
    <xf numFmtId="0" fontId="13" fillId="0" borderId="0" xfId="0" applyFont="1" applyFill="1" applyAlignment="1">
      <alignment vertical="top" wrapText="1"/>
    </xf>
    <xf numFmtId="0" fontId="13" fillId="34" borderId="0" xfId="0" applyFont="1" applyFill="1" applyAlignment="1">
      <alignment vertical="top" wrapText="1"/>
    </xf>
    <xf numFmtId="0" fontId="13" fillId="33" borderId="0" xfId="0" applyFont="1" applyFill="1" applyAlignment="1">
      <alignment vertical="top" wrapText="1"/>
    </xf>
    <xf numFmtId="0" fontId="0" fillId="34" borderId="0" xfId="0" applyFill="1"/>
    <xf numFmtId="0" fontId="13" fillId="34" borderId="0" xfId="0" applyFont="1" applyFill="1" applyBorder="1" applyAlignment="1">
      <alignment horizontal="center" vertical="top" wrapText="1"/>
    </xf>
    <xf numFmtId="0" fontId="13" fillId="33" borderId="18" xfId="0" applyFont="1" applyFill="1" applyBorder="1" applyAlignment="1">
      <alignment vertical="top" wrapText="1"/>
    </xf>
    <xf numFmtId="0" fontId="13" fillId="33" borderId="13" xfId="0" applyFont="1" applyFill="1" applyBorder="1" applyAlignment="1">
      <alignment vertical="top" wrapText="1"/>
    </xf>
    <xf numFmtId="0" fontId="13" fillId="34" borderId="0" xfId="0" applyFont="1" applyFill="1"/>
    <xf numFmtId="0" fontId="13" fillId="33" borderId="0" xfId="0" applyFont="1" applyFill="1"/>
    <xf numFmtId="0" fontId="9" fillId="5" borderId="24" xfId="11" applyBorder="1"/>
    <xf numFmtId="0" fontId="9" fillId="5" borderId="29" xfId="11" applyBorder="1"/>
    <xf numFmtId="43" fontId="11" fillId="6" borderId="36" xfId="13" applyNumberFormat="1" applyBorder="1"/>
    <xf numFmtId="0" fontId="16" fillId="0" borderId="37" xfId="0" applyFont="1" applyBorder="1"/>
    <xf numFmtId="0" fontId="0" fillId="0" borderId="0" xfId="0" applyBorder="1" applyAlignment="1">
      <alignment wrapText="1"/>
    </xf>
    <xf numFmtId="1" fontId="0" fillId="0" borderId="0" xfId="0" applyNumberFormat="1" applyBorder="1" applyAlignment="1">
      <alignment horizontal="right"/>
    </xf>
    <xf numFmtId="1" fontId="0" fillId="0" borderId="0" xfId="0" applyNumberFormat="1" applyAlignment="1">
      <alignment horizontal="right"/>
    </xf>
    <xf numFmtId="9" fontId="0" fillId="0" borderId="0" xfId="44" applyFont="1" applyAlignment="1">
      <alignment horizontal="right"/>
    </xf>
    <xf numFmtId="0" fontId="9" fillId="5" borderId="25" xfId="11" applyBorder="1"/>
    <xf numFmtId="0" fontId="9" fillId="5" borderId="19" xfId="11" applyBorder="1"/>
    <xf numFmtId="0" fontId="9" fillId="5" borderId="40" xfId="11" applyBorder="1"/>
    <xf numFmtId="0" fontId="16" fillId="0" borderId="38" xfId="0" applyFont="1" applyBorder="1"/>
    <xf numFmtId="0" fontId="16" fillId="0" borderId="25" xfId="0" applyFont="1" applyBorder="1"/>
    <xf numFmtId="0" fontId="16" fillId="0" borderId="28" xfId="0" applyFont="1" applyBorder="1"/>
    <xf numFmtId="0" fontId="16" fillId="0" borderId="19" xfId="0" applyFont="1" applyBorder="1"/>
    <xf numFmtId="0" fontId="9" fillId="5" borderId="28" xfId="11" applyBorder="1"/>
    <xf numFmtId="2" fontId="0" fillId="0" borderId="0" xfId="0" applyNumberFormat="1" applyAlignment="1">
      <alignment horizontal="right"/>
    </xf>
    <xf numFmtId="165" fontId="0" fillId="0" borderId="0" xfId="0" applyNumberFormat="1" applyAlignment="1">
      <alignment horizontal="right"/>
    </xf>
    <xf numFmtId="164" fontId="0" fillId="0" borderId="0" xfId="1" applyNumberFormat="1" applyFont="1" applyAlignment="1">
      <alignment horizontal="right"/>
    </xf>
    <xf numFmtId="43" fontId="0" fillId="0" borderId="0" xfId="0" applyNumberFormat="1"/>
    <xf numFmtId="164" fontId="0" fillId="0" borderId="0" xfId="0" applyNumberFormat="1"/>
    <xf numFmtId="0" fontId="0" fillId="0" borderId="0" xfId="0" applyAlignment="1">
      <alignment horizontal="right"/>
    </xf>
    <xf numFmtId="164" fontId="0" fillId="0" borderId="0" xfId="0" applyNumberFormat="1" applyAlignment="1">
      <alignment horizontal="right"/>
    </xf>
    <xf numFmtId="0" fontId="11" fillId="6" borderId="45" xfId="13" applyBorder="1"/>
    <xf numFmtId="44" fontId="11" fillId="6" borderId="40" xfId="13" applyNumberFormat="1" applyBorder="1" applyAlignment="1"/>
    <xf numFmtId="44" fontId="0" fillId="0" borderId="0" xfId="2" applyFont="1" applyAlignment="1">
      <alignment horizontal="right"/>
    </xf>
    <xf numFmtId="1" fontId="0" fillId="0" borderId="0" xfId="1" applyNumberFormat="1" applyFont="1" applyAlignment="1">
      <alignment horizontal="right"/>
    </xf>
    <xf numFmtId="0" fontId="16" fillId="0" borderId="37" xfId="0" applyFont="1" applyBorder="1" applyAlignment="1">
      <alignment horizontal="center"/>
    </xf>
    <xf numFmtId="1" fontId="11" fillId="6" borderId="16" xfId="13" applyNumberFormat="1" applyBorder="1" applyAlignment="1">
      <alignment horizontal="center"/>
    </xf>
    <xf numFmtId="1" fontId="11" fillId="6" borderId="10" xfId="13" applyNumberFormat="1" applyBorder="1" applyAlignment="1">
      <alignment horizontal="center"/>
    </xf>
    <xf numFmtId="167" fontId="0" fillId="0" borderId="0" xfId="1" applyNumberFormat="1" applyFont="1"/>
    <xf numFmtId="43" fontId="0" fillId="0" borderId="0" xfId="1" applyNumberFormat="1" applyFont="1"/>
    <xf numFmtId="164" fontId="0" fillId="0" borderId="0" xfId="1" applyNumberFormat="1" applyFont="1" applyBorder="1" applyAlignment="1">
      <alignment horizontal="right"/>
    </xf>
    <xf numFmtId="167" fontId="0" fillId="0" borderId="0" xfId="0" applyNumberFormat="1"/>
    <xf numFmtId="44" fontId="11" fillId="6" borderId="25" xfId="13" applyNumberFormat="1" applyBorder="1"/>
    <xf numFmtId="164" fontId="11" fillId="6" borderId="19" xfId="13" applyNumberFormat="1" applyBorder="1"/>
    <xf numFmtId="164" fontId="0" fillId="0" borderId="0" xfId="0" applyNumberFormat="1" applyBorder="1"/>
    <xf numFmtId="0" fontId="21" fillId="0" borderId="0" xfId="0" applyFont="1"/>
    <xf numFmtId="166" fontId="21" fillId="0" borderId="0" xfId="2" applyNumberFormat="1" applyFont="1"/>
    <xf numFmtId="9" fontId="21" fillId="0" borderId="0" xfId="44" applyNumberFormat="1" applyFont="1"/>
    <xf numFmtId="0" fontId="21" fillId="0" borderId="0" xfId="0" applyFont="1" applyAlignment="1">
      <alignment horizontal="left"/>
    </xf>
    <xf numFmtId="168" fontId="21" fillId="0" borderId="0" xfId="0" applyNumberFormat="1" applyFont="1"/>
    <xf numFmtId="166" fontId="21" fillId="0" borderId="47" xfId="2" applyNumberFormat="1" applyFont="1" applyFill="1" applyBorder="1" applyAlignment="1">
      <alignment horizontal="center" vertical="center" wrapText="1"/>
    </xf>
    <xf numFmtId="166" fontId="21" fillId="0" borderId="47" xfId="8" applyNumberFormat="1" applyFont="1" applyFill="1" applyBorder="1" applyAlignment="1">
      <alignment horizontal="center" vertical="center" wrapText="1"/>
    </xf>
    <xf numFmtId="49" fontId="0" fillId="0" borderId="0" xfId="0" applyNumberFormat="1"/>
    <xf numFmtId="0" fontId="1" fillId="0" borderId="0" xfId="0" applyNumberFormat="1" applyFont="1"/>
    <xf numFmtId="10" fontId="0" fillId="0" borderId="0" xfId="44" applyNumberFormat="1" applyFont="1"/>
    <xf numFmtId="0" fontId="0" fillId="0" borderId="0" xfId="0" applyFill="1"/>
    <xf numFmtId="0" fontId="21" fillId="0" borderId="0" xfId="0" applyFont="1" applyFill="1"/>
    <xf numFmtId="168" fontId="21" fillId="0" borderId="47" xfId="2" applyNumberFormat="1" applyFont="1" applyFill="1" applyBorder="1" applyAlignment="1">
      <alignment horizontal="center" vertical="center" wrapText="1"/>
    </xf>
    <xf numFmtId="166" fontId="21" fillId="36" borderId="47" xfId="2" applyNumberFormat="1" applyFont="1" applyFill="1" applyBorder="1" applyAlignment="1">
      <alignment horizontal="center" vertical="center" wrapText="1"/>
    </xf>
    <xf numFmtId="0" fontId="21" fillId="36" borderId="47" xfId="0" applyFont="1" applyFill="1" applyBorder="1" applyAlignment="1">
      <alignment horizontal="center" vertical="center" wrapText="1"/>
    </xf>
    <xf numFmtId="0" fontId="21" fillId="0" borderId="0" xfId="0" applyFont="1" applyAlignment="1">
      <alignment horizontal="center"/>
    </xf>
    <xf numFmtId="0" fontId="16" fillId="0" borderId="14" xfId="0" applyFont="1" applyBorder="1" applyAlignment="1">
      <alignment horizontal="left"/>
    </xf>
    <xf numFmtId="0" fontId="0" fillId="0" borderId="0" xfId="0" applyAlignment="1">
      <alignment horizontal="center"/>
    </xf>
    <xf numFmtId="2" fontId="16" fillId="0" borderId="0" xfId="0" applyNumberFormat="1" applyFont="1" applyAlignment="1">
      <alignment horizontal="center"/>
    </xf>
    <xf numFmtId="0" fontId="0" fillId="34" borderId="23" xfId="0" applyFill="1" applyBorder="1" applyAlignment="1">
      <alignment horizontal="center"/>
    </xf>
    <xf numFmtId="0" fontId="0" fillId="34" borderId="48" xfId="0" applyFill="1" applyBorder="1" applyAlignment="1">
      <alignment horizontal="center"/>
    </xf>
    <xf numFmtId="44" fontId="0" fillId="0" borderId="49" xfId="2" applyFont="1" applyBorder="1" applyAlignment="1">
      <alignment horizontal="center"/>
    </xf>
    <xf numFmtId="44" fontId="0" fillId="0" borderId="49" xfId="0" applyNumberFormat="1" applyBorder="1" applyAlignment="1">
      <alignment horizontal="center"/>
    </xf>
    <xf numFmtId="44" fontId="0" fillId="0" borderId="55" xfId="0" applyNumberFormat="1" applyBorder="1" applyAlignment="1">
      <alignment horizontal="center"/>
    </xf>
    <xf numFmtId="44" fontId="0" fillId="0" borderId="55" xfId="2" applyFont="1" applyBorder="1" applyAlignment="1">
      <alignment horizontal="center"/>
    </xf>
    <xf numFmtId="9" fontId="0" fillId="0" borderId="38" xfId="0" applyNumberFormat="1" applyBorder="1" applyAlignment="1">
      <alignment horizontal="center"/>
    </xf>
    <xf numFmtId="44" fontId="0" fillId="0" borderId="64" xfId="0" applyNumberFormat="1" applyBorder="1" applyAlignment="1">
      <alignment horizontal="center"/>
    </xf>
    <xf numFmtId="1" fontId="0" fillId="0" borderId="18" xfId="0" applyNumberFormat="1" applyBorder="1" applyAlignment="1">
      <alignment horizontal="center"/>
    </xf>
    <xf numFmtId="44" fontId="11" fillId="6" borderId="64" xfId="13" applyNumberFormat="1" applyBorder="1" applyAlignment="1">
      <alignment horizontal="center"/>
    </xf>
    <xf numFmtId="9" fontId="0" fillId="0" borderId="60" xfId="44" applyFont="1"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44" fontId="0" fillId="0" borderId="62" xfId="2" applyFont="1" applyBorder="1" applyAlignment="1">
      <alignment horizontal="center"/>
    </xf>
    <xf numFmtId="0" fontId="0" fillId="34" borderId="51" xfId="0" applyFill="1" applyBorder="1" applyAlignment="1">
      <alignment horizontal="center"/>
    </xf>
    <xf numFmtId="0" fontId="0" fillId="34" borderId="53" xfId="0" applyFill="1" applyBorder="1" applyAlignment="1">
      <alignment horizontal="center"/>
    </xf>
    <xf numFmtId="44" fontId="0" fillId="0" borderId="65" xfId="2" applyFont="1" applyBorder="1" applyAlignment="1">
      <alignment horizontal="center"/>
    </xf>
    <xf numFmtId="1" fontId="0" fillId="0" borderId="64" xfId="0" applyNumberFormat="1" applyBorder="1" applyAlignment="1">
      <alignment horizontal="center"/>
    </xf>
    <xf numFmtId="44" fontId="0" fillId="0" borderId="58" xfId="0" applyNumberFormat="1" applyBorder="1" applyAlignment="1">
      <alignment horizontal="center"/>
    </xf>
    <xf numFmtId="44" fontId="0" fillId="0" borderId="39" xfId="0" applyNumberFormat="1" applyBorder="1" applyAlignment="1">
      <alignment horizontal="center"/>
    </xf>
    <xf numFmtId="9" fontId="0" fillId="0" borderId="38" xfId="44" applyFont="1" applyBorder="1" applyAlignment="1">
      <alignment horizontal="center"/>
    </xf>
    <xf numFmtId="0" fontId="16" fillId="0" borderId="63" xfId="0" applyFont="1" applyFill="1" applyBorder="1" applyAlignment="1">
      <alignment horizontal="center"/>
    </xf>
    <xf numFmtId="0" fontId="0" fillId="0" borderId="39" xfId="0" applyBorder="1" applyAlignment="1">
      <alignment horizontal="center"/>
    </xf>
    <xf numFmtId="0" fontId="0" fillId="0" borderId="47" xfId="0" applyBorder="1" applyAlignment="1">
      <alignment horizontal="center"/>
    </xf>
    <xf numFmtId="44" fontId="0" fillId="0" borderId="47" xfId="2" applyFont="1" applyBorder="1" applyAlignment="1">
      <alignment horizontal="center"/>
    </xf>
    <xf numFmtId="0" fontId="8" fillId="4" borderId="23" xfId="10" applyBorder="1" applyAlignment="1">
      <alignment horizontal="center"/>
    </xf>
    <xf numFmtId="0" fontId="8" fillId="4" borderId="48" xfId="10" applyBorder="1" applyAlignment="1">
      <alignment horizontal="center"/>
    </xf>
    <xf numFmtId="169" fontId="8" fillId="4" borderId="40" xfId="10" applyNumberFormat="1" applyBorder="1" applyAlignment="1">
      <alignment horizontal="center"/>
    </xf>
    <xf numFmtId="0" fontId="8" fillId="4" borderId="25" xfId="10" applyBorder="1" applyAlignment="1">
      <alignment horizontal="center"/>
    </xf>
    <xf numFmtId="0" fontId="8" fillId="4" borderId="26" xfId="10" applyBorder="1" applyAlignment="1">
      <alignment horizontal="center"/>
    </xf>
    <xf numFmtId="0" fontId="8" fillId="4" borderId="0" xfId="10" applyBorder="1" applyAlignment="1">
      <alignment horizontal="center"/>
    </xf>
    <xf numFmtId="44" fontId="8" fillId="4" borderId="39" xfId="10" applyNumberFormat="1" applyBorder="1" applyAlignment="1">
      <alignment horizontal="center"/>
    </xf>
    <xf numFmtId="0" fontId="8" fillId="4" borderId="38" xfId="10" applyBorder="1" applyAlignment="1">
      <alignment horizontal="center"/>
    </xf>
    <xf numFmtId="44" fontId="8" fillId="4" borderId="61" xfId="10" applyNumberFormat="1" applyBorder="1" applyAlignment="1">
      <alignment horizontal="center"/>
    </xf>
    <xf numFmtId="0" fontId="8" fillId="4" borderId="63" xfId="10" applyBorder="1" applyAlignment="1">
      <alignment horizontal="center"/>
    </xf>
    <xf numFmtId="44" fontId="11" fillId="6" borderId="18" xfId="13" applyNumberFormat="1" applyBorder="1" applyAlignment="1">
      <alignment horizontal="center"/>
    </xf>
    <xf numFmtId="9" fontId="0" fillId="0" borderId="50" xfId="44" applyFont="1" applyBorder="1" applyAlignment="1">
      <alignment horizontal="center"/>
    </xf>
    <xf numFmtId="9" fontId="0" fillId="0" borderId="58" xfId="44" applyFont="1" applyBorder="1" applyAlignment="1">
      <alignment horizontal="center"/>
    </xf>
    <xf numFmtId="44" fontId="0" fillId="0" borderId="61" xfId="2" applyFont="1" applyBorder="1" applyAlignment="1">
      <alignment horizontal="center"/>
    </xf>
    <xf numFmtId="170" fontId="0" fillId="0" borderId="40" xfId="2" applyNumberFormat="1" applyFont="1" applyBorder="1" applyAlignment="1">
      <alignment horizontal="center"/>
    </xf>
    <xf numFmtId="44" fontId="0" fillId="0" borderId="38" xfId="2" applyFont="1" applyBorder="1" applyAlignment="1">
      <alignment horizontal="center"/>
    </xf>
    <xf numFmtId="44" fontId="0" fillId="0" borderId="67" xfId="0" applyNumberFormat="1" applyBorder="1" applyAlignment="1">
      <alignment horizontal="center"/>
    </xf>
    <xf numFmtId="44" fontId="0" fillId="0" borderId="68" xfId="0" applyNumberFormat="1" applyBorder="1" applyAlignment="1">
      <alignment horizontal="center"/>
    </xf>
    <xf numFmtId="44" fontId="0" fillId="0" borderId="69" xfId="2" applyFont="1" applyBorder="1" applyAlignment="1">
      <alignment horizontal="center"/>
    </xf>
    <xf numFmtId="9" fontId="0" fillId="0" borderId="32" xfId="44" applyFont="1" applyBorder="1" applyAlignment="1">
      <alignment horizontal="center"/>
    </xf>
    <xf numFmtId="0" fontId="0" fillId="0" borderId="48" xfId="0" applyBorder="1" applyAlignment="1">
      <alignment horizontal="center"/>
    </xf>
    <xf numFmtId="0" fontId="16" fillId="34" borderId="0" xfId="0" applyFont="1" applyFill="1" applyBorder="1" applyAlignment="1">
      <alignment horizontal="center"/>
    </xf>
    <xf numFmtId="0" fontId="0" fillId="34" borderId="0" xfId="0" applyFill="1" applyBorder="1" applyAlignment="1">
      <alignment horizontal="center"/>
    </xf>
    <xf numFmtId="0" fontId="0" fillId="34" borderId="27" xfId="0" applyFill="1" applyBorder="1" applyAlignment="1">
      <alignment horizontal="center"/>
    </xf>
    <xf numFmtId="44" fontId="0" fillId="34" borderId="64" xfId="2" applyFont="1" applyFill="1" applyBorder="1" applyAlignment="1">
      <alignment horizontal="center"/>
    </xf>
    <xf numFmtId="9" fontId="0" fillId="0" borderId="64" xfId="44" applyFont="1" applyBorder="1" applyAlignment="1">
      <alignment horizontal="center"/>
    </xf>
    <xf numFmtId="0" fontId="16" fillId="0" borderId="27" xfId="0" applyFont="1" applyBorder="1" applyAlignment="1">
      <alignment horizontal="center"/>
    </xf>
    <xf numFmtId="2" fontId="0" fillId="0" borderId="64" xfId="0" applyNumberFormat="1" applyBorder="1" applyAlignment="1">
      <alignment horizontal="center"/>
    </xf>
    <xf numFmtId="164" fontId="0" fillId="0" borderId="67" xfId="1" applyNumberFormat="1" applyFont="1" applyBorder="1" applyAlignment="1">
      <alignment horizontal="center"/>
    </xf>
    <xf numFmtId="0" fontId="16" fillId="0" borderId="73" xfId="0" applyFont="1" applyBorder="1" applyAlignment="1">
      <alignment horizontal="center"/>
    </xf>
    <xf numFmtId="0" fontId="0" fillId="34" borderId="26" xfId="0" applyFill="1" applyBorder="1" applyAlignment="1">
      <alignment horizontal="center"/>
    </xf>
    <xf numFmtId="164" fontId="0" fillId="0" borderId="74" xfId="1" applyNumberFormat="1" applyFont="1" applyBorder="1" applyAlignment="1">
      <alignment horizontal="center"/>
    </xf>
    <xf numFmtId="44" fontId="0" fillId="0" borderId="54" xfId="0" applyNumberFormat="1" applyBorder="1" applyAlignment="1">
      <alignment horizontal="center"/>
    </xf>
    <xf numFmtId="0" fontId="0" fillId="0" borderId="54" xfId="0" applyBorder="1" applyAlignment="1">
      <alignment horizontal="center"/>
    </xf>
    <xf numFmtId="0" fontId="0" fillId="0" borderId="26" xfId="0" applyBorder="1" applyAlignment="1">
      <alignment horizontal="center"/>
    </xf>
    <xf numFmtId="44" fontId="0" fillId="0" borderId="40" xfId="0" applyNumberFormat="1" applyBorder="1" applyAlignment="1">
      <alignment horizontal="center"/>
    </xf>
    <xf numFmtId="0" fontId="0" fillId="0" borderId="19" xfId="0" applyBorder="1" applyAlignment="1">
      <alignment horizontal="center"/>
    </xf>
    <xf numFmtId="44" fontId="0" fillId="0" borderId="76" xfId="0" applyNumberFormat="1" applyBorder="1" applyAlignment="1">
      <alignment horizontal="center"/>
    </xf>
    <xf numFmtId="0" fontId="0" fillId="34" borderId="30" xfId="0" applyFill="1" applyBorder="1" applyAlignment="1">
      <alignment horizontal="center"/>
    </xf>
    <xf numFmtId="0" fontId="0" fillId="34" borderId="31" xfId="0" applyFill="1" applyBorder="1" applyAlignment="1">
      <alignment horizontal="center"/>
    </xf>
    <xf numFmtId="0" fontId="16" fillId="0" borderId="79" xfId="0" applyFont="1" applyBorder="1" applyAlignment="1">
      <alignment horizontal="center"/>
    </xf>
    <xf numFmtId="44" fontId="0" fillId="0" borderId="80" xfId="2" applyFont="1" applyBorder="1" applyAlignment="1">
      <alignment horizontal="center"/>
    </xf>
    <xf numFmtId="44" fontId="0" fillId="0" borderId="81" xfId="2" applyFont="1" applyBorder="1" applyAlignment="1">
      <alignment horizontal="center"/>
    </xf>
    <xf numFmtId="9" fontId="0" fillId="0" borderId="18" xfId="44" applyFont="1" applyBorder="1" applyAlignment="1">
      <alignment horizontal="center"/>
    </xf>
    <xf numFmtId="0" fontId="0" fillId="0" borderId="0" xfId="0" applyBorder="1" applyAlignment="1">
      <alignment horizontal="center"/>
    </xf>
    <xf numFmtId="0" fontId="16" fillId="0" borderId="64" xfId="0" applyFont="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44" fontId="0" fillId="0" borderId="26" xfId="2" applyFont="1" applyBorder="1"/>
    <xf numFmtId="44" fontId="0" fillId="0" borderId="43" xfId="2" applyFont="1" applyBorder="1" applyAlignment="1">
      <alignment horizontal="center"/>
    </xf>
    <xf numFmtId="0" fontId="16" fillId="0" borderId="82" xfId="0" applyFont="1" applyBorder="1" applyAlignment="1">
      <alignment horizontal="center"/>
    </xf>
    <xf numFmtId="44" fontId="0" fillId="0" borderId="83" xfId="2" applyFont="1" applyBorder="1" applyAlignment="1">
      <alignment horizontal="center"/>
    </xf>
    <xf numFmtId="9" fontId="0" fillId="0" borderId="63" xfId="44" applyFont="1" applyBorder="1" applyAlignment="1">
      <alignment horizontal="center"/>
    </xf>
    <xf numFmtId="0" fontId="0" fillId="0" borderId="0" xfId="0" applyAlignment="1"/>
    <xf numFmtId="44" fontId="0" fillId="0" borderId="0" xfId="0" applyNumberFormat="1"/>
    <xf numFmtId="0" fontId="9" fillId="5" borderId="47" xfId="11" applyBorder="1"/>
    <xf numFmtId="44" fontId="9" fillId="5" borderId="47" xfId="2" applyFont="1" applyFill="1" applyBorder="1"/>
    <xf numFmtId="0" fontId="16" fillId="34" borderId="47" xfId="0" applyFont="1" applyFill="1" applyBorder="1" applyAlignment="1">
      <alignment horizontal="center"/>
    </xf>
    <xf numFmtId="44" fontId="11" fillId="6" borderId="47" xfId="13" applyNumberFormat="1" applyBorder="1"/>
    <xf numFmtId="0" fontId="13" fillId="38" borderId="55" xfId="0" applyFont="1" applyFill="1" applyBorder="1"/>
    <xf numFmtId="44" fontId="9" fillId="5" borderId="85" xfId="11" applyNumberFormat="1" applyBorder="1"/>
    <xf numFmtId="0" fontId="26" fillId="0" borderId="17" xfId="45" applyFont="1" applyBorder="1"/>
    <xf numFmtId="0" fontId="13" fillId="9" borderId="64" xfId="20" applyFont="1" applyBorder="1"/>
    <xf numFmtId="164" fontId="0" fillId="0" borderId="0" xfId="1" applyNumberFormat="1" applyFont="1" applyBorder="1"/>
    <xf numFmtId="44" fontId="11" fillId="6" borderId="86" xfId="13" applyNumberFormat="1" applyBorder="1"/>
    <xf numFmtId="166" fontId="11" fillId="6" borderId="86" xfId="13" applyNumberFormat="1" applyBorder="1"/>
    <xf numFmtId="0" fontId="13" fillId="9" borderId="28" xfId="20" applyFont="1" applyBorder="1"/>
    <xf numFmtId="0" fontId="13" fillId="9" borderId="14" xfId="20" applyFont="1" applyBorder="1"/>
    <xf numFmtId="0" fontId="9" fillId="5" borderId="59" xfId="11" applyBorder="1"/>
    <xf numFmtId="0" fontId="9" fillId="5" borderId="58" xfId="11" applyBorder="1"/>
    <xf numFmtId="0" fontId="13" fillId="9" borderId="39" xfId="20" applyFont="1" applyBorder="1" applyAlignment="1">
      <alignment vertical="center"/>
    </xf>
    <xf numFmtId="0" fontId="0" fillId="34" borderId="39" xfId="0" applyFill="1" applyBorder="1" applyAlignment="1">
      <alignment vertical="center"/>
    </xf>
    <xf numFmtId="0" fontId="0" fillId="34" borderId="40" xfId="0" applyFill="1" applyBorder="1" applyAlignment="1">
      <alignment vertical="center"/>
    </xf>
    <xf numFmtId="0" fontId="0" fillId="0" borderId="0" xfId="0" applyFill="1" applyBorder="1"/>
    <xf numFmtId="0" fontId="13" fillId="9" borderId="15" xfId="20" applyFont="1" applyBorder="1"/>
    <xf numFmtId="0" fontId="9" fillId="5" borderId="12" xfId="11" applyBorder="1"/>
    <xf numFmtId="44" fontId="9" fillId="5" borderId="24" xfId="11" applyNumberFormat="1" applyBorder="1"/>
    <xf numFmtId="44" fontId="11" fillId="6" borderId="40" xfId="13" applyNumberFormat="1" applyBorder="1"/>
    <xf numFmtId="44" fontId="11" fillId="6" borderId="84" xfId="13" applyNumberFormat="1" applyBorder="1"/>
    <xf numFmtId="44" fontId="11" fillId="6" borderId="58" xfId="13" applyNumberFormat="1" applyBorder="1"/>
    <xf numFmtId="0" fontId="9" fillId="5" borderId="85" xfId="11" applyBorder="1" applyAlignment="1">
      <alignment horizontal="right" vertical="center"/>
    </xf>
    <xf numFmtId="44" fontId="11" fillId="6" borderId="85" xfId="13" applyNumberFormat="1" applyBorder="1"/>
    <xf numFmtId="0" fontId="0" fillId="34" borderId="52" xfId="0" applyFill="1" applyBorder="1" applyAlignment="1">
      <alignment horizontal="center"/>
    </xf>
    <xf numFmtId="44" fontId="9" fillId="5" borderId="91" xfId="11" applyNumberFormat="1" applyBorder="1" applyAlignment="1">
      <alignment horizontal="center"/>
    </xf>
    <xf numFmtId="44" fontId="11" fillId="6" borderId="11" xfId="13" applyNumberFormat="1" applyBorder="1"/>
    <xf numFmtId="0" fontId="13" fillId="9" borderId="41" xfId="20" applyFont="1" applyBorder="1"/>
    <xf numFmtId="0" fontId="13" fillId="9" borderId="92" xfId="20" applyFont="1" applyBorder="1"/>
    <xf numFmtId="0" fontId="0" fillId="0" borderId="47" xfId="0" applyBorder="1"/>
    <xf numFmtId="44" fontId="9" fillId="5" borderId="93" xfId="11" applyNumberFormat="1" applyBorder="1"/>
    <xf numFmtId="44" fontId="9" fillId="5" borderId="94" xfId="11" applyNumberFormat="1" applyBorder="1"/>
    <xf numFmtId="44" fontId="9" fillId="5" borderId="95" xfId="11" applyNumberFormat="1" applyBorder="1"/>
    <xf numFmtId="0" fontId="13" fillId="38" borderId="41" xfId="0" applyFont="1" applyFill="1" applyBorder="1"/>
    <xf numFmtId="0" fontId="13" fillId="38" borderId="42" xfId="0" applyFont="1" applyFill="1" applyBorder="1" applyAlignment="1">
      <alignment horizontal="left"/>
    </xf>
    <xf numFmtId="0" fontId="13" fillId="38" borderId="42" xfId="0" applyFont="1" applyFill="1" applyBorder="1"/>
    <xf numFmtId="0" fontId="0" fillId="0" borderId="47" xfId="0" applyFont="1" applyBorder="1"/>
    <xf numFmtId="44" fontId="9" fillId="5" borderId="47" xfId="2" applyNumberFormat="1" applyFont="1" applyFill="1" applyBorder="1"/>
    <xf numFmtId="44" fontId="0" fillId="0" borderId="47" xfId="0" applyNumberFormat="1" applyBorder="1"/>
    <xf numFmtId="44" fontId="9" fillId="39" borderId="47" xfId="2" applyNumberFormat="1" applyFont="1" applyFill="1" applyBorder="1"/>
    <xf numFmtId="0" fontId="9" fillId="5" borderId="44" xfId="11" applyBorder="1" applyAlignment="1">
      <alignment horizontal="right"/>
    </xf>
    <xf numFmtId="44" fontId="11" fillId="6" borderId="64" xfId="13" applyNumberFormat="1" applyBorder="1"/>
    <xf numFmtId="0" fontId="11" fillId="6" borderId="47" xfId="13" applyBorder="1"/>
    <xf numFmtId="0" fontId="9" fillId="5" borderId="91" xfId="11" applyBorder="1"/>
    <xf numFmtId="44" fontId="11" fillId="6" borderId="4" xfId="13" applyNumberFormat="1" applyBorder="1"/>
    <xf numFmtId="0" fontId="9" fillId="5" borderId="96" xfId="11" applyBorder="1"/>
    <xf numFmtId="164" fontId="11" fillId="6" borderId="96" xfId="13" applyNumberFormat="1" applyBorder="1"/>
    <xf numFmtId="44" fontId="11" fillId="6" borderId="96" xfId="13" applyNumberFormat="1" applyBorder="1"/>
    <xf numFmtId="0" fontId="11" fillId="6" borderId="16" xfId="13" applyBorder="1"/>
    <xf numFmtId="0" fontId="9" fillId="5" borderId="16" xfId="11" applyBorder="1"/>
    <xf numFmtId="0" fontId="11" fillId="6" borderId="10" xfId="13" applyBorder="1"/>
    <xf numFmtId="0" fontId="11" fillId="6" borderId="64" xfId="13" applyBorder="1"/>
    <xf numFmtId="44" fontId="9" fillId="5" borderId="36" xfId="11" applyNumberFormat="1" applyBorder="1"/>
    <xf numFmtId="1" fontId="9" fillId="5" borderId="4" xfId="11" applyNumberFormat="1" applyBorder="1" applyAlignment="1">
      <alignment horizontal="center"/>
    </xf>
    <xf numFmtId="1" fontId="9" fillId="5" borderId="85" xfId="11" applyNumberFormat="1" applyBorder="1"/>
    <xf numFmtId="0" fontId="9" fillId="5" borderId="94" xfId="11" applyBorder="1"/>
    <xf numFmtId="1" fontId="11" fillId="6" borderId="85" xfId="13" applyNumberFormat="1" applyBorder="1"/>
    <xf numFmtId="0" fontId="16" fillId="0" borderId="88" xfId="0" applyFont="1" applyBorder="1" applyAlignment="1">
      <alignment horizontal="left"/>
    </xf>
    <xf numFmtId="0" fontId="16" fillId="0" borderId="77" xfId="0" applyFont="1" applyBorder="1" applyAlignment="1">
      <alignment horizontal="left"/>
    </xf>
    <xf numFmtId="43" fontId="0" fillId="0" borderId="0" xfId="1" applyFont="1"/>
    <xf numFmtId="0" fontId="16" fillId="0" borderId="0" xfId="0" applyFont="1"/>
    <xf numFmtId="44" fontId="9" fillId="5" borderId="47" xfId="11" applyNumberFormat="1" applyBorder="1"/>
    <xf numFmtId="0" fontId="0" fillId="35" borderId="47" xfId="0" applyFill="1" applyBorder="1"/>
    <xf numFmtId="0" fontId="17" fillId="25" borderId="62" xfId="36" applyBorder="1"/>
    <xf numFmtId="0" fontId="13" fillId="38" borderId="64" xfId="0" applyFont="1" applyFill="1" applyBorder="1"/>
    <xf numFmtId="0" fontId="13" fillId="38" borderId="18" xfId="0" applyFont="1" applyFill="1" applyBorder="1"/>
    <xf numFmtId="1" fontId="9" fillId="5" borderId="24" xfId="11" applyNumberFormat="1" applyBorder="1"/>
    <xf numFmtId="44" fontId="0" fillId="0" borderId="58" xfId="2" applyFont="1" applyBorder="1" applyAlignment="1">
      <alignment horizontal="center"/>
    </xf>
    <xf numFmtId="9" fontId="0" fillId="0" borderId="0" xfId="44" applyFont="1"/>
    <xf numFmtId="171" fontId="0" fillId="0" borderId="0" xfId="44" applyNumberFormat="1" applyFont="1"/>
    <xf numFmtId="166" fontId="21" fillId="34" borderId="47" xfId="2" applyNumberFormat="1" applyFont="1" applyFill="1" applyBorder="1" applyAlignment="1">
      <alignment horizontal="center" vertical="center" wrapText="1"/>
    </xf>
    <xf numFmtId="1" fontId="21" fillId="34" borderId="47" xfId="8" applyNumberFormat="1" applyFont="1" applyFill="1" applyBorder="1" applyAlignment="1">
      <alignment horizontal="center" vertical="center" wrapText="1"/>
    </xf>
    <xf numFmtId="166" fontId="21" fillId="34" borderId="47" xfId="8" applyNumberFormat="1" applyFont="1" applyFill="1" applyBorder="1" applyAlignment="1">
      <alignment horizontal="center" vertical="center" wrapText="1"/>
    </xf>
    <xf numFmtId="0" fontId="21" fillId="34" borderId="47" xfId="8" applyFont="1" applyFill="1" applyBorder="1" applyAlignment="1">
      <alignment horizontal="center" vertical="center" wrapText="1"/>
    </xf>
    <xf numFmtId="0" fontId="21" fillId="0" borderId="0" xfId="8" applyFont="1" applyFill="1" applyBorder="1" applyAlignment="1">
      <alignment horizontal="left" vertical="center" wrapText="1"/>
    </xf>
    <xf numFmtId="0" fontId="21" fillId="0" borderId="0" xfId="0" applyFont="1" applyFill="1" applyBorder="1" applyAlignment="1">
      <alignment horizontal="left" vertical="center" wrapText="1"/>
    </xf>
    <xf numFmtId="169" fontId="21" fillId="34" borderId="47" xfId="8" applyNumberFormat="1" applyFont="1" applyFill="1" applyBorder="1" applyAlignment="1">
      <alignment horizontal="center" vertical="center" wrapText="1"/>
    </xf>
    <xf numFmtId="0" fontId="0" fillId="0" borderId="0" xfId="0" applyNumberFormat="1" applyFill="1"/>
    <xf numFmtId="0" fontId="21" fillId="0" borderId="0" xfId="44" applyNumberFormat="1" applyFont="1"/>
    <xf numFmtId="44" fontId="21" fillId="34" borderId="47" xfId="2" applyFont="1" applyFill="1" applyBorder="1" applyAlignment="1">
      <alignment horizontal="center" vertical="center" wrapText="1"/>
    </xf>
    <xf numFmtId="0" fontId="21" fillId="0" borderId="47" xfId="0" applyFont="1" applyFill="1" applyBorder="1" applyAlignment="1">
      <alignment horizontal="center" vertical="center" wrapText="1"/>
    </xf>
    <xf numFmtId="0" fontId="21" fillId="0" borderId="47" xfId="8" applyFont="1" applyFill="1" applyBorder="1" applyAlignment="1">
      <alignment horizontal="center" vertical="center" wrapText="1"/>
    </xf>
    <xf numFmtId="166" fontId="0" fillId="0" borderId="0" xfId="0" applyNumberFormat="1" applyFill="1"/>
    <xf numFmtId="0" fontId="16" fillId="0" borderId="17" xfId="0" applyFont="1" applyBorder="1" applyAlignment="1">
      <alignment horizontal="center"/>
    </xf>
    <xf numFmtId="43" fontId="11" fillId="6" borderId="64" xfId="13" applyNumberFormat="1" applyBorder="1"/>
    <xf numFmtId="0" fontId="16" fillId="0" borderId="28" xfId="0" applyFont="1" applyBorder="1" applyAlignment="1">
      <alignment horizontal="center" wrapText="1"/>
    </xf>
    <xf numFmtId="167" fontId="11" fillId="6" borderId="19" xfId="13" applyNumberFormat="1" applyBorder="1"/>
    <xf numFmtId="0" fontId="0" fillId="0" borderId="40" xfId="0" applyBorder="1"/>
    <xf numFmtId="0" fontId="0" fillId="0" borderId="0" xfId="0" applyFill="1" applyBorder="1" applyAlignment="1"/>
    <xf numFmtId="0" fontId="0" fillId="0" borderId="48" xfId="0" applyFill="1" applyBorder="1" applyAlignment="1"/>
    <xf numFmtId="0" fontId="28" fillId="0" borderId="102" xfId="0" applyFont="1" applyFill="1" applyBorder="1" applyAlignment="1">
      <alignment horizontal="centerContinuous"/>
    </xf>
    <xf numFmtId="9" fontId="21" fillId="0" borderId="0" xfId="44" applyFont="1"/>
    <xf numFmtId="0" fontId="21" fillId="34" borderId="47" xfId="0" applyFont="1" applyFill="1" applyBorder="1" applyAlignment="1">
      <alignment horizontal="center" vertical="center" wrapText="1"/>
    </xf>
    <xf numFmtId="169" fontId="21" fillId="0" borderId="47" xfId="0" applyNumberFormat="1" applyFont="1" applyFill="1" applyBorder="1" applyAlignment="1">
      <alignment horizontal="center" vertical="center" wrapText="1"/>
    </xf>
    <xf numFmtId="2" fontId="21" fillId="0" borderId="47" xfId="0" applyNumberFormat="1" applyFont="1" applyFill="1" applyBorder="1" applyAlignment="1">
      <alignment horizontal="center" vertical="center" wrapText="1"/>
    </xf>
    <xf numFmtId="44" fontId="21" fillId="0" borderId="47" xfId="2" applyFont="1" applyFill="1" applyBorder="1" applyAlignment="1">
      <alignment horizontal="center" vertical="center" wrapText="1"/>
    </xf>
    <xf numFmtId="0" fontId="11" fillId="6" borderId="80" xfId="13" applyBorder="1"/>
    <xf numFmtId="0" fontId="16" fillId="0" borderId="79" xfId="0" applyFont="1" applyFill="1" applyBorder="1"/>
    <xf numFmtId="0" fontId="16" fillId="0" borderId="103" xfId="0" applyFont="1" applyFill="1" applyBorder="1"/>
    <xf numFmtId="0" fontId="11" fillId="6" borderId="81" xfId="13" applyBorder="1"/>
    <xf numFmtId="0" fontId="11" fillId="6" borderId="62" xfId="13" applyBorder="1"/>
    <xf numFmtId="0" fontId="0" fillId="0" borderId="57" xfId="0" applyBorder="1"/>
    <xf numFmtId="0" fontId="16" fillId="0" borderId="56" xfId="0" applyFont="1" applyFill="1" applyBorder="1"/>
    <xf numFmtId="0" fontId="16" fillId="0" borderId="55" xfId="0" applyFont="1" applyFill="1" applyBorder="1" applyAlignment="1">
      <alignment horizontal="center"/>
    </xf>
    <xf numFmtId="169" fontId="11" fillId="6" borderId="87" xfId="13" applyNumberFormat="1" applyBorder="1"/>
    <xf numFmtId="0" fontId="0" fillId="0" borderId="38" xfId="0" applyBorder="1"/>
    <xf numFmtId="0" fontId="16" fillId="0" borderId="40" xfId="0" applyFont="1" applyBorder="1"/>
    <xf numFmtId="0" fontId="16" fillId="0" borderId="14" xfId="0" applyFont="1" applyBorder="1" applyAlignment="1">
      <alignment horizontal="center"/>
    </xf>
    <xf numFmtId="0" fontId="16" fillId="0" borderId="72" xfId="0" applyFont="1" applyBorder="1" applyAlignment="1">
      <alignment horizontal="center"/>
    </xf>
    <xf numFmtId="0" fontId="16" fillId="0" borderId="38" xfId="0" applyFont="1" applyBorder="1" applyAlignment="1">
      <alignment horizontal="center"/>
    </xf>
    <xf numFmtId="0" fontId="16" fillId="0" borderId="57" xfId="0" applyFont="1" applyBorder="1" applyAlignment="1">
      <alignment horizontal="center"/>
    </xf>
    <xf numFmtId="0" fontId="16" fillId="0" borderId="56" xfId="0" applyFont="1" applyBorder="1" applyAlignment="1">
      <alignment horizontal="center"/>
    </xf>
    <xf numFmtId="0" fontId="16" fillId="0" borderId="0" xfId="0" applyFont="1" applyAlignment="1">
      <alignment horizontal="center"/>
    </xf>
    <xf numFmtId="0" fontId="16" fillId="0" borderId="54" xfId="0" applyFont="1" applyBorder="1" applyAlignment="1">
      <alignment horizontal="center"/>
    </xf>
    <xf numFmtId="0" fontId="16" fillId="0" borderId="49" xfId="0" applyFont="1" applyBorder="1" applyAlignment="1">
      <alignment horizontal="center"/>
    </xf>
    <xf numFmtId="0" fontId="16" fillId="0" borderId="63" xfId="0" applyFont="1" applyBorder="1" applyAlignment="1">
      <alignment horizontal="center"/>
    </xf>
    <xf numFmtId="44" fontId="0" fillId="0" borderId="51" xfId="0" applyNumberFormat="1" applyBorder="1" applyAlignment="1">
      <alignment horizontal="center"/>
    </xf>
    <xf numFmtId="0" fontId="16" fillId="0" borderId="41" xfId="0" applyFont="1" applyBorder="1" applyAlignment="1">
      <alignment horizontal="center"/>
    </xf>
    <xf numFmtId="0" fontId="16" fillId="0" borderId="32" xfId="0" applyFont="1" applyBorder="1" applyAlignment="1">
      <alignment horizontal="center"/>
    </xf>
    <xf numFmtId="0" fontId="16" fillId="0" borderId="28" xfId="0" applyFont="1" applyBorder="1" applyAlignment="1">
      <alignment horizontal="center"/>
    </xf>
    <xf numFmtId="0" fontId="0" fillId="0" borderId="23" xfId="0" applyBorder="1" applyAlignment="1">
      <alignment horizontal="center"/>
    </xf>
    <xf numFmtId="0" fontId="0" fillId="0" borderId="52" xfId="0" applyBorder="1" applyAlignment="1">
      <alignment horizontal="center"/>
    </xf>
    <xf numFmtId="0" fontId="0" fillId="0" borderId="55" xfId="0" applyBorder="1" applyAlignment="1">
      <alignment horizontal="center"/>
    </xf>
    <xf numFmtId="0" fontId="16" fillId="0" borderId="50" xfId="0" applyFont="1" applyBorder="1" applyAlignment="1">
      <alignment horizontal="center"/>
    </xf>
    <xf numFmtId="1" fontId="21" fillId="0" borderId="0" xfId="2" applyNumberFormat="1" applyFont="1"/>
    <xf numFmtId="0" fontId="0" fillId="0" borderId="0" xfId="0" applyAlignment="1">
      <alignment horizontal="left" indent="1"/>
    </xf>
    <xf numFmtId="43" fontId="16" fillId="0" borderId="0" xfId="0" applyNumberFormat="1" applyFont="1"/>
    <xf numFmtId="0" fontId="16" fillId="0" borderId="15" xfId="0" applyFont="1" applyBorder="1" applyAlignment="1">
      <alignment horizontal="center"/>
    </xf>
    <xf numFmtId="0" fontId="16" fillId="0" borderId="14" xfId="0" applyFont="1" applyBorder="1" applyAlignment="1">
      <alignment horizontal="center"/>
    </xf>
    <xf numFmtId="0" fontId="16" fillId="0" borderId="28" xfId="0" applyFont="1" applyBorder="1" applyAlignment="1">
      <alignment horizontal="center"/>
    </xf>
    <xf numFmtId="172" fontId="0" fillId="0" borderId="0" xfId="2" applyNumberFormat="1" applyFont="1"/>
    <xf numFmtId="0" fontId="0" fillId="0" borderId="0" xfId="0" applyBorder="1" applyAlignment="1">
      <alignment horizontal="right"/>
    </xf>
    <xf numFmtId="43" fontId="0" fillId="0" borderId="0" xfId="1" applyNumberFormat="1" applyFont="1" applyBorder="1"/>
    <xf numFmtId="167" fontId="0" fillId="0" borderId="0" xfId="1" applyNumberFormat="1" applyFont="1" applyBorder="1"/>
    <xf numFmtId="0" fontId="0" fillId="0" borderId="0" xfId="1" applyNumberFormat="1" applyFont="1" applyBorder="1" applyAlignment="1">
      <alignment horizontal="right"/>
    </xf>
    <xf numFmtId="14" fontId="0" fillId="0" borderId="0" xfId="0" applyNumberFormat="1" applyBorder="1" applyAlignment="1">
      <alignment horizontal="center"/>
    </xf>
    <xf numFmtId="0" fontId="0" fillId="0" borderId="23" xfId="0" applyBorder="1"/>
    <xf numFmtId="9" fontId="0" fillId="0" borderId="48" xfId="44" applyFont="1" applyBorder="1"/>
    <xf numFmtId="0" fontId="0" fillId="0" borderId="26" xfId="0" applyBorder="1"/>
    <xf numFmtId="0" fontId="0" fillId="0" borderId="0" xfId="0" applyBorder="1" applyAlignment="1">
      <alignment horizontal="center" wrapText="1"/>
    </xf>
    <xf numFmtId="0" fontId="0" fillId="0" borderId="27" xfId="0" applyBorder="1"/>
    <xf numFmtId="0" fontId="0" fillId="0" borderId="0" xfId="0" applyBorder="1" applyAlignment="1"/>
    <xf numFmtId="0" fontId="0" fillId="0" borderId="27" xfId="0" applyBorder="1" applyAlignment="1"/>
    <xf numFmtId="0" fontId="0" fillId="0" borderId="30" xfId="0" applyBorder="1"/>
    <xf numFmtId="0" fontId="0" fillId="0" borderId="31" xfId="0" applyBorder="1"/>
    <xf numFmtId="0" fontId="0" fillId="0" borderId="87" xfId="0" applyBorder="1"/>
    <xf numFmtId="0" fontId="16" fillId="0" borderId="25" xfId="0" applyFont="1" applyFill="1" applyBorder="1" applyAlignment="1"/>
    <xf numFmtId="0" fontId="16" fillId="0" borderId="103" xfId="0" applyFont="1" applyBorder="1" applyAlignment="1">
      <alignment horizontal="center"/>
    </xf>
    <xf numFmtId="0" fontId="0" fillId="0" borderId="89" xfId="0" applyBorder="1"/>
    <xf numFmtId="0" fontId="16" fillId="0" borderId="63" xfId="0" applyFont="1" applyFill="1" applyBorder="1" applyAlignment="1"/>
    <xf numFmtId="0" fontId="11" fillId="6" borderId="10" xfId="13" applyBorder="1" applyAlignment="1">
      <alignment horizontal="center"/>
    </xf>
    <xf numFmtId="0" fontId="17" fillId="0" borderId="0" xfId="0" applyFont="1" applyBorder="1"/>
    <xf numFmtId="0" fontId="16" fillId="0" borderId="0" xfId="0" applyFont="1" applyBorder="1"/>
    <xf numFmtId="0" fontId="16" fillId="0" borderId="0" xfId="0" applyFont="1" applyFill="1" applyBorder="1"/>
    <xf numFmtId="0" fontId="0" fillId="0" borderId="19" xfId="0" applyBorder="1"/>
    <xf numFmtId="0" fontId="9" fillId="5" borderId="87" xfId="11" applyBorder="1"/>
    <xf numFmtId="9" fontId="0" fillId="0" borderId="64" xfId="44" applyFont="1" applyBorder="1"/>
    <xf numFmtId="0" fontId="0" fillId="0" borderId="64" xfId="0" applyBorder="1"/>
    <xf numFmtId="0" fontId="16" fillId="0" borderId="64" xfId="0" applyFont="1" applyBorder="1"/>
    <xf numFmtId="2" fontId="11" fillId="6" borderId="64" xfId="13" applyNumberFormat="1" applyBorder="1" applyAlignment="1">
      <alignment horizontal="center"/>
    </xf>
    <xf numFmtId="0" fontId="16" fillId="0" borderId="47" xfId="0" applyFont="1" applyBorder="1"/>
    <xf numFmtId="0" fontId="16" fillId="0" borderId="38" xfId="0" applyFont="1" applyBorder="1" applyAlignment="1"/>
    <xf numFmtId="0" fontId="9" fillId="5" borderId="86" xfId="11" applyBorder="1"/>
    <xf numFmtId="0" fontId="9" fillId="5" borderId="46" xfId="11" applyBorder="1"/>
    <xf numFmtId="1" fontId="11" fillId="6" borderId="64" xfId="13" applyNumberFormat="1" applyBorder="1" applyAlignment="1">
      <alignment horizontal="center"/>
    </xf>
    <xf numFmtId="2" fontId="11" fillId="6" borderId="53" xfId="13" applyNumberFormat="1" applyBorder="1" applyAlignment="1">
      <alignment horizontal="center"/>
    </xf>
    <xf numFmtId="0" fontId="16" fillId="0" borderId="41" xfId="0" applyFont="1" applyBorder="1"/>
    <xf numFmtId="0" fontId="16" fillId="0" borderId="43" xfId="0" applyFont="1" applyBorder="1"/>
    <xf numFmtId="0" fontId="16" fillId="0" borderId="44" xfId="0" applyFont="1" applyBorder="1"/>
    <xf numFmtId="164" fontId="11" fillId="6" borderId="18" xfId="13" applyNumberFormat="1" applyBorder="1"/>
    <xf numFmtId="0" fontId="9" fillId="5" borderId="47" xfId="11" applyBorder="1" applyAlignment="1"/>
    <xf numFmtId="164" fontId="9" fillId="5" borderId="14" xfId="11" applyNumberFormat="1" applyBorder="1"/>
    <xf numFmtId="164" fontId="9" fillId="5" borderId="39" xfId="11" applyNumberFormat="1" applyBorder="1"/>
    <xf numFmtId="169" fontId="0" fillId="0" borderId="0" xfId="0" applyNumberFormat="1" applyAlignment="1">
      <alignment horizontal="center"/>
    </xf>
    <xf numFmtId="44" fontId="0" fillId="37" borderId="75" xfId="2" applyFont="1" applyFill="1" applyBorder="1" applyAlignment="1">
      <alignment horizontal="center"/>
    </xf>
    <xf numFmtId="9" fontId="0" fillId="37" borderId="77" xfId="0" applyNumberFormat="1" applyFill="1" applyBorder="1" applyAlignment="1">
      <alignment horizontal="center"/>
    </xf>
    <xf numFmtId="0" fontId="0" fillId="0" borderId="18" xfId="0" applyBorder="1" applyAlignment="1">
      <alignment horizontal="center"/>
    </xf>
    <xf numFmtId="0" fontId="0" fillId="34" borderId="79" xfId="0" applyFill="1" applyBorder="1" applyAlignment="1">
      <alignment horizontal="center"/>
    </xf>
    <xf numFmtId="44" fontId="0" fillId="34" borderId="89" xfId="0" applyNumberFormat="1" applyFill="1" applyBorder="1" applyAlignment="1">
      <alignment horizontal="center"/>
    </xf>
    <xf numFmtId="0" fontId="0" fillId="34" borderId="59" xfId="0" applyFill="1" applyBorder="1" applyAlignment="1">
      <alignment horizontal="center"/>
    </xf>
    <xf numFmtId="44" fontId="0" fillId="34" borderId="78" xfId="2" applyFont="1" applyFill="1" applyBorder="1" applyAlignment="1">
      <alignment horizontal="center"/>
    </xf>
    <xf numFmtId="0" fontId="0" fillId="0" borderId="73" xfId="0" applyBorder="1" applyAlignment="1">
      <alignment horizontal="center"/>
    </xf>
    <xf numFmtId="44" fontId="0" fillId="0" borderId="89" xfId="0" applyNumberFormat="1" applyBorder="1" applyAlignment="1">
      <alignment horizontal="center"/>
    </xf>
    <xf numFmtId="0" fontId="0" fillId="0" borderId="37" xfId="0" applyBorder="1" applyAlignment="1">
      <alignment horizontal="center"/>
    </xf>
    <xf numFmtId="0" fontId="16" fillId="0" borderId="13" xfId="0" applyFont="1" applyBorder="1" applyAlignment="1">
      <alignment horizontal="center"/>
    </xf>
    <xf numFmtId="0" fontId="0" fillId="0" borderId="44" xfId="0" applyBorder="1" applyAlignment="1">
      <alignment horizontal="center"/>
    </xf>
    <xf numFmtId="0" fontId="0" fillId="0" borderId="32" xfId="0" applyBorder="1" applyAlignment="1">
      <alignment horizontal="center"/>
    </xf>
    <xf numFmtId="164" fontId="33" fillId="0" borderId="0" xfId="0" applyNumberFormat="1" applyFont="1" applyAlignment="1">
      <alignment horizontal="right"/>
    </xf>
    <xf numFmtId="0" fontId="16" fillId="0" borderId="63" xfId="0" applyFont="1" applyBorder="1"/>
    <xf numFmtId="0" fontId="9" fillId="5" borderId="61" xfId="11" applyBorder="1"/>
    <xf numFmtId="0" fontId="11" fillId="6" borderId="40" xfId="13" applyBorder="1"/>
    <xf numFmtId="164" fontId="9" fillId="5" borderId="61" xfId="11" applyNumberFormat="1" applyBorder="1"/>
    <xf numFmtId="164" fontId="11" fillId="6" borderId="39" xfId="13" applyNumberFormat="1" applyBorder="1"/>
    <xf numFmtId="164" fontId="11" fillId="6" borderId="40" xfId="13" applyNumberFormat="1" applyBorder="1"/>
    <xf numFmtId="0" fontId="0" fillId="34" borderId="0" xfId="0" applyFill="1" applyBorder="1"/>
    <xf numFmtId="0" fontId="35" fillId="0" borderId="0" xfId="46" applyFill="1" applyBorder="1" applyAlignment="1">
      <alignment horizontal="left" vertical="top"/>
    </xf>
    <xf numFmtId="0" fontId="35" fillId="0" borderId="0" xfId="46" applyFill="1" applyBorder="1" applyAlignment="1">
      <alignment horizontal="left" vertical="center"/>
    </xf>
    <xf numFmtId="0" fontId="35" fillId="0" borderId="0" xfId="46" applyFill="1" applyBorder="1" applyAlignment="1">
      <alignment horizontal="center" vertical="center"/>
    </xf>
    <xf numFmtId="0" fontId="35" fillId="0" borderId="0" xfId="46" applyFont="1" applyFill="1" applyBorder="1" applyAlignment="1">
      <alignment horizontal="left" vertical="center"/>
    </xf>
    <xf numFmtId="1" fontId="36" fillId="0" borderId="104" xfId="46" applyNumberFormat="1" applyFont="1" applyFill="1" applyBorder="1" applyAlignment="1">
      <alignment horizontal="center" vertical="center" wrapText="1"/>
    </xf>
    <xf numFmtId="0" fontId="35" fillId="0" borderId="104" xfId="46" applyFill="1" applyBorder="1" applyAlignment="1">
      <alignment horizontal="center" vertical="center" wrapText="1"/>
    </xf>
    <xf numFmtId="169" fontId="36" fillId="0" borderId="104" xfId="46" applyNumberFormat="1" applyFont="1" applyFill="1" applyBorder="1" applyAlignment="1">
      <alignment horizontal="center" vertical="center" wrapText="1"/>
    </xf>
    <xf numFmtId="2" fontId="36" fillId="0" borderId="104" xfId="46" applyNumberFormat="1" applyFont="1" applyFill="1" applyBorder="1" applyAlignment="1">
      <alignment horizontal="center" vertical="center" wrapText="1"/>
    </xf>
    <xf numFmtId="0" fontId="37" fillId="0" borderId="104" xfId="46" applyFont="1" applyFill="1" applyBorder="1" applyAlignment="1">
      <alignment horizontal="center" vertical="center" wrapText="1"/>
    </xf>
    <xf numFmtId="0" fontId="35" fillId="0" borderId="100" xfId="46" applyFont="1" applyFill="1" applyBorder="1" applyAlignment="1">
      <alignment horizontal="center" vertical="center"/>
    </xf>
    <xf numFmtId="0" fontId="37" fillId="0" borderId="104" xfId="46" applyFont="1" applyFill="1" applyBorder="1" applyAlignment="1">
      <alignment horizontal="left" vertical="center"/>
    </xf>
    <xf numFmtId="1" fontId="36" fillId="0" borderId="0" xfId="46" applyNumberFormat="1" applyFont="1" applyFill="1" applyBorder="1" applyAlignment="1">
      <alignment horizontal="center" vertical="center" wrapText="1"/>
    </xf>
    <xf numFmtId="0" fontId="35" fillId="0" borderId="0" xfId="46" applyFill="1" applyBorder="1" applyAlignment="1">
      <alignment horizontal="center" vertical="center" wrapText="1"/>
    </xf>
    <xf numFmtId="0" fontId="37" fillId="0" borderId="0" xfId="46" applyFont="1" applyFill="1" applyBorder="1" applyAlignment="1">
      <alignment horizontal="center" vertical="center" wrapText="1"/>
    </xf>
    <xf numFmtId="169" fontId="36" fillId="0" borderId="0" xfId="46" applyNumberFormat="1" applyFont="1" applyFill="1" applyBorder="1" applyAlignment="1">
      <alignment horizontal="center" vertical="center" wrapText="1"/>
    </xf>
    <xf numFmtId="2" fontId="36" fillId="0" borderId="0" xfId="46" applyNumberFormat="1" applyFont="1" applyFill="1" applyBorder="1" applyAlignment="1">
      <alignment horizontal="center" vertical="center" wrapText="1"/>
    </xf>
    <xf numFmtId="0" fontId="37" fillId="0" borderId="0" xfId="46" applyFont="1" applyFill="1" applyBorder="1" applyAlignment="1">
      <alignment horizontal="left" vertical="center"/>
    </xf>
    <xf numFmtId="0" fontId="37" fillId="0" borderId="0" xfId="46" applyFont="1" applyFill="1" applyBorder="1" applyAlignment="1">
      <alignment horizontal="left" vertical="center" wrapText="1"/>
    </xf>
    <xf numFmtId="0" fontId="35" fillId="0" borderId="0" xfId="46" applyFont="1" applyFill="1" applyBorder="1" applyAlignment="1">
      <alignment horizontal="center" vertical="center"/>
    </xf>
    <xf numFmtId="0" fontId="35" fillId="0" borderId="105" xfId="46" applyFill="1" applyBorder="1" applyAlignment="1">
      <alignment horizontal="center" vertical="center"/>
    </xf>
    <xf numFmtId="169" fontId="36" fillId="0" borderId="106" xfId="46" applyNumberFormat="1" applyFont="1" applyFill="1" applyBorder="1" applyAlignment="1">
      <alignment horizontal="center" vertical="center" wrapText="1"/>
    </xf>
    <xf numFmtId="2" fontId="36" fillId="0" borderId="106" xfId="46" applyNumberFormat="1" applyFont="1" applyFill="1" applyBorder="1" applyAlignment="1">
      <alignment horizontal="center" vertical="center" wrapText="1"/>
    </xf>
    <xf numFmtId="0" fontId="37" fillId="0" borderId="106" xfId="46" applyFont="1" applyFill="1" applyBorder="1" applyAlignment="1">
      <alignment horizontal="left" vertical="center" wrapText="1"/>
    </xf>
    <xf numFmtId="0" fontId="37" fillId="0" borderId="104" xfId="46" applyFont="1" applyFill="1" applyBorder="1" applyAlignment="1">
      <alignment horizontal="left" vertical="center" wrapText="1"/>
    </xf>
    <xf numFmtId="169" fontId="36" fillId="0" borderId="105" xfId="46" applyNumberFormat="1" applyFont="1" applyFill="1" applyBorder="1" applyAlignment="1">
      <alignment horizontal="center" vertical="center" wrapText="1"/>
    </xf>
    <xf numFmtId="2" fontId="36" fillId="0" borderId="105" xfId="46" applyNumberFormat="1" applyFont="1" applyFill="1" applyBorder="1" applyAlignment="1">
      <alignment horizontal="center" vertical="center" wrapText="1"/>
    </xf>
    <xf numFmtId="0" fontId="37" fillId="0" borderId="105" xfId="46" applyFont="1" applyFill="1" applyBorder="1" applyAlignment="1">
      <alignment horizontal="left" vertical="center" wrapText="1"/>
    </xf>
    <xf numFmtId="0" fontId="35" fillId="0" borderId="0" xfId="46" applyFont="1" applyFill="1" applyBorder="1" applyAlignment="1">
      <alignment horizontal="left" vertical="top"/>
    </xf>
    <xf numFmtId="0" fontId="35" fillId="0" borderId="0" xfId="46" applyFont="1" applyFill="1" applyBorder="1" applyAlignment="1">
      <alignment vertical="top" wrapText="1"/>
    </xf>
    <xf numFmtId="0" fontId="0" fillId="0" borderId="63" xfId="0" applyBorder="1"/>
    <xf numFmtId="0" fontId="39" fillId="0" borderId="38" xfId="0" applyFont="1" applyBorder="1"/>
    <xf numFmtId="164" fontId="11" fillId="6" borderId="39" xfId="13" applyNumberFormat="1" applyBorder="1" applyAlignment="1">
      <alignment horizontal="right"/>
    </xf>
    <xf numFmtId="9" fontId="9" fillId="5" borderId="39" xfId="11" applyNumberFormat="1" applyBorder="1"/>
    <xf numFmtId="0" fontId="0" fillId="0" borderId="38" xfId="0" applyFill="1" applyBorder="1"/>
    <xf numFmtId="43" fontId="11" fillId="6" borderId="39" xfId="13" applyNumberFormat="1" applyBorder="1"/>
    <xf numFmtId="0" fontId="0" fillId="0" borderId="25" xfId="0" applyFill="1" applyBorder="1"/>
    <xf numFmtId="164" fontId="11" fillId="6" borderId="36" xfId="13" applyNumberFormat="1" applyBorder="1"/>
    <xf numFmtId="0" fontId="16" fillId="0" borderId="73" xfId="0" applyFont="1" applyBorder="1"/>
    <xf numFmtId="164" fontId="11" fillId="6" borderId="107" xfId="13" applyNumberFormat="1" applyBorder="1"/>
    <xf numFmtId="164" fontId="11" fillId="6" borderId="24" xfId="13" applyNumberFormat="1" applyBorder="1"/>
    <xf numFmtId="43" fontId="11" fillId="6" borderId="11" xfId="13" applyNumberFormat="1" applyBorder="1"/>
    <xf numFmtId="0" fontId="16" fillId="0" borderId="46" xfId="0" applyFont="1" applyBorder="1" applyAlignment="1">
      <alignment horizontal="center"/>
    </xf>
    <xf numFmtId="43" fontId="0" fillId="0" borderId="0" xfId="0" applyNumberFormat="1" applyBorder="1"/>
    <xf numFmtId="44" fontId="0" fillId="0" borderId="0" xfId="2" applyFont="1" applyBorder="1" applyAlignment="1">
      <alignment horizontal="right"/>
    </xf>
    <xf numFmtId="44" fontId="33" fillId="0" borderId="0" xfId="2" applyFont="1" applyAlignment="1">
      <alignment horizontal="right"/>
    </xf>
    <xf numFmtId="44" fontId="33" fillId="0" borderId="0" xfId="0" applyNumberFormat="1" applyFont="1" applyAlignment="1">
      <alignment horizontal="right"/>
    </xf>
    <xf numFmtId="0" fontId="9" fillId="5" borderId="64" xfId="11" applyBorder="1"/>
    <xf numFmtId="0" fontId="0" fillId="34" borderId="32" xfId="0" applyFill="1" applyBorder="1"/>
    <xf numFmtId="0" fontId="0" fillId="34" borderId="31" xfId="0" applyFill="1" applyBorder="1"/>
    <xf numFmtId="0" fontId="0" fillId="34" borderId="30" xfId="0" applyFill="1" applyBorder="1"/>
    <xf numFmtId="0" fontId="0" fillId="0" borderId="47" xfId="8" applyFont="1" applyFill="1" applyBorder="1" applyAlignment="1">
      <alignment horizontal="center" vertical="center" wrapText="1"/>
    </xf>
    <xf numFmtId="0" fontId="0" fillId="0" borderId="47" xfId="0" applyFont="1" applyFill="1" applyBorder="1" applyAlignment="1">
      <alignment horizontal="center" vertical="center" wrapText="1"/>
    </xf>
    <xf numFmtId="0" fontId="21" fillId="0" borderId="47" xfId="0" applyFont="1" applyBorder="1" applyAlignment="1">
      <alignment horizontal="center" vertical="center"/>
    </xf>
    <xf numFmtId="166" fontId="40" fillId="34" borderId="47" xfId="2" applyNumberFormat="1" applyFont="1" applyFill="1" applyBorder="1" applyAlignment="1">
      <alignment horizontal="center" vertical="center" wrapText="1"/>
    </xf>
    <xf numFmtId="1" fontId="40" fillId="34" borderId="47" xfId="8" applyNumberFormat="1" applyFont="1" applyFill="1" applyBorder="1" applyAlignment="1">
      <alignment horizontal="center" vertical="center" wrapText="1"/>
    </xf>
    <xf numFmtId="0" fontId="1" fillId="0" borderId="47" xfId="8" applyFont="1" applyFill="1" applyBorder="1" applyAlignment="1">
      <alignment horizontal="center" vertical="center" wrapText="1"/>
    </xf>
    <xf numFmtId="0" fontId="21" fillId="0" borderId="59" xfId="8" applyFont="1" applyFill="1" applyBorder="1" applyAlignment="1">
      <alignment horizontal="center" vertical="center" wrapText="1"/>
    </xf>
    <xf numFmtId="169" fontId="21" fillId="0" borderId="86" xfId="0" applyNumberFormat="1" applyFont="1" applyFill="1" applyBorder="1" applyAlignment="1">
      <alignment horizontal="center" vertical="center" wrapText="1"/>
    </xf>
    <xf numFmtId="0" fontId="16" fillId="0" borderId="47" xfId="15" applyFont="1" applyFill="1" applyBorder="1" applyAlignment="1">
      <alignment horizontal="center" vertical="center" wrapText="1"/>
    </xf>
    <xf numFmtId="0" fontId="21" fillId="0" borderId="62" xfId="8" applyFont="1" applyFill="1" applyBorder="1" applyAlignment="1">
      <alignment horizontal="center" vertical="center" wrapText="1"/>
    </xf>
    <xf numFmtId="1" fontId="23" fillId="0" borderId="0" xfId="44" applyNumberFormat="1" applyFont="1" applyBorder="1"/>
    <xf numFmtId="166" fontId="23" fillId="0" borderId="0" xfId="2" applyNumberFormat="1" applyFont="1" applyBorder="1"/>
    <xf numFmtId="0" fontId="21" fillId="0" borderId="0" xfId="0" applyFont="1" applyAlignment="1">
      <alignment horizontal="center" vertical="center"/>
    </xf>
    <xf numFmtId="166" fontId="21" fillId="0" borderId="0" xfId="2" applyNumberFormat="1" applyFont="1" applyAlignment="1">
      <alignment horizontal="center" vertical="center"/>
    </xf>
    <xf numFmtId="168" fontId="21" fillId="0" borderId="0" xfId="0" applyNumberFormat="1" applyFont="1" applyAlignment="1">
      <alignment horizontal="center" vertical="center"/>
    </xf>
    <xf numFmtId="0" fontId="21" fillId="0" borderId="0" xfId="0" applyFont="1" applyFill="1" applyBorder="1" applyAlignment="1">
      <alignment horizontal="center" vertical="center" wrapText="1"/>
    </xf>
    <xf numFmtId="0" fontId="21" fillId="0" borderId="0" xfId="8" applyFont="1" applyFill="1" applyBorder="1" applyAlignment="1">
      <alignment horizontal="center" vertical="center" wrapText="1"/>
    </xf>
    <xf numFmtId="166" fontId="21" fillId="41" borderId="0" xfId="2" applyNumberFormat="1" applyFont="1" applyFill="1" applyAlignment="1">
      <alignment horizontal="center" vertical="center"/>
    </xf>
    <xf numFmtId="0" fontId="16" fillId="41" borderId="47" xfId="15" applyFont="1" applyFill="1" applyBorder="1" applyAlignment="1">
      <alignment horizontal="center" vertical="center" wrapText="1"/>
    </xf>
    <xf numFmtId="169" fontId="21" fillId="41" borderId="86" xfId="0" applyNumberFormat="1" applyFont="1" applyFill="1" applyBorder="1" applyAlignment="1">
      <alignment horizontal="center" vertical="center" wrapText="1"/>
    </xf>
    <xf numFmtId="166" fontId="21" fillId="41" borderId="47" xfId="2" applyNumberFormat="1" applyFont="1" applyFill="1" applyBorder="1" applyAlignment="1">
      <alignment horizontal="center" vertical="center" wrapText="1"/>
    </xf>
    <xf numFmtId="0" fontId="21" fillId="41" borderId="47" xfId="0" applyFont="1" applyFill="1" applyBorder="1" applyAlignment="1">
      <alignment horizontal="center" vertical="center" wrapText="1"/>
    </xf>
    <xf numFmtId="0" fontId="21" fillId="41" borderId="47" xfId="8" applyFont="1" applyFill="1" applyBorder="1" applyAlignment="1">
      <alignment horizontal="center" vertical="center" wrapText="1"/>
    </xf>
    <xf numFmtId="0" fontId="21" fillId="41" borderId="59" xfId="8" applyFont="1" applyFill="1" applyBorder="1" applyAlignment="1">
      <alignment horizontal="center" vertical="center" wrapText="1"/>
    </xf>
    <xf numFmtId="44" fontId="21" fillId="41" borderId="47" xfId="2" applyFont="1" applyFill="1" applyBorder="1" applyAlignment="1">
      <alignment horizontal="center" vertical="center" wrapText="1"/>
    </xf>
    <xf numFmtId="169" fontId="21" fillId="41" borderId="47" xfId="8" applyNumberFormat="1" applyFont="1" applyFill="1" applyBorder="1" applyAlignment="1">
      <alignment horizontal="center" vertical="center" wrapText="1"/>
    </xf>
    <xf numFmtId="0" fontId="1" fillId="41" borderId="47" xfId="8" applyFont="1" applyFill="1" applyBorder="1" applyAlignment="1">
      <alignment horizontal="center" vertical="center" wrapText="1"/>
    </xf>
    <xf numFmtId="169" fontId="21" fillId="41" borderId="47" xfId="0" applyNumberFormat="1" applyFont="1" applyFill="1" applyBorder="1" applyAlignment="1">
      <alignment horizontal="center" vertical="center" wrapText="1"/>
    </xf>
    <xf numFmtId="168" fontId="21" fillId="41" borderId="47" xfId="2" applyNumberFormat="1" applyFont="1" applyFill="1" applyBorder="1" applyAlignment="1">
      <alignment horizontal="center" vertical="center" wrapText="1"/>
    </xf>
    <xf numFmtId="9" fontId="21" fillId="0" borderId="0" xfId="44" applyFont="1" applyAlignment="1">
      <alignment horizontal="center" vertical="center"/>
    </xf>
    <xf numFmtId="0" fontId="21" fillId="0" borderId="0" xfId="0" applyFont="1" applyFill="1" applyAlignment="1">
      <alignment horizontal="center" vertical="center"/>
    </xf>
    <xf numFmtId="0" fontId="21" fillId="0" borderId="0" xfId="0" applyFont="1" applyAlignment="1">
      <alignment horizontal="center" vertical="center" wrapText="1"/>
    </xf>
    <xf numFmtId="0" fontId="21" fillId="42" borderId="0" xfId="0" applyFont="1" applyFill="1" applyAlignment="1">
      <alignment horizontal="center" vertical="center"/>
    </xf>
    <xf numFmtId="0" fontId="21" fillId="42" borderId="0" xfId="0" applyFont="1" applyFill="1" applyAlignment="1">
      <alignment horizontal="center" vertical="center" wrapText="1"/>
    </xf>
    <xf numFmtId="0" fontId="0" fillId="42" borderId="47" xfId="0" applyFont="1" applyFill="1" applyBorder="1" applyAlignment="1">
      <alignment horizontal="center" vertical="center" wrapText="1"/>
    </xf>
    <xf numFmtId="0" fontId="21" fillId="42" borderId="47" xfId="0" applyFont="1" applyFill="1" applyBorder="1" applyAlignment="1">
      <alignment horizontal="center" vertical="center" wrapText="1"/>
    </xf>
    <xf numFmtId="166" fontId="21" fillId="42" borderId="47" xfId="2" applyNumberFormat="1" applyFont="1" applyFill="1" applyBorder="1" applyAlignment="1">
      <alignment horizontal="center" vertical="center" wrapText="1"/>
    </xf>
    <xf numFmtId="44" fontId="21" fillId="42" borderId="47" xfId="2" applyFont="1" applyFill="1" applyBorder="1" applyAlignment="1">
      <alignment horizontal="center" vertical="center" wrapText="1"/>
    </xf>
    <xf numFmtId="0" fontId="21" fillId="42" borderId="47" xfId="8" applyFont="1" applyFill="1" applyBorder="1" applyAlignment="1">
      <alignment horizontal="center" vertical="center" wrapText="1"/>
    </xf>
    <xf numFmtId="2" fontId="21" fillId="42" borderId="47" xfId="0" applyNumberFormat="1" applyFont="1" applyFill="1" applyBorder="1" applyAlignment="1">
      <alignment horizontal="center" vertical="center" wrapText="1"/>
    </xf>
    <xf numFmtId="0" fontId="0" fillId="42" borderId="47" xfId="8" applyFont="1" applyFill="1" applyBorder="1" applyAlignment="1">
      <alignment horizontal="center" vertical="center" wrapText="1"/>
    </xf>
    <xf numFmtId="169" fontId="21" fillId="42" borderId="47" xfId="8" applyNumberFormat="1" applyFont="1" applyFill="1" applyBorder="1" applyAlignment="1">
      <alignment horizontal="center" vertical="center" wrapText="1"/>
    </xf>
    <xf numFmtId="166" fontId="21" fillId="42" borderId="47" xfId="8" applyNumberFormat="1" applyFont="1" applyFill="1" applyBorder="1" applyAlignment="1">
      <alignment horizontal="center" vertical="center" wrapText="1"/>
    </xf>
    <xf numFmtId="1" fontId="21" fillId="42" borderId="47" xfId="8" applyNumberFormat="1" applyFont="1" applyFill="1" applyBorder="1" applyAlignment="1">
      <alignment horizontal="center" vertical="center" wrapText="1"/>
    </xf>
    <xf numFmtId="0" fontId="21" fillId="42" borderId="47" xfId="0" applyNumberFormat="1" applyFont="1" applyFill="1" applyBorder="1" applyAlignment="1">
      <alignment horizontal="center" vertical="center" wrapText="1"/>
    </xf>
    <xf numFmtId="169" fontId="21" fillId="42" borderId="47" xfId="0" applyNumberFormat="1" applyFont="1" applyFill="1" applyBorder="1" applyAlignment="1">
      <alignment horizontal="center" vertical="center" wrapText="1"/>
    </xf>
    <xf numFmtId="0" fontId="21" fillId="41" borderId="0" xfId="0" applyFont="1" applyFill="1" applyAlignment="1">
      <alignment horizontal="center" vertical="center"/>
    </xf>
    <xf numFmtId="9" fontId="21" fillId="41" borderId="0" xfId="44" applyFont="1" applyFill="1" applyAlignment="1">
      <alignment horizontal="center" vertical="center"/>
    </xf>
    <xf numFmtId="166" fontId="21" fillId="41" borderId="47" xfId="8" applyNumberFormat="1" applyFont="1" applyFill="1" applyBorder="1" applyAlignment="1">
      <alignment horizontal="center" vertical="center" wrapText="1"/>
    </xf>
    <xf numFmtId="0" fontId="16" fillId="0" borderId="15" xfId="0" applyFont="1" applyBorder="1" applyAlignment="1">
      <alignment horizontal="center"/>
    </xf>
    <xf numFmtId="0" fontId="16" fillId="0" borderId="28" xfId="0" applyFont="1" applyBorder="1" applyAlignment="1">
      <alignment horizontal="center"/>
    </xf>
    <xf numFmtId="0" fontId="16" fillId="0" borderId="14" xfId="0" applyFont="1" applyFill="1" applyBorder="1" applyAlignment="1">
      <alignment horizontal="center"/>
    </xf>
    <xf numFmtId="0" fontId="41" fillId="0" borderId="0" xfId="0" applyFont="1"/>
    <xf numFmtId="0" fontId="11" fillId="6" borderId="23" xfId="13" applyFont="1" applyBorder="1"/>
    <xf numFmtId="0" fontId="0" fillId="0" borderId="64" xfId="0" applyFont="1" applyBorder="1"/>
    <xf numFmtId="164" fontId="16" fillId="36" borderId="108" xfId="1" applyNumberFormat="1" applyFont="1" applyFill="1" applyBorder="1" applyAlignment="1">
      <alignment horizontal="center" vertical="center"/>
    </xf>
    <xf numFmtId="2" fontId="16" fillId="36" borderId="108" xfId="0" applyNumberFormat="1" applyFont="1" applyFill="1" applyBorder="1" applyAlignment="1">
      <alignment horizontal="center" vertical="center"/>
    </xf>
    <xf numFmtId="0" fontId="16" fillId="36" borderId="108" xfId="0" applyFont="1" applyFill="1" applyBorder="1" applyAlignment="1">
      <alignment horizontal="center" vertical="center"/>
    </xf>
    <xf numFmtId="0" fontId="0" fillId="34" borderId="0" xfId="0" applyFill="1" applyBorder="1" applyAlignment="1"/>
    <xf numFmtId="0" fontId="0" fillId="34" borderId="27" xfId="0" applyFill="1" applyBorder="1"/>
    <xf numFmtId="0" fontId="16" fillId="37" borderId="109" xfId="0" applyFont="1" applyFill="1" applyBorder="1"/>
    <xf numFmtId="0" fontId="0" fillId="34" borderId="26" xfId="0" applyFill="1" applyBorder="1"/>
    <xf numFmtId="0" fontId="16" fillId="0" borderId="31" xfId="0" applyFont="1" applyBorder="1"/>
    <xf numFmtId="0" fontId="16" fillId="0" borderId="102" xfId="0" applyFont="1" applyBorder="1"/>
    <xf numFmtId="0" fontId="16" fillId="0" borderId="103" xfId="0" applyFont="1" applyBorder="1"/>
    <xf numFmtId="43" fontId="11" fillId="6" borderId="111" xfId="13" applyNumberFormat="1" applyBorder="1"/>
    <xf numFmtId="0" fontId="9" fillId="5" borderId="73" xfId="11" applyBorder="1"/>
    <xf numFmtId="9" fontId="9" fillId="5" borderId="73" xfId="11" applyNumberFormat="1" applyBorder="1"/>
    <xf numFmtId="9" fontId="9" fillId="5" borderId="79" xfId="11" applyNumberFormat="1" applyBorder="1"/>
    <xf numFmtId="164" fontId="16" fillId="0" borderId="79" xfId="1" applyNumberFormat="1" applyFont="1" applyBorder="1" applyAlignment="1">
      <alignment horizontal="left"/>
    </xf>
    <xf numFmtId="0" fontId="20" fillId="0" borderId="0" xfId="4" applyFont="1" applyBorder="1" applyAlignment="1"/>
    <xf numFmtId="0" fontId="0" fillId="0" borderId="0" xfId="0" pivotButton="1" applyAlignment="1"/>
    <xf numFmtId="164" fontId="0" fillId="0" borderId="0" xfId="0" applyNumberFormat="1" applyAlignment="1"/>
    <xf numFmtId="43" fontId="0" fillId="0" borderId="0" xfId="0" applyNumberFormat="1" applyAlignment="1"/>
    <xf numFmtId="0" fontId="16" fillId="0" borderId="81" xfId="0" applyFont="1" applyBorder="1" applyAlignment="1"/>
    <xf numFmtId="0" fontId="16" fillId="0" borderId="62" xfId="0" applyFont="1" applyBorder="1" applyAlignment="1"/>
    <xf numFmtId="0" fontId="16" fillId="0" borderId="89" xfId="0" applyFont="1" applyBorder="1" applyAlignment="1"/>
    <xf numFmtId="0" fontId="16" fillId="0" borderId="80" xfId="0" applyFont="1" applyFill="1" applyBorder="1" applyAlignment="1"/>
    <xf numFmtId="164" fontId="30" fillId="0" borderId="59" xfId="1" applyNumberFormat="1" applyFont="1" applyBorder="1" applyAlignment="1"/>
    <xf numFmtId="164" fontId="0" fillId="0" borderId="47" xfId="1" applyNumberFormat="1" applyFont="1" applyBorder="1" applyAlignment="1"/>
    <xf numFmtId="9" fontId="0" fillId="0" borderId="86" xfId="44" applyFont="1" applyBorder="1" applyAlignment="1"/>
    <xf numFmtId="0" fontId="29" fillId="0" borderId="78" xfId="0" applyFont="1" applyFill="1" applyBorder="1" applyAlignment="1"/>
    <xf numFmtId="0" fontId="29" fillId="0" borderId="80" xfId="0" applyFont="1" applyBorder="1" applyAlignment="1"/>
    <xf numFmtId="164" fontId="0" fillId="0" borderId="0" xfId="1" applyNumberFormat="1" applyFont="1" applyAlignment="1"/>
    <xf numFmtId="0" fontId="22" fillId="0" borderId="80" xfId="9" applyFont="1" applyFill="1" applyBorder="1" applyAlignment="1"/>
    <xf numFmtId="164" fontId="21" fillId="0" borderId="59" xfId="9" applyNumberFormat="1" applyFont="1" applyFill="1" applyBorder="1" applyAlignment="1"/>
    <xf numFmtId="164" fontId="21" fillId="0" borderId="47" xfId="9" applyNumberFormat="1" applyFont="1" applyFill="1" applyBorder="1" applyAlignment="1"/>
    <xf numFmtId="0" fontId="29" fillId="0" borderId="78" xfId="0" applyFont="1" applyBorder="1" applyAlignment="1"/>
    <xf numFmtId="164" fontId="0" fillId="0" borderId="59" xfId="1" applyNumberFormat="1" applyFont="1" applyBorder="1" applyAlignment="1"/>
    <xf numFmtId="9" fontId="0" fillId="0" borderId="101" xfId="0" applyNumberFormat="1" applyFont="1" applyBorder="1" applyAlignment="1"/>
    <xf numFmtId="167" fontId="0" fillId="0" borderId="0" xfId="0" applyNumberFormat="1" applyAlignment="1"/>
    <xf numFmtId="0" fontId="16" fillId="36" borderId="108" xfId="0" applyFont="1" applyFill="1" applyBorder="1" applyAlignment="1"/>
    <xf numFmtId="0" fontId="16" fillId="34" borderId="0" xfId="0" applyFont="1" applyFill="1" applyBorder="1" applyAlignment="1"/>
    <xf numFmtId="164" fontId="0" fillId="34" borderId="0" xfId="1" applyNumberFormat="1" applyFont="1" applyFill="1" applyBorder="1" applyAlignment="1"/>
    <xf numFmtId="2" fontId="0" fillId="34" borderId="0" xfId="0" applyNumberFormat="1" applyFill="1" applyBorder="1" applyAlignment="1"/>
    <xf numFmtId="9" fontId="0" fillId="34" borderId="0" xfId="44" applyFont="1" applyFill="1" applyBorder="1" applyAlignment="1"/>
    <xf numFmtId="164" fontId="0" fillId="34" borderId="0" xfId="0" applyNumberFormat="1" applyFont="1" applyFill="1" applyBorder="1" applyAlignment="1"/>
    <xf numFmtId="9" fontId="0" fillId="34" borderId="0" xfId="44" applyNumberFormat="1" applyFont="1" applyFill="1" applyBorder="1" applyAlignment="1"/>
    <xf numFmtId="0" fontId="16" fillId="36" borderId="110" xfId="0" applyFont="1" applyFill="1" applyBorder="1" applyAlignment="1"/>
    <xf numFmtId="164" fontId="16" fillId="36" borderId="110" xfId="0" applyNumberFormat="1" applyFont="1" applyFill="1" applyBorder="1" applyAlignment="1"/>
    <xf numFmtId="2" fontId="16" fillId="36" borderId="110" xfId="0" applyNumberFormat="1" applyFont="1" applyFill="1" applyBorder="1" applyAlignment="1"/>
    <xf numFmtId="164" fontId="16" fillId="36" borderId="110" xfId="1" applyNumberFormat="1" applyFont="1" applyFill="1" applyBorder="1" applyAlignment="1"/>
    <xf numFmtId="9" fontId="16" fillId="36" borderId="110" xfId="44" applyFont="1" applyFill="1" applyBorder="1" applyAlignment="1"/>
    <xf numFmtId="0" fontId="0" fillId="36" borderId="110" xfId="0" applyFill="1" applyBorder="1" applyAlignment="1"/>
    <xf numFmtId="0" fontId="0" fillId="34" borderId="0" xfId="0" applyFill="1" applyAlignment="1"/>
    <xf numFmtId="0" fontId="16" fillId="0" borderId="64" xfId="0" applyFont="1" applyBorder="1" applyAlignment="1"/>
    <xf numFmtId="0" fontId="16" fillId="0" borderId="53" xfId="0" applyFont="1" applyFill="1" applyBorder="1" applyAlignment="1"/>
    <xf numFmtId="9" fontId="0" fillId="40" borderId="64" xfId="44" applyFont="1" applyFill="1" applyBorder="1" applyAlignment="1"/>
    <xf numFmtId="0" fontId="43" fillId="0" borderId="112" xfId="0" applyFont="1" applyBorder="1" applyAlignment="1">
      <alignment horizontal="right" vertical="center"/>
    </xf>
    <xf numFmtId="164" fontId="16" fillId="0" borderId="0" xfId="1" applyNumberFormat="1" applyFont="1" applyAlignment="1"/>
    <xf numFmtId="164" fontId="24" fillId="0" borderId="40" xfId="1" applyNumberFormat="1" applyFont="1" applyBorder="1" applyAlignment="1"/>
    <xf numFmtId="164" fontId="45" fillId="0" borderId="118" xfId="1" applyNumberFormat="1" applyFont="1" applyBorder="1" applyAlignment="1">
      <alignment horizontal="right" vertical="center"/>
    </xf>
    <xf numFmtId="164" fontId="45" fillId="0" borderId="120" xfId="1" applyNumberFormat="1" applyFont="1" applyBorder="1" applyAlignment="1">
      <alignment horizontal="right" vertical="center"/>
    </xf>
    <xf numFmtId="164" fontId="45" fillId="0" borderId="122" xfId="1" applyNumberFormat="1" applyFont="1" applyBorder="1" applyAlignment="1">
      <alignment horizontal="right" vertical="center"/>
    </xf>
    <xf numFmtId="0" fontId="45" fillId="0" borderId="117" xfId="0" applyFont="1" applyBorder="1" applyAlignment="1">
      <alignment vertical="center"/>
    </xf>
    <xf numFmtId="0" fontId="45" fillId="0" borderId="104" xfId="0" applyFont="1" applyBorder="1" applyAlignment="1">
      <alignment vertical="center"/>
    </xf>
    <xf numFmtId="0" fontId="45" fillId="0" borderId="116" xfId="0" applyFont="1" applyBorder="1" applyAlignment="1">
      <alignment vertical="center"/>
    </xf>
    <xf numFmtId="0" fontId="45" fillId="0" borderId="119" xfId="0" applyFont="1" applyBorder="1" applyAlignment="1">
      <alignment vertical="center"/>
    </xf>
    <xf numFmtId="0" fontId="45" fillId="0" borderId="114" xfId="0" applyFont="1" applyBorder="1" applyAlignment="1">
      <alignment vertical="center"/>
    </xf>
    <xf numFmtId="0" fontId="45" fillId="0" borderId="115" xfId="0" applyFont="1" applyBorder="1" applyAlignment="1">
      <alignment vertical="center"/>
    </xf>
    <xf numFmtId="0" fontId="45" fillId="0" borderId="121" xfId="0" applyFont="1" applyBorder="1" applyAlignment="1">
      <alignment vertical="center"/>
    </xf>
    <xf numFmtId="0" fontId="45" fillId="0" borderId="106" xfId="0" applyFont="1" applyBorder="1" applyAlignment="1">
      <alignment vertical="center"/>
    </xf>
    <xf numFmtId="0" fontId="45" fillId="0" borderId="113" xfId="0" applyFont="1" applyBorder="1" applyAlignment="1">
      <alignment vertical="center"/>
    </xf>
    <xf numFmtId="171" fontId="0" fillId="0" borderId="0" xfId="0" applyNumberFormat="1"/>
    <xf numFmtId="1" fontId="0" fillId="0" borderId="0" xfId="0" applyNumberFormat="1"/>
    <xf numFmtId="0" fontId="0" fillId="0" borderId="0" xfId="0" applyAlignment="1">
      <alignment wrapText="1"/>
    </xf>
    <xf numFmtId="0" fontId="0" fillId="0" borderId="44" xfId="0" applyBorder="1"/>
    <xf numFmtId="0" fontId="0" fillId="34" borderId="44" xfId="0" applyFill="1" applyBorder="1"/>
    <xf numFmtId="0" fontId="0" fillId="34" borderId="23" xfId="0" applyFill="1" applyBorder="1"/>
    <xf numFmtId="0" fontId="9" fillId="5" borderId="4" xfId="11"/>
    <xf numFmtId="171" fontId="9" fillId="5" borderId="123" xfId="11" applyNumberFormat="1" applyBorder="1"/>
    <xf numFmtId="171" fontId="9" fillId="5" borderId="16" xfId="11" applyNumberFormat="1" applyBorder="1"/>
    <xf numFmtId="0" fontId="9" fillId="5" borderId="10" xfId="11" applyBorder="1"/>
    <xf numFmtId="9" fontId="11" fillId="6" borderId="64" xfId="13" applyNumberFormat="1" applyBorder="1"/>
    <xf numFmtId="164" fontId="11" fillId="6" borderId="64" xfId="13" applyNumberFormat="1" applyBorder="1"/>
    <xf numFmtId="169" fontId="11" fillId="6" borderId="64" xfId="13" applyNumberFormat="1" applyBorder="1"/>
    <xf numFmtId="0" fontId="22" fillId="36" borderId="47" xfId="0" applyFont="1" applyFill="1" applyBorder="1" applyAlignment="1">
      <alignment horizontal="center" vertical="center" wrapText="1"/>
    </xf>
    <xf numFmtId="0" fontId="24" fillId="0" borderId="25" xfId="0" applyFont="1" applyBorder="1" applyAlignment="1">
      <alignment horizontal="left"/>
    </xf>
    <xf numFmtId="0" fontId="24" fillId="0" borderId="19" xfId="0" applyFont="1" applyBorder="1" applyAlignment="1">
      <alignment horizontal="left"/>
    </xf>
    <xf numFmtId="0" fontId="44" fillId="0" borderId="53" xfId="0" applyFont="1" applyFill="1" applyBorder="1" applyAlignment="1">
      <alignment horizontal="center" vertical="center"/>
    </xf>
    <xf numFmtId="0" fontId="44" fillId="0" borderId="52" xfId="0" applyFont="1" applyFill="1" applyBorder="1" applyAlignment="1">
      <alignment horizontal="center" vertical="center"/>
    </xf>
    <xf numFmtId="0" fontId="44" fillId="0" borderId="51" xfId="0" applyFont="1" applyFill="1" applyBorder="1" applyAlignment="1">
      <alignment horizontal="center" vertical="center"/>
    </xf>
    <xf numFmtId="0" fontId="24" fillId="0" borderId="32" xfId="0" applyFont="1" applyBorder="1" applyAlignment="1">
      <alignment horizontal="center"/>
    </xf>
    <xf numFmtId="0" fontId="24" fillId="0" borderId="31" xfId="0" applyFont="1" applyBorder="1" applyAlignment="1">
      <alignment horizontal="center"/>
    </xf>
    <xf numFmtId="0" fontId="24" fillId="0" borderId="30" xfId="0" applyFont="1" applyBorder="1" applyAlignment="1">
      <alignment horizontal="center"/>
    </xf>
    <xf numFmtId="0" fontId="24" fillId="0" borderId="44" xfId="0" applyFont="1" applyBorder="1" applyAlignment="1">
      <alignment horizontal="center"/>
    </xf>
    <xf numFmtId="0" fontId="24" fillId="0" borderId="48" xfId="0" applyFont="1" applyBorder="1" applyAlignment="1">
      <alignment horizontal="center"/>
    </xf>
    <xf numFmtId="0" fontId="24" fillId="0" borderId="23" xfId="0" applyFont="1" applyBorder="1" applyAlignment="1">
      <alignment horizontal="center"/>
    </xf>
    <xf numFmtId="0" fontId="16" fillId="36" borderId="89" xfId="0" applyFont="1" applyFill="1" applyBorder="1" applyAlignment="1">
      <alignment horizontal="center"/>
    </xf>
    <xf numFmtId="0" fontId="16" fillId="36" borderId="100" xfId="0" applyFont="1" applyFill="1" applyBorder="1" applyAlignment="1">
      <alignment horizontal="center"/>
    </xf>
    <xf numFmtId="0" fontId="16" fillId="36" borderId="81" xfId="0" applyFont="1" applyFill="1" applyBorder="1" applyAlignment="1">
      <alignment horizontal="center"/>
    </xf>
    <xf numFmtId="0" fontId="16" fillId="0" borderId="53" xfId="0" applyFont="1" applyBorder="1" applyAlignment="1">
      <alignment horizontal="center"/>
    </xf>
    <xf numFmtId="0" fontId="16" fillId="0" borderId="51" xfId="0" applyFont="1" applyBorder="1" applyAlignment="1">
      <alignment horizontal="center"/>
    </xf>
    <xf numFmtId="164" fontId="16" fillId="0" borderId="53" xfId="1" applyNumberFormat="1" applyFont="1" applyBorder="1" applyAlignment="1">
      <alignment horizontal="center"/>
    </xf>
    <xf numFmtId="164" fontId="16" fillId="0" borderId="51" xfId="1" applyNumberFormat="1" applyFont="1" applyBorder="1" applyAlignment="1">
      <alignment horizontal="center"/>
    </xf>
    <xf numFmtId="0" fontId="0" fillId="34" borderId="30" xfId="0" applyFill="1" applyBorder="1" applyAlignment="1">
      <alignment horizontal="center" vertical="center" wrapText="1"/>
    </xf>
    <xf numFmtId="0" fontId="0" fillId="34" borderId="13" xfId="0" applyFill="1" applyBorder="1" applyAlignment="1">
      <alignment horizontal="center" vertical="center" wrapText="1"/>
    </xf>
    <xf numFmtId="0" fontId="0" fillId="34" borderId="26" xfId="0" applyFill="1" applyBorder="1" applyAlignment="1">
      <alignment horizontal="center" vertical="center" wrapText="1"/>
    </xf>
    <xf numFmtId="0" fontId="0" fillId="0" borderId="25" xfId="0" applyBorder="1" applyAlignment="1">
      <alignment horizontal="center"/>
    </xf>
    <xf numFmtId="0" fontId="0" fillId="0" borderId="87" xfId="0" applyBorder="1" applyAlignment="1">
      <alignment horizontal="center"/>
    </xf>
    <xf numFmtId="0" fontId="13" fillId="9" borderId="32" xfId="20" applyFont="1" applyBorder="1" applyAlignment="1">
      <alignment horizontal="center" wrapText="1"/>
    </xf>
    <xf numFmtId="0" fontId="13" fillId="9" borderId="30" xfId="20" applyFont="1" applyBorder="1" applyAlignment="1">
      <alignment horizontal="center" wrapText="1"/>
    </xf>
    <xf numFmtId="0" fontId="13" fillId="9" borderId="27" xfId="20" applyFont="1" applyBorder="1" applyAlignment="1">
      <alignment horizontal="center" wrapText="1"/>
    </xf>
    <xf numFmtId="0" fontId="13" fillId="9" borderId="26" xfId="20" applyFont="1" applyBorder="1" applyAlignment="1">
      <alignment horizontal="center" wrapText="1"/>
    </xf>
    <xf numFmtId="0" fontId="13" fillId="9" borderId="44" xfId="20" applyFont="1" applyBorder="1" applyAlignment="1">
      <alignment horizontal="center" wrapText="1"/>
    </xf>
    <xf numFmtId="0" fontId="13" fillId="9" borderId="23" xfId="20" applyFont="1" applyBorder="1" applyAlignment="1">
      <alignment horizontal="center" wrapText="1"/>
    </xf>
    <xf numFmtId="0" fontId="13" fillId="9" borderId="88" xfId="20" applyFont="1" applyBorder="1" applyAlignment="1">
      <alignment horizontal="center"/>
    </xf>
    <xf numFmtId="0" fontId="13" fillId="9" borderId="74" xfId="20" applyFont="1" applyBorder="1" applyAlignment="1">
      <alignment horizontal="center"/>
    </xf>
    <xf numFmtId="44" fontId="11" fillId="6" borderId="12" xfId="13" applyNumberFormat="1" applyBorder="1" applyAlignment="1">
      <alignment horizontal="center"/>
    </xf>
    <xf numFmtId="44" fontId="11" fillId="6" borderId="11" xfId="13" applyNumberFormat="1" applyBorder="1" applyAlignment="1">
      <alignment horizontal="center"/>
    </xf>
    <xf numFmtId="0" fontId="16" fillId="0" borderId="38" xfId="0" applyFont="1" applyBorder="1" applyAlignment="1">
      <alignment horizontal="center"/>
    </xf>
    <xf numFmtId="0" fontId="16" fillId="0" borderId="47" xfId="0" applyFont="1" applyBorder="1" applyAlignment="1">
      <alignment horizontal="center"/>
    </xf>
    <xf numFmtId="0" fontId="16" fillId="0" borderId="88" xfId="0" applyFont="1" applyFill="1" applyBorder="1" applyAlignment="1">
      <alignment horizontal="center"/>
    </xf>
    <xf numFmtId="0" fontId="16" fillId="0" borderId="77" xfId="0" applyFont="1" applyFill="1" applyBorder="1" applyAlignment="1">
      <alignment horizontal="center"/>
    </xf>
    <xf numFmtId="0" fontId="16" fillId="0" borderId="72" xfId="0" applyFont="1" applyBorder="1" applyAlignment="1">
      <alignment horizontal="center"/>
    </xf>
    <xf numFmtId="0" fontId="16" fillId="0" borderId="76" xfId="0" applyFont="1" applyBorder="1" applyAlignment="1">
      <alignment horizontal="center"/>
    </xf>
    <xf numFmtId="0" fontId="0" fillId="0" borderId="88" xfId="0" applyFill="1" applyBorder="1" applyAlignment="1">
      <alignment horizontal="center"/>
    </xf>
    <xf numFmtId="0" fontId="0" fillId="0" borderId="77" xfId="0" applyFill="1" applyBorder="1" applyAlignment="1">
      <alignment horizontal="center"/>
    </xf>
    <xf numFmtId="0" fontId="0" fillId="0" borderId="90" xfId="0" applyFill="1" applyBorder="1" applyAlignment="1">
      <alignment horizontal="center"/>
    </xf>
    <xf numFmtId="0" fontId="0" fillId="0" borderId="80" xfId="0" applyFill="1" applyBorder="1" applyAlignment="1">
      <alignment horizontal="center"/>
    </xf>
    <xf numFmtId="0" fontId="0" fillId="0" borderId="72" xfId="0" applyBorder="1" applyAlignment="1">
      <alignment horizontal="center"/>
    </xf>
    <xf numFmtId="0" fontId="0" fillId="0" borderId="76" xfId="0" applyBorder="1" applyAlignment="1">
      <alignment horizontal="center"/>
    </xf>
    <xf numFmtId="0" fontId="22" fillId="4" borderId="32" xfId="10" applyFont="1" applyBorder="1" applyAlignment="1">
      <alignment horizontal="center" wrapText="1"/>
    </xf>
    <xf numFmtId="0" fontId="22" fillId="4" borderId="31" xfId="10" applyFont="1" applyBorder="1" applyAlignment="1">
      <alignment horizontal="center" wrapText="1"/>
    </xf>
    <xf numFmtId="0" fontId="22" fillId="4" borderId="30" xfId="10" applyFont="1" applyBorder="1" applyAlignment="1">
      <alignment horizontal="center" wrapText="1"/>
    </xf>
    <xf numFmtId="0" fontId="22" fillId="4" borderId="44" xfId="10" applyFont="1" applyBorder="1" applyAlignment="1">
      <alignment horizontal="center" wrapText="1"/>
    </xf>
    <xf numFmtId="0" fontId="22" fillId="4" borderId="48" xfId="10" applyFont="1" applyBorder="1" applyAlignment="1">
      <alignment horizontal="center" wrapText="1"/>
    </xf>
    <xf numFmtId="0" fontId="22" fillId="4" borderId="23" xfId="10" applyFont="1" applyBorder="1" applyAlignment="1">
      <alignment horizontal="center" wrapText="1"/>
    </xf>
    <xf numFmtId="0" fontId="16" fillId="0" borderId="97" xfId="0" applyFont="1" applyBorder="1" applyAlignment="1">
      <alignment horizontal="center"/>
    </xf>
    <xf numFmtId="0" fontId="16" fillId="0" borderId="98" xfId="0" applyFont="1" applyBorder="1" applyAlignment="1">
      <alignment horizontal="center"/>
    </xf>
    <xf numFmtId="0" fontId="16" fillId="0" borderId="99" xfId="0" applyFont="1" applyFill="1" applyBorder="1" applyAlignment="1">
      <alignment horizontal="center"/>
    </xf>
    <xf numFmtId="0" fontId="16" fillId="0" borderId="81" xfId="0" applyFont="1" applyFill="1" applyBorder="1" applyAlignment="1">
      <alignment horizontal="center"/>
    </xf>
    <xf numFmtId="0" fontId="16" fillId="0" borderId="15" xfId="0" applyFont="1" applyFill="1" applyBorder="1" applyAlignment="1">
      <alignment horizontal="right"/>
    </xf>
    <xf numFmtId="0" fontId="16" fillId="0" borderId="62" xfId="0" applyFont="1" applyFill="1" applyBorder="1" applyAlignment="1">
      <alignment horizontal="right"/>
    </xf>
    <xf numFmtId="0" fontId="16" fillId="0" borderId="38" xfId="0" applyFont="1" applyBorder="1" applyAlignment="1">
      <alignment horizontal="right"/>
    </xf>
    <xf numFmtId="0" fontId="16" fillId="0" borderId="47" xfId="0" applyFont="1" applyBorder="1" applyAlignment="1">
      <alignment horizontal="right"/>
    </xf>
    <xf numFmtId="0" fontId="16" fillId="0" borderId="38" xfId="0" applyFont="1" applyFill="1" applyBorder="1" applyAlignment="1">
      <alignment horizontal="right"/>
    </xf>
    <xf numFmtId="0" fontId="16" fillId="0" borderId="47" xfId="0" applyFont="1" applyFill="1" applyBorder="1" applyAlignment="1">
      <alignment horizontal="right"/>
    </xf>
    <xf numFmtId="0" fontId="16" fillId="0" borderId="25" xfId="0" applyFont="1" applyFill="1" applyBorder="1" applyAlignment="1">
      <alignment horizontal="right"/>
    </xf>
    <xf numFmtId="0" fontId="16" fillId="0" borderId="19" xfId="0" applyFont="1" applyFill="1" applyBorder="1" applyAlignment="1">
      <alignment horizontal="right"/>
    </xf>
    <xf numFmtId="0" fontId="24" fillId="0" borderId="53" xfId="0" applyFont="1" applyBorder="1" applyAlignment="1">
      <alignment horizontal="center"/>
    </xf>
    <xf numFmtId="0" fontId="24" fillId="0" borderId="52" xfId="0" applyFont="1" applyBorder="1" applyAlignment="1">
      <alignment horizontal="center"/>
    </xf>
    <xf numFmtId="0" fontId="24" fillId="0" borderId="51" xfId="0" applyFont="1" applyBorder="1" applyAlignment="1">
      <alignment horizontal="center"/>
    </xf>
    <xf numFmtId="0" fontId="13" fillId="9" borderId="15" xfId="20" applyFont="1" applyBorder="1" applyAlignment="1">
      <alignment horizontal="center"/>
    </xf>
    <xf numFmtId="0" fontId="13" fillId="9" borderId="28" xfId="20" applyFont="1" applyBorder="1" applyAlignment="1">
      <alignment horizontal="center"/>
    </xf>
    <xf numFmtId="0" fontId="9" fillId="5" borderId="60" xfId="11" applyBorder="1" applyAlignment="1">
      <alignment horizontal="center"/>
    </xf>
    <xf numFmtId="0" fontId="9" fillId="5" borderId="59" xfId="11" applyBorder="1" applyAlignment="1">
      <alignment horizontal="center"/>
    </xf>
    <xf numFmtId="0" fontId="0" fillId="0" borderId="15" xfId="0" applyBorder="1" applyAlignment="1">
      <alignment horizontal="center"/>
    </xf>
    <xf numFmtId="0" fontId="0" fillId="0" borderId="46" xfId="0" applyBorder="1" applyAlignment="1">
      <alignment horizontal="center"/>
    </xf>
    <xf numFmtId="0" fontId="16" fillId="0" borderId="52" xfId="0" applyFont="1" applyBorder="1" applyAlignment="1">
      <alignment horizontal="center"/>
    </xf>
    <xf numFmtId="0" fontId="16" fillId="0" borderId="57" xfId="0" applyFont="1" applyBorder="1" applyAlignment="1">
      <alignment horizontal="center"/>
    </xf>
    <xf numFmtId="0" fontId="16" fillId="0" borderId="55" xfId="0" applyFont="1" applyBorder="1" applyAlignment="1">
      <alignment horizontal="center"/>
    </xf>
    <xf numFmtId="44" fontId="0" fillId="0" borderId="44" xfId="0" applyNumberFormat="1" applyBorder="1" applyAlignment="1">
      <alignment horizontal="center"/>
    </xf>
    <xf numFmtId="0" fontId="0" fillId="0" borderId="23" xfId="0" applyBorder="1" applyAlignment="1">
      <alignment horizontal="center"/>
    </xf>
    <xf numFmtId="44" fontId="0" fillId="0" borderId="53" xfId="0" applyNumberFormat="1" applyBorder="1" applyAlignment="1">
      <alignment horizontal="center"/>
    </xf>
    <xf numFmtId="44" fontId="0" fillId="0" borderId="51" xfId="0" applyNumberFormat="1" applyBorder="1" applyAlignment="1">
      <alignment horizontal="center"/>
    </xf>
    <xf numFmtId="0" fontId="16" fillId="0" borderId="53" xfId="0" applyFont="1" applyFill="1" applyBorder="1" applyAlignment="1">
      <alignment horizontal="center"/>
    </xf>
    <xf numFmtId="0" fontId="16" fillId="0" borderId="52" xfId="0" applyFont="1" applyFill="1" applyBorder="1" applyAlignment="1">
      <alignment horizontal="center"/>
    </xf>
    <xf numFmtId="0" fontId="16" fillId="0" borderId="51" xfId="0" applyFont="1" applyFill="1" applyBorder="1" applyAlignment="1">
      <alignment horizontal="center"/>
    </xf>
    <xf numFmtId="0" fontId="16" fillId="0" borderId="15" xfId="0" applyFont="1" applyFill="1" applyBorder="1" applyAlignment="1">
      <alignment horizontal="center"/>
    </xf>
    <xf numFmtId="0" fontId="16" fillId="0" borderId="14" xfId="0" applyFont="1" applyFill="1" applyBorder="1" applyAlignment="1">
      <alignment horizontal="center"/>
    </xf>
    <xf numFmtId="0" fontId="16" fillId="0" borderId="0" xfId="0" applyFont="1" applyAlignment="1">
      <alignment horizontal="center"/>
    </xf>
    <xf numFmtId="0" fontId="16" fillId="0" borderId="48" xfId="0" applyFont="1" applyBorder="1" applyAlignment="1">
      <alignment horizontal="center"/>
    </xf>
    <xf numFmtId="0" fontId="16" fillId="0" borderId="0" xfId="0" applyFont="1" applyBorder="1" applyAlignment="1">
      <alignment horizontal="center"/>
    </xf>
    <xf numFmtId="0" fontId="16" fillId="34" borderId="17" xfId="0" applyFont="1" applyFill="1" applyBorder="1" applyAlignment="1">
      <alignment horizontal="center" wrapText="1"/>
    </xf>
    <xf numFmtId="0" fontId="16" fillId="34" borderId="13" xfId="0" applyFont="1" applyFill="1" applyBorder="1" applyAlignment="1">
      <alignment horizontal="center" wrapText="1"/>
    </xf>
    <xf numFmtId="0" fontId="16" fillId="34" borderId="18" xfId="0" applyFont="1" applyFill="1" applyBorder="1" applyAlignment="1">
      <alignment horizontal="center" wrapText="1"/>
    </xf>
    <xf numFmtId="6" fontId="0" fillId="0" borderId="52" xfId="0" applyNumberFormat="1" applyBorder="1" applyAlignment="1">
      <alignment horizontal="center"/>
    </xf>
    <xf numFmtId="6" fontId="0" fillId="0" borderId="51" xfId="0" applyNumberFormat="1" applyBorder="1" applyAlignment="1">
      <alignment horizontal="center"/>
    </xf>
    <xf numFmtId="1" fontId="0" fillId="0" borderId="52" xfId="0" applyNumberFormat="1" applyBorder="1" applyAlignment="1">
      <alignment horizontal="center"/>
    </xf>
    <xf numFmtId="1" fontId="0" fillId="0" borderId="51" xfId="0" applyNumberFormat="1" applyBorder="1" applyAlignment="1">
      <alignment horizontal="center"/>
    </xf>
    <xf numFmtId="0" fontId="16" fillId="0" borderId="25" xfId="0" applyFont="1" applyBorder="1" applyAlignment="1">
      <alignment horizontal="center"/>
    </xf>
    <xf numFmtId="0" fontId="16" fillId="0" borderId="40" xfId="0" applyFont="1" applyBorder="1" applyAlignment="1">
      <alignment horizontal="center"/>
    </xf>
    <xf numFmtId="0" fontId="16" fillId="0" borderId="56" xfId="0" applyFont="1" applyBorder="1" applyAlignment="1">
      <alignment horizontal="center"/>
    </xf>
    <xf numFmtId="0" fontId="0" fillId="0" borderId="65" xfId="0" applyBorder="1" applyAlignment="1">
      <alignment horizontal="center"/>
    </xf>
    <xf numFmtId="0" fontId="16" fillId="0" borderId="32" xfId="0" applyFont="1" applyBorder="1" applyAlignment="1">
      <alignment horizontal="center"/>
    </xf>
    <xf numFmtId="0" fontId="16" fillId="0" borderId="31" xfId="0" applyFont="1" applyBorder="1" applyAlignment="1">
      <alignment horizontal="center"/>
    </xf>
    <xf numFmtId="0" fontId="16" fillId="0" borderId="30" xfId="0" applyFont="1" applyBorder="1" applyAlignment="1">
      <alignment horizontal="center"/>
    </xf>
    <xf numFmtId="0" fontId="16" fillId="0" borderId="41" xfId="0" applyFont="1" applyBorder="1" applyAlignment="1">
      <alignment horizontal="center"/>
    </xf>
    <xf numFmtId="0" fontId="16" fillId="0" borderId="42" xfId="0" applyFont="1" applyBorder="1" applyAlignment="1">
      <alignment horizontal="center"/>
    </xf>
    <xf numFmtId="0" fontId="16" fillId="0" borderId="15" xfId="0" applyFont="1" applyBorder="1" applyAlignment="1">
      <alignment horizontal="center"/>
    </xf>
    <xf numFmtId="0" fontId="16" fillId="0" borderId="28" xfId="0" applyFont="1" applyBorder="1" applyAlignment="1">
      <alignment horizontal="center"/>
    </xf>
    <xf numFmtId="0" fontId="16" fillId="0" borderId="14" xfId="0" applyFont="1" applyBorder="1" applyAlignment="1">
      <alignment horizontal="center"/>
    </xf>
    <xf numFmtId="0" fontId="16" fillId="0" borderId="39" xfId="0" applyFont="1" applyBorder="1" applyAlignment="1">
      <alignment horizontal="center"/>
    </xf>
    <xf numFmtId="0" fontId="16" fillId="0" borderId="19" xfId="0" applyFont="1" applyBorder="1" applyAlignment="1">
      <alignment horizontal="center"/>
    </xf>
    <xf numFmtId="44" fontId="0" fillId="0" borderId="53" xfId="2" applyFont="1" applyBorder="1" applyAlignment="1">
      <alignment horizontal="center"/>
    </xf>
    <xf numFmtId="44" fontId="0" fillId="0" borderId="51" xfId="2" applyFont="1" applyBorder="1" applyAlignment="1">
      <alignment horizontal="center"/>
    </xf>
    <xf numFmtId="164" fontId="0" fillId="0" borderId="53" xfId="1" applyNumberFormat="1" applyFont="1" applyBorder="1" applyAlignment="1">
      <alignment horizontal="center" vertical="center"/>
    </xf>
    <xf numFmtId="164" fontId="0" fillId="0" borderId="51" xfId="1" applyNumberFormat="1" applyFont="1" applyBorder="1" applyAlignment="1">
      <alignment horizontal="center" vertical="center"/>
    </xf>
    <xf numFmtId="44" fontId="11" fillId="6" borderId="71" xfId="13" applyNumberFormat="1" applyBorder="1" applyAlignment="1">
      <alignment horizontal="center"/>
    </xf>
    <xf numFmtId="44" fontId="11" fillId="6" borderId="70" xfId="13" applyNumberFormat="1" applyBorder="1" applyAlignment="1">
      <alignment horizontal="center"/>
    </xf>
    <xf numFmtId="0" fontId="0" fillId="0" borderId="53" xfId="0" applyBorder="1" applyAlignment="1">
      <alignment horizontal="center"/>
    </xf>
    <xf numFmtId="0" fontId="0" fillId="0" borderId="52" xfId="0" applyBorder="1" applyAlignment="1">
      <alignment horizontal="center"/>
    </xf>
    <xf numFmtId="0" fontId="16" fillId="0" borderId="54" xfId="0" applyFont="1" applyBorder="1" applyAlignment="1">
      <alignment horizontal="center"/>
    </xf>
    <xf numFmtId="0" fontId="16" fillId="0" borderId="49" xfId="0" applyFont="1" applyBorder="1" applyAlignment="1">
      <alignment horizontal="center"/>
    </xf>
    <xf numFmtId="0" fontId="16" fillId="0" borderId="44" xfId="0" applyFont="1" applyBorder="1" applyAlignment="1">
      <alignment horizontal="center"/>
    </xf>
    <xf numFmtId="0" fontId="16" fillId="0" borderId="23" xfId="0" applyFont="1" applyBorder="1" applyAlignment="1">
      <alignment horizontal="center"/>
    </xf>
    <xf numFmtId="0" fontId="16" fillId="0" borderId="63" xfId="0" applyFont="1" applyBorder="1" applyAlignment="1">
      <alignment horizontal="center"/>
    </xf>
    <xf numFmtId="0" fontId="16" fillId="0" borderId="62" xfId="0" applyFont="1" applyBorder="1" applyAlignment="1">
      <alignment horizontal="center"/>
    </xf>
    <xf numFmtId="0" fontId="16" fillId="0" borderId="60" xfId="0" applyFont="1" applyBorder="1" applyAlignment="1">
      <alignment horizontal="center"/>
    </xf>
    <xf numFmtId="0" fontId="16" fillId="0" borderId="59" xfId="0" applyFont="1" applyBorder="1" applyAlignment="1">
      <alignment horizontal="center"/>
    </xf>
    <xf numFmtId="0" fontId="16" fillId="0" borderId="66" xfId="0" applyFont="1" applyBorder="1" applyAlignment="1">
      <alignment horizontal="center"/>
    </xf>
    <xf numFmtId="0" fontId="16" fillId="0" borderId="58" xfId="0" applyFont="1" applyBorder="1" applyAlignment="1">
      <alignment horizontal="center"/>
    </xf>
    <xf numFmtId="0" fontId="0" fillId="0" borderId="57" xfId="0" applyBorder="1" applyAlignment="1">
      <alignment horizontal="center"/>
    </xf>
    <xf numFmtId="0" fontId="0" fillId="0" borderId="56" xfId="0" applyBorder="1" applyAlignment="1">
      <alignment horizontal="center"/>
    </xf>
    <xf numFmtId="0" fontId="0" fillId="0" borderId="55" xfId="0" applyBorder="1" applyAlignment="1">
      <alignment horizontal="center"/>
    </xf>
    <xf numFmtId="0" fontId="8" fillId="4" borderId="53" xfId="10" applyBorder="1" applyAlignment="1">
      <alignment horizontal="center"/>
    </xf>
    <xf numFmtId="0" fontId="8" fillId="4" borderId="52" xfId="10" applyBorder="1" applyAlignment="1">
      <alignment horizontal="center"/>
    </xf>
    <xf numFmtId="0" fontId="8" fillId="4" borderId="51" xfId="10" applyBorder="1" applyAlignment="1">
      <alignment horizontal="center"/>
    </xf>
    <xf numFmtId="0" fontId="16" fillId="0" borderId="43" xfId="0" applyFont="1" applyBorder="1" applyAlignment="1">
      <alignment horizontal="center"/>
    </xf>
    <xf numFmtId="0" fontId="16" fillId="0" borderId="60" xfId="0" applyFont="1" applyBorder="1" applyAlignment="1">
      <alignment horizontal="center" wrapText="1"/>
    </xf>
    <xf numFmtId="0" fontId="16" fillId="0" borderId="59" xfId="0" applyFont="1" applyBorder="1" applyAlignment="1">
      <alignment horizontal="center" wrapText="1"/>
    </xf>
    <xf numFmtId="0" fontId="16" fillId="0" borderId="58" xfId="0" applyFont="1" applyBorder="1" applyAlignment="1">
      <alignment horizontal="center" wrapText="1"/>
    </xf>
    <xf numFmtId="0" fontId="16" fillId="0" borderId="50" xfId="0" applyFont="1" applyBorder="1" applyAlignment="1">
      <alignment horizontal="center"/>
    </xf>
    <xf numFmtId="0" fontId="16" fillId="0" borderId="32"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44" xfId="0" applyFont="1" applyBorder="1" applyAlignment="1">
      <alignment horizontal="center" vertical="center" wrapText="1"/>
    </xf>
    <xf numFmtId="0" fontId="16" fillId="0" borderId="48"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61" xfId="0" applyFont="1" applyBorder="1" applyAlignment="1">
      <alignment horizontal="center"/>
    </xf>
    <xf numFmtId="0" fontId="16" fillId="0" borderId="62" xfId="0" applyFont="1" applyBorder="1" applyAlignment="1">
      <alignment horizontal="center" wrapText="1"/>
    </xf>
    <xf numFmtId="0" fontId="16" fillId="0" borderId="61" xfId="0" applyFont="1" applyBorder="1" applyAlignment="1">
      <alignment horizontal="center" wrapText="1"/>
    </xf>
    <xf numFmtId="0" fontId="13" fillId="33" borderId="0" xfId="0" applyFont="1" applyFill="1" applyAlignment="1">
      <alignment horizontal="center" vertical="top" wrapText="1"/>
    </xf>
    <xf numFmtId="0" fontId="13" fillId="33" borderId="17" xfId="0" applyFont="1" applyFill="1" applyBorder="1" applyAlignment="1">
      <alignment horizontal="center" vertical="top" wrapText="1"/>
    </xf>
    <xf numFmtId="0" fontId="13" fillId="33" borderId="13" xfId="0" applyFont="1" applyFill="1" applyBorder="1" applyAlignment="1">
      <alignment horizontal="center" vertical="top" wrapText="1"/>
    </xf>
    <xf numFmtId="0" fontId="13" fillId="33" borderId="18" xfId="0" applyFont="1" applyFill="1" applyBorder="1" applyAlignment="1">
      <alignment horizontal="center" vertical="top" wrapText="1"/>
    </xf>
    <xf numFmtId="44" fontId="11" fillId="6" borderId="25" xfId="13" applyNumberFormat="1" applyBorder="1" applyAlignment="1">
      <alignment horizontal="center"/>
    </xf>
    <xf numFmtId="0" fontId="11" fillId="6" borderId="19" xfId="13" applyBorder="1" applyAlignment="1">
      <alignment horizontal="center"/>
    </xf>
    <xf numFmtId="0" fontId="16" fillId="0" borderId="53" xfId="0" applyFont="1" applyBorder="1" applyAlignment="1">
      <alignment horizontal="center" vertical="top" wrapText="1"/>
    </xf>
    <xf numFmtId="0" fontId="16" fillId="0" borderId="51" xfId="0" applyFont="1" applyBorder="1" applyAlignment="1">
      <alignment horizontal="center" vertical="top" wrapText="1"/>
    </xf>
    <xf numFmtId="0" fontId="16" fillId="0" borderId="15" xfId="0" applyFont="1" applyBorder="1" applyAlignment="1">
      <alignment horizontal="center" wrapText="1"/>
    </xf>
    <xf numFmtId="0" fontId="16" fillId="0" borderId="14" xfId="0" applyFont="1" applyBorder="1" applyAlignment="1">
      <alignment horizontal="center" wrapText="1"/>
    </xf>
    <xf numFmtId="0" fontId="16" fillId="0" borderId="38" xfId="0" applyFont="1" applyBorder="1" applyAlignment="1">
      <alignment horizontal="center" wrapText="1"/>
    </xf>
    <xf numFmtId="0" fontId="16" fillId="0" borderId="39" xfId="0" applyFont="1" applyBorder="1" applyAlignment="1">
      <alignment horizontal="center" wrapText="1"/>
    </xf>
    <xf numFmtId="9" fontId="11" fillId="6" borderId="12" xfId="13" applyNumberFormat="1" applyBorder="1" applyAlignment="1">
      <alignment horizontal="center"/>
    </xf>
    <xf numFmtId="9" fontId="11" fillId="6" borderId="11" xfId="13" applyNumberFormat="1" applyBorder="1" applyAlignment="1">
      <alignment horizontal="center"/>
    </xf>
    <xf numFmtId="0" fontId="0" fillId="0" borderId="27" xfId="0" applyBorder="1" applyAlignment="1">
      <alignment horizontal="center"/>
    </xf>
    <xf numFmtId="0" fontId="0" fillId="0" borderId="0" xfId="0" applyBorder="1" applyAlignment="1">
      <alignment horizontal="center"/>
    </xf>
    <xf numFmtId="9" fontId="9" fillId="5" borderId="22" xfId="11" applyNumberFormat="1" applyBorder="1" applyAlignment="1">
      <alignment horizontal="center"/>
    </xf>
    <xf numFmtId="9" fontId="9" fillId="5" borderId="21" xfId="11" applyNumberFormat="1" applyBorder="1" applyAlignment="1">
      <alignment horizontal="center"/>
    </xf>
    <xf numFmtId="9" fontId="9" fillId="5" borderId="20" xfId="11" applyNumberFormat="1" applyBorder="1" applyAlignment="1">
      <alignment horizontal="center"/>
    </xf>
    <xf numFmtId="0" fontId="13" fillId="35" borderId="27" xfId="0" applyFont="1" applyFill="1" applyBorder="1" applyAlignment="1">
      <alignment horizontal="center" vertical="center" wrapText="1"/>
    </xf>
    <xf numFmtId="0" fontId="13" fillId="35" borderId="0" xfId="0" applyFont="1" applyFill="1" applyBorder="1" applyAlignment="1">
      <alignment horizontal="center" vertical="center" wrapText="1"/>
    </xf>
    <xf numFmtId="0" fontId="13" fillId="35" borderId="26" xfId="0" applyFont="1" applyFill="1" applyBorder="1" applyAlignment="1">
      <alignment horizontal="center" vertical="center" wrapText="1"/>
    </xf>
    <xf numFmtId="0" fontId="0" fillId="35" borderId="13" xfId="0" applyFill="1" applyBorder="1" applyAlignment="1">
      <alignment horizontal="center"/>
    </xf>
    <xf numFmtId="0" fontId="0" fillId="0" borderId="44" xfId="0" applyBorder="1" applyAlignment="1">
      <alignment horizontal="center"/>
    </xf>
    <xf numFmtId="0" fontId="0" fillId="0" borderId="48" xfId="0" applyBorder="1" applyAlignment="1">
      <alignment horizontal="center"/>
    </xf>
    <xf numFmtId="0" fontId="0" fillId="0" borderId="26" xfId="0" applyBorder="1" applyAlignment="1">
      <alignment horizontal="center"/>
    </xf>
    <xf numFmtId="0" fontId="0" fillId="0" borderId="27" xfId="0" applyBorder="1" applyAlignment="1">
      <alignment horizontal="center" wrapText="1"/>
    </xf>
    <xf numFmtId="0" fontId="0" fillId="0" borderId="0" xfId="0" applyBorder="1" applyAlignment="1">
      <alignment horizontal="center" wrapText="1"/>
    </xf>
    <xf numFmtId="0" fontId="0" fillId="0" borderId="26" xfId="0" applyBorder="1" applyAlignment="1">
      <alignment horizontal="center" wrapText="1"/>
    </xf>
    <xf numFmtId="0" fontId="9" fillId="5" borderId="15" xfId="11" applyBorder="1" applyAlignment="1">
      <alignment horizontal="left"/>
    </xf>
    <xf numFmtId="0" fontId="9" fillId="5" borderId="28" xfId="11" applyBorder="1" applyAlignment="1">
      <alignment horizontal="left"/>
    </xf>
    <xf numFmtId="0" fontId="9" fillId="5" borderId="14" xfId="11" applyBorder="1" applyAlignment="1">
      <alignment horizontal="left"/>
    </xf>
    <xf numFmtId="9" fontId="9" fillId="5" borderId="35" xfId="11" applyNumberFormat="1" applyBorder="1" applyAlignment="1">
      <alignment horizontal="center"/>
    </xf>
    <xf numFmtId="9" fontId="9" fillId="5" borderId="34" xfId="11" applyNumberFormat="1" applyBorder="1" applyAlignment="1">
      <alignment horizontal="center"/>
    </xf>
    <xf numFmtId="9" fontId="9" fillId="5" borderId="33" xfId="11" applyNumberFormat="1" applyBorder="1" applyAlignment="1">
      <alignment horizontal="center"/>
    </xf>
    <xf numFmtId="2" fontId="11" fillId="6" borderId="53" xfId="13" applyNumberFormat="1" applyBorder="1" applyAlignment="1">
      <alignment horizontal="center"/>
    </xf>
    <xf numFmtId="2" fontId="11" fillId="6" borderId="52" xfId="13" applyNumberFormat="1" applyBorder="1" applyAlignment="1">
      <alignment horizontal="center"/>
    </xf>
    <xf numFmtId="2" fontId="11" fillId="6" borderId="51" xfId="13" applyNumberFormat="1" applyBorder="1" applyAlignment="1">
      <alignment horizontal="center"/>
    </xf>
    <xf numFmtId="9" fontId="0" fillId="0" borderId="44" xfId="44" applyFont="1" applyBorder="1" applyAlignment="1">
      <alignment horizontal="center"/>
    </xf>
    <xf numFmtId="9" fontId="0" fillId="0" borderId="48" xfId="44" applyFont="1" applyBorder="1" applyAlignment="1">
      <alignment horizontal="center"/>
    </xf>
    <xf numFmtId="9" fontId="0" fillId="0" borderId="23" xfId="44" applyFont="1" applyBorder="1" applyAlignment="1">
      <alignment horizontal="center"/>
    </xf>
    <xf numFmtId="0" fontId="35" fillId="0" borderId="0" xfId="46" applyFont="1" applyFill="1" applyBorder="1" applyAlignment="1">
      <alignment horizontal="center" vertical="top" wrapText="1"/>
    </xf>
  </cellXfs>
  <cellStyles count="4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5" builtinId="8"/>
    <cellStyle name="Input" xfId="11" builtinId="20" customBuiltin="1"/>
    <cellStyle name="Linked Cell" xfId="14" builtinId="24" customBuiltin="1"/>
    <cellStyle name="Neutral" xfId="10" builtinId="28" customBuiltin="1"/>
    <cellStyle name="Normal" xfId="0" builtinId="0"/>
    <cellStyle name="Normal 2" xfId="46" xr:uid="{00000000-0005-0000-0000-000028000000}"/>
    <cellStyle name="Note" xfId="17" builtinId="10" customBuiltin="1"/>
    <cellStyle name="Output" xfId="12" builtinId="21" customBuiltin="1"/>
    <cellStyle name="Percent" xfId="44" builtinId="5"/>
    <cellStyle name="Title" xfId="3" builtinId="15" customBuiltin="1"/>
    <cellStyle name="Total" xfId="19" builtinId="25" customBuiltin="1"/>
    <cellStyle name="Warning Text" xfId="16" builtinId="11" customBuiltin="1"/>
  </cellStyles>
  <dxfs count="74">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4" formatCode="0.00%"/>
    </dxf>
    <dxf>
      <numFmt numFmtId="30" formatCode="@"/>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7" formatCode="_(* #,##0.0_);_(* \(#,##0.0\);_(* &quot;-&quot;??_);_(@_)"/>
    </dxf>
    <dxf>
      <font>
        <b val="0"/>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dxf>
    <dxf>
      <numFmt numFmtId="1" formatCode="0"/>
    </dxf>
    <dxf>
      <font>
        <b val="0"/>
        <i val="0"/>
        <strike val="0"/>
        <condense val="0"/>
        <extend val="0"/>
        <outline val="0"/>
        <shadow val="0"/>
        <u val="none"/>
        <vertAlign val="baseline"/>
        <sz val="11"/>
        <color theme="1"/>
        <name val="Calibri"/>
        <scheme val="minor"/>
      </font>
    </dxf>
    <dxf>
      <numFmt numFmtId="164" formatCode="_(* #,##0_);_(* \(#,##0\);_(* &quot;-&quot;??_);_(@_)"/>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72" formatCode="_(&quot;$&quot;* #,##0.0000_);_(&quot;$&quot;* \(#,##0.0000\);_(&quot;$&quot;*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numFmt numFmtId="19" formatCode="m/d/yyyy"/>
    </dxf>
    <dxf>
      <numFmt numFmtId="0" formatCode="General"/>
    </dxf>
    <dxf>
      <numFmt numFmtId="2" formatCode="0.0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5" formatCode="0.00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dxf>
    <dxf>
      <numFmt numFmtId="1" formatCode="0"/>
    </dxf>
    <dxf>
      <numFmt numFmtId="171" formatCode="0.0%"/>
    </dxf>
    <dxf>
      <numFmt numFmtId="164" formatCode="_(* #,##0_);_(* \(#,##0\);_(* &quot;-&quot;??_);_(@_)"/>
    </dxf>
    <dxf>
      <numFmt numFmtId="164" formatCode="_(* #,##0_);_(* \(#,##0\);_(* &quot;-&quot;??_);_(@_)"/>
    </dxf>
    <dxf>
      <alignment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_(* #,##0_);_(* \(#,##0\);_(* &quot;-&quot;??_);_(@_)"/>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_(* #,##0_);_(* \(#,##0\);_(* &quot;-&quot;??_);_(@_)"/>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alignment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alignment textRotation="0" wrapText="0" indent="0" justifyLastLine="0" shrinkToFit="0" readingOrder="0"/>
      <border diagonalUp="0" diagonalDown="0" outline="0">
        <left style="thin">
          <color indexed="64"/>
        </left>
        <right style="thin">
          <color indexed="64"/>
        </right>
        <top/>
        <bottom/>
      </border>
    </dxf>
    <dxf>
      <alignment wrapText="0" readingOrder="0"/>
    </dxf>
    <dxf>
      <alignment wrapText="0" readingOrder="0"/>
    </dxf>
    <dxf>
      <alignment wrapText="0" readingOrder="0"/>
    </dxf>
    <dxf>
      <alignment wrapText="0" readingOrder="0"/>
    </dxf>
    <dxf>
      <alignment wrapText="0" readingOrder="0"/>
    </dxf>
    <dxf>
      <alignment wrapText="0" readingOrder="0"/>
    </dxf>
    <dxf>
      <numFmt numFmtId="167" formatCode="_(* #,##0.0_);_(* \(#,##0.0\);_(* &quot;-&quot;??_);_(@_)"/>
    </dxf>
    <dxf>
      <numFmt numFmtId="35" formatCode="_(* #,##0.00_);_(* \(#,##0.00\);_(* &quot;-&quot;??_);_(@_)"/>
    </dxf>
    <dxf>
      <numFmt numFmtId="164" formatCode="_(* #,##0_);_(* \(#,##0\);_(* &quot;-&quot;??_);_(@_)"/>
    </dxf>
    <dxf>
      <numFmt numFmtId="35" formatCode="_(* #,##0.00_);_(* \(#,##0.00\);_(* &quot;-&quot;??_);_(@_)"/>
    </dxf>
    <dxf>
      <numFmt numFmtId="164" formatCode="_(* #,##0_);_(* \(#,##0\);_(* &quot;-&quot;??_);_(@_)"/>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[FIM_Tracker_Springfield_Office_20210226.xlsx]Pivot!PivotTable8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Building 27 Sum of kWh/yr (CHW energy use not included.)</a:t>
            </a:r>
          </a:p>
        </c:rich>
      </c:tx>
      <c:layout>
        <c:manualLayout>
          <c:xMode val="edge"/>
          <c:yMode val="edge"/>
          <c:x val="0.19755204199475065"/>
          <c:y val="8.3327755243425727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w="19050">
            <a:solidFill>
              <a:schemeClr val="lt1"/>
            </a:solidFill>
          </a:ln>
          <a:effectLst/>
        </c:spPr>
        <c:dLbl>
          <c:idx val="0"/>
          <c:layout>
            <c:manualLayout>
              <c:x val="0.11413333333333334"/>
              <c:y val="-1.78837527905225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2849931758530184"/>
                  <c:h val="5.6488250546526231E-2"/>
                </c:manualLayout>
              </c15:layout>
            </c:ext>
          </c:extLst>
        </c:dLbl>
      </c:pivotFmt>
      <c:pivotFmt>
        <c:idx val="6"/>
        <c:spPr>
          <a:solidFill>
            <a:schemeClr val="accent1"/>
          </a:solidFill>
          <a:ln w="19050">
            <a:solidFill>
              <a:schemeClr val="lt1"/>
            </a:solidFill>
          </a:ln>
          <a:effectLst/>
        </c:spPr>
        <c:dLbl>
          <c:idx val="0"/>
          <c:layout>
            <c:manualLayout>
              <c:x val="-5.0133333333333356E-2"/>
              <c:y val="2.38450037206967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2330943832020997"/>
                  <c:h val="5.7654214901687872E-2"/>
                </c:manualLayout>
              </c15:layout>
            </c:ext>
          </c:extLst>
        </c:dLbl>
      </c:pivotFmt>
      <c:pivotFmt>
        <c:idx val="7"/>
        <c:spPr>
          <a:solidFill>
            <a:schemeClr val="accent1"/>
          </a:solidFill>
          <a:ln w="19050">
            <a:solidFill>
              <a:schemeClr val="lt1"/>
            </a:solidFill>
          </a:ln>
          <a:effectLst/>
        </c:spPr>
        <c:dLbl>
          <c:idx val="0"/>
          <c:layout>
            <c:manualLayout>
              <c:x val="3.2000000000000001E-2"/>
              <c:y val="7.17997470301703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269702887139106"/>
                  <c:h val="4.9705880328122273E-2"/>
                </c:manualLayout>
              </c15:layout>
            </c:ext>
          </c:extLst>
        </c:dLbl>
      </c:pivotFmt>
      <c:pivotFmt>
        <c:idx val="8"/>
        <c:spPr>
          <a:solidFill>
            <a:schemeClr val="accent1"/>
          </a:solidFill>
          <a:ln w="19050">
            <a:solidFill>
              <a:schemeClr val="lt1"/>
            </a:solidFill>
          </a:ln>
          <a:effectLst/>
        </c:spPr>
        <c:dLbl>
          <c:idx val="0"/>
          <c:layout>
            <c:manualLayout>
              <c:x val="7.4666666666666673E-2"/>
              <c:y val="3.97416728678279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6.1706282676945237E-3"/>
              <c:y val="-3.04255458372412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2"/>
          </a:solidFill>
          <a:ln w="19050">
            <a:solidFill>
              <a:schemeClr val="lt1"/>
            </a:solidFill>
          </a:ln>
          <a:effectLst/>
        </c:spPr>
        <c:dLbl>
          <c:idx val="0"/>
          <c:layout>
            <c:manualLayout>
              <c:x val="2.6058627466101127E-2"/>
              <c:y val="-2.95475530932595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spPr>
          <a:solidFill>
            <a:schemeClr val="accent3"/>
          </a:solidFill>
          <a:ln w="19050">
            <a:solidFill>
              <a:schemeClr val="lt1"/>
            </a:solidFill>
          </a:ln>
          <a:effectLst/>
        </c:spPr>
        <c:dLbl>
          <c:idx val="0"/>
          <c:layout>
            <c:manualLayout>
              <c:x val="-2.0072153672035076E-2"/>
              <c:y val="-2.13539235573392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accent1"/>
          </a:solidFill>
          <a:ln w="19050">
            <a:solidFill>
              <a:schemeClr val="lt1"/>
            </a:solidFill>
          </a:ln>
          <a:effectLst/>
        </c:spPr>
        <c:dLbl>
          <c:idx val="0"/>
          <c:layout>
            <c:manualLayout>
              <c:x val="-7.293765879265092E-2"/>
              <c:y val="-3.61110989417449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4"/>
          </a:solidFill>
          <a:ln w="19050">
            <a:solidFill>
              <a:schemeClr val="lt1"/>
            </a:solidFill>
          </a:ln>
          <a:effectLst/>
        </c:spPr>
        <c:dLbl>
          <c:idx val="0"/>
          <c:layout>
            <c:manualLayout>
              <c:x val="-3.8889936667617933E-2"/>
              <c:y val="2.37741473451551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7"/>
        <c:spPr>
          <a:solidFill>
            <a:schemeClr val="accent4"/>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4"/>
          </a:solidFill>
          <a:ln w="19050">
            <a:solidFill>
              <a:schemeClr val="lt1"/>
            </a:solidFill>
          </a:ln>
          <a:effectLst/>
        </c:spPr>
      </c:pivotFmt>
      <c:pivotFmt>
        <c:idx val="30"/>
        <c:marker>
          <c:symbol val="none"/>
        </c:marker>
        <c:dLbl>
          <c:idx val="0"/>
          <c:delete val="1"/>
          <c:extLst>
            <c:ext xmlns:c15="http://schemas.microsoft.com/office/drawing/2012/chart" uri="{CE6537A1-D6FC-4f65-9D91-7224C49458BB}"/>
          </c:extLst>
        </c:dLbl>
      </c:pivotFmt>
      <c:pivotFmt>
        <c:idx val="31"/>
        <c:spPr>
          <a:solidFill>
            <a:schemeClr val="accent1">
              <a:lumMod val="60000"/>
            </a:schemeClr>
          </a:solidFill>
          <a:ln w="19050">
            <a:solidFill>
              <a:schemeClr val="lt1"/>
            </a:solidFill>
          </a:ln>
          <a:effectLst/>
        </c:spPr>
        <c:dLbl>
          <c:idx val="0"/>
          <c:layout>
            <c:manualLayout>
              <c:x val="2.4972851321680249E-2"/>
              <c:y val="-1.47737765466297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0537944798456864"/>
                  <c:h val="9.3125976981409175E-2"/>
                </c:manualLayout>
              </c15:layout>
            </c:ext>
          </c:extLst>
        </c:dLbl>
      </c:pivotFmt>
      <c:pivotFmt>
        <c:idx val="32"/>
        <c:spPr>
          <a:solidFill>
            <a:schemeClr val="accent5"/>
          </a:solidFill>
          <a:ln w="19050">
            <a:solidFill>
              <a:schemeClr val="lt1"/>
            </a:solidFill>
          </a:ln>
          <a:effectLst/>
        </c:spPr>
        <c:dLbl>
          <c:idx val="0"/>
          <c:layout>
            <c:manualLayout>
              <c:x val="-3.908794119915173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3"/>
        <c:spPr>
          <a:solidFill>
            <a:schemeClr val="accent6"/>
          </a:solidFill>
          <a:ln w="19050">
            <a:solidFill>
              <a:schemeClr val="lt1"/>
            </a:solidFill>
          </a:ln>
          <a:effectLst/>
        </c:spPr>
        <c:dLbl>
          <c:idx val="0"/>
          <c:layout>
            <c:manualLayout>
              <c:x val="-6.2975016376411064E-2"/>
              <c:y val="-7.386888273314865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4"/>
        <c:spPr>
          <a:solidFill>
            <a:schemeClr val="accent2">
              <a:lumMod val="60000"/>
            </a:schemeClr>
          </a:solidFill>
          <a:ln w="19050">
            <a:solidFill>
              <a:schemeClr val="lt1"/>
            </a:solidFill>
          </a:ln>
          <a:effectLst/>
        </c:spPr>
        <c:dLbl>
          <c:idx val="0"/>
          <c:layout>
            <c:manualLayout>
              <c:x val="6.7318120954094576E-2"/>
              <c:y val="3.69344413665741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5"/>
        <c:spPr>
          <a:solidFill>
            <a:schemeClr val="accent1"/>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3"/>
          </a:solidFill>
          <a:ln w="19050">
            <a:solidFill>
              <a:schemeClr val="lt1"/>
            </a:solidFill>
          </a:ln>
          <a:effectLst/>
        </c:spPr>
      </c:pivotFmt>
      <c:pivotFmt>
        <c:idx val="38"/>
        <c:spPr>
          <a:solidFill>
            <a:schemeClr val="accent4"/>
          </a:solidFill>
          <a:ln w="19050">
            <a:solidFill>
              <a:schemeClr val="lt1"/>
            </a:solidFill>
          </a:ln>
          <a:effectLst/>
        </c:spPr>
      </c:pivotFmt>
      <c:pivotFmt>
        <c:idx val="39"/>
        <c:spPr>
          <a:solidFill>
            <a:schemeClr val="accent5"/>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1">
              <a:lumMod val="60000"/>
            </a:schemeClr>
          </a:solidFill>
          <a:ln w="19050">
            <a:solidFill>
              <a:schemeClr val="lt1"/>
            </a:solidFill>
          </a:ln>
          <a:effectLst/>
        </c:spPr>
      </c:pivotFmt>
      <c:pivotFmt>
        <c:idx val="42"/>
        <c:spPr>
          <a:solidFill>
            <a:schemeClr val="accent2">
              <a:lumMod val="60000"/>
            </a:schemeClr>
          </a:solidFill>
          <a:ln w="19050">
            <a:solidFill>
              <a:schemeClr val="lt1"/>
            </a:solidFill>
          </a:ln>
          <a:effectLst/>
        </c:spPr>
      </c:pivotFmt>
      <c:pivotFmt>
        <c:idx val="43"/>
        <c:spPr>
          <a:solidFill>
            <a:schemeClr val="accent5"/>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1">
              <a:lumMod val="60000"/>
            </a:schemeClr>
          </a:solidFill>
          <a:ln w="19050">
            <a:solidFill>
              <a:schemeClr val="lt1"/>
            </a:solidFill>
          </a:ln>
          <a:effectLst/>
        </c:spPr>
      </c:pivotFmt>
      <c:pivotFmt>
        <c:idx val="46"/>
        <c:spPr>
          <a:solidFill>
            <a:schemeClr val="accent2">
              <a:lumMod val="60000"/>
            </a:schemeClr>
          </a:solidFill>
          <a:ln w="19050">
            <a:solidFill>
              <a:schemeClr val="lt1"/>
            </a:solidFill>
          </a:ln>
          <a:effectLst/>
        </c:spPr>
      </c:pivotFmt>
      <c:pivotFmt>
        <c:idx val="47"/>
        <c:spPr>
          <a:solidFill>
            <a:schemeClr val="accent5"/>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1">
              <a:lumMod val="60000"/>
            </a:schemeClr>
          </a:solidFill>
          <a:ln w="19050">
            <a:solidFill>
              <a:schemeClr val="lt1"/>
            </a:solidFill>
          </a:ln>
          <a:effectLst/>
        </c:spPr>
      </c:pivotFmt>
      <c:pivotFmt>
        <c:idx val="50"/>
        <c:spPr>
          <a:solidFill>
            <a:schemeClr val="accent2">
              <a:lumMod val="60000"/>
            </a:schemeClr>
          </a:solidFill>
          <a:ln w="19050">
            <a:solidFill>
              <a:schemeClr val="lt1"/>
            </a:solidFill>
          </a:ln>
          <a:effectLst/>
        </c:spPr>
      </c:pivotFmt>
      <c:pivotFmt>
        <c:idx val="51"/>
        <c:spPr>
          <a:solidFill>
            <a:schemeClr val="accent5"/>
          </a:solidFill>
          <a:ln w="19050">
            <a:solidFill>
              <a:schemeClr val="lt1"/>
            </a:solidFill>
          </a:ln>
          <a:effectLst/>
        </c:spPr>
      </c:pivotFmt>
      <c:pivotFmt>
        <c:idx val="52"/>
        <c:spPr>
          <a:solidFill>
            <a:schemeClr val="accent6"/>
          </a:solidFill>
          <a:ln w="19050">
            <a:solidFill>
              <a:schemeClr val="lt1"/>
            </a:solidFill>
          </a:ln>
          <a:effectLst/>
        </c:spPr>
      </c:pivotFmt>
      <c:pivotFmt>
        <c:idx val="53"/>
        <c:spPr>
          <a:solidFill>
            <a:schemeClr val="accent1">
              <a:lumMod val="60000"/>
            </a:schemeClr>
          </a:solidFill>
          <a:ln w="19050">
            <a:solidFill>
              <a:schemeClr val="lt1"/>
            </a:solidFill>
          </a:ln>
          <a:effectLst/>
        </c:spPr>
      </c:pivotFmt>
      <c:pivotFmt>
        <c:idx val="54"/>
        <c:spPr>
          <a:solidFill>
            <a:schemeClr val="accent2">
              <a:lumMod val="60000"/>
            </a:schemeClr>
          </a:solidFill>
          <a:ln w="19050">
            <a:solidFill>
              <a:schemeClr val="lt1"/>
            </a:solidFill>
          </a:ln>
          <a:effectLst/>
        </c:spPr>
      </c:pivotFmt>
    </c:pivotFmts>
    <c:plotArea>
      <c:layout>
        <c:manualLayout>
          <c:layoutTarget val="inner"/>
          <c:xMode val="edge"/>
          <c:yMode val="edge"/>
          <c:x val="0.23977576352043758"/>
          <c:y val="0.26923278820916619"/>
          <c:w val="0.40681599964606435"/>
          <c:h val="0.66834068818320791"/>
        </c:manualLayout>
      </c:layout>
      <c:pieChart>
        <c:varyColors val="1"/>
        <c:ser>
          <c:idx val="0"/>
          <c:order val="0"/>
          <c:tx>
            <c:strRef>
              <c:f>Pivot!$B$3</c:f>
              <c:strCache>
                <c:ptCount val="1"/>
                <c:pt idx="0">
                  <c:v>Sum of kBtu/yr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33-4922-B2C3-62E58B039E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33-4922-B2C3-62E58B039E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33-4922-B2C3-62E58B039E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33-4922-B2C3-62E58B039E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33-4922-B2C3-62E58B039E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33-4922-B2C3-62E58B039E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33-4922-B2C3-62E58B039E6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33-4922-B2C3-62E58B039E6E}"/>
              </c:ext>
            </c:extLst>
          </c:dPt>
          <c:dLbls>
            <c:dLbl>
              <c:idx val="0"/>
              <c:layout>
                <c:manualLayout>
                  <c:x val="6.1706282676945237E-3"/>
                  <c:y val="-3.04255458372412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033-4922-B2C3-62E58B039E6E}"/>
                </c:ext>
              </c:extLst>
            </c:dLbl>
            <c:dLbl>
              <c:idx val="1"/>
              <c:layout>
                <c:manualLayout>
                  <c:x val="2.6058627466101127E-2"/>
                  <c:y val="-2.95475530932595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33-4922-B2C3-62E58B039E6E}"/>
                </c:ext>
              </c:extLst>
            </c:dLbl>
            <c:dLbl>
              <c:idx val="2"/>
              <c:layout>
                <c:manualLayout>
                  <c:x val="-2.0072153672035076E-2"/>
                  <c:y val="-2.13539235573392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033-4922-B2C3-62E58B039E6E}"/>
                </c:ext>
              </c:extLst>
            </c:dLbl>
            <c:dLbl>
              <c:idx val="3"/>
              <c:layout>
                <c:manualLayout>
                  <c:x val="-3.8889936667617933E-2"/>
                  <c:y val="2.37741473451551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033-4922-B2C3-62E58B039E6E}"/>
                </c:ext>
              </c:extLst>
            </c:dLbl>
            <c:dLbl>
              <c:idx val="4"/>
              <c:layout>
                <c:manualLayout>
                  <c:x val="-3.908794119915173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033-4922-B2C3-62E58B039E6E}"/>
                </c:ext>
              </c:extLst>
            </c:dLbl>
            <c:dLbl>
              <c:idx val="5"/>
              <c:layout>
                <c:manualLayout>
                  <c:x val="-6.2975016376411064E-2"/>
                  <c:y val="-7.386888273314865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033-4922-B2C3-62E58B039E6E}"/>
                </c:ext>
              </c:extLst>
            </c:dLbl>
            <c:dLbl>
              <c:idx val="6"/>
              <c:layout>
                <c:manualLayout>
                  <c:x val="2.4972851321680249E-2"/>
                  <c:y val="-1.477377654662973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0537944798456864"/>
                      <c:h val="9.3125976981409175E-2"/>
                    </c:manualLayout>
                  </c15:layout>
                </c:ext>
                <c:ext xmlns:c16="http://schemas.microsoft.com/office/drawing/2014/chart" uri="{C3380CC4-5D6E-409C-BE32-E72D297353CC}">
                  <c16:uniqueId val="{0000000D-F033-4922-B2C3-62E58B039E6E}"/>
                </c:ext>
              </c:extLst>
            </c:dLbl>
            <c:dLbl>
              <c:idx val="7"/>
              <c:layout>
                <c:manualLayout>
                  <c:x val="6.7318120954094576E-2"/>
                  <c:y val="3.69344413665741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033-4922-B2C3-62E58B039E6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Pivot!$A$4:$A$12</c:f>
              <c:strCache>
                <c:ptCount val="8"/>
                <c:pt idx="0">
                  <c:v>Lighting</c:v>
                </c:pt>
                <c:pt idx="1">
                  <c:v>Mechanical</c:v>
                </c:pt>
                <c:pt idx="2">
                  <c:v>Plug Load</c:v>
                </c:pt>
                <c:pt idx="3">
                  <c:v>DHW</c:v>
                </c:pt>
                <c:pt idx="4">
                  <c:v>Elevator</c:v>
                </c:pt>
                <c:pt idx="5">
                  <c:v>Pump</c:v>
                </c:pt>
                <c:pt idx="6">
                  <c:v>Electrical</c:v>
                </c:pt>
                <c:pt idx="7">
                  <c:v>Heating</c:v>
                </c:pt>
              </c:strCache>
            </c:strRef>
          </c:cat>
          <c:val>
            <c:numRef>
              <c:f>Pivot!$B$4:$B$12</c:f>
              <c:numCache>
                <c:formatCode>_(* #,##0_);_(* \(#,##0\);_(* "-"??_);_(@_)</c:formatCode>
                <c:ptCount val="8"/>
                <c:pt idx="0">
                  <c:v>1021204.1735273527</c:v>
                </c:pt>
                <c:pt idx="1">
                  <c:v>728603.69627926184</c:v>
                </c:pt>
                <c:pt idx="2">
                  <c:v>841647.1723225707</c:v>
                </c:pt>
                <c:pt idx="3">
                  <c:v>78462.196853777015</c:v>
                </c:pt>
                <c:pt idx="4">
                  <c:v>348269.40591584239</c:v>
                </c:pt>
                <c:pt idx="5">
                  <c:v>208961.64354950545</c:v>
                </c:pt>
                <c:pt idx="6">
                  <c:v>164396.98388410424</c:v>
                </c:pt>
                <c:pt idx="7">
                  <c:v>105363.52148935771</c:v>
                </c:pt>
              </c:numCache>
            </c:numRef>
          </c:val>
          <c:extLst>
            <c:ext xmlns:c16="http://schemas.microsoft.com/office/drawing/2014/chart" uri="{C3380CC4-5D6E-409C-BE32-E72D297353CC}">
              <c16:uniqueId val="{00000010-F033-4922-B2C3-62E58B039E6E}"/>
            </c:ext>
          </c:extLst>
        </c:ser>
        <c:ser>
          <c:idx val="1"/>
          <c:order val="1"/>
          <c:tx>
            <c:strRef>
              <c:f>Pivot!$C$3</c:f>
              <c:strCache>
                <c:ptCount val="1"/>
                <c:pt idx="0">
                  <c:v>Sum of kWh/yr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2-F033-4922-B2C3-62E58B039E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4-F033-4922-B2C3-62E58B039E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6-F033-4922-B2C3-62E58B039E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8-F033-4922-B2C3-62E58B039E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A-F033-4922-B2C3-62E58B039E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C-F033-4922-B2C3-62E58B039E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E-F033-4922-B2C3-62E58B039E6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0-F033-4922-B2C3-62E58B039E6E}"/>
              </c:ext>
            </c:extLst>
          </c:dPt>
          <c:cat>
            <c:strRef>
              <c:f>Pivot!$A$4:$A$12</c:f>
              <c:strCache>
                <c:ptCount val="8"/>
                <c:pt idx="0">
                  <c:v>Lighting</c:v>
                </c:pt>
                <c:pt idx="1">
                  <c:v>Mechanical</c:v>
                </c:pt>
                <c:pt idx="2">
                  <c:v>Plug Load</c:v>
                </c:pt>
                <c:pt idx="3">
                  <c:v>DHW</c:v>
                </c:pt>
                <c:pt idx="4">
                  <c:v>Elevator</c:v>
                </c:pt>
                <c:pt idx="5">
                  <c:v>Pump</c:v>
                </c:pt>
                <c:pt idx="6">
                  <c:v>Electrical</c:v>
                </c:pt>
                <c:pt idx="7">
                  <c:v>Heating</c:v>
                </c:pt>
              </c:strCache>
            </c:strRef>
          </c:cat>
          <c:val>
            <c:numRef>
              <c:f>Pivot!$C$4:$C$12</c:f>
              <c:numCache>
                <c:formatCode>_(* #,##0_);_(* \(#,##0\);_(* "-"??_);_(@_)</c:formatCode>
                <c:ptCount val="8"/>
                <c:pt idx="0">
                  <c:v>299285.40000000095</c:v>
                </c:pt>
                <c:pt idx="1">
                  <c:v>213532.66500000001</c:v>
                </c:pt>
                <c:pt idx="2">
                  <c:v>246662.43750000114</c:v>
                </c:pt>
                <c:pt idx="3">
                  <c:v>22995</c:v>
                </c:pt>
                <c:pt idx="4">
                  <c:v>102067.6875</c:v>
                </c:pt>
                <c:pt idx="5">
                  <c:v>61240.612500000003</c:v>
                </c:pt>
                <c:pt idx="6">
                  <c:v>48180</c:v>
                </c:pt>
                <c:pt idx="7">
                  <c:v>30879</c:v>
                </c:pt>
              </c:numCache>
            </c:numRef>
          </c:val>
          <c:extLst>
            <c:ext xmlns:c16="http://schemas.microsoft.com/office/drawing/2014/chart" uri="{C3380CC4-5D6E-409C-BE32-E72D297353CC}">
              <c16:uniqueId val="{00000021-F033-4922-B2C3-62E58B039E6E}"/>
            </c:ext>
          </c:extLst>
        </c:ser>
        <c:ser>
          <c:idx val="2"/>
          <c:order val="2"/>
          <c:tx>
            <c:strRef>
              <c:f>Pivot!$D$3</c:f>
              <c:strCache>
                <c:ptCount val="1"/>
                <c:pt idx="0">
                  <c:v>Sum of W/ft2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3-F033-4922-B2C3-62E58B039E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5-F033-4922-B2C3-62E58B039E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7-F033-4922-B2C3-62E58B039E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9-F033-4922-B2C3-62E58B039E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B-F033-4922-B2C3-62E58B039E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D-F033-4922-B2C3-62E58B039E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F-F033-4922-B2C3-62E58B039E6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1-F033-4922-B2C3-62E58B039E6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c15:spPr>
              </c:ext>
            </c:extLst>
          </c:dLbls>
          <c:cat>
            <c:strRef>
              <c:f>Pivot!$A$4:$A$12</c:f>
              <c:strCache>
                <c:ptCount val="8"/>
                <c:pt idx="0">
                  <c:v>Lighting</c:v>
                </c:pt>
                <c:pt idx="1">
                  <c:v>Mechanical</c:v>
                </c:pt>
                <c:pt idx="2">
                  <c:v>Plug Load</c:v>
                </c:pt>
                <c:pt idx="3">
                  <c:v>DHW</c:v>
                </c:pt>
                <c:pt idx="4">
                  <c:v>Elevator</c:v>
                </c:pt>
                <c:pt idx="5">
                  <c:v>Pump</c:v>
                </c:pt>
                <c:pt idx="6">
                  <c:v>Electrical</c:v>
                </c:pt>
                <c:pt idx="7">
                  <c:v>Heating</c:v>
                </c:pt>
              </c:strCache>
            </c:strRef>
          </c:cat>
          <c:val>
            <c:numRef>
              <c:f>Pivot!$D$4:$D$12</c:f>
              <c:numCache>
                <c:formatCode>_(* #,##0.00_);_(* \(#,##0.00\);_(* "-"??_);_(@_)</c:formatCode>
                <c:ptCount val="8"/>
                <c:pt idx="0">
                  <c:v>4.9217286914766021</c:v>
                </c:pt>
                <c:pt idx="1">
                  <c:v>3.5115306122448979</c:v>
                </c:pt>
                <c:pt idx="2">
                  <c:v>4.0563475390156185</c:v>
                </c:pt>
                <c:pt idx="3">
                  <c:v>0.37815126050420167</c:v>
                </c:pt>
                <c:pt idx="4">
                  <c:v>1.6784963985594237</c:v>
                </c:pt>
                <c:pt idx="5">
                  <c:v>1.0070978391356542</c:v>
                </c:pt>
                <c:pt idx="6">
                  <c:v>0.79231692677070831</c:v>
                </c:pt>
                <c:pt idx="7">
                  <c:v>0.50780312124849991</c:v>
                </c:pt>
              </c:numCache>
            </c:numRef>
          </c:val>
          <c:extLst>
            <c:ext xmlns:c16="http://schemas.microsoft.com/office/drawing/2014/chart" uri="{C3380CC4-5D6E-409C-BE32-E72D297353CC}">
              <c16:uniqueId val="{00000032-F033-4922-B2C3-62E58B039E6E}"/>
            </c:ext>
          </c:extLst>
        </c:ser>
        <c:ser>
          <c:idx val="3"/>
          <c:order val="3"/>
          <c:tx>
            <c:strRef>
              <c:f>Pivot!$E$3</c:f>
              <c:strCache>
                <c:ptCount val="1"/>
                <c:pt idx="0">
                  <c:v>Sum of kBtu/ft2-yr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4-F033-4922-B2C3-62E58B039E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6-F033-4922-B2C3-62E58B039E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8-F033-4922-B2C3-62E58B039E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A-F033-4922-B2C3-62E58B039E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C-F033-4922-B2C3-62E58B039E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E-F033-4922-B2C3-62E58B039E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0-F033-4922-B2C3-62E58B039E6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2-F033-4922-B2C3-62E58B039E6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c15:spPr>
              </c:ext>
            </c:extLst>
          </c:dLbls>
          <c:cat>
            <c:strRef>
              <c:f>Pivot!$A$4:$A$12</c:f>
              <c:strCache>
                <c:ptCount val="8"/>
                <c:pt idx="0">
                  <c:v>Lighting</c:v>
                </c:pt>
                <c:pt idx="1">
                  <c:v>Mechanical</c:v>
                </c:pt>
                <c:pt idx="2">
                  <c:v>Plug Load</c:v>
                </c:pt>
                <c:pt idx="3">
                  <c:v>DHW</c:v>
                </c:pt>
                <c:pt idx="4">
                  <c:v>Elevator</c:v>
                </c:pt>
                <c:pt idx="5">
                  <c:v>Pump</c:v>
                </c:pt>
                <c:pt idx="6">
                  <c:v>Electrical</c:v>
                </c:pt>
                <c:pt idx="7">
                  <c:v>Heating</c:v>
                </c:pt>
              </c:strCache>
            </c:strRef>
          </c:cat>
          <c:val>
            <c:numRef>
              <c:f>Pivot!$E$4:$E$12</c:f>
              <c:numCache>
                <c:formatCode>_(* #,##0_);_(* \(#,##0\);_(* "-"??_);_(@_)</c:formatCode>
                <c:ptCount val="8"/>
                <c:pt idx="0">
                  <c:v>16.793635375147545</c:v>
                </c:pt>
                <c:pt idx="1">
                  <c:v>11.981839798044069</c:v>
                </c:pt>
                <c:pt idx="2">
                  <c:v>13.840832316311278</c:v>
                </c:pt>
                <c:pt idx="3">
                  <c:v>1.2903056595861964</c:v>
                </c:pt>
                <c:pt idx="4">
                  <c:v>5.7272674425799206</c:v>
                </c:pt>
                <c:pt idx="5">
                  <c:v>3.4363604655479527</c:v>
                </c:pt>
                <c:pt idx="6">
                  <c:v>2.7034975724663166</c:v>
                </c:pt>
                <c:pt idx="7">
                  <c:v>1.7326961714443221</c:v>
                </c:pt>
              </c:numCache>
            </c:numRef>
          </c:val>
          <c:extLst>
            <c:ext xmlns:c16="http://schemas.microsoft.com/office/drawing/2014/chart" uri="{C3380CC4-5D6E-409C-BE32-E72D297353CC}">
              <c16:uniqueId val="{00000043-F033-4922-B2C3-62E58B039E6E}"/>
            </c:ext>
          </c:extLst>
        </c:ser>
        <c:ser>
          <c:idx val="4"/>
          <c:order val="4"/>
          <c:tx>
            <c:strRef>
              <c:f>Pivot!$F$3</c:f>
              <c:strCache>
                <c:ptCount val="1"/>
                <c:pt idx="0">
                  <c:v>Sum of Demand Watt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5-F033-4922-B2C3-62E58B039E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7-F033-4922-B2C3-62E58B039E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9-F033-4922-B2C3-62E58B039E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B-F033-4922-B2C3-62E58B039E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D-F033-4922-B2C3-62E58B039E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F-F033-4922-B2C3-62E58B039E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1-F033-4922-B2C3-62E58B039E6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3-F033-4922-B2C3-62E58B039E6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c15:spPr>
              </c:ext>
            </c:extLst>
          </c:dLbls>
          <c:cat>
            <c:strRef>
              <c:f>Pivot!$A$4:$A$12</c:f>
              <c:strCache>
                <c:ptCount val="8"/>
                <c:pt idx="0">
                  <c:v>Lighting</c:v>
                </c:pt>
                <c:pt idx="1">
                  <c:v>Mechanical</c:v>
                </c:pt>
                <c:pt idx="2">
                  <c:v>Plug Load</c:v>
                </c:pt>
                <c:pt idx="3">
                  <c:v>DHW</c:v>
                </c:pt>
                <c:pt idx="4">
                  <c:v>Elevator</c:v>
                </c:pt>
                <c:pt idx="5">
                  <c:v>Pump</c:v>
                </c:pt>
                <c:pt idx="6">
                  <c:v>Electrical</c:v>
                </c:pt>
                <c:pt idx="7">
                  <c:v>Heating</c:v>
                </c:pt>
              </c:strCache>
            </c:strRef>
          </c:cat>
          <c:val>
            <c:numRef>
              <c:f>Pivot!$F$4:$F$12</c:f>
              <c:numCache>
                <c:formatCode>_(* #,##0_);_(* \(#,##0\);_(* "-"??_);_(@_)</c:formatCode>
                <c:ptCount val="8"/>
                <c:pt idx="0">
                  <c:v>54448</c:v>
                </c:pt>
                <c:pt idx="1">
                  <c:v>37535</c:v>
                </c:pt>
                <c:pt idx="2">
                  <c:v>110361</c:v>
                </c:pt>
                <c:pt idx="3">
                  <c:v>16000</c:v>
                </c:pt>
                <c:pt idx="4">
                  <c:v>37285</c:v>
                </c:pt>
                <c:pt idx="5">
                  <c:v>22371</c:v>
                </c:pt>
                <c:pt idx="6">
                  <c:v>8800</c:v>
                </c:pt>
                <c:pt idx="7">
                  <c:v>282000</c:v>
                </c:pt>
              </c:numCache>
            </c:numRef>
          </c:val>
          <c:extLst>
            <c:ext xmlns:c16="http://schemas.microsoft.com/office/drawing/2014/chart" uri="{C3380CC4-5D6E-409C-BE32-E72D297353CC}">
              <c16:uniqueId val="{00000054-F033-4922-B2C3-62E58B039E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Summary of CHW Load, kBtu/Year</a:t>
            </a:r>
          </a:p>
        </c:rich>
      </c:tx>
      <c:layout>
        <c:manualLayout>
          <c:xMode val="edge"/>
          <c:yMode val="edge"/>
          <c:x val="0.20532889282718525"/>
          <c:y val="2.36094147653651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375147057444256"/>
          <c:y val="0.20287117749012712"/>
          <c:w val="0.37685853084057114"/>
          <c:h val="0.5726739304346424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20-4CA9-A1CC-6F32FD325B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20-4CA9-A1CC-6F32FD325B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20-4CA9-A1CC-6F32FD325B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20-4CA9-A1CC-6F32FD325B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20-4CA9-A1CC-6F32FD325BD3}"/>
              </c:ext>
            </c:extLst>
          </c:dPt>
          <c:dLbls>
            <c:dLbl>
              <c:idx val="0"/>
              <c:layout>
                <c:manualLayout>
                  <c:x val="0.17898761679470424"/>
                  <c:y val="2.238184913150196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020-4CA9-A1CC-6F32FD325BD3}"/>
                </c:ext>
              </c:extLst>
            </c:dLbl>
            <c:dLbl>
              <c:idx val="1"/>
              <c:layout>
                <c:manualLayout>
                  <c:x val="-0.11368840255550666"/>
                  <c:y val="0.1004487647814454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020-4CA9-A1CC-6F32FD325BD3}"/>
                </c:ext>
              </c:extLst>
            </c:dLbl>
            <c:dLbl>
              <c:idx val="2"/>
              <c:layout>
                <c:manualLayout>
                  <c:x val="-0.16758207589448645"/>
                  <c:y val="1.1826395821443062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020-4CA9-A1CC-6F32FD325BD3}"/>
                </c:ext>
              </c:extLst>
            </c:dLbl>
            <c:dLbl>
              <c:idx val="3"/>
              <c:layout>
                <c:manualLayout>
                  <c:x val="-8.7956968901912652E-2"/>
                  <c:y val="-0.11521611289885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895184589970205"/>
                      <c:h val="0.1074470042998879"/>
                    </c:manualLayout>
                  </c15:layout>
                </c:ext>
                <c:ext xmlns:c16="http://schemas.microsoft.com/office/drawing/2014/chart" uri="{C3380CC4-5D6E-409C-BE32-E72D297353CC}">
                  <c16:uniqueId val="{00000007-5020-4CA9-A1CC-6F32FD325BD3}"/>
                </c:ext>
              </c:extLst>
            </c:dLbl>
            <c:dLbl>
              <c:idx val="4"/>
              <c:layout>
                <c:manualLayout>
                  <c:x val="0.23899215136324545"/>
                  <c:y val="-5.861052707243874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020-4CA9-A1CC-6F32FD325BD3}"/>
                </c:ext>
              </c:extLst>
            </c:dLbl>
            <c:dLbl>
              <c:idx val="5"/>
              <c:layout>
                <c:manualLayout>
                  <c:x val="-0.23255556572858993"/>
                  <c:y val="-0.16666666666666671"/>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5020-4CA9-A1CC-6F32FD325BD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Pivot!$M$5:$M$9</c:f>
              <c:strCache>
                <c:ptCount val="5"/>
                <c:pt idx="0">
                  <c:v>Plug Load</c:v>
                </c:pt>
                <c:pt idx="1">
                  <c:v>Lighting</c:v>
                </c:pt>
                <c:pt idx="2">
                  <c:v>People</c:v>
                </c:pt>
                <c:pt idx="3">
                  <c:v>Simultanious Heat/Cool</c:v>
                </c:pt>
                <c:pt idx="4">
                  <c:v>OA/Envelope/Infiltration</c:v>
                </c:pt>
              </c:strCache>
            </c:strRef>
          </c:cat>
          <c:val>
            <c:numRef>
              <c:f>Pivot!$O$5:$O$9</c:f>
              <c:numCache>
                <c:formatCode>_(* #,##0_);_(* \(#,##0\);_(* "-"??_);_(@_)</c:formatCode>
                <c:ptCount val="5"/>
                <c:pt idx="0">
                  <c:v>55975</c:v>
                </c:pt>
                <c:pt idx="1">
                  <c:v>138976</c:v>
                </c:pt>
                <c:pt idx="2">
                  <c:v>9404</c:v>
                </c:pt>
                <c:pt idx="3">
                  <c:v>300</c:v>
                </c:pt>
                <c:pt idx="4">
                  <c:v>16021</c:v>
                </c:pt>
              </c:numCache>
            </c:numRef>
          </c:val>
          <c:extLst>
            <c:ext xmlns:c16="http://schemas.microsoft.com/office/drawing/2014/chart" uri="{C3380CC4-5D6E-409C-BE32-E72D297353CC}">
              <c16:uniqueId val="{0000000B-5020-4CA9-A1CC-6F32FD325BD3}"/>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6141820262262807"/>
          <c:y val="0.45214260086518282"/>
          <c:w val="0.2359288683609426"/>
          <c:h val="0.3784503450229196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Building Energy Use (kBtu/yr)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508594910106246"/>
          <c:y val="0.21631809651882794"/>
          <c:w val="0.42270815562999015"/>
          <c:h val="0.7286851716923711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20-42C7-A180-F3A2E91CC9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20-42C7-A180-F3A2E91CC9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20-42C7-A180-F3A2E91CC9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20-42C7-A180-F3A2E91CC9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20-42C7-A180-F3A2E91CC9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20-42C7-A180-F3A2E91CC9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F20-42C7-A180-F3A2E91CC95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F20-42C7-A180-F3A2E91CC958}"/>
              </c:ext>
            </c:extLst>
          </c:dPt>
          <c:dLbls>
            <c:dLbl>
              <c:idx val="0"/>
              <c:layout>
                <c:manualLayout>
                  <c:x val="-8.4142409116260072E-2"/>
                  <c:y val="-0.169246484037306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F20-42C7-A180-F3A2E91CC958}"/>
                </c:ext>
              </c:extLst>
            </c:dLbl>
            <c:dLbl>
              <c:idx val="1"/>
              <c:layout>
                <c:manualLayout>
                  <c:x val="6.6882427759078517E-2"/>
                  <c:y val="-0.1469312785382779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20-42C7-A180-F3A2E91CC958}"/>
                </c:ext>
              </c:extLst>
            </c:dLbl>
            <c:dLbl>
              <c:idx val="2"/>
              <c:layout>
                <c:manualLayout>
                  <c:x val="0.12729236250921389"/>
                  <c:y val="-7.992445629382510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F20-42C7-A180-F3A2E91CC958}"/>
                </c:ext>
              </c:extLst>
            </c:dLbl>
            <c:dLbl>
              <c:idx val="3"/>
              <c:layout>
                <c:manualLayout>
                  <c:x val="0.14886733920569081"/>
                  <c:y val="-4.066638709208858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F20-42C7-A180-F3A2E91CC958}"/>
                </c:ext>
              </c:extLst>
            </c:dLbl>
            <c:dLbl>
              <c:idx val="4"/>
              <c:layout>
                <c:manualLayout>
                  <c:x val="0.16396982289322476"/>
                  <c:y val="2.963119583730633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F20-42C7-A180-F3A2E91CC958}"/>
                </c:ext>
              </c:extLst>
            </c:dLbl>
            <c:dLbl>
              <c:idx val="5"/>
              <c:layout>
                <c:manualLayout>
                  <c:x val="0.13592235318780474"/>
                  <c:y val="0.1029132178643469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F20-42C7-A180-F3A2E91CC958}"/>
                </c:ext>
              </c:extLst>
            </c:dLbl>
            <c:dLbl>
              <c:idx val="6"/>
              <c:layout>
                <c:manualLayout>
                  <c:x val="-0.12729236250921394"/>
                  <c:y val="2.56058564539719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F20-42C7-A180-F3A2E91CC958}"/>
                </c:ext>
              </c:extLst>
            </c:dLbl>
            <c:dLbl>
              <c:idx val="7"/>
              <c:layout>
                <c:manualLayout>
                  <c:x val="-0.17259981357181556"/>
                  <c:y val="-9.614837210283033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F20-42C7-A180-F3A2E91CC95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Pivot!$A$15:$A$22</c:f>
              <c:strCache>
                <c:ptCount val="8"/>
                <c:pt idx="0">
                  <c:v>Electrical-Parasitic</c:v>
                </c:pt>
                <c:pt idx="1">
                  <c:v>Heating</c:v>
                </c:pt>
                <c:pt idx="2">
                  <c:v>Lighting</c:v>
                </c:pt>
                <c:pt idx="3">
                  <c:v>Fan</c:v>
                </c:pt>
                <c:pt idx="4">
                  <c:v>Plug Load</c:v>
                </c:pt>
                <c:pt idx="5">
                  <c:v>Pump</c:v>
                </c:pt>
                <c:pt idx="6">
                  <c:v>CHW</c:v>
                </c:pt>
                <c:pt idx="7">
                  <c:v>DHW</c:v>
                </c:pt>
              </c:strCache>
            </c:strRef>
          </c:cat>
          <c:val>
            <c:numRef>
              <c:f>Pivot!$C$15:$C$22</c:f>
              <c:numCache>
                <c:formatCode>0.00</c:formatCode>
                <c:ptCount val="8"/>
                <c:pt idx="0">
                  <c:v>2.7034975724663166</c:v>
                </c:pt>
                <c:pt idx="1">
                  <c:v>1.7326961714443221</c:v>
                </c:pt>
                <c:pt idx="2">
                  <c:v>16.793635375147545</c:v>
                </c:pt>
                <c:pt idx="3">
                  <c:v>11.981839798044069</c:v>
                </c:pt>
                <c:pt idx="4">
                  <c:v>13.840832316311278</c:v>
                </c:pt>
                <c:pt idx="5">
                  <c:v>3.4363604655479527</c:v>
                </c:pt>
                <c:pt idx="6">
                  <c:v>68.89610110532989</c:v>
                </c:pt>
                <c:pt idx="7">
                  <c:v>1.2903056595861964</c:v>
                </c:pt>
              </c:numCache>
            </c:numRef>
          </c:val>
          <c:extLst>
            <c:ext xmlns:c16="http://schemas.microsoft.com/office/drawing/2014/chart" uri="{C3380CC4-5D6E-409C-BE32-E72D297353CC}">
              <c16:uniqueId val="{00000010-3F20-42C7-A180-F3A2E91CC95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EnergyPlus Modeled Sensible Heat Gain Summary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243884851799866E-2"/>
          <c:y val="0.10836641159557391"/>
          <c:w val="0.88821832605754969"/>
          <c:h val="0.64195348169511002"/>
        </c:manualLayout>
      </c:layout>
      <c:barChart>
        <c:barDir val="col"/>
        <c:grouping val="clustered"/>
        <c:varyColors val="0"/>
        <c:ser>
          <c:idx val="0"/>
          <c:order val="0"/>
          <c:tx>
            <c:strRef>
              <c:f>Pivot!$A$48</c:f>
              <c:strCache>
                <c:ptCount val="1"/>
                <c:pt idx="0">
                  <c:v>HVAC Terminal Unit [kBtu]</c:v>
                </c:pt>
              </c:strCache>
            </c:strRef>
          </c:tx>
          <c:spPr>
            <a:solidFill>
              <a:schemeClr val="accent1"/>
            </a:solidFill>
            <a:ln>
              <a:noFill/>
            </a:ln>
            <a:effectLst/>
          </c:spPr>
          <c:invertIfNegative val="0"/>
          <c:val>
            <c:numRef>
              <c:f>Pivot!$D$48</c:f>
              <c:numCache>
                <c:formatCode>_(* #,##0_);_(* \(#,##0\);_(* "-"??_);_(@_)</c:formatCode>
                <c:ptCount val="1"/>
                <c:pt idx="0">
                  <c:v>275.53199999999998</c:v>
                </c:pt>
              </c:numCache>
            </c:numRef>
          </c:val>
          <c:extLst>
            <c:ext xmlns:c16="http://schemas.microsoft.com/office/drawing/2014/chart" uri="{C3380CC4-5D6E-409C-BE32-E72D297353CC}">
              <c16:uniqueId val="{00000000-9592-47BB-8308-720EB273A4C2}"/>
            </c:ext>
          </c:extLst>
        </c:ser>
        <c:ser>
          <c:idx val="1"/>
          <c:order val="1"/>
          <c:tx>
            <c:strRef>
              <c:f>Pivot!$A$49</c:f>
              <c:strCache>
                <c:ptCount val="1"/>
                <c:pt idx="0">
                  <c:v>People Sensible Heat Addition [kBtu]</c:v>
                </c:pt>
              </c:strCache>
            </c:strRef>
          </c:tx>
          <c:spPr>
            <a:solidFill>
              <a:schemeClr val="accent2"/>
            </a:solidFill>
            <a:ln>
              <a:noFill/>
            </a:ln>
            <a:effectLst/>
          </c:spPr>
          <c:invertIfNegative val="0"/>
          <c:val>
            <c:numRef>
              <c:f>Pivot!$D$49</c:f>
              <c:numCache>
                <c:formatCode>_(* #,##0_);_(* \(#,##0\);_(* "-"??_);_(@_)</c:formatCode>
                <c:ptCount val="1"/>
                <c:pt idx="0">
                  <c:v>388534.36</c:v>
                </c:pt>
              </c:numCache>
            </c:numRef>
          </c:val>
          <c:extLst>
            <c:ext xmlns:c16="http://schemas.microsoft.com/office/drawing/2014/chart" uri="{C3380CC4-5D6E-409C-BE32-E72D297353CC}">
              <c16:uniqueId val="{00000001-9592-47BB-8308-720EB273A4C2}"/>
            </c:ext>
          </c:extLst>
        </c:ser>
        <c:ser>
          <c:idx val="2"/>
          <c:order val="2"/>
          <c:tx>
            <c:strRef>
              <c:f>Pivot!$A$50</c:f>
              <c:strCache>
                <c:ptCount val="1"/>
                <c:pt idx="0">
                  <c:v>Lights Sensible Heat Addition [kBtu]</c:v>
                </c:pt>
              </c:strCache>
            </c:strRef>
          </c:tx>
          <c:spPr>
            <a:solidFill>
              <a:schemeClr val="accent3"/>
            </a:solidFill>
            <a:ln>
              <a:noFill/>
            </a:ln>
            <a:effectLst/>
          </c:spPr>
          <c:invertIfNegative val="0"/>
          <c:val>
            <c:numRef>
              <c:f>Pivot!$D$50</c:f>
              <c:numCache>
                <c:formatCode>_(* #,##0_);_(* \(#,##0\);_(* "-"??_);_(@_)</c:formatCode>
                <c:ptCount val="1"/>
                <c:pt idx="0">
                  <c:v>1055128.1170000001</c:v>
                </c:pt>
              </c:numCache>
            </c:numRef>
          </c:val>
          <c:extLst>
            <c:ext xmlns:c16="http://schemas.microsoft.com/office/drawing/2014/chart" uri="{C3380CC4-5D6E-409C-BE32-E72D297353CC}">
              <c16:uniqueId val="{00000002-9592-47BB-8308-720EB273A4C2}"/>
            </c:ext>
          </c:extLst>
        </c:ser>
        <c:ser>
          <c:idx val="3"/>
          <c:order val="3"/>
          <c:tx>
            <c:strRef>
              <c:f>Pivot!$A$51</c:f>
              <c:strCache>
                <c:ptCount val="1"/>
                <c:pt idx="0">
                  <c:v>Equipment Sensible Heat Addition [kBtu]</c:v>
                </c:pt>
              </c:strCache>
            </c:strRef>
          </c:tx>
          <c:spPr>
            <a:solidFill>
              <a:schemeClr val="accent4"/>
            </a:solidFill>
            <a:ln>
              <a:noFill/>
            </a:ln>
            <a:effectLst/>
          </c:spPr>
          <c:invertIfNegative val="0"/>
          <c:val>
            <c:numRef>
              <c:f>Pivot!$D$51</c:f>
              <c:numCache>
                <c:formatCode>_(* #,##0_);_(* \(#,##0\);_(* "-"??_);_(@_)</c:formatCode>
                <c:ptCount val="1"/>
                <c:pt idx="0">
                  <c:v>726147.60900000005</c:v>
                </c:pt>
              </c:numCache>
            </c:numRef>
          </c:val>
          <c:extLst>
            <c:ext xmlns:c16="http://schemas.microsoft.com/office/drawing/2014/chart" uri="{C3380CC4-5D6E-409C-BE32-E72D297353CC}">
              <c16:uniqueId val="{00000003-9592-47BB-8308-720EB273A4C2}"/>
            </c:ext>
          </c:extLst>
        </c:ser>
        <c:ser>
          <c:idx val="4"/>
          <c:order val="4"/>
          <c:tx>
            <c:strRef>
              <c:f>Pivot!$A$52</c:f>
              <c:strCache>
                <c:ptCount val="1"/>
                <c:pt idx="0">
                  <c:v>Window Heat Addition [kBtu]</c:v>
                </c:pt>
              </c:strCache>
            </c:strRef>
          </c:tx>
          <c:spPr>
            <a:solidFill>
              <a:schemeClr val="accent5"/>
            </a:solidFill>
            <a:ln>
              <a:noFill/>
            </a:ln>
            <a:effectLst/>
          </c:spPr>
          <c:invertIfNegative val="0"/>
          <c:val>
            <c:numRef>
              <c:f>Pivot!$D$52</c:f>
              <c:numCache>
                <c:formatCode>_(* #,##0_);_(* \(#,##0\);_(* "-"??_);_(@_)</c:formatCode>
                <c:ptCount val="1"/>
                <c:pt idx="0">
                  <c:v>185421.47899999999</c:v>
                </c:pt>
              </c:numCache>
            </c:numRef>
          </c:val>
          <c:extLst>
            <c:ext xmlns:c16="http://schemas.microsoft.com/office/drawing/2014/chart" uri="{C3380CC4-5D6E-409C-BE32-E72D297353CC}">
              <c16:uniqueId val="{00000004-9592-47BB-8308-720EB273A4C2}"/>
            </c:ext>
          </c:extLst>
        </c:ser>
        <c:ser>
          <c:idx val="5"/>
          <c:order val="5"/>
          <c:tx>
            <c:strRef>
              <c:f>Pivot!$A$53</c:f>
              <c:strCache>
                <c:ptCount val="1"/>
                <c:pt idx="0">
                  <c:v>Infiltration Heat Addition [kBtu]</c:v>
                </c:pt>
              </c:strCache>
            </c:strRef>
          </c:tx>
          <c:spPr>
            <a:solidFill>
              <a:schemeClr val="accent6"/>
            </a:solidFill>
            <a:ln>
              <a:noFill/>
            </a:ln>
            <a:effectLst/>
          </c:spPr>
          <c:invertIfNegative val="0"/>
          <c:val>
            <c:numRef>
              <c:f>Pivot!$D$53</c:f>
              <c:numCache>
                <c:formatCode>_(* #,##0_);_(* \(#,##0\);_(* "-"??_);_(@_)</c:formatCode>
                <c:ptCount val="1"/>
                <c:pt idx="0">
                  <c:v>16021.44</c:v>
                </c:pt>
              </c:numCache>
            </c:numRef>
          </c:val>
          <c:extLst>
            <c:ext xmlns:c16="http://schemas.microsoft.com/office/drawing/2014/chart" uri="{C3380CC4-5D6E-409C-BE32-E72D297353CC}">
              <c16:uniqueId val="{00000005-9592-47BB-8308-720EB273A4C2}"/>
            </c:ext>
          </c:extLst>
        </c:ser>
        <c:ser>
          <c:idx val="6"/>
          <c:order val="6"/>
          <c:tx>
            <c:strRef>
              <c:f>Pivot!$A$54</c:f>
              <c:strCache>
                <c:ptCount val="1"/>
                <c:pt idx="0">
                  <c:v>Opaque Surface Conduction and Other Heat Addition [kBtu]</c:v>
                </c:pt>
              </c:strCache>
            </c:strRef>
          </c:tx>
          <c:spPr>
            <a:solidFill>
              <a:schemeClr val="accent1">
                <a:lumMod val="60000"/>
              </a:schemeClr>
            </a:solidFill>
            <a:ln>
              <a:noFill/>
            </a:ln>
            <a:effectLst/>
          </c:spPr>
          <c:invertIfNegative val="0"/>
          <c:val>
            <c:numRef>
              <c:f>Pivot!$D$54</c:f>
              <c:numCache>
                <c:formatCode>_(* #,##0_);_(* \(#,##0\);_(* "-"??_);_(@_)</c:formatCode>
                <c:ptCount val="1"/>
                <c:pt idx="0">
                  <c:v>24345.756000000001</c:v>
                </c:pt>
              </c:numCache>
            </c:numRef>
          </c:val>
          <c:extLst>
            <c:ext xmlns:c16="http://schemas.microsoft.com/office/drawing/2014/chart" uri="{C3380CC4-5D6E-409C-BE32-E72D297353CC}">
              <c16:uniqueId val="{00000006-9592-47BB-8308-720EB273A4C2}"/>
            </c:ext>
          </c:extLst>
        </c:ser>
        <c:ser>
          <c:idx val="7"/>
          <c:order val="7"/>
          <c:tx>
            <c:strRef>
              <c:f>Pivot!$A$55</c:f>
              <c:strCache>
                <c:ptCount val="1"/>
                <c:pt idx="0">
                  <c:v>Window Heat Removal [kBtu]</c:v>
                </c:pt>
              </c:strCache>
            </c:strRef>
          </c:tx>
          <c:spPr>
            <a:solidFill>
              <a:schemeClr val="accent2">
                <a:lumMod val="60000"/>
              </a:schemeClr>
            </a:solidFill>
            <a:ln>
              <a:noFill/>
            </a:ln>
            <a:effectLst/>
          </c:spPr>
          <c:invertIfNegative val="0"/>
          <c:val>
            <c:numRef>
              <c:f>Pivot!$D$55</c:f>
              <c:numCache>
                <c:formatCode>_(* #,##0_);_(* \(#,##0\);_(* "-"??_);_(@_)</c:formatCode>
                <c:ptCount val="1"/>
                <c:pt idx="0">
                  <c:v>-61187.93</c:v>
                </c:pt>
              </c:numCache>
            </c:numRef>
          </c:val>
          <c:extLst>
            <c:ext xmlns:c16="http://schemas.microsoft.com/office/drawing/2014/chart" uri="{C3380CC4-5D6E-409C-BE32-E72D297353CC}">
              <c16:uniqueId val="{00000007-9592-47BB-8308-720EB273A4C2}"/>
            </c:ext>
          </c:extLst>
        </c:ser>
        <c:ser>
          <c:idx val="8"/>
          <c:order val="8"/>
          <c:tx>
            <c:strRef>
              <c:f>Pivot!$A$56</c:f>
              <c:strCache>
                <c:ptCount val="1"/>
                <c:pt idx="0">
                  <c:v>Infiltration Heat Removal [kBtu]</c:v>
                </c:pt>
              </c:strCache>
            </c:strRef>
          </c:tx>
          <c:spPr>
            <a:solidFill>
              <a:schemeClr val="accent3">
                <a:lumMod val="60000"/>
              </a:schemeClr>
            </a:solidFill>
            <a:ln>
              <a:noFill/>
            </a:ln>
            <a:effectLst/>
          </c:spPr>
          <c:invertIfNegative val="0"/>
          <c:val>
            <c:numRef>
              <c:f>Pivot!$D$56</c:f>
              <c:numCache>
                <c:formatCode>_(* #,##0_);_(* \(#,##0\);_(* "-"??_);_(@_)</c:formatCode>
                <c:ptCount val="1"/>
                <c:pt idx="0">
                  <c:v>-91726.62</c:v>
                </c:pt>
              </c:numCache>
            </c:numRef>
          </c:val>
          <c:extLst>
            <c:ext xmlns:c16="http://schemas.microsoft.com/office/drawing/2014/chart" uri="{C3380CC4-5D6E-409C-BE32-E72D297353CC}">
              <c16:uniqueId val="{00000008-9592-47BB-8308-720EB273A4C2}"/>
            </c:ext>
          </c:extLst>
        </c:ser>
        <c:ser>
          <c:idx val="9"/>
          <c:order val="9"/>
          <c:tx>
            <c:strRef>
              <c:f>Pivot!$A$57</c:f>
              <c:strCache>
                <c:ptCount val="1"/>
                <c:pt idx="0">
                  <c:v>Opaque Surface Conduction and Other Heat Removal [kBtu]</c:v>
                </c:pt>
              </c:strCache>
            </c:strRef>
          </c:tx>
          <c:spPr>
            <a:solidFill>
              <a:schemeClr val="accent4">
                <a:lumMod val="60000"/>
              </a:schemeClr>
            </a:solidFill>
            <a:ln>
              <a:noFill/>
            </a:ln>
            <a:effectLst/>
          </c:spPr>
          <c:invertIfNegative val="0"/>
          <c:val>
            <c:numRef>
              <c:f>Pivot!$D$57</c:f>
              <c:numCache>
                <c:formatCode>_(* #,##0_);_(* \(#,##0\);_(* "-"??_);_(@_)</c:formatCode>
                <c:ptCount val="1"/>
                <c:pt idx="0">
                  <c:v>-99052.62</c:v>
                </c:pt>
              </c:numCache>
            </c:numRef>
          </c:val>
          <c:extLst>
            <c:ext xmlns:c16="http://schemas.microsoft.com/office/drawing/2014/chart" uri="{C3380CC4-5D6E-409C-BE32-E72D297353CC}">
              <c16:uniqueId val="{00000009-9592-47BB-8308-720EB273A4C2}"/>
            </c:ext>
          </c:extLst>
        </c:ser>
        <c:dLbls>
          <c:showLegendKey val="0"/>
          <c:showVal val="0"/>
          <c:showCatName val="0"/>
          <c:showSerName val="0"/>
          <c:showPercent val="0"/>
          <c:showBubbleSize val="0"/>
        </c:dLbls>
        <c:gapWidth val="219"/>
        <c:overlap val="-27"/>
        <c:axId val="701822912"/>
        <c:axId val="701823304"/>
      </c:barChart>
      <c:catAx>
        <c:axId val="701822912"/>
        <c:scaling>
          <c:orientation val="minMax"/>
        </c:scaling>
        <c:delete val="1"/>
        <c:axPos val="b"/>
        <c:numFmt formatCode="General" sourceLinked="1"/>
        <c:majorTickMark val="none"/>
        <c:minorTickMark val="none"/>
        <c:tickLblPos val="nextTo"/>
        <c:crossAx val="701823304"/>
        <c:crosses val="autoZero"/>
        <c:auto val="1"/>
        <c:lblAlgn val="ctr"/>
        <c:lblOffset val="100"/>
        <c:noMultiLvlLbl val="0"/>
      </c:catAx>
      <c:valAx>
        <c:axId val="7018233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22912"/>
        <c:crosses val="autoZero"/>
        <c:crossBetween val="between"/>
      </c:valAx>
      <c:spPr>
        <a:noFill/>
        <a:ln>
          <a:noFill/>
        </a:ln>
        <a:effectLst/>
      </c:spPr>
    </c:plotArea>
    <c:legend>
      <c:legendPos val="b"/>
      <c:layout>
        <c:manualLayout>
          <c:xMode val="edge"/>
          <c:yMode val="edge"/>
          <c:x val="9.1585934831768349E-3"/>
          <c:y val="0.76260720048624686"/>
          <c:w val="0.9769056675026967"/>
          <c:h val="0.2198625091504895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[FIM_Tracker_Springfield_Office_20210226.xlsx] Elec Utility (kWh)!PivotTable2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kWh</a:t>
            </a:r>
            <a:r>
              <a:rPr lang="en-US" baseline="0"/>
              <a:t> &amp; Cost of Electricity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Elec Utility (kWh)'!$M$12</c:f>
              <c:strCache>
                <c:ptCount val="1"/>
                <c:pt idx="0">
                  <c:v>Sum of Usage (Required)</c:v>
                </c:pt>
              </c:strCache>
            </c:strRef>
          </c:tx>
          <c:spPr>
            <a:solidFill>
              <a:schemeClr val="accent1"/>
            </a:solidFill>
            <a:ln>
              <a:noFill/>
            </a:ln>
            <a:effectLst/>
          </c:spPr>
          <c:invertIfNegative val="0"/>
          <c:cat>
            <c:strRef>
              <c:f>' Elec Utility (kWh)'!$L$13:$L$61</c:f>
              <c:strCache>
                <c:ptCount val="48"/>
                <c:pt idx="0">
                  <c:v>2/5/2014</c:v>
                </c:pt>
                <c:pt idx="1">
                  <c:v>3/5/2014</c:v>
                </c:pt>
                <c:pt idx="2">
                  <c:v>4/4/2014</c:v>
                </c:pt>
                <c:pt idx="3">
                  <c:v>5/6/2014</c:v>
                </c:pt>
                <c:pt idx="4">
                  <c:v>6/4/2014</c:v>
                </c:pt>
                <c:pt idx="5">
                  <c:v>7/3/2014</c:v>
                </c:pt>
                <c:pt idx="6">
                  <c:v>8/7/2014</c:v>
                </c:pt>
                <c:pt idx="7">
                  <c:v>9/5/2014</c:v>
                </c:pt>
                <c:pt idx="8">
                  <c:v>9/30/2014</c:v>
                </c:pt>
                <c:pt idx="9">
                  <c:v>10/6/2014</c:v>
                </c:pt>
                <c:pt idx="10">
                  <c:v>11/6/2014</c:v>
                </c:pt>
                <c:pt idx="11">
                  <c:v>12/5/2014</c:v>
                </c:pt>
                <c:pt idx="12">
                  <c:v>1/8/2015</c:v>
                </c:pt>
                <c:pt idx="13">
                  <c:v>2/6/2015</c:v>
                </c:pt>
                <c:pt idx="14">
                  <c:v>3/5/2015</c:v>
                </c:pt>
                <c:pt idx="15">
                  <c:v>4/8/2015</c:v>
                </c:pt>
                <c:pt idx="16">
                  <c:v>5/6/2015</c:v>
                </c:pt>
                <c:pt idx="17">
                  <c:v>6/8/2015</c:v>
                </c:pt>
                <c:pt idx="18">
                  <c:v>7/8/2015</c:v>
                </c:pt>
                <c:pt idx="19">
                  <c:v>8/4/2015</c:v>
                </c:pt>
                <c:pt idx="20">
                  <c:v>9/4/2015</c:v>
                </c:pt>
                <c:pt idx="21">
                  <c:v>10/6/2015</c:v>
                </c:pt>
                <c:pt idx="22">
                  <c:v>11/2/2015</c:v>
                </c:pt>
                <c:pt idx="23">
                  <c:v>12/2/2015</c:v>
                </c:pt>
                <c:pt idx="24">
                  <c:v>1/2/2016</c:v>
                </c:pt>
                <c:pt idx="25">
                  <c:v>2/1/2016</c:v>
                </c:pt>
                <c:pt idx="26">
                  <c:v>3/1/2016</c:v>
                </c:pt>
                <c:pt idx="27">
                  <c:v>4/1/2016</c:v>
                </c:pt>
                <c:pt idx="28">
                  <c:v>5/1/2016</c:v>
                </c:pt>
                <c:pt idx="29">
                  <c:v>6/1/2016</c:v>
                </c:pt>
                <c:pt idx="30">
                  <c:v>7/1/2016</c:v>
                </c:pt>
                <c:pt idx="31">
                  <c:v>8/1/2016</c:v>
                </c:pt>
                <c:pt idx="32">
                  <c:v>9/1/2016</c:v>
                </c:pt>
                <c:pt idx="33">
                  <c:v>10/1/2016</c:v>
                </c:pt>
                <c:pt idx="34">
                  <c:v>11/1/2016</c:v>
                </c:pt>
                <c:pt idx="35">
                  <c:v>12/1/2016</c:v>
                </c:pt>
                <c:pt idx="36">
                  <c:v>1/1/2017</c:v>
                </c:pt>
                <c:pt idx="37">
                  <c:v>2/1/2017</c:v>
                </c:pt>
                <c:pt idx="38">
                  <c:v>3/1/2017</c:v>
                </c:pt>
                <c:pt idx="39">
                  <c:v>4/1/2017</c:v>
                </c:pt>
                <c:pt idx="40">
                  <c:v>5/1/2017</c:v>
                </c:pt>
                <c:pt idx="41">
                  <c:v>6/1/2017</c:v>
                </c:pt>
                <c:pt idx="42">
                  <c:v>7/1/2017</c:v>
                </c:pt>
                <c:pt idx="43">
                  <c:v>8/1/2017</c:v>
                </c:pt>
                <c:pt idx="44">
                  <c:v>9/1/2017</c:v>
                </c:pt>
                <c:pt idx="45">
                  <c:v>10/1/2017</c:v>
                </c:pt>
                <c:pt idx="46">
                  <c:v>11/1/2017</c:v>
                </c:pt>
                <c:pt idx="47">
                  <c:v>12/1/2017</c:v>
                </c:pt>
              </c:strCache>
            </c:strRef>
          </c:cat>
          <c:val>
            <c:numRef>
              <c:f>' Elec Utility (kWh)'!$M$13:$M$61</c:f>
              <c:numCache>
                <c:formatCode>General</c:formatCode>
                <c:ptCount val="48"/>
                <c:pt idx="0">
                  <c:v>39610</c:v>
                </c:pt>
                <c:pt idx="1">
                  <c:v>34210</c:v>
                </c:pt>
                <c:pt idx="2">
                  <c:v>33940</c:v>
                </c:pt>
                <c:pt idx="3">
                  <c:v>31820</c:v>
                </c:pt>
                <c:pt idx="4">
                  <c:v>24290</c:v>
                </c:pt>
                <c:pt idx="5">
                  <c:v>23800</c:v>
                </c:pt>
                <c:pt idx="6">
                  <c:v>29090</c:v>
                </c:pt>
                <c:pt idx="7">
                  <c:v>20750</c:v>
                </c:pt>
                <c:pt idx="8">
                  <c:v>20130</c:v>
                </c:pt>
                <c:pt idx="9">
                  <c:v>5280</c:v>
                </c:pt>
                <c:pt idx="10">
                  <c:v>28800</c:v>
                </c:pt>
                <c:pt idx="11">
                  <c:v>32680</c:v>
                </c:pt>
                <c:pt idx="12">
                  <c:v>39560</c:v>
                </c:pt>
                <c:pt idx="13">
                  <c:v>36720</c:v>
                </c:pt>
                <c:pt idx="14">
                  <c:v>32200</c:v>
                </c:pt>
                <c:pt idx="15">
                  <c:v>30520</c:v>
                </c:pt>
                <c:pt idx="16">
                  <c:v>22440</c:v>
                </c:pt>
                <c:pt idx="17">
                  <c:v>23080</c:v>
                </c:pt>
                <c:pt idx="18">
                  <c:v>19040</c:v>
                </c:pt>
                <c:pt idx="19">
                  <c:v>17640</c:v>
                </c:pt>
                <c:pt idx="20">
                  <c:v>19840</c:v>
                </c:pt>
                <c:pt idx="21">
                  <c:v>21000</c:v>
                </c:pt>
                <c:pt idx="22">
                  <c:v>21240</c:v>
                </c:pt>
                <c:pt idx="23">
                  <c:v>25120</c:v>
                </c:pt>
                <c:pt idx="24">
                  <c:v>28040</c:v>
                </c:pt>
                <c:pt idx="25">
                  <c:v>36800</c:v>
                </c:pt>
                <c:pt idx="26">
                  <c:v>32400</c:v>
                </c:pt>
                <c:pt idx="27">
                  <c:v>28240</c:v>
                </c:pt>
                <c:pt idx="28">
                  <c:v>24760</c:v>
                </c:pt>
                <c:pt idx="29">
                  <c:v>22920</c:v>
                </c:pt>
                <c:pt idx="30">
                  <c:v>18760</c:v>
                </c:pt>
                <c:pt idx="31">
                  <c:v>17880</c:v>
                </c:pt>
                <c:pt idx="32">
                  <c:v>18520</c:v>
                </c:pt>
                <c:pt idx="33">
                  <c:v>20200</c:v>
                </c:pt>
                <c:pt idx="34">
                  <c:v>25360</c:v>
                </c:pt>
                <c:pt idx="35">
                  <c:v>29120</c:v>
                </c:pt>
                <c:pt idx="36">
                  <c:v>29280</c:v>
                </c:pt>
                <c:pt idx="37">
                  <c:v>33840</c:v>
                </c:pt>
                <c:pt idx="38">
                  <c:v>27760</c:v>
                </c:pt>
                <c:pt idx="39">
                  <c:v>30400</c:v>
                </c:pt>
                <c:pt idx="40">
                  <c:v>25040</c:v>
                </c:pt>
                <c:pt idx="41">
                  <c:v>23920</c:v>
                </c:pt>
                <c:pt idx="42">
                  <c:v>22680</c:v>
                </c:pt>
                <c:pt idx="43">
                  <c:v>21200</c:v>
                </c:pt>
                <c:pt idx="44">
                  <c:v>20000</c:v>
                </c:pt>
                <c:pt idx="45">
                  <c:v>21240</c:v>
                </c:pt>
                <c:pt idx="46">
                  <c:v>25360</c:v>
                </c:pt>
                <c:pt idx="47">
                  <c:v>25160</c:v>
                </c:pt>
              </c:numCache>
            </c:numRef>
          </c:val>
          <c:extLst>
            <c:ext xmlns:c16="http://schemas.microsoft.com/office/drawing/2014/chart" uri="{C3380CC4-5D6E-409C-BE32-E72D297353CC}">
              <c16:uniqueId val="{00000000-06F5-4C5F-9C4B-3B7A67BC7C7E}"/>
            </c:ext>
          </c:extLst>
        </c:ser>
        <c:dLbls>
          <c:showLegendKey val="0"/>
          <c:showVal val="0"/>
          <c:showCatName val="0"/>
          <c:showSerName val="0"/>
          <c:showPercent val="0"/>
          <c:showBubbleSize val="0"/>
        </c:dLbls>
        <c:gapWidth val="219"/>
        <c:axId val="701834280"/>
        <c:axId val="701826832"/>
      </c:barChart>
      <c:lineChart>
        <c:grouping val="standard"/>
        <c:varyColors val="0"/>
        <c:ser>
          <c:idx val="1"/>
          <c:order val="1"/>
          <c:tx>
            <c:strRef>
              <c:f>' Elec Utility (kWh)'!$N$12</c:f>
              <c:strCache>
                <c:ptCount val="1"/>
                <c:pt idx="0">
                  <c:v>Sum of Cost (Optional)</c:v>
                </c:pt>
              </c:strCache>
            </c:strRef>
          </c:tx>
          <c:spPr>
            <a:ln w="28575" cap="rnd">
              <a:solidFill>
                <a:schemeClr val="accent2"/>
              </a:solidFill>
              <a:round/>
            </a:ln>
            <a:effectLst/>
          </c:spPr>
          <c:marker>
            <c:symbol val="none"/>
          </c:marker>
          <c:cat>
            <c:strRef>
              <c:f>' Elec Utility (kWh)'!$L$13:$L$61</c:f>
              <c:strCache>
                <c:ptCount val="48"/>
                <c:pt idx="0">
                  <c:v>2/5/2014</c:v>
                </c:pt>
                <c:pt idx="1">
                  <c:v>3/5/2014</c:v>
                </c:pt>
                <c:pt idx="2">
                  <c:v>4/4/2014</c:v>
                </c:pt>
                <c:pt idx="3">
                  <c:v>5/6/2014</c:v>
                </c:pt>
                <c:pt idx="4">
                  <c:v>6/4/2014</c:v>
                </c:pt>
                <c:pt idx="5">
                  <c:v>7/3/2014</c:v>
                </c:pt>
                <c:pt idx="6">
                  <c:v>8/7/2014</c:v>
                </c:pt>
                <c:pt idx="7">
                  <c:v>9/5/2014</c:v>
                </c:pt>
                <c:pt idx="8">
                  <c:v>9/30/2014</c:v>
                </c:pt>
                <c:pt idx="9">
                  <c:v>10/6/2014</c:v>
                </c:pt>
                <c:pt idx="10">
                  <c:v>11/6/2014</c:v>
                </c:pt>
                <c:pt idx="11">
                  <c:v>12/5/2014</c:v>
                </c:pt>
                <c:pt idx="12">
                  <c:v>1/8/2015</c:v>
                </c:pt>
                <c:pt idx="13">
                  <c:v>2/6/2015</c:v>
                </c:pt>
                <c:pt idx="14">
                  <c:v>3/5/2015</c:v>
                </c:pt>
                <c:pt idx="15">
                  <c:v>4/8/2015</c:v>
                </c:pt>
                <c:pt idx="16">
                  <c:v>5/6/2015</c:v>
                </c:pt>
                <c:pt idx="17">
                  <c:v>6/8/2015</c:v>
                </c:pt>
                <c:pt idx="18">
                  <c:v>7/8/2015</c:v>
                </c:pt>
                <c:pt idx="19">
                  <c:v>8/4/2015</c:v>
                </c:pt>
                <c:pt idx="20">
                  <c:v>9/4/2015</c:v>
                </c:pt>
                <c:pt idx="21">
                  <c:v>10/6/2015</c:v>
                </c:pt>
                <c:pt idx="22">
                  <c:v>11/2/2015</c:v>
                </c:pt>
                <c:pt idx="23">
                  <c:v>12/2/2015</c:v>
                </c:pt>
                <c:pt idx="24">
                  <c:v>1/2/2016</c:v>
                </c:pt>
                <c:pt idx="25">
                  <c:v>2/1/2016</c:v>
                </c:pt>
                <c:pt idx="26">
                  <c:v>3/1/2016</c:v>
                </c:pt>
                <c:pt idx="27">
                  <c:v>4/1/2016</c:v>
                </c:pt>
                <c:pt idx="28">
                  <c:v>5/1/2016</c:v>
                </c:pt>
                <c:pt idx="29">
                  <c:v>6/1/2016</c:v>
                </c:pt>
                <c:pt idx="30">
                  <c:v>7/1/2016</c:v>
                </c:pt>
                <c:pt idx="31">
                  <c:v>8/1/2016</c:v>
                </c:pt>
                <c:pt idx="32">
                  <c:v>9/1/2016</c:v>
                </c:pt>
                <c:pt idx="33">
                  <c:v>10/1/2016</c:v>
                </c:pt>
                <c:pt idx="34">
                  <c:v>11/1/2016</c:v>
                </c:pt>
                <c:pt idx="35">
                  <c:v>12/1/2016</c:v>
                </c:pt>
                <c:pt idx="36">
                  <c:v>1/1/2017</c:v>
                </c:pt>
                <c:pt idx="37">
                  <c:v>2/1/2017</c:v>
                </c:pt>
                <c:pt idx="38">
                  <c:v>3/1/2017</c:v>
                </c:pt>
                <c:pt idx="39">
                  <c:v>4/1/2017</c:v>
                </c:pt>
                <c:pt idx="40">
                  <c:v>5/1/2017</c:v>
                </c:pt>
                <c:pt idx="41">
                  <c:v>6/1/2017</c:v>
                </c:pt>
                <c:pt idx="42">
                  <c:v>7/1/2017</c:v>
                </c:pt>
                <c:pt idx="43">
                  <c:v>8/1/2017</c:v>
                </c:pt>
                <c:pt idx="44">
                  <c:v>9/1/2017</c:v>
                </c:pt>
                <c:pt idx="45">
                  <c:v>10/1/2017</c:v>
                </c:pt>
                <c:pt idx="46">
                  <c:v>11/1/2017</c:v>
                </c:pt>
                <c:pt idx="47">
                  <c:v>12/1/2017</c:v>
                </c:pt>
              </c:strCache>
            </c:strRef>
          </c:cat>
          <c:val>
            <c:numRef>
              <c:f>' Elec Utility (kWh)'!$N$13:$N$61</c:f>
              <c:numCache>
                <c:formatCode>General</c:formatCode>
                <c:ptCount val="48"/>
                <c:pt idx="0">
                  <c:v>3971.45</c:v>
                </c:pt>
                <c:pt idx="1">
                  <c:v>3450.53</c:v>
                </c:pt>
                <c:pt idx="2">
                  <c:v>3332.06</c:v>
                </c:pt>
                <c:pt idx="3">
                  <c:v>3228.88</c:v>
                </c:pt>
                <c:pt idx="4">
                  <c:v>2449.91</c:v>
                </c:pt>
                <c:pt idx="5">
                  <c:v>2401.5</c:v>
                </c:pt>
                <c:pt idx="6">
                  <c:v>2900.88</c:v>
                </c:pt>
                <c:pt idx="7">
                  <c:v>2048.2800000000002</c:v>
                </c:pt>
                <c:pt idx="8">
                  <c:v>2193.9</c:v>
                </c:pt>
                <c:pt idx="9">
                  <c:v>562.32000000000005</c:v>
                </c:pt>
                <c:pt idx="10">
                  <c:v>2970.38</c:v>
                </c:pt>
                <c:pt idx="11">
                  <c:v>3269.04</c:v>
                </c:pt>
                <c:pt idx="12">
                  <c:v>3998.15</c:v>
                </c:pt>
                <c:pt idx="13">
                  <c:v>3648.62</c:v>
                </c:pt>
                <c:pt idx="14">
                  <c:v>3308.7</c:v>
                </c:pt>
                <c:pt idx="15">
                  <c:v>3123.42</c:v>
                </c:pt>
                <c:pt idx="16">
                  <c:v>2314.2600000000002</c:v>
                </c:pt>
                <c:pt idx="17">
                  <c:v>2300.36</c:v>
                </c:pt>
                <c:pt idx="18">
                  <c:v>1959.77</c:v>
                </c:pt>
                <c:pt idx="19">
                  <c:v>1711.75</c:v>
                </c:pt>
                <c:pt idx="20">
                  <c:v>2055.88</c:v>
                </c:pt>
                <c:pt idx="21">
                  <c:v>2154.2600000000002</c:v>
                </c:pt>
                <c:pt idx="22">
                  <c:v>2163.44</c:v>
                </c:pt>
                <c:pt idx="23">
                  <c:v>2476.65</c:v>
                </c:pt>
                <c:pt idx="24">
                  <c:v>2486.7399999999998</c:v>
                </c:pt>
                <c:pt idx="25">
                  <c:v>3494.96</c:v>
                </c:pt>
                <c:pt idx="26">
                  <c:v>3156.04</c:v>
                </c:pt>
                <c:pt idx="27">
                  <c:v>2492.3000000000002</c:v>
                </c:pt>
                <c:pt idx="28">
                  <c:v>2188.88</c:v>
                </c:pt>
                <c:pt idx="29">
                  <c:v>2070.5100000000002</c:v>
                </c:pt>
                <c:pt idx="30">
                  <c:v>1694.65</c:v>
                </c:pt>
                <c:pt idx="31">
                  <c:v>1545.89</c:v>
                </c:pt>
                <c:pt idx="32">
                  <c:v>1649.02</c:v>
                </c:pt>
                <c:pt idx="33">
                  <c:v>1731.04</c:v>
                </c:pt>
                <c:pt idx="34">
                  <c:v>2350.73</c:v>
                </c:pt>
                <c:pt idx="35">
                  <c:v>2627.89</c:v>
                </c:pt>
                <c:pt idx="36">
                  <c:v>2815.02</c:v>
                </c:pt>
                <c:pt idx="37">
                  <c:v>3617.34</c:v>
                </c:pt>
                <c:pt idx="38">
                  <c:v>3058.05</c:v>
                </c:pt>
                <c:pt idx="39">
                  <c:v>3162.48</c:v>
                </c:pt>
                <c:pt idx="40">
                  <c:v>2684.27</c:v>
                </c:pt>
                <c:pt idx="41">
                  <c:v>2971.3</c:v>
                </c:pt>
                <c:pt idx="42">
                  <c:v>2402.7399999999998</c:v>
                </c:pt>
                <c:pt idx="43">
                  <c:v>2250.84</c:v>
                </c:pt>
                <c:pt idx="44">
                  <c:v>2118</c:v>
                </c:pt>
                <c:pt idx="45">
                  <c:v>2233.83</c:v>
                </c:pt>
                <c:pt idx="46">
                  <c:v>2672.8</c:v>
                </c:pt>
                <c:pt idx="47">
                  <c:v>2656.83</c:v>
                </c:pt>
              </c:numCache>
            </c:numRef>
          </c:val>
          <c:smooth val="0"/>
          <c:extLst>
            <c:ext xmlns:c16="http://schemas.microsoft.com/office/drawing/2014/chart" uri="{C3380CC4-5D6E-409C-BE32-E72D297353CC}">
              <c16:uniqueId val="{00000001-06F5-4C5F-9C4B-3B7A67BC7C7E}"/>
            </c:ext>
          </c:extLst>
        </c:ser>
        <c:dLbls>
          <c:showLegendKey val="0"/>
          <c:showVal val="0"/>
          <c:showCatName val="0"/>
          <c:showSerName val="0"/>
          <c:showPercent val="0"/>
          <c:showBubbleSize val="0"/>
        </c:dLbls>
        <c:marker val="1"/>
        <c:smooth val="0"/>
        <c:axId val="701824872"/>
        <c:axId val="701827616"/>
      </c:lineChart>
      <c:catAx>
        <c:axId val="70183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26832"/>
        <c:crosses val="autoZero"/>
        <c:auto val="1"/>
        <c:lblAlgn val="ctr"/>
        <c:lblOffset val="100"/>
        <c:noMultiLvlLbl val="0"/>
      </c:catAx>
      <c:valAx>
        <c:axId val="70182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34280"/>
        <c:crosses val="autoZero"/>
        <c:crossBetween val="between"/>
      </c:valAx>
      <c:valAx>
        <c:axId val="7018276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a:t>
                </a:r>
                <a:r>
                  <a:rPr lang="en-US" baseline="0"/>
                  <a:t> Cost of Electricity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24872"/>
        <c:crosses val="max"/>
        <c:crossBetween val="between"/>
      </c:valAx>
      <c:catAx>
        <c:axId val="701824872"/>
        <c:scaling>
          <c:orientation val="minMax"/>
        </c:scaling>
        <c:delete val="1"/>
        <c:axPos val="b"/>
        <c:numFmt formatCode="General" sourceLinked="1"/>
        <c:majorTickMark val="out"/>
        <c:minorTickMark val="none"/>
        <c:tickLblPos val="nextTo"/>
        <c:crossAx val="701827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[FIM_Tracker_Springfield_Office_20210226.xlsx]CEP Utility (Tons)!PivotTable3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CHW 1B (tons) &amp;</a:t>
            </a:r>
            <a:r>
              <a:rPr lang="en-US" baseline="0"/>
              <a:t> Cost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'CEP Utility (Tons)'!$R$15</c:f>
              <c:strCache>
                <c:ptCount val="1"/>
                <c:pt idx="0">
                  <c:v>Sum of Usage (Required)</c:v>
                </c:pt>
              </c:strCache>
            </c:strRef>
          </c:tx>
          <c:spPr>
            <a:solidFill>
              <a:schemeClr val="accent1"/>
            </a:solidFill>
            <a:ln>
              <a:noFill/>
            </a:ln>
            <a:effectLst/>
          </c:spPr>
          <c:invertIfNegative val="0"/>
          <c:cat>
            <c:strRef>
              <c:f>'CEP Utility (Tons)'!$Q$16:$Q$64</c:f>
              <c:strCache>
                <c:ptCount val="48"/>
                <c:pt idx="0">
                  <c:v>2/5/2014</c:v>
                </c:pt>
                <c:pt idx="1">
                  <c:v>3/5/2014</c:v>
                </c:pt>
                <c:pt idx="2">
                  <c:v>4/4/2014</c:v>
                </c:pt>
                <c:pt idx="3">
                  <c:v>5/6/2014</c:v>
                </c:pt>
                <c:pt idx="4">
                  <c:v>6/4/2014</c:v>
                </c:pt>
                <c:pt idx="5">
                  <c:v>7/3/2014</c:v>
                </c:pt>
                <c:pt idx="6">
                  <c:v>8/7/2014</c:v>
                </c:pt>
                <c:pt idx="7">
                  <c:v>9/5/2014</c:v>
                </c:pt>
                <c:pt idx="8">
                  <c:v>10/6/2014</c:v>
                </c:pt>
                <c:pt idx="9">
                  <c:v>11/6/2014</c:v>
                </c:pt>
                <c:pt idx="10">
                  <c:v>12/5/2014</c:v>
                </c:pt>
                <c:pt idx="11">
                  <c:v>1/8/2015</c:v>
                </c:pt>
                <c:pt idx="12">
                  <c:v>2/6/2015</c:v>
                </c:pt>
                <c:pt idx="13">
                  <c:v>3/5/2015</c:v>
                </c:pt>
                <c:pt idx="14">
                  <c:v>4/8/2015</c:v>
                </c:pt>
                <c:pt idx="15">
                  <c:v>4/27/2015</c:v>
                </c:pt>
                <c:pt idx="16">
                  <c:v>5/6/2015</c:v>
                </c:pt>
                <c:pt idx="17">
                  <c:v>6/8/2015</c:v>
                </c:pt>
                <c:pt idx="18">
                  <c:v>7/8/2015</c:v>
                </c:pt>
                <c:pt idx="19">
                  <c:v>8/4/2015</c:v>
                </c:pt>
                <c:pt idx="20">
                  <c:v>9/4/2015</c:v>
                </c:pt>
                <c:pt idx="21">
                  <c:v>10/6/2015</c:v>
                </c:pt>
                <c:pt idx="22">
                  <c:v>11/3/2015</c:v>
                </c:pt>
                <c:pt idx="23">
                  <c:v>12/4/2015</c:v>
                </c:pt>
                <c:pt idx="24">
                  <c:v>1/3/2016</c:v>
                </c:pt>
                <c:pt idx="25">
                  <c:v>2/5/2016</c:v>
                </c:pt>
                <c:pt idx="26">
                  <c:v>3/4/2016</c:v>
                </c:pt>
                <c:pt idx="27">
                  <c:v>4/6/2016</c:v>
                </c:pt>
                <c:pt idx="28">
                  <c:v>5/3/2016</c:v>
                </c:pt>
                <c:pt idx="29">
                  <c:v>6/3/2016</c:v>
                </c:pt>
                <c:pt idx="30">
                  <c:v>7/3/2016</c:v>
                </c:pt>
                <c:pt idx="31">
                  <c:v>8/2/2016</c:v>
                </c:pt>
                <c:pt idx="32">
                  <c:v>9/1/2016</c:v>
                </c:pt>
                <c:pt idx="33">
                  <c:v>10/2/2016</c:v>
                </c:pt>
                <c:pt idx="34">
                  <c:v>11/1/2016</c:v>
                </c:pt>
                <c:pt idx="35">
                  <c:v>12/2/2016</c:v>
                </c:pt>
                <c:pt idx="36">
                  <c:v>1/3/2017</c:v>
                </c:pt>
                <c:pt idx="37">
                  <c:v>2/2/2017</c:v>
                </c:pt>
                <c:pt idx="38">
                  <c:v>3/1/2017</c:v>
                </c:pt>
                <c:pt idx="39">
                  <c:v>4/1/2017</c:v>
                </c:pt>
                <c:pt idx="40">
                  <c:v>5/2/2017</c:v>
                </c:pt>
                <c:pt idx="41">
                  <c:v>6/2/2017</c:v>
                </c:pt>
                <c:pt idx="42">
                  <c:v>7/2/2017</c:v>
                </c:pt>
                <c:pt idx="43">
                  <c:v>8/2/2017</c:v>
                </c:pt>
                <c:pt idx="44">
                  <c:v>9/2/2017</c:v>
                </c:pt>
                <c:pt idx="45">
                  <c:v>10/1/2017</c:v>
                </c:pt>
                <c:pt idx="46">
                  <c:v>11/3/2017</c:v>
                </c:pt>
                <c:pt idx="47">
                  <c:v>12/1/2017</c:v>
                </c:pt>
              </c:strCache>
            </c:strRef>
          </c:cat>
          <c:val>
            <c:numRef>
              <c:f>'CEP Utility (Tons)'!$R$16:$R$64</c:f>
              <c:numCache>
                <c:formatCode>General</c:formatCode>
                <c:ptCount val="48"/>
                <c:pt idx="0">
                  <c:v>7795</c:v>
                </c:pt>
                <c:pt idx="1">
                  <c:v>7738</c:v>
                </c:pt>
                <c:pt idx="2">
                  <c:v>8963</c:v>
                </c:pt>
                <c:pt idx="3">
                  <c:v>10997</c:v>
                </c:pt>
                <c:pt idx="4">
                  <c:v>9709</c:v>
                </c:pt>
                <c:pt idx="5">
                  <c:v>10642</c:v>
                </c:pt>
                <c:pt idx="6">
                  <c:v>13504</c:v>
                </c:pt>
                <c:pt idx="7">
                  <c:v>9892</c:v>
                </c:pt>
                <c:pt idx="8">
                  <c:v>10139</c:v>
                </c:pt>
                <c:pt idx="9">
                  <c:v>8544</c:v>
                </c:pt>
                <c:pt idx="10">
                  <c:v>7417</c:v>
                </c:pt>
                <c:pt idx="11">
                  <c:v>8621</c:v>
                </c:pt>
                <c:pt idx="12">
                  <c:v>6479</c:v>
                </c:pt>
                <c:pt idx="13">
                  <c:v>5993</c:v>
                </c:pt>
                <c:pt idx="14">
                  <c:v>7791</c:v>
                </c:pt>
                <c:pt idx="15">
                  <c:v>5301</c:v>
                </c:pt>
                <c:pt idx="16">
                  <c:v>2669</c:v>
                </c:pt>
                <c:pt idx="17">
                  <c:v>9557</c:v>
                </c:pt>
                <c:pt idx="18">
                  <c:v>9543</c:v>
                </c:pt>
                <c:pt idx="19">
                  <c:v>8981</c:v>
                </c:pt>
                <c:pt idx="20">
                  <c:v>10407</c:v>
                </c:pt>
                <c:pt idx="21">
                  <c:v>9972</c:v>
                </c:pt>
                <c:pt idx="22">
                  <c:v>8035</c:v>
                </c:pt>
                <c:pt idx="23">
                  <c:v>8214</c:v>
                </c:pt>
                <c:pt idx="24">
                  <c:v>8015</c:v>
                </c:pt>
                <c:pt idx="25">
                  <c:v>7224</c:v>
                </c:pt>
                <c:pt idx="26">
                  <c:v>5836</c:v>
                </c:pt>
                <c:pt idx="27">
                  <c:v>8313</c:v>
                </c:pt>
                <c:pt idx="28">
                  <c:v>6840</c:v>
                </c:pt>
                <c:pt idx="29">
                  <c:v>8223</c:v>
                </c:pt>
                <c:pt idx="30">
                  <c:v>9049</c:v>
                </c:pt>
                <c:pt idx="31">
                  <c:v>9313</c:v>
                </c:pt>
                <c:pt idx="32">
                  <c:v>9306</c:v>
                </c:pt>
                <c:pt idx="33">
                  <c:v>9451</c:v>
                </c:pt>
                <c:pt idx="34">
                  <c:v>8373</c:v>
                </c:pt>
                <c:pt idx="35">
                  <c:v>7160</c:v>
                </c:pt>
                <c:pt idx="36">
                  <c:v>7825</c:v>
                </c:pt>
                <c:pt idx="37">
                  <c:v>6646</c:v>
                </c:pt>
                <c:pt idx="38">
                  <c:v>6417</c:v>
                </c:pt>
                <c:pt idx="39">
                  <c:v>7179</c:v>
                </c:pt>
                <c:pt idx="40">
                  <c:v>7683</c:v>
                </c:pt>
                <c:pt idx="41">
                  <c:v>8525</c:v>
                </c:pt>
                <c:pt idx="42">
                  <c:v>9009</c:v>
                </c:pt>
                <c:pt idx="43">
                  <c:v>9405</c:v>
                </c:pt>
                <c:pt idx="44">
                  <c:v>9636</c:v>
                </c:pt>
                <c:pt idx="45">
                  <c:v>8837</c:v>
                </c:pt>
                <c:pt idx="46">
                  <c:v>8915</c:v>
                </c:pt>
                <c:pt idx="47">
                  <c:v>5829</c:v>
                </c:pt>
              </c:numCache>
            </c:numRef>
          </c:val>
          <c:extLst>
            <c:ext xmlns:c16="http://schemas.microsoft.com/office/drawing/2014/chart" uri="{C3380CC4-5D6E-409C-BE32-E72D297353CC}">
              <c16:uniqueId val="{00000000-2784-44FD-97FE-861FE8B96C4A}"/>
            </c:ext>
          </c:extLst>
        </c:ser>
        <c:dLbls>
          <c:showLegendKey val="0"/>
          <c:showVal val="0"/>
          <c:showCatName val="0"/>
          <c:showSerName val="0"/>
          <c:showPercent val="0"/>
          <c:showBubbleSize val="0"/>
        </c:dLbls>
        <c:gapWidth val="219"/>
        <c:axId val="701829968"/>
        <c:axId val="701833104"/>
      </c:barChart>
      <c:lineChart>
        <c:grouping val="standard"/>
        <c:varyColors val="0"/>
        <c:ser>
          <c:idx val="1"/>
          <c:order val="1"/>
          <c:tx>
            <c:strRef>
              <c:f>'CEP Utility (Tons)'!$S$15</c:f>
              <c:strCache>
                <c:ptCount val="1"/>
                <c:pt idx="0">
                  <c:v>Sum of Cost (Optional)</c:v>
                </c:pt>
              </c:strCache>
            </c:strRef>
          </c:tx>
          <c:spPr>
            <a:ln w="28575" cap="rnd">
              <a:solidFill>
                <a:schemeClr val="accent2"/>
              </a:solidFill>
              <a:round/>
            </a:ln>
            <a:effectLst/>
          </c:spPr>
          <c:marker>
            <c:symbol val="none"/>
          </c:marker>
          <c:cat>
            <c:strRef>
              <c:f>'CEP Utility (Tons)'!$Q$16:$Q$64</c:f>
              <c:strCache>
                <c:ptCount val="48"/>
                <c:pt idx="0">
                  <c:v>2/5/2014</c:v>
                </c:pt>
                <c:pt idx="1">
                  <c:v>3/5/2014</c:v>
                </c:pt>
                <c:pt idx="2">
                  <c:v>4/4/2014</c:v>
                </c:pt>
                <c:pt idx="3">
                  <c:v>5/6/2014</c:v>
                </c:pt>
                <c:pt idx="4">
                  <c:v>6/4/2014</c:v>
                </c:pt>
                <c:pt idx="5">
                  <c:v>7/3/2014</c:v>
                </c:pt>
                <c:pt idx="6">
                  <c:v>8/7/2014</c:v>
                </c:pt>
                <c:pt idx="7">
                  <c:v>9/5/2014</c:v>
                </c:pt>
                <c:pt idx="8">
                  <c:v>10/6/2014</c:v>
                </c:pt>
                <c:pt idx="9">
                  <c:v>11/6/2014</c:v>
                </c:pt>
                <c:pt idx="10">
                  <c:v>12/5/2014</c:v>
                </c:pt>
                <c:pt idx="11">
                  <c:v>1/8/2015</c:v>
                </c:pt>
                <c:pt idx="12">
                  <c:v>2/6/2015</c:v>
                </c:pt>
                <c:pt idx="13">
                  <c:v>3/5/2015</c:v>
                </c:pt>
                <c:pt idx="14">
                  <c:v>4/8/2015</c:v>
                </c:pt>
                <c:pt idx="15">
                  <c:v>4/27/2015</c:v>
                </c:pt>
                <c:pt idx="16">
                  <c:v>5/6/2015</c:v>
                </c:pt>
                <c:pt idx="17">
                  <c:v>6/8/2015</c:v>
                </c:pt>
                <c:pt idx="18">
                  <c:v>7/8/2015</c:v>
                </c:pt>
                <c:pt idx="19">
                  <c:v>8/4/2015</c:v>
                </c:pt>
                <c:pt idx="20">
                  <c:v>9/4/2015</c:v>
                </c:pt>
                <c:pt idx="21">
                  <c:v>10/6/2015</c:v>
                </c:pt>
                <c:pt idx="22">
                  <c:v>11/3/2015</c:v>
                </c:pt>
                <c:pt idx="23">
                  <c:v>12/4/2015</c:v>
                </c:pt>
                <c:pt idx="24">
                  <c:v>1/3/2016</c:v>
                </c:pt>
                <c:pt idx="25">
                  <c:v>2/5/2016</c:v>
                </c:pt>
                <c:pt idx="26">
                  <c:v>3/4/2016</c:v>
                </c:pt>
                <c:pt idx="27">
                  <c:v>4/6/2016</c:v>
                </c:pt>
                <c:pt idx="28">
                  <c:v>5/3/2016</c:v>
                </c:pt>
                <c:pt idx="29">
                  <c:v>6/3/2016</c:v>
                </c:pt>
                <c:pt idx="30">
                  <c:v>7/3/2016</c:v>
                </c:pt>
                <c:pt idx="31">
                  <c:v>8/2/2016</c:v>
                </c:pt>
                <c:pt idx="32">
                  <c:v>9/1/2016</c:v>
                </c:pt>
                <c:pt idx="33">
                  <c:v>10/2/2016</c:v>
                </c:pt>
                <c:pt idx="34">
                  <c:v>11/1/2016</c:v>
                </c:pt>
                <c:pt idx="35">
                  <c:v>12/2/2016</c:v>
                </c:pt>
                <c:pt idx="36">
                  <c:v>1/3/2017</c:v>
                </c:pt>
                <c:pt idx="37">
                  <c:v>2/2/2017</c:v>
                </c:pt>
                <c:pt idx="38">
                  <c:v>3/1/2017</c:v>
                </c:pt>
                <c:pt idx="39">
                  <c:v>4/1/2017</c:v>
                </c:pt>
                <c:pt idx="40">
                  <c:v>5/2/2017</c:v>
                </c:pt>
                <c:pt idx="41">
                  <c:v>6/2/2017</c:v>
                </c:pt>
                <c:pt idx="42">
                  <c:v>7/2/2017</c:v>
                </c:pt>
                <c:pt idx="43">
                  <c:v>8/2/2017</c:v>
                </c:pt>
                <c:pt idx="44">
                  <c:v>9/2/2017</c:v>
                </c:pt>
                <c:pt idx="45">
                  <c:v>10/1/2017</c:v>
                </c:pt>
                <c:pt idx="46">
                  <c:v>11/3/2017</c:v>
                </c:pt>
                <c:pt idx="47">
                  <c:v>12/1/2017</c:v>
                </c:pt>
              </c:strCache>
            </c:strRef>
          </c:cat>
          <c:val>
            <c:numRef>
              <c:f>'CEP Utility (Tons)'!$S$16:$S$64</c:f>
              <c:numCache>
                <c:formatCode>General</c:formatCode>
                <c:ptCount val="48"/>
                <c:pt idx="0">
                  <c:v>993.14</c:v>
                </c:pt>
                <c:pt idx="1">
                  <c:v>986.24</c:v>
                </c:pt>
                <c:pt idx="2">
                  <c:v>1134.46</c:v>
                </c:pt>
                <c:pt idx="3">
                  <c:v>1380.58</c:v>
                </c:pt>
                <c:pt idx="4">
                  <c:v>1224.73</c:v>
                </c:pt>
                <c:pt idx="5">
                  <c:v>1337.62</c:v>
                </c:pt>
                <c:pt idx="6">
                  <c:v>1683.92</c:v>
                </c:pt>
                <c:pt idx="7">
                  <c:v>1246.8699999999999</c:v>
                </c:pt>
                <c:pt idx="8">
                  <c:v>1276.76</c:v>
                </c:pt>
                <c:pt idx="9">
                  <c:v>1083.76</c:v>
                </c:pt>
                <c:pt idx="10">
                  <c:v>947.4</c:v>
                </c:pt>
                <c:pt idx="11">
                  <c:v>1093.08</c:v>
                </c:pt>
                <c:pt idx="12">
                  <c:v>833.9</c:v>
                </c:pt>
                <c:pt idx="13">
                  <c:v>775.09</c:v>
                </c:pt>
                <c:pt idx="14">
                  <c:v>992.65</c:v>
                </c:pt>
                <c:pt idx="15">
                  <c:v>691.36</c:v>
                </c:pt>
                <c:pt idx="16">
                  <c:v>322.95</c:v>
                </c:pt>
                <c:pt idx="17">
                  <c:v>1206.3399999999999</c:v>
                </c:pt>
                <c:pt idx="18">
                  <c:v>1204.6400000000001</c:v>
                </c:pt>
                <c:pt idx="19">
                  <c:v>1165.7</c:v>
                </c:pt>
                <c:pt idx="20">
                  <c:v>1338.25</c:v>
                </c:pt>
                <c:pt idx="21">
                  <c:v>1285.6099999999999</c:v>
                </c:pt>
                <c:pt idx="22">
                  <c:v>1051.24</c:v>
                </c:pt>
                <c:pt idx="23">
                  <c:v>1072.8900000000001</c:v>
                </c:pt>
                <c:pt idx="24">
                  <c:v>1048.82</c:v>
                </c:pt>
                <c:pt idx="25">
                  <c:v>897.11</c:v>
                </c:pt>
                <c:pt idx="26">
                  <c:v>726.66</c:v>
                </c:pt>
                <c:pt idx="27">
                  <c:v>1030.8399999999999</c:v>
                </c:pt>
                <c:pt idx="28">
                  <c:v>849.95</c:v>
                </c:pt>
                <c:pt idx="29">
                  <c:v>1019.78</c:v>
                </c:pt>
                <c:pt idx="30">
                  <c:v>1314.87</c:v>
                </c:pt>
                <c:pt idx="31">
                  <c:v>1352.93</c:v>
                </c:pt>
                <c:pt idx="32">
                  <c:v>1351.93</c:v>
                </c:pt>
                <c:pt idx="33">
                  <c:v>1372.83</c:v>
                </c:pt>
                <c:pt idx="34">
                  <c:v>1217.3900000000001</c:v>
                </c:pt>
                <c:pt idx="35">
                  <c:v>1042.47</c:v>
                </c:pt>
                <c:pt idx="36">
                  <c:v>1138.3599999999999</c:v>
                </c:pt>
                <c:pt idx="37">
                  <c:v>968.35</c:v>
                </c:pt>
                <c:pt idx="38">
                  <c:v>935.33</c:v>
                </c:pt>
                <c:pt idx="39">
                  <c:v>1045.21</c:v>
                </c:pt>
                <c:pt idx="40">
                  <c:v>1117.8900000000001</c:v>
                </c:pt>
                <c:pt idx="41">
                  <c:v>1239.3</c:v>
                </c:pt>
                <c:pt idx="42">
                  <c:v>1587.48</c:v>
                </c:pt>
                <c:pt idx="43">
                  <c:v>1656.82</c:v>
                </c:pt>
                <c:pt idx="44">
                  <c:v>1697.26</c:v>
                </c:pt>
                <c:pt idx="45">
                  <c:v>1557.36</c:v>
                </c:pt>
                <c:pt idx="46">
                  <c:v>1571.02</c:v>
                </c:pt>
                <c:pt idx="47">
                  <c:v>1030.6600000000001</c:v>
                </c:pt>
              </c:numCache>
            </c:numRef>
          </c:val>
          <c:smooth val="0"/>
          <c:extLst>
            <c:ext xmlns:c16="http://schemas.microsoft.com/office/drawing/2014/chart" uri="{C3380CC4-5D6E-409C-BE32-E72D297353CC}">
              <c16:uniqueId val="{00000001-2784-44FD-97FE-861FE8B96C4A}"/>
            </c:ext>
          </c:extLst>
        </c:ser>
        <c:dLbls>
          <c:showLegendKey val="0"/>
          <c:showVal val="0"/>
          <c:showCatName val="0"/>
          <c:showSerName val="0"/>
          <c:showPercent val="0"/>
          <c:showBubbleSize val="0"/>
        </c:dLbls>
        <c:marker val="1"/>
        <c:smooth val="0"/>
        <c:axId val="701828792"/>
        <c:axId val="701828008"/>
      </c:lineChart>
      <c:catAx>
        <c:axId val="70182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33104"/>
        <c:crosses val="autoZero"/>
        <c:auto val="1"/>
        <c:lblAlgn val="ctr"/>
        <c:lblOffset val="100"/>
        <c:noMultiLvlLbl val="0"/>
      </c:catAx>
      <c:valAx>
        <c:axId val="70183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Tons/hr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29968"/>
        <c:crosses val="autoZero"/>
        <c:crossBetween val="between"/>
      </c:valAx>
      <c:valAx>
        <c:axId val="7018280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a:t>
                </a:r>
                <a:r>
                  <a:rPr lang="en-US" baseline="0"/>
                  <a:t> Cost of Chilled Water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28792"/>
        <c:crosses val="max"/>
        <c:crossBetween val="between"/>
      </c:valAx>
      <c:catAx>
        <c:axId val="701828792"/>
        <c:scaling>
          <c:orientation val="minMax"/>
        </c:scaling>
        <c:delete val="1"/>
        <c:axPos val="b"/>
        <c:numFmt formatCode="General" sourceLinked="1"/>
        <c:majorTickMark val="out"/>
        <c:minorTickMark val="none"/>
        <c:tickLblPos val="nextTo"/>
        <c:crossAx val="7018280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1199030</xdr:colOff>
      <xdr:row>0</xdr:row>
      <xdr:rowOff>95249</xdr:rowOff>
    </xdr:from>
    <xdr:to>
      <xdr:col>11</xdr:col>
      <xdr:colOff>1333500</xdr:colOff>
      <xdr:row>18</xdr:row>
      <xdr:rowOff>86590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482777</xdr:colOff>
      <xdr:row>13</xdr:row>
      <xdr:rowOff>153849</xdr:rowOff>
    </xdr:from>
    <xdr:to>
      <xdr:col>17</xdr:col>
      <xdr:colOff>1003022</xdr:colOff>
      <xdr:row>30</xdr:row>
      <xdr:rowOff>85725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1943101</xdr:colOff>
      <xdr:row>14</xdr:row>
      <xdr:rowOff>147205</xdr:rowOff>
    </xdr:from>
    <xdr:to>
      <xdr:col>11</xdr:col>
      <xdr:colOff>452437</xdr:colOff>
      <xdr:row>33</xdr:row>
      <xdr:rowOff>157163</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84042</xdr:colOff>
      <xdr:row>45</xdr:row>
      <xdr:rowOff>124385</xdr:rowOff>
    </xdr:from>
    <xdr:to>
      <xdr:col>9</xdr:col>
      <xdr:colOff>1456764</xdr:colOff>
      <xdr:row>67</xdr:row>
      <xdr:rowOff>112059</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1724025</xdr:colOff>
      <xdr:row>12</xdr:row>
      <xdr:rowOff>33337</xdr:rowOff>
    </xdr:from>
    <xdr:to>
      <xdr:col>19</xdr:col>
      <xdr:colOff>476250</xdr:colOff>
      <xdr:row>34</xdr:row>
      <xdr:rowOff>104775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19</xdr:row>
      <xdr:rowOff>9524</xdr:rowOff>
    </xdr:from>
    <xdr:to>
      <xdr:col>23</xdr:col>
      <xdr:colOff>66675</xdr:colOff>
      <xdr:row>37</xdr:row>
      <xdr:rowOff>80961</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als01826/Desktop/Mat/EnergyModel/UCF/17G0157D_Building%2094/17G0157D_EnergyAudit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17jobs\17G0157B\Admin\10-Reference%20Data\COPY_17G0157B_EnergyAudit2%20nbb%20FI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
      <sheetName val="Pivot"/>
      <sheetName val="Lighting_Pivot"/>
      <sheetName val="17G0157D_EnergyAudit2"/>
      <sheetName val="FIM Calculations"/>
      <sheetName val=" Elec Utility (kWh)"/>
      <sheetName val="CEP Utility (Tons)"/>
      <sheetName val="Schedule-Building Info"/>
      <sheetName val="VAV wLowCFMwaitingfortab"/>
      <sheetName val="Spec Wattages"/>
      <sheetName val="62.1_2013_Table6.2.2.1"/>
      <sheetName val="17G0157A_EnergyAudit2"/>
      <sheetName val="VAV wLowCFM"/>
    </sheetNames>
    <sheetDataSet>
      <sheetData sheetId="0"/>
      <sheetData sheetId="1"/>
      <sheetData sheetId="2"/>
      <sheetData sheetId="3"/>
      <sheetData sheetId="4"/>
      <sheetData sheetId="5">
        <row r="4">
          <cell r="L4">
            <v>114347.76000000001</v>
          </cell>
        </row>
        <row r="12">
          <cell r="J12">
            <v>3670440.7547557265</v>
          </cell>
        </row>
      </sheetData>
      <sheetData sheetId="6">
        <row r="5">
          <cell r="S5">
            <v>1225622.2249999999</v>
          </cell>
        </row>
        <row r="8">
          <cell r="U8">
            <v>4189503.0121140052</v>
          </cell>
        </row>
      </sheetData>
      <sheetData sheetId="7">
        <row r="6">
          <cell r="B6">
            <v>60809</v>
          </cell>
        </row>
        <row r="16">
          <cell r="N16">
            <v>5475</v>
          </cell>
        </row>
      </sheetData>
      <sheetData sheetId="8"/>
      <sheetData sheetId="9"/>
      <sheetData sheetId="10"/>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
      <sheetName val="FIM Calculations"/>
      <sheetName val="Pivot"/>
      <sheetName val="PlanGrid_Issue_Report_-_03_16_1"/>
      <sheetName val="DegreeDays"/>
      <sheetName val=" Elec Utility (kWh)"/>
      <sheetName val="CEP Utility (Tons)"/>
      <sheetName val="Schedule-Building Info"/>
      <sheetName val="Typicals"/>
      <sheetName val="62.1_2013_Table6.2.2.1"/>
      <sheetName val="Spec Wattage Library"/>
    </sheetNames>
    <sheetDataSet>
      <sheetData sheetId="0" refreshError="1"/>
      <sheetData sheetId="1" refreshError="1"/>
      <sheetData sheetId="2" refreshError="1"/>
      <sheetData sheetId="3" refreshError="1"/>
      <sheetData sheetId="4" refreshError="1"/>
      <sheetData sheetId="5">
        <row r="2">
          <cell r="G2">
            <v>3533.333333333333</v>
          </cell>
        </row>
        <row r="3">
          <cell r="G3">
            <v>3606.4516129032263</v>
          </cell>
        </row>
        <row r="4">
          <cell r="G4">
            <v>3310</v>
          </cell>
        </row>
        <row r="5">
          <cell r="G5">
            <v>3329.0322580645166</v>
          </cell>
        </row>
        <row r="6">
          <cell r="G6">
            <v>3229.0322580645166</v>
          </cell>
        </row>
        <row r="7">
          <cell r="G7">
            <v>3243.333333333333</v>
          </cell>
        </row>
        <row r="8">
          <cell r="G8">
            <v>3141.9354838709678</v>
          </cell>
        </row>
        <row r="9">
          <cell r="G9">
            <v>3556.666666666667</v>
          </cell>
        </row>
        <row r="10">
          <cell r="G10">
            <v>3493.5483870967737</v>
          </cell>
        </row>
        <row r="11">
          <cell r="G11">
            <v>3635.7142857142853</v>
          </cell>
        </row>
        <row r="12">
          <cell r="G12">
            <v>3922.5806451612902</v>
          </cell>
        </row>
        <row r="13">
          <cell r="G13">
            <v>3919.3548387096776</v>
          </cell>
        </row>
      </sheetData>
      <sheetData sheetId="6">
        <row r="4">
          <cell r="Q4">
            <v>113621.11</v>
          </cell>
        </row>
      </sheetData>
      <sheetData sheetId="7" refreshError="1"/>
      <sheetData sheetId="8" refreshError="1"/>
      <sheetData sheetId="9" refreshError="1"/>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w Coalson" refreshedDate="43199.419509143518" createdVersion="5" refreshedVersion="5" minRefreshableVersion="3" recordCount="48" xr:uid="{00000000-000A-0000-FFFF-FFFF00000000}">
  <cacheSource type="worksheet">
    <worksheetSource name="Electric27"/>
  </cacheSource>
  <cacheFields count="7">
    <cacheField name="Start Date (Required)" numFmtId="14">
      <sharedItems containsSemiMixedTypes="0" containsNonDate="0" containsDate="1" containsString="0" minDate="2014-01-06T00:00:00" maxDate="2017-11-02T00:00:00"/>
    </cacheField>
    <cacheField name="End Date (Required)" numFmtId="14">
      <sharedItems containsSemiMixedTypes="0" containsNonDate="0" containsDate="1" containsString="0" minDate="2014-02-05T00:00:00" maxDate="2017-12-02T00:00:00" count="48">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2T00:00:00"/>
        <d v="2015-12-02T00:00:00"/>
        <d v="2015-11-02T00:00:00"/>
        <d v="2015-10-06T00:00:00"/>
        <d v="2015-09-04T00:00:00"/>
        <d v="2015-08-04T00:00:00"/>
        <d v="2015-07-08T00:00:00"/>
        <d v="2015-06-08T00:00:00"/>
        <d v="2015-05-06T00:00:00"/>
        <d v="2015-04-08T00:00:00"/>
        <d v="2015-03-05T00:00:00"/>
        <d v="2015-02-06T00:00:00"/>
        <d v="2015-01-08T00:00:00"/>
        <d v="2014-12-05T00:00:00"/>
        <d v="2014-11-06T00:00:00"/>
        <d v="2014-09-30T00:00:00"/>
        <d v="2014-10-06T00:00:00"/>
        <d v="2014-09-05T00:00:00"/>
        <d v="2014-08-07T00:00:00"/>
        <d v="2014-07-03T00:00:00"/>
        <d v="2014-06-04T00:00:00"/>
        <d v="2014-05-06T00:00:00"/>
        <d v="2014-04-04T00:00:00"/>
        <d v="2014-03-05T00:00:00"/>
        <d v="2014-02-05T00:00:00"/>
      </sharedItems>
    </cacheField>
    <cacheField name="Usage (Required)" numFmtId="164">
      <sharedItems containsSemiMixedTypes="0" containsString="0" containsNumber="1" containsInteger="1" minValue="5280" maxValue="39610"/>
    </cacheField>
    <cacheField name="Cost (Optional)" numFmtId="44">
      <sharedItems containsSemiMixedTypes="0" containsString="0" containsNumber="1" minValue="562.32000000000005" maxValue="3998.15"/>
    </cacheField>
    <cacheField name="Estimation (Required)" numFmtId="0">
      <sharedItems/>
    </cacheField>
    <cacheField name="Use/Day kWh" numFmtId="43">
      <sharedItems containsSemiMixedTypes="0" containsString="0" containsNumber="1" minValue="576.77419354838707" maxValue="1320.3333333333333"/>
    </cacheField>
    <cacheField name="Unit Cost" numFmtId="44">
      <sharedItems containsSemiMixedTypes="0" containsString="0" containsNumber="1" minValue="8.5695049504950493E-2" maxValue="0.124218227424749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w Coalson" refreshedDate="43199.427530671295" createdVersion="5" refreshedVersion="5" minRefreshableVersion="3" recordCount="48" xr:uid="{00000000-000A-0000-FFFF-FFFF01000000}">
  <cacheSource type="worksheet">
    <worksheetSource name="AHU1B_CHW"/>
  </cacheSource>
  <cacheFields count="7">
    <cacheField name="Start Date (Required)" numFmtId="14">
      <sharedItems containsSemiMixedTypes="0" containsNonDate="0" containsDate="1" containsString="0" minDate="2014-01-06T00:00:00" maxDate="2017-11-04T00:00:00"/>
    </cacheField>
    <cacheField name="End Date (Required)" numFmtId="14">
      <sharedItems containsSemiMixedTypes="0" containsNonDate="0" containsDate="1" containsString="0" minDate="2014-02-05T00:00:00" maxDate="2017-12-02T00:00:00" count="48">
        <d v="2017-12-01T00:00:00"/>
        <d v="2017-11-03T00:00:00"/>
        <d v="2017-10-01T00:00:00"/>
        <d v="2017-09-02T00:00:00"/>
        <d v="2017-08-02T00:00:00"/>
        <d v="2017-07-02T00:00:00"/>
        <d v="2017-06-02T00:00:00"/>
        <d v="2017-05-02T00:00:00"/>
        <d v="2017-04-01T00:00:00"/>
        <d v="2017-03-01T00:00:00"/>
        <d v="2017-02-02T00:00:00"/>
        <d v="2017-01-03T00:00:00"/>
        <d v="2016-12-02T00:00:00"/>
        <d v="2016-11-01T00:00:00"/>
        <d v="2016-10-02T00:00:00"/>
        <d v="2016-09-01T00:00:00"/>
        <d v="2016-08-02T00:00:00"/>
        <d v="2016-07-03T00:00:00"/>
        <d v="2016-06-03T00:00:00"/>
        <d v="2016-05-03T00:00:00"/>
        <d v="2016-04-06T00:00:00"/>
        <d v="2016-03-04T00:00:00"/>
        <d v="2016-02-05T00:00:00"/>
        <d v="2016-01-03T00:00:00"/>
        <d v="2015-12-04T00:00:00"/>
        <d v="2015-11-03T00:00:00"/>
        <d v="2015-10-06T00:00:00"/>
        <d v="2015-09-04T00:00:00"/>
        <d v="2015-08-04T00:00:00"/>
        <d v="2015-07-08T00:00:00"/>
        <d v="2015-06-08T00:00:00"/>
        <d v="2015-04-27T00:00:00"/>
        <d v="2015-05-06T00:00:00"/>
        <d v="2015-04-08T00:00:00"/>
        <d v="2015-03-05T00:00:00"/>
        <d v="2015-02-06T00:00:00"/>
        <d v="2015-01-08T00:00:00"/>
        <d v="2014-12-05T00:00:00"/>
        <d v="2014-11-06T00:00:00"/>
        <d v="2014-10-06T00:00:00"/>
        <d v="2014-09-05T00:00:00"/>
        <d v="2014-08-07T00:00:00"/>
        <d v="2014-07-03T00:00:00"/>
        <d v="2014-06-04T00:00:00"/>
        <d v="2014-05-06T00:00:00"/>
        <d v="2014-04-04T00:00:00"/>
        <d v="2014-03-05T00:00:00"/>
        <d v="2014-02-05T00:00:00"/>
      </sharedItems>
    </cacheField>
    <cacheField name="Usage (Required)" numFmtId="164">
      <sharedItems containsSemiMixedTypes="0" containsString="0" containsNumber="1" containsInteger="1" minValue="2669" maxValue="13504"/>
    </cacheField>
    <cacheField name="Cost (Optional)" numFmtId="44">
      <sharedItems containsSemiMixedTypes="0" containsString="0" containsNumber="1" minValue="322.95" maxValue="1697.26"/>
    </cacheField>
    <cacheField name="Estimation (Required)" numFmtId="0">
      <sharedItems/>
    </cacheField>
    <cacheField name="Use/Day" numFmtId="1">
      <sharedItems containsSemiMixedTypes="0" containsString="0" containsNumber="1" minValue="208.17857142857142" maxValue="385.82857142857148"/>
    </cacheField>
    <cacheField name="Unit Cost" numFmtId="44">
      <sharedItems containsSemiMixedTypes="0" containsString="0" containsNumber="1" minValue="0.12100037467216183" maxValue="0.1768159203980099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w Coalson" refreshedDate="43243.468871412035" createdVersion="5" refreshedVersion="5" minRefreshableVersion="3" recordCount="1172" xr:uid="{00000000-000A-0000-FFFF-FFFF02000000}">
  <cacheSource type="worksheet">
    <worksheetSource name="PlanGrid"/>
  </cacheSource>
  <cacheFields count="21">
    <cacheField name="Issue #" numFmtId="0">
      <sharedItems containsString="0" containsBlank="1" containsNumber="1" containsInteger="1" minValue="1" maxValue="1110"/>
    </cacheField>
    <cacheField name="Stamp" numFmtId="0">
      <sharedItems containsMixedTypes="1" containsNumber="1" containsInteger="1" minValue="12" maxValue="12"/>
    </cacheField>
    <cacheField name="Title" numFmtId="0">
      <sharedItems containsBlank="1"/>
    </cacheField>
    <cacheField name="Description" numFmtId="0">
      <sharedItems containsBlank="1" containsMixedTypes="1" containsNumber="1" minValue="1.2500000000000001E-2" maxValue="1545" count="253">
        <s v="- CHW actuator appears in good condition. No load, no modulation witnessed._x000a_- filters are clean._x000a_- Siemens and Trane Summit controls appear to be hooked up to AHU 1-1. Siemens is labeled as OA Monitor._x000a_- Vent in space is hand closed."/>
        <s v="Leak on AHU 1-1 after the cooling coil."/>
        <m/>
        <s v="Fcu-4 above ceiling"/>
        <s v="- light switch is in unacceptable location. If a person enters from the elevator they must walk around AHU 3 to get to the light switch in total darkness. Add light switch or occ sensor."/>
        <s v="Erv-1"/>
        <s v="Tstat"/>
        <s v="T-stat"/>
        <s v="Energy web srver"/>
        <s v="Tracer BCU"/>
        <s v="OA monitor (Siemens)"/>
        <s v="Tracer summit panel"/>
        <s v="Tstat, always cold"/>
        <s v="Tracer panel"/>
        <s v="oa monitor"/>
        <s v="Tracer controls"/>
        <s v="Siemens oa control"/>
        <s v="Fcu-5 above ceiling, fcu-3-1 on drawings"/>
        <s v="Internet server"/>
        <s v="Sm"/>
        <s v="2 Count"/>
        <s v="1 .5*4 2"/>
        <s v="1 2' LED"/>
        <s v="1 2*2 3"/>
        <s v="Xfmer"/>
        <s v="ATS"/>
        <s v="Intermittent harmonic buzzing above ceiling"/>
        <s v="On roof"/>
        <s v="Fire door"/>
        <s v="120v 23a ups"/>
        <s v="240v 23a ups"/>
        <s v="On roof_x000a_- fans need a cover to protect from rain infiltration."/>
        <s v="AV cabinet"/>
        <s v="1 2*4 1"/>
        <s v="1 2*4 3"/>
        <s v="1 2*4*3"/>
        <s v="1 4' underdesk"/>
        <s v="1 4p 2b recessed"/>
        <s v="100W desk lamp"/>
        <s v="13 w cfl desk lamp"/>
        <s v="13w CFL desklamp"/>
        <s v="150w hps"/>
        <s v="2' desklamp"/>
        <s v="2*2*3"/>
        <s v="2*4*3"/>
        <s v="25w incandescent "/>
        <s v="4' desklamp"/>
        <s v="4p 2b recessed can"/>
        <s v="50w halogen quarts"/>
        <s v="60W"/>
        <s v="60W desk lamp"/>
        <s v="72w desk lamp"/>
        <s v="A19 led desklamp"/>
        <s v="Cfl"/>
        <s v="Decorative led"/>
        <s v="Desk lamp 1 100W"/>
        <s v="Desk lamp 13 W"/>
        <s v="Desk lamp 20W"/>
        <s v="Desk lamp 60W 1b"/>
        <s v="Led"/>
        <s v="Elevator gear"/>
        <s v="Toaster"/>
        <s v="Toaster oven"/>
        <s v="Projector"/>
        <s v="Creston media processor"/>
        <s v="Instant hot"/>
        <s v="Server"/>
        <s v="UPS "/>
        <s v="Water Fountain "/>
        <s v="Creston 3 series audio visual for classroom, runs like a full server? "/>
        <s v="Projector "/>
        <s v="Word processor "/>
        <s v="Laminator"/>
        <s v="Toaster sm"/>
        <s v="Smart board projector"/>
        <s v="Ipad"/>
        <s v="On"/>
        <s v="Switch"/>
        <s v="Hall lights timer"/>
        <s v="Toddle"/>
        <s v="Occ sensor"/>
        <s v="Crestron lighting control panel"/>
        <s v="8 pir occ sensors"/>
        <s v="2 dual mode occ sensors"/>
        <s v="Occ"/>
        <s v="Switch_x000a_"/>
        <s v="Switch "/>
        <s v="Switc"/>
        <s v="Lutron controls GRAFIK Eye"/>
        <s v="Toggle"/>
        <s v="Single switch, far side from elevator, no occ sensor.  Unsafe.  No emergency lights "/>
        <s v="Switch, storage usually off"/>
        <s v="Very cold in 105"/>
        <s v="Dirty SA vent."/>
        <s v="Air separator"/>
        <s v="Dirty supply grills"/>
        <s v="Need to clean return"/>
        <s v="Mechanical hvac hum above ceiling room 223"/>
        <s v="Dirty supply diffusers, a lot of air movement"/>
        <s v="1500w"/>
        <s v="1200w"/>
        <s v="200w"/>
        <s v="Coin machine"/>
        <s v="VFD - note the motor overload is in alarm."/>
        <s v="VFD "/>
        <s v="Expansion tank with both valves closed. "/>
        <s v="Temp: 70.2 CO2 492 RH 33.9%"/>
        <s v="Temp 70.1 CO2 540 RH 34%"/>
        <s v="Classroom controls"/>
        <s v="Temp 70 CO2 527 RH 33%"/>
        <s v="Temp 71 CO2 458 RH 35%"/>
        <s v="Fan is making a lot of noise in this room."/>
        <s v="Temp 68 CO2 464 RH 33% "/>
        <s v="Temp 69 CO2 457 RH 33%"/>
        <s v="Drinking fountains"/>
        <s v="8kw instant hot water heater ewh-1"/>
        <s v="Sm "/>
        <s v="MD"/>
        <s v="Scanner"/>
        <s v="LG"/>
        <s v="Fax Machine"/>
        <s v="Med "/>
        <s v="LG "/>
        <s v="Med"/>
        <s v="Printer"/>
        <s v="Chilled water Onicaon flow and energy measurement is not reading properly. "/>
        <s v="Mini"/>
        <s v="41 Energy Star"/>
        <s v="Water Cooler"/>
        <s v="Water heater and cooler"/>
        <s v="38 Amp instant hot"/>
        <s v="2 .5*4 2"/>
        <s v="2 1*2 1"/>
        <s v="2 100w incandescent track lighting "/>
        <s v="2 2*2 3"/>
        <s v="2 2*4 1"/>
        <s v="2 2*4 2"/>
        <s v="Desk lamp 2 60W"/>
        <s v="Office lamp 2 75W bulb"/>
        <s v="2 2*4 3"/>
        <s v="2 2*4 3 "/>
        <s v="2 2*4 5"/>
        <s v="2 2*4*3"/>
        <s v="113h"/>
        <s v="113c always cold"/>
        <s v="2 2*4*3, buzzing ballast"/>
        <s v="2 24w CFL, 24/7"/>
        <s v="2 25w incandescent "/>
        <s v="2 4'"/>
        <s v="2 4' 3"/>
        <s v="2 dry goods vending machines."/>
        <s v="2 Coun"/>
        <s v="3 Soda machines. See pics"/>
        <s v="3 2*4 3"/>
        <s v="AHU-3 VFD"/>
        <s v="3 2*4 3 "/>
        <s v="3 2*4*3"/>
        <s v="3 2*4*3 24/7"/>
        <s v="4 .5*4 2"/>
        <s v="4 150w hps"/>
        <s v="4 2*4 3"/>
        <s v="4 2*4*3"/>
        <s v="4 2*4*3 24/7"/>
        <s v="4 2*4*3, 2 run 24/7"/>
        <s v="4 4'"/>
        <s v="4 4p 2b "/>
        <s v="5 .5*4 2"/>
        <s v="5 2*2 3"/>
        <s v="5 2*4 3"/>
        <s v="5 2*4 3 "/>
        <s v="5 4' 2 bulb, 24/7"/>
        <s v="6 Count"/>
        <s v="6 2*2*3 24/7"/>
        <s v="6 2*4 3"/>
        <s v="6 2*4 3 "/>
        <s v="6 2*4*3"/>
        <s v="7 1*2 1"/>
        <s v="7 2*2*3"/>
        <s v="7 2*4 3"/>
        <s v="7 4p 2b"/>
        <s v="7 4p 2b recessed"/>
        <s v="7 50w halogen a19 , 24/7"/>
        <s v="7 2*4*3 24/7"/>
        <s v="8 2*2 3"/>
        <s v="8 4' per floor"/>
        <s v="8 4p 2b 32W "/>
        <s v="8 wall sconce, assume 150w hps"/>
        <s v="8 TV"/>
        <s v="8 Touch screen computer TV"/>
        <s v="9 2*4 3"/>
        <s v="10 2*4 3"/>
        <s v="10 4p 2b"/>
        <s v="10 4pin 2bulb 32w per bulb recessed can"/>
        <s v="11 4p 2b"/>
        <s v="11 4p 2b "/>
        <s v="11 4p 2b 32W  recessed can"/>
        <s v="11 4p 2b 32W recessed can"/>
        <s v="11 4p 2b recessed"/>
        <s v="11 4p 2b recessed 32W"/>
        <s v="11 4p 2b recessed can"/>
        <s v="12 4p 2b recessed 32W"/>
        <s v="13 W"/>
        <s v="13w cfl"/>
        <s v="15 2*4 2 dimmable (T12)"/>
        <s v="15 2*4 3"/>
        <s v="15 2*4*3, 1 24/7"/>
        <s v="16 2*2 3"/>
        <s v="16 2*4 3"/>
        <s v="16 4P 2b recessed "/>
        <s v="16 4pin 2bulb 32W per bulb recessed can"/>
        <s v="17 4p 2b recessed"/>
        <s v="20 2*2 led"/>
        <s v="22 2*4 3"/>
        <s v="24 2*4 3"/>
        <s v="25 2*4 3"/>
        <s v="28 2*4 3 "/>
        <s v="32 2*4 3"/>
        <s v="34 4p 2b "/>
        <s v="40 4p 2b "/>
        <s v="48 4p 2b"/>
        <s v="71 student workstations"/>
        <s v="196 Count"/>
        <s v="196 Monitors"/>
        <s v="12 Count"/>
        <n v="3"/>
        <s v="71 monitors"/>
        <n v="440" u="1"/>
        <n v="2.5000000000000001E-2" u="1"/>
        <n v="625" u="1"/>
        <n v="175" u="1"/>
        <n v="225" u="1"/>
        <n v="0.25" u="1"/>
        <n v="605" u="1"/>
        <n v="960" u="1"/>
        <n v="1.2500000000000001E-2" u="1"/>
        <n v="300" u="1"/>
        <n v="400" u="1"/>
        <n v="500" u="1"/>
        <n v="445" u="1"/>
        <n v="390" u="1"/>
        <n v="1545" u="1"/>
        <n v="655" u="1"/>
        <n v="700" u="1"/>
        <n v="590" u="1"/>
        <n v="110" u="1"/>
        <n v="425" u="1"/>
        <n v="0.05" u="1"/>
        <n v="250" u="1"/>
        <n v="260" u="1"/>
        <n v="1295" u="1"/>
        <n v="685" u="1"/>
        <n v="240" u="1"/>
        <n v="1020" u="1"/>
      </sharedItems>
    </cacheField>
    <cacheField name="Spec Wattage" numFmtId="0">
      <sharedItems containsString="0" containsBlank="1" containsNumber="1" minValue="0" maxValue="37285"/>
    </cacheField>
    <cacheField name="Equipment Count" numFmtId="1">
      <sharedItems containsString="0" containsBlank="1" containsNumber="1" containsInteger="1" minValue="0" maxValue="196"/>
    </cacheField>
    <cacheField name="Utilization %" numFmtId="0">
      <sharedItems containsString="0" containsBlank="1" containsNumber="1" minValue="0" maxValue="1.6"/>
    </cacheField>
    <cacheField name="Demand Watt" numFmtId="0">
      <sharedItems containsSemiMixedTypes="0" containsString="0" containsNumber="1" minValue="0" maxValue="37285"/>
    </cacheField>
    <cacheField name="kWh/yr" numFmtId="0">
      <sharedItems containsSemiMixedTypes="0" containsString="0" containsNumber="1" minValue="0" maxValue="102067.6875"/>
    </cacheField>
    <cacheField name="Annual Elec $" numFmtId="0">
      <sharedItems containsSemiMixedTypes="0" containsString="0" containsNumber="1" minValue="0" maxValue="10881.77708433421"/>
    </cacheField>
    <cacheField name="W/ft2" numFmtId="0">
      <sharedItems containsSemiMixedTypes="0" containsString="0" containsNumber="1" minValue="0" maxValue="1.6784963985594237"/>
    </cacheField>
    <cacheField name="kBtu/yr" numFmtId="164">
      <sharedItems containsSemiMixedTypes="0" containsString="0" containsNumber="1" minValue="0" maxValue="348269.40591584239"/>
    </cacheField>
    <cacheField name="kBtu/ft2-yr" numFmtId="0">
      <sharedItems containsSemiMixedTypes="0" containsString="0" containsNumber="1" minValue="0" maxValue="5.7272674425799206"/>
    </cacheField>
    <cacheField name="Sheet" numFmtId="0">
      <sharedItems containsBlank="1"/>
    </cacheField>
    <cacheField name="# Photos" numFmtId="0">
      <sharedItems containsString="0" containsBlank="1" containsNumber="1" containsInteger="1" minValue="0" maxValue="13"/>
    </cacheField>
    <cacheField name="Archived" numFmtId="0">
      <sharedItems containsBlank="1" count="13">
        <s v="Mechanical"/>
        <s v="Heating"/>
        <e v="#N/A"/>
        <s v="Plug Load"/>
        <s v="Lighting"/>
        <s v="Electrical"/>
        <s v="Fan"/>
        <s v="Elevator"/>
        <s v="DHW"/>
        <s v="Pump"/>
        <m u="1"/>
        <s v="No" u="1"/>
        <s v="Desk Lamp" u="1"/>
      </sharedItems>
    </cacheField>
    <cacheField name="Date" numFmtId="0">
      <sharedItems containsBlank="1"/>
    </cacheField>
    <cacheField name="Last Updated" numFmtId="0">
      <sharedItems containsBlank="1"/>
    </cacheField>
    <cacheField name="Created By" numFmtId="0">
      <sharedItems containsBlank="1"/>
    </cacheField>
    <cacheField name="Count of Fixture" numFmtId="0" formula="'Equipment Count'" databaseField="0"/>
    <cacheField name="Bulb Count" numFmtId="0" formula=" RIGHT(Description,2)"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d v="2017-11-01T00:00:00"/>
    <x v="0"/>
    <n v="25160"/>
    <n v="2656.83"/>
    <s v="No"/>
    <n v="838.66666666666674"/>
    <n v="0.10559737678855324"/>
  </r>
  <r>
    <d v="2017-10-01T00:00:00"/>
    <x v="1"/>
    <n v="25360"/>
    <n v="2672.8"/>
    <s v="No"/>
    <n v="818.06451612903231"/>
    <n v="0.10539432176656152"/>
  </r>
  <r>
    <d v="2017-09-01T00:00:00"/>
    <x v="2"/>
    <n v="21240"/>
    <n v="2233.83"/>
    <s v="No"/>
    <n v="708"/>
    <n v="0.10517090395480223"/>
  </r>
  <r>
    <d v="2017-08-01T00:00:00"/>
    <x v="3"/>
    <n v="20000"/>
    <n v="2118"/>
    <s v="No"/>
    <n v="645.16129032258073"/>
    <n v="0.10589999999999999"/>
  </r>
  <r>
    <d v="2017-07-01T00:00:00"/>
    <x v="4"/>
    <n v="21200"/>
    <n v="2250.84"/>
    <s v="No"/>
    <n v="683.87096774193549"/>
    <n v="0.10617169811320754"/>
  </r>
  <r>
    <d v="2017-06-01T00:00:00"/>
    <x v="5"/>
    <n v="22680"/>
    <n v="2402.7399999999998"/>
    <s v="No"/>
    <n v="756"/>
    <n v="0.10594091710758376"/>
  </r>
  <r>
    <d v="2017-05-01T00:00:00"/>
    <x v="6"/>
    <n v="23920"/>
    <n v="2971.3"/>
    <s v="No"/>
    <n v="771.61290322580658"/>
    <n v="0.12421822742474917"/>
  </r>
  <r>
    <d v="2017-04-01T00:00:00"/>
    <x v="7"/>
    <n v="25040"/>
    <n v="2684.27"/>
    <s v="No"/>
    <n v="834.66666666666674"/>
    <n v="0.10719928115015974"/>
  </r>
  <r>
    <d v="2017-03-01T00:00:00"/>
    <x v="8"/>
    <n v="30400"/>
    <n v="3162.48"/>
    <s v="No"/>
    <n v="980.64516129032256"/>
    <n v="0.10402894736842104"/>
  </r>
  <r>
    <d v="2017-02-01T00:00:00"/>
    <x v="9"/>
    <n v="27760"/>
    <n v="3058.05"/>
    <s v="No"/>
    <n v="991.42857142857133"/>
    <n v="0.11016030259365994"/>
  </r>
  <r>
    <d v="2017-01-01T00:00:00"/>
    <x v="10"/>
    <n v="33840"/>
    <n v="3617.34"/>
    <s v="No"/>
    <n v="1091.6129032258066"/>
    <n v="0.10689539007092198"/>
  </r>
  <r>
    <d v="2016-12-01T00:00:00"/>
    <x v="11"/>
    <n v="29280"/>
    <n v="2815.02"/>
    <s v="No"/>
    <n v="944.51612903225805"/>
    <n v="9.6141393442622958E-2"/>
  </r>
  <r>
    <d v="2016-11-01T00:00:00"/>
    <x v="12"/>
    <n v="29120"/>
    <n v="2627.89"/>
    <s v="No"/>
    <n v="970.66666666666674"/>
    <n v="9.0243475274725274E-2"/>
  </r>
  <r>
    <d v="2016-10-01T00:00:00"/>
    <x v="13"/>
    <n v="25360"/>
    <n v="2350.73"/>
    <s v="No"/>
    <n v="818.06451612903231"/>
    <n v="9.2694400630914817E-2"/>
  </r>
  <r>
    <d v="2016-09-01T00:00:00"/>
    <x v="14"/>
    <n v="20200"/>
    <n v="1731.04"/>
    <s v="No"/>
    <n v="673.33333333333337"/>
    <n v="8.5695049504950493E-2"/>
  </r>
  <r>
    <d v="2016-08-01T00:00:00"/>
    <x v="15"/>
    <n v="18520"/>
    <n v="1649.02"/>
    <s v="No"/>
    <n v="597.41935483870975"/>
    <n v="8.9039956803455722E-2"/>
  </r>
  <r>
    <d v="2016-07-01T00:00:00"/>
    <x v="16"/>
    <n v="17880"/>
    <n v="1545.89"/>
    <s v="No"/>
    <n v="576.77419354838707"/>
    <n v="8.6459172259507819E-2"/>
  </r>
  <r>
    <d v="2016-06-01T00:00:00"/>
    <x v="17"/>
    <n v="18760"/>
    <n v="1694.65"/>
    <s v="No"/>
    <n v="625.33333333333337"/>
    <n v="9.0333155650319824E-2"/>
  </r>
  <r>
    <d v="2016-05-01T00:00:00"/>
    <x v="18"/>
    <n v="22920"/>
    <n v="2070.5100000000002"/>
    <s v="No"/>
    <n v="739.35483870967744"/>
    <n v="9.0336387434554966E-2"/>
  </r>
  <r>
    <d v="2016-04-01T00:00:00"/>
    <x v="19"/>
    <n v="24760"/>
    <n v="2188.88"/>
    <s v="No"/>
    <n v="825.33333333333326"/>
    <n v="8.8403877221324714E-2"/>
  </r>
  <r>
    <d v="2016-03-01T00:00:00"/>
    <x v="20"/>
    <n v="28240"/>
    <n v="2492.3000000000002"/>
    <s v="No"/>
    <n v="910.9677419354839"/>
    <n v="8.82542492917847E-2"/>
  </r>
  <r>
    <d v="2016-02-01T00:00:00"/>
    <x v="21"/>
    <n v="32400"/>
    <n v="3156.04"/>
    <s v="No"/>
    <n v="1117.2413793103447"/>
    <n v="9.7408641975308644E-2"/>
  </r>
  <r>
    <d v="2016-01-02T00:00:00"/>
    <x v="22"/>
    <n v="36800"/>
    <n v="3494.96"/>
    <s v="No"/>
    <n v="1226.6666666666667"/>
    <n v="9.4971739130434774E-2"/>
  </r>
  <r>
    <d v="2015-12-02T00:00:00"/>
    <x v="23"/>
    <n v="28040"/>
    <n v="2486.7399999999998"/>
    <s v="No"/>
    <n v="904.51612903225805"/>
    <n v="8.8685449358059915E-2"/>
  </r>
  <r>
    <d v="2015-11-02T00:00:00"/>
    <x v="24"/>
    <n v="25120"/>
    <n v="2476.65"/>
    <s v="No"/>
    <n v="837.33333333333326"/>
    <n v="9.8592754777070066E-2"/>
  </r>
  <r>
    <d v="2015-10-06T00:00:00"/>
    <x v="25"/>
    <n v="21240"/>
    <n v="2163.44"/>
    <s v="No"/>
    <n v="786.66666666666674"/>
    <n v="0.10185687382297552"/>
  </r>
  <r>
    <d v="2015-09-04T00:00:00"/>
    <x v="26"/>
    <n v="21000"/>
    <n v="2154.2600000000002"/>
    <s v="No"/>
    <n v="656.25"/>
    <n v="0.10258380952380952"/>
  </r>
  <r>
    <d v="2015-08-04T00:00:00"/>
    <x v="27"/>
    <n v="19840"/>
    <n v="2055.88"/>
    <s v="No"/>
    <n v="640"/>
    <n v="0.10362298387096774"/>
  </r>
  <r>
    <d v="2015-07-08T00:00:00"/>
    <x v="28"/>
    <n v="17640"/>
    <n v="1711.75"/>
    <s v="No"/>
    <n v="653.33333333333337"/>
    <n v="9.7037981859410441E-2"/>
  </r>
  <r>
    <d v="2015-06-08T00:00:00"/>
    <x v="29"/>
    <n v="19040"/>
    <n v="1959.77"/>
    <s v="No"/>
    <n v="634.66666666666663"/>
    <n v="0.10292909663865546"/>
  </r>
  <r>
    <d v="2015-05-06T00:00:00"/>
    <x v="30"/>
    <n v="23080"/>
    <n v="2300.36"/>
    <s v="No"/>
    <n v="699.39393939393938"/>
    <n v="9.9668977469670725E-2"/>
  </r>
  <r>
    <d v="2015-04-08T00:00:00"/>
    <x v="31"/>
    <n v="22440"/>
    <n v="2314.2600000000002"/>
    <s v="No"/>
    <n v="801.42857142857133"/>
    <n v="0.10313101604278074"/>
  </r>
  <r>
    <d v="2015-03-05T00:00:00"/>
    <x v="32"/>
    <n v="30520"/>
    <n v="3123.42"/>
    <s v="No"/>
    <n v="897.64705882352939"/>
    <n v="0.10234010484927916"/>
  </r>
  <r>
    <d v="2015-02-06T00:00:00"/>
    <x v="33"/>
    <n v="32200"/>
    <n v="3308.7"/>
    <s v="No"/>
    <n v="1192.5925925925926"/>
    <n v="0.10275465838509316"/>
  </r>
  <r>
    <d v="2015-01-08T00:00:00"/>
    <x v="34"/>
    <n v="36720"/>
    <n v="3648.62"/>
    <s v="No"/>
    <n v="1266.2068965517242"/>
    <n v="9.9363289760348583E-2"/>
  </r>
  <r>
    <d v="2014-12-05T00:00:00"/>
    <x v="35"/>
    <n v="39560"/>
    <n v="3998.15"/>
    <s v="No"/>
    <n v="1163.5294117647059"/>
    <n v="0.1010654701718908"/>
  </r>
  <r>
    <d v="2014-11-06T00:00:00"/>
    <x v="36"/>
    <n v="32680"/>
    <n v="3269.04"/>
    <s v="No"/>
    <n v="1126.8965517241379"/>
    <n v="0.10003182374541005"/>
  </r>
  <r>
    <d v="2014-10-06T00:00:00"/>
    <x v="37"/>
    <n v="28800"/>
    <n v="2970.38"/>
    <s v="No"/>
    <n v="929.0322580645161"/>
    <n v="0.10313819444444444"/>
  </r>
  <r>
    <d v="2014-09-05T00:00:00"/>
    <x v="38"/>
    <n v="20130"/>
    <n v="2193.9"/>
    <s v="No"/>
    <n v="805.2"/>
    <n v="0.10898658718330848"/>
  </r>
  <r>
    <d v="2014-09-30T00:00:00"/>
    <x v="39"/>
    <n v="5280"/>
    <n v="562.32000000000005"/>
    <s v="No"/>
    <n v="880"/>
    <n v="0.1065"/>
  </r>
  <r>
    <d v="2014-08-07T00:00:00"/>
    <x v="40"/>
    <n v="20750"/>
    <n v="2048.2800000000002"/>
    <s v="No"/>
    <n v="715.51724137931035"/>
    <n v="9.8712289156626498E-2"/>
  </r>
  <r>
    <d v="2014-07-03T00:00:00"/>
    <x v="41"/>
    <n v="29090"/>
    <n v="2900.88"/>
    <s v="No"/>
    <n v="831.14285714285711"/>
    <n v="9.9720866277071163E-2"/>
  </r>
  <r>
    <d v="2014-06-04T00:00:00"/>
    <x v="42"/>
    <n v="23800"/>
    <n v="2401.5"/>
    <s v="No"/>
    <n v="820.68965517241384"/>
    <n v="0.1009033613445378"/>
  </r>
  <r>
    <d v="2014-05-06T00:00:00"/>
    <x v="43"/>
    <n v="24290"/>
    <n v="2449.91"/>
    <s v="No"/>
    <n v="837.58620689655174"/>
    <n v="0.10086084808563194"/>
  </r>
  <r>
    <d v="2014-04-04T00:00:00"/>
    <x v="44"/>
    <n v="31820"/>
    <n v="3228.88"/>
    <s v="No"/>
    <n v="994.375"/>
    <n v="0.1014732872407291"/>
  </r>
  <r>
    <d v="2014-03-05T00:00:00"/>
    <x v="45"/>
    <n v="33940"/>
    <n v="3332.06"/>
    <s v="No"/>
    <n v="1131.3333333333333"/>
    <n v="9.8175014731879784E-2"/>
  </r>
  <r>
    <d v="2014-02-05T00:00:00"/>
    <x v="46"/>
    <n v="34210"/>
    <n v="3450.53"/>
    <s v="No"/>
    <n v="1221.7857142857142"/>
    <n v="0.10086319789535224"/>
  </r>
  <r>
    <d v="2014-01-06T00:00:00"/>
    <x v="47"/>
    <n v="39610"/>
    <n v="3971.45"/>
    <s v="No"/>
    <n v="1320.3333333333333"/>
    <n v="0.10026382226710426"/>
  </r>
</pivotCacheRecords>
</file>

<file path=xl/pivotCache/pivotCacheRecords2.xml><?xml version="1.0" encoding="utf-8"?>
<pivotCacheRecords xmlns="http://schemas.openxmlformats.org/spreadsheetml/2006/main" xmlns:r="http://schemas.openxmlformats.org/officeDocument/2006/relationships" count="48">
  <r>
    <d v="2017-11-03T00:00:00"/>
    <x v="0"/>
    <n v="5829"/>
    <n v="1030.6600000000001"/>
    <s v="No"/>
    <n v="208.17857142857142"/>
    <n v="0.17681592039800997"/>
  </r>
  <r>
    <d v="2017-10-01T00:00:00"/>
    <x v="1"/>
    <n v="8915"/>
    <n v="1571.02"/>
    <s v="No"/>
    <n v="270.15151515151518"/>
    <n v="0.17622209758833426"/>
  </r>
  <r>
    <d v="2017-09-02T00:00:00"/>
    <x v="2"/>
    <n v="8837"/>
    <n v="1557.36"/>
    <s v="No"/>
    <n v="304.72413793103448"/>
    <n v="0.17623175285730452"/>
  </r>
  <r>
    <d v="2017-08-02T00:00:00"/>
    <x v="3"/>
    <n v="9636"/>
    <n v="1697.26"/>
    <s v="No"/>
    <n v="310.83870967741933"/>
    <n v="0.17613740141137399"/>
  </r>
  <r>
    <d v="2017-07-02T00:00:00"/>
    <x v="4"/>
    <n v="9405"/>
    <n v="1656.82"/>
    <s v="No"/>
    <n v="303.38709677419354"/>
    <n v="0.17616374269005847"/>
  </r>
  <r>
    <d v="2017-06-02T00:00:00"/>
    <x v="5"/>
    <n v="9009"/>
    <n v="1587.48"/>
    <s v="No"/>
    <n v="300.3"/>
    <n v="0.1762104562104562"/>
  </r>
  <r>
    <d v="2017-05-02T00:00:00"/>
    <x v="6"/>
    <n v="8525"/>
    <n v="1239.3"/>
    <s v="No"/>
    <n v="275"/>
    <n v="0.14537243401759531"/>
  </r>
  <r>
    <d v="2017-04-01T00:00:00"/>
    <x v="7"/>
    <n v="7683"/>
    <n v="1117.8900000000001"/>
    <s v="No"/>
    <n v="247.83870967741936"/>
    <n v="0.14550175712612259"/>
  </r>
  <r>
    <d v="2017-03-01T00:00:00"/>
    <x v="8"/>
    <n v="7179"/>
    <n v="1045.21"/>
    <s v="No"/>
    <n v="231.58064516129033"/>
    <n v="0.14559270093327761"/>
  </r>
  <r>
    <d v="2017-02-02T00:00:00"/>
    <x v="9"/>
    <n v="6417"/>
    <n v="935.33"/>
    <s v="No"/>
    <n v="237.66666666666669"/>
    <n v="0.14575814243415927"/>
  </r>
  <r>
    <d v="2017-01-03T00:00:00"/>
    <x v="10"/>
    <n v="6646"/>
    <n v="968.35"/>
    <s v="No"/>
    <n v="221.53333333333333"/>
    <n v="0.14570418296719831"/>
  </r>
  <r>
    <d v="2016-12-02T00:00:00"/>
    <x v="11"/>
    <n v="7825"/>
    <n v="1138.3599999999999"/>
    <s v="No"/>
    <n v="244.53125"/>
    <n v="0.14547731629392971"/>
  </r>
  <r>
    <d v="2016-11-01T00:00:00"/>
    <x v="12"/>
    <n v="7160"/>
    <n v="1042.47"/>
    <s v="No"/>
    <n v="230.96774193548387"/>
    <n v="0.1455963687150838"/>
  </r>
  <r>
    <d v="2016-10-02T00:00:00"/>
    <x v="13"/>
    <n v="8373"/>
    <n v="1217.3900000000001"/>
    <s v="No"/>
    <n v="279.10000000000002"/>
    <n v="0.1453947211274334"/>
  </r>
  <r>
    <d v="2016-09-01T00:00:00"/>
    <x v="14"/>
    <n v="9451"/>
    <n v="1372.83"/>
    <s v="No"/>
    <n v="304.87096774193549"/>
    <n v="0.14525764469368321"/>
  </r>
  <r>
    <d v="2016-08-02T00:00:00"/>
    <x v="15"/>
    <n v="9306"/>
    <n v="1351.93"/>
    <s v="No"/>
    <n v="310.2"/>
    <n v="0.14527509133892111"/>
  </r>
  <r>
    <d v="2016-07-03T00:00:00"/>
    <x v="16"/>
    <n v="9313"/>
    <n v="1352.93"/>
    <s v="No"/>
    <n v="310.43333333333334"/>
    <n v="0.14527327391817887"/>
  </r>
  <r>
    <d v="2016-06-03T00:00:00"/>
    <x v="17"/>
    <n v="9049"/>
    <n v="1314.87"/>
    <s v="No"/>
    <n v="301.63333333333338"/>
    <n v="0.14530555862526243"/>
  </r>
  <r>
    <d v="2016-05-03T00:00:00"/>
    <x v="18"/>
    <n v="8223"/>
    <n v="1019.78"/>
    <s v="No"/>
    <n v="265.25806451612902"/>
    <n v="0.12401556609509912"/>
  </r>
  <r>
    <d v="2016-04-06T00:00:00"/>
    <x v="19"/>
    <n v="6840"/>
    <n v="849.95"/>
    <s v="No"/>
    <n v="253.33333333333331"/>
    <n v="0.12426169590643274"/>
  </r>
  <r>
    <d v="2016-03-04T00:00:00"/>
    <x v="20"/>
    <n v="8313"/>
    <n v="1030.8399999999999"/>
    <s v="No"/>
    <n v="251.90909090909091"/>
    <n v="0.12400336821845302"/>
  </r>
  <r>
    <d v="2016-02-05T00:00:00"/>
    <x v="21"/>
    <n v="5836"/>
    <n v="726.66"/>
    <s v="No"/>
    <n v="208.42857142857142"/>
    <n v="0.12451336531871143"/>
  </r>
  <r>
    <d v="2016-01-03T00:00:00"/>
    <x v="22"/>
    <n v="7224"/>
    <n v="897.11"/>
    <s v="No"/>
    <n v="218.90909090909091"/>
    <n v="0.12418466223698781"/>
  </r>
  <r>
    <d v="2015-12-04T00:00:00"/>
    <x v="23"/>
    <n v="8015"/>
    <n v="1048.82"/>
    <s v="No"/>
    <n v="267.16666666666669"/>
    <n v="0.13085714285714284"/>
  </r>
  <r>
    <d v="2015-11-03T00:00:00"/>
    <x v="24"/>
    <n v="8214"/>
    <n v="1072.8900000000001"/>
    <s v="No"/>
    <n v="264.96774193548384"/>
    <n v="0.1306172388604821"/>
  </r>
  <r>
    <d v="2015-10-06T00:00:00"/>
    <x v="25"/>
    <n v="8035"/>
    <n v="1051.24"/>
    <s v="No"/>
    <n v="286.96428571428567"/>
    <n v="0.13083260734287491"/>
  </r>
  <r>
    <d v="2015-09-04T00:00:00"/>
    <x v="26"/>
    <n v="9972"/>
    <n v="1285.6099999999999"/>
    <s v="No"/>
    <n v="311.625"/>
    <n v="0.12892198154833531"/>
  </r>
  <r>
    <d v="2015-08-04T00:00:00"/>
    <x v="27"/>
    <n v="10407"/>
    <n v="1338.25"/>
    <s v="No"/>
    <n v="335.70967741935488"/>
    <n v="0.12859133275679829"/>
  </r>
  <r>
    <d v="2015-07-08T00:00:00"/>
    <x v="28"/>
    <n v="8981"/>
    <n v="1165.7"/>
    <s v="No"/>
    <n v="332.62962962962962"/>
    <n v="0.12979623649927624"/>
  </r>
  <r>
    <d v="2015-06-08T00:00:00"/>
    <x v="29"/>
    <n v="9543"/>
    <n v="1204.6400000000001"/>
    <s v="No"/>
    <n v="318.10000000000002"/>
    <n v="0.12623284082573613"/>
  </r>
  <r>
    <d v="2015-05-06T00:00:00"/>
    <x v="30"/>
    <n v="9557"/>
    <n v="1206.3399999999999"/>
    <s v="No"/>
    <n v="289.60606060606062"/>
    <n v="0.12622580307627915"/>
  </r>
  <r>
    <d v="2015-04-08T00:00:00"/>
    <x v="31"/>
    <n v="5301"/>
    <n v="691.36"/>
    <s v="No"/>
    <n v="279"/>
    <n v="0.13042067534427465"/>
  </r>
  <r>
    <d v="2015-04-27T00:00:00"/>
    <x v="32"/>
    <n v="2669"/>
    <n v="322.95"/>
    <s v="No"/>
    <n v="296.5555555555556"/>
    <n v="0.12100037467216183"/>
  </r>
  <r>
    <d v="2015-03-05T00:00:00"/>
    <x v="33"/>
    <n v="7791"/>
    <n v="992.65"/>
    <s v="No"/>
    <n v="229.14705882352942"/>
    <n v="0.1274098318572712"/>
  </r>
  <r>
    <d v="2015-02-06T00:00:00"/>
    <x v="34"/>
    <n v="5993"/>
    <n v="775.09"/>
    <s v="No"/>
    <n v="221.96296296296296"/>
    <n v="0.12933255464708826"/>
  </r>
  <r>
    <d v="2015-01-08T00:00:00"/>
    <x v="35"/>
    <n v="6479"/>
    <n v="833.9"/>
    <s v="No"/>
    <n v="223.41379310344826"/>
    <n v="0.12870813397129185"/>
  </r>
  <r>
    <d v="2014-12-05T00:00:00"/>
    <x v="36"/>
    <n v="8621"/>
    <n v="1093.08"/>
    <s v="No"/>
    <n v="253.55882352941174"/>
    <n v="0.12679271546224335"/>
  </r>
  <r>
    <d v="2014-11-06T00:00:00"/>
    <x v="37"/>
    <n v="7417"/>
    <n v="947.4"/>
    <s v="No"/>
    <n v="255.75862068965515"/>
    <n v="0.12773358500741541"/>
  </r>
  <r>
    <d v="2014-10-06T00:00:00"/>
    <x v="38"/>
    <n v="8544"/>
    <n v="1083.76"/>
    <s v="No"/>
    <n v="275.61290322580646"/>
    <n v="0.12684456928838952"/>
  </r>
  <r>
    <d v="2014-09-05T00:00:00"/>
    <x v="39"/>
    <n v="10139"/>
    <n v="1276.76"/>
    <s v="No"/>
    <n v="327.06451612903226"/>
    <n v="0.12592563369168555"/>
  </r>
  <r>
    <d v="2014-08-07T00:00:00"/>
    <x v="40"/>
    <n v="9892"/>
    <n v="1246.8699999999999"/>
    <s v="No"/>
    <n v="341.10344827586209"/>
    <n v="0.12604832187626364"/>
  </r>
  <r>
    <d v="2014-07-03T00:00:00"/>
    <x v="41"/>
    <n v="13504"/>
    <n v="1683.92"/>
    <s v="No"/>
    <n v="385.82857142857148"/>
    <n v="0.12469786729857819"/>
  </r>
  <r>
    <d v="2014-06-04T00:00:00"/>
    <x v="42"/>
    <n v="10642"/>
    <n v="1337.62"/>
    <s v="No"/>
    <n v="366.9655172413793"/>
    <n v="0.12569253899642924"/>
  </r>
  <r>
    <d v="2014-05-06T00:00:00"/>
    <x v="43"/>
    <n v="9709"/>
    <n v="1224.73"/>
    <s v="No"/>
    <n v="334.79310344827587"/>
    <n v="0.12614378411782881"/>
  </r>
  <r>
    <d v="2014-04-04T00:00:00"/>
    <x v="44"/>
    <n v="10997"/>
    <n v="1380.58"/>
    <s v="No"/>
    <n v="343.65625"/>
    <n v="0.12554151132126945"/>
  </r>
  <r>
    <d v="2014-03-05T00:00:00"/>
    <x v="45"/>
    <n v="8963"/>
    <n v="1134.46"/>
    <s v="No"/>
    <n v="298.76666666666665"/>
    <n v="0.12657146044851053"/>
  </r>
  <r>
    <d v="2014-02-05T00:00:00"/>
    <x v="46"/>
    <n v="7738"/>
    <n v="986.24"/>
    <s v="No"/>
    <n v="276.35714285714283"/>
    <n v="0.12745412251227708"/>
  </r>
  <r>
    <d v="2014-01-06T00:00:00"/>
    <x v="47"/>
    <n v="7795"/>
    <n v="993.14"/>
    <s v="No"/>
    <n v="259.83333333333331"/>
    <n v="0.1274073123797306"/>
  </r>
</pivotCacheRecords>
</file>

<file path=xl/pivotCache/pivotCacheRecords3.xml><?xml version="1.0" encoding="utf-8"?>
<pivotCacheRecords xmlns="http://schemas.openxmlformats.org/spreadsheetml/2006/main" xmlns:r="http://schemas.openxmlformats.org/officeDocument/2006/relationships" count="1172">
  <r>
    <n v="1"/>
    <s v="AU"/>
    <s v="AHU"/>
    <x v="0"/>
    <n v="22371"/>
    <n v="0"/>
    <n v="0.9"/>
    <n v="0"/>
    <n v="0"/>
    <n v="0"/>
    <n v="0"/>
    <n v="0"/>
    <n v="0"/>
    <s v="1st Floor"/>
    <n v="11"/>
    <x v="0"/>
    <s v="Mar 12, 2018 @ 12:34"/>
    <s v="Mar 12, 2018 @ 12:56"/>
    <s v="mcoalson@hanson-inc.com"/>
  </r>
  <r>
    <n v="4"/>
    <s v="AH"/>
    <s v="AHU"/>
    <x v="1"/>
    <n v="0"/>
    <m/>
    <m/>
    <n v="0"/>
    <n v="0"/>
    <n v="0"/>
    <n v="0"/>
    <n v="0"/>
    <n v="0"/>
    <s v="1st Floor"/>
    <n v="1"/>
    <x v="0"/>
    <s v="Mar 12, 2018 @ 12:39"/>
    <s v="Mar 14, 2018 @ 15:46"/>
    <s v="mcoalson@hanson-inc.com"/>
  </r>
  <r>
    <m/>
    <s v="VAV"/>
    <m/>
    <x v="2"/>
    <n v="0"/>
    <n v="0"/>
    <n v="0"/>
    <n v="0"/>
    <n v="0"/>
    <n v="0"/>
    <n v="0"/>
    <n v="0"/>
    <n v="0"/>
    <m/>
    <m/>
    <x v="1"/>
    <m/>
    <m/>
    <m/>
  </r>
  <r>
    <n v="714"/>
    <s v="AH"/>
    <s v="AHU"/>
    <x v="3"/>
    <n v="0"/>
    <m/>
    <m/>
    <n v="0"/>
    <n v="0"/>
    <n v="0"/>
    <n v="0"/>
    <n v="0"/>
    <n v="0"/>
    <s v="2nd Floor"/>
    <n v="0"/>
    <x v="0"/>
    <s v="Mar 14, 2018 @ 13:35"/>
    <s v="Mar 14, 2018 @ 13:37"/>
    <s v="nboyd@hanson-inc.com"/>
  </r>
  <r>
    <m/>
    <s v="VAV"/>
    <m/>
    <x v="2"/>
    <n v="0"/>
    <n v="0"/>
    <n v="0"/>
    <n v="0"/>
    <n v="0"/>
    <n v="0"/>
    <n v="0"/>
    <n v="0"/>
    <n v="0"/>
    <m/>
    <m/>
    <x v="1"/>
    <m/>
    <m/>
    <m/>
  </r>
  <r>
    <n v="2"/>
    <s v="AU"/>
    <s v="AHU"/>
    <x v="2"/>
    <n v="11185.5"/>
    <n v="1"/>
    <n v="0.9"/>
    <n v="11185.5"/>
    <n v="55116.551250000004"/>
    <n v="5876.1596255404738"/>
    <n v="0.90638805522208887"/>
    <n v="188065.47919455491"/>
    <n v="3.0927244189931575"/>
    <s v="2nd Floor"/>
    <n v="5"/>
    <x v="0"/>
    <s v="Mar 12, 2018 @ 12:59"/>
    <s v="Mar 12, 2018 @ 13:14"/>
    <s v="mcoalson@hanson-inc.com"/>
  </r>
  <r>
    <n v="3"/>
    <s v="AU"/>
    <s v="AHU"/>
    <x v="4"/>
    <n v="0"/>
    <m/>
    <m/>
    <n v="0"/>
    <n v="0"/>
    <n v="0"/>
    <n v="0"/>
    <n v="0"/>
    <n v="0"/>
    <s v="VTU3-20"/>
    <n v="1"/>
    <x v="0"/>
    <s v="Mar 12, 2018 @ 13:20"/>
    <s v="Mar 12, 2018 @ 13:23"/>
    <s v="mcoalson@hanson-inc.com"/>
  </r>
  <r>
    <n v="13"/>
    <s v="AH"/>
    <s v="AHU"/>
    <x v="5"/>
    <n v="7457"/>
    <n v="1"/>
    <n v="1.6"/>
    <n v="7457"/>
    <n v="65323.320000000007"/>
    <n v="6964.3373339738946"/>
    <n v="1.0742376950780312"/>
    <n v="222892.41978613919"/>
    <n v="3.6654511632511499"/>
    <s v="M401"/>
    <n v="3"/>
    <x v="0"/>
    <s v="Mar 12, 2018 @ 13:49"/>
    <s v="Mar 12, 2018 @ 13:50"/>
    <s v="nboyd@hanson-inc.com"/>
  </r>
  <r>
    <n v="893"/>
    <s v="BA"/>
    <s v="BAS"/>
    <x v="6"/>
    <m/>
    <m/>
    <m/>
    <n v="0"/>
    <n v="0"/>
    <n v="0"/>
    <n v="0"/>
    <n v="0"/>
    <n v="0"/>
    <s v="1st Floor"/>
    <n v="0"/>
    <x v="2"/>
    <s v="Mar 14, 2018 @ 15:11"/>
    <s v="Mar 14, 2018 @ 15:11"/>
    <s v="nboyd@hanson-inc.com"/>
  </r>
  <r>
    <n v="906"/>
    <s v="BA"/>
    <s v="BAS"/>
    <x v="6"/>
    <m/>
    <m/>
    <m/>
    <n v="0"/>
    <n v="0"/>
    <n v="0"/>
    <n v="0"/>
    <n v="0"/>
    <n v="0"/>
    <s v="1st Floor"/>
    <n v="0"/>
    <x v="2"/>
    <s v="Mar 14, 2018 @ 15:15"/>
    <s v="Mar 14, 2018 @ 15:16"/>
    <s v="nboyd@hanson-inc.com"/>
  </r>
  <r>
    <n v="913"/>
    <s v="BA"/>
    <s v="BAS"/>
    <x v="6"/>
    <m/>
    <m/>
    <m/>
    <n v="0"/>
    <n v="0"/>
    <n v="0"/>
    <n v="0"/>
    <n v="0"/>
    <n v="0"/>
    <s v="1st Floor"/>
    <n v="0"/>
    <x v="2"/>
    <s v="Mar 14, 2018 @ 15:19"/>
    <s v="Mar 14, 2018 @ 15:19"/>
    <s v="nboyd@hanson-inc.com"/>
  </r>
  <r>
    <n v="921"/>
    <s v="BA"/>
    <s v="BAS"/>
    <x v="7"/>
    <m/>
    <m/>
    <m/>
    <n v="0"/>
    <n v="0"/>
    <n v="0"/>
    <n v="0"/>
    <n v="0"/>
    <n v="0"/>
    <s v="1st Floor"/>
    <n v="0"/>
    <x v="2"/>
    <s v="Mar 14, 2018 @ 15:25"/>
    <s v="Mar 14, 2018 @ 15:25"/>
    <s v="mcoalson@hanson-inc.com"/>
  </r>
  <r>
    <n v="922"/>
    <s v="BA"/>
    <s v="BAS"/>
    <x v="7"/>
    <m/>
    <m/>
    <m/>
    <n v="0"/>
    <n v="0"/>
    <n v="0"/>
    <n v="0"/>
    <n v="0"/>
    <n v="0"/>
    <s v="1st Floor"/>
    <n v="0"/>
    <x v="2"/>
    <s v="Mar 14, 2018 @ 15:31"/>
    <s v="Mar 14, 2018 @ 15:25"/>
    <s v="mcoalson@hanson-inc.com"/>
  </r>
  <r>
    <n v="923"/>
    <s v="BA"/>
    <s v="BAS"/>
    <x v="8"/>
    <m/>
    <m/>
    <m/>
    <n v="0"/>
    <n v="0"/>
    <n v="0"/>
    <n v="0"/>
    <n v="0"/>
    <n v="0"/>
    <s v="1st Floor"/>
    <n v="1"/>
    <x v="2"/>
    <s v="Mar 14, 2018 @ 15:26"/>
    <s v="Mar 14, 2018 @ 15:27"/>
    <s v="nboyd@hanson-inc.com"/>
  </r>
  <r>
    <n v="928"/>
    <s v="BA"/>
    <s v="BAS"/>
    <x v="9"/>
    <m/>
    <m/>
    <m/>
    <n v="0"/>
    <n v="0"/>
    <n v="0"/>
    <n v="0"/>
    <n v="0"/>
    <n v="0"/>
    <s v="1st Floor"/>
    <n v="2"/>
    <x v="2"/>
    <s v="Mar 14, 2018 @ 15:34"/>
    <s v="Mar 14, 2018 @ 15:35"/>
    <s v="nboyd@hanson-inc.com"/>
  </r>
  <r>
    <n v="929"/>
    <s v="BA"/>
    <s v="BAS"/>
    <x v="10"/>
    <m/>
    <m/>
    <m/>
    <n v="0"/>
    <n v="0"/>
    <n v="0"/>
    <n v="0"/>
    <n v="0"/>
    <n v="0"/>
    <s v="1st Floor"/>
    <n v="0"/>
    <x v="2"/>
    <s v="Mar 14, 2018 @ 15:36"/>
    <s v="Mar 14, 2018 @ 15:36"/>
    <s v="nboyd@hanson-inc.com"/>
  </r>
  <r>
    <n v="933"/>
    <s v="BA"/>
    <s v="BAS"/>
    <x v="11"/>
    <m/>
    <m/>
    <m/>
    <n v="0"/>
    <n v="0"/>
    <n v="0"/>
    <n v="0"/>
    <n v="0"/>
    <n v="0"/>
    <s v="1st Floor"/>
    <n v="5"/>
    <x v="2"/>
    <s v="Mar 14, 2018 @ 15:43"/>
    <s v="Mar 14, 2018 @ 15:48"/>
    <s v="nboyd@hanson-inc.com"/>
  </r>
  <r>
    <n v="977"/>
    <s v="BA"/>
    <s v="BAS"/>
    <x v="6"/>
    <m/>
    <m/>
    <m/>
    <n v="0"/>
    <n v="0"/>
    <n v="0"/>
    <n v="0"/>
    <n v="0"/>
    <n v="0"/>
    <s v="1st Floor"/>
    <n v="0"/>
    <x v="2"/>
    <s v="Mar 14, 2018 @ 15:55"/>
    <s v="Mar 14, 2018 @ 15:56"/>
    <s v="nboyd@hanson-inc.com"/>
  </r>
  <r>
    <n v="998"/>
    <s v="BA"/>
    <s v="BAS"/>
    <x v="7"/>
    <m/>
    <m/>
    <m/>
    <n v="0"/>
    <n v="0"/>
    <n v="0"/>
    <n v="0"/>
    <n v="0"/>
    <n v="0"/>
    <s v="1st Floor"/>
    <n v="0"/>
    <x v="2"/>
    <s v="Mar 14, 2018 @ 16:04"/>
    <s v="Mar 14, 2018 @ 16:00"/>
    <s v="mcoalson@hanson-inc.com"/>
  </r>
  <r>
    <n v="1002"/>
    <s v="BA"/>
    <s v="BAS"/>
    <x v="7"/>
    <m/>
    <m/>
    <m/>
    <n v="0"/>
    <n v="0"/>
    <n v="0"/>
    <n v="0"/>
    <n v="0"/>
    <n v="0"/>
    <s v="1st Floor"/>
    <n v="0"/>
    <x v="2"/>
    <s v="Mar 14, 2018 @ 16:07"/>
    <s v="Mar 14, 2018 @ 16:01"/>
    <s v="mcoalson@hanson-inc.com"/>
  </r>
  <r>
    <n v="1005"/>
    <s v="BA"/>
    <s v="BAS"/>
    <x v="12"/>
    <m/>
    <m/>
    <m/>
    <n v="0"/>
    <n v="0"/>
    <n v="0"/>
    <n v="0"/>
    <n v="0"/>
    <n v="0"/>
    <s v="1st Floor"/>
    <n v="0"/>
    <x v="2"/>
    <s v="Mar 14, 2018 @ 16:01"/>
    <s v="Mar 14, 2018 @ 16:01"/>
    <s v="nboyd@hanson-inc.com"/>
  </r>
  <r>
    <n v="1043"/>
    <s v="BA"/>
    <s v="BAS"/>
    <x v="7"/>
    <m/>
    <m/>
    <m/>
    <n v="0"/>
    <n v="0"/>
    <n v="0"/>
    <n v="0"/>
    <n v="0"/>
    <n v="0"/>
    <s v="1st Floor"/>
    <n v="0"/>
    <x v="2"/>
    <s v="Mar 14, 2018 @ 16:17"/>
    <s v="Mar 14, 2018 @ 16:10"/>
    <s v="mcoalson@hanson-inc.com"/>
  </r>
  <r>
    <n v="1047"/>
    <s v="BA"/>
    <s v="BAS"/>
    <x v="6"/>
    <m/>
    <m/>
    <m/>
    <n v="0"/>
    <n v="0"/>
    <n v="0"/>
    <n v="0"/>
    <n v="0"/>
    <n v="0"/>
    <s v="1st Floor"/>
    <n v="0"/>
    <x v="2"/>
    <s v="Mar 14, 2018 @ 16:14"/>
    <s v="Mar 14, 2018 @ 16:14"/>
    <s v="nboyd@hanson-inc.com"/>
  </r>
  <r>
    <n v="1076"/>
    <s v="BA"/>
    <s v="BAS"/>
    <x v="7"/>
    <m/>
    <m/>
    <m/>
    <n v="0"/>
    <n v="0"/>
    <n v="0"/>
    <n v="0"/>
    <n v="0"/>
    <n v="0"/>
    <s v="1st Floor"/>
    <n v="0"/>
    <x v="2"/>
    <s v="Mar 14, 2018 @ 16:26"/>
    <s v="Mar 14, 2018 @ 16:26"/>
    <s v="mcoalson@hanson-inc.com"/>
  </r>
  <r>
    <n v="1088"/>
    <s v="BA"/>
    <s v="BAS"/>
    <x v="7"/>
    <m/>
    <m/>
    <m/>
    <n v="0"/>
    <n v="0"/>
    <n v="0"/>
    <n v="0"/>
    <n v="0"/>
    <n v="0"/>
    <s v="1st Floor"/>
    <n v="0"/>
    <x v="2"/>
    <s v="Mar 14, 2018 @ 16:28"/>
    <s v="Mar 14, 2018 @ 16:29"/>
    <s v="mcoalson@hanson-inc.com"/>
  </r>
  <r>
    <n v="1099"/>
    <s v="BA"/>
    <s v="BAS"/>
    <x v="2"/>
    <m/>
    <m/>
    <m/>
    <n v="0"/>
    <n v="0"/>
    <n v="0"/>
    <n v="0"/>
    <n v="0"/>
    <n v="0"/>
    <s v="1st Floor"/>
    <n v="5"/>
    <x v="2"/>
    <s v="Mar 14, 2018 @ 17:48"/>
    <s v="Mar 14, 2018 @ 17:44"/>
    <s v="mcoalson@hanson-inc.com"/>
  </r>
  <r>
    <n v="284"/>
    <s v="AU"/>
    <s v="AHU"/>
    <x v="2"/>
    <n v="18642.5"/>
    <n v="1"/>
    <n v="0.9"/>
    <n v="18642.5"/>
    <n v="91860.918749999997"/>
    <n v="9793.5993759007888"/>
    <n v="1.5106467587034813"/>
    <n v="313442.46532425814"/>
    <n v="5.1545406983219282"/>
    <s v="M401"/>
    <n v="0"/>
    <x v="0"/>
    <s v="Mar 12, 2018 @ 13:28"/>
    <s v="Mar 14, 2018 @ 11:58"/>
    <s v="mcoalson@hanson-inc.com"/>
  </r>
  <r>
    <n v="1102"/>
    <s v="BA"/>
    <s v="BAS"/>
    <x v="2"/>
    <m/>
    <m/>
    <m/>
    <n v="0"/>
    <n v="0"/>
    <n v="0"/>
    <n v="0"/>
    <n v="0"/>
    <n v="0"/>
    <s v="1st Floor"/>
    <n v="1"/>
    <x v="2"/>
    <s v="Mar 14, 2018 @ 17:51"/>
    <s v="Mar 14, 2018 @ 17:46"/>
    <s v="mcoalson@hanson-inc.com"/>
  </r>
  <r>
    <n v="632"/>
    <s v="BA"/>
    <s v="BAS"/>
    <x v="2"/>
    <m/>
    <m/>
    <m/>
    <n v="0"/>
    <n v="0"/>
    <n v="0"/>
    <n v="0"/>
    <n v="0"/>
    <n v="0"/>
    <s v="2nd Floor"/>
    <n v="0"/>
    <x v="2"/>
    <s v="Mar 12, 2018 @ 19:45"/>
    <s v="Mar 12, 2018 @ 19:39"/>
    <s v="mcoalson@hanson-inc.com"/>
  </r>
  <r>
    <n v="633"/>
    <s v="BA"/>
    <s v="BAS"/>
    <x v="6"/>
    <m/>
    <m/>
    <m/>
    <n v="0"/>
    <n v="0"/>
    <n v="0"/>
    <n v="0"/>
    <n v="0"/>
    <n v="0"/>
    <s v="2nd Floor"/>
    <n v="0"/>
    <x v="2"/>
    <s v="Mar 12, 2018 @ 19:40"/>
    <s v="Mar 12, 2018 @ 19:40"/>
    <s v="nboyd@hanson-inc.com"/>
  </r>
  <r>
    <n v="640"/>
    <s v="BA"/>
    <s v="BAS"/>
    <x v="2"/>
    <m/>
    <m/>
    <m/>
    <n v="0"/>
    <n v="0"/>
    <n v="0"/>
    <n v="0"/>
    <n v="0"/>
    <n v="0"/>
    <s v="2nd Floor"/>
    <n v="0"/>
    <x v="2"/>
    <s v="Mar 12, 2018 @ 19:52"/>
    <s v="Mar 12, 2018 @ 19:45"/>
    <s v="mcoalson@hanson-inc.com"/>
  </r>
  <r>
    <n v="645"/>
    <s v="BA"/>
    <s v="BAS"/>
    <x v="6"/>
    <m/>
    <m/>
    <m/>
    <n v="0"/>
    <n v="0"/>
    <n v="0"/>
    <n v="0"/>
    <n v="0"/>
    <n v="0"/>
    <s v="2nd Floor"/>
    <n v="0"/>
    <x v="2"/>
    <s v="Mar 12, 2018 @ 19:49"/>
    <s v="Mar 12, 2018 @ 19:49"/>
    <s v="nboyd@hanson-inc.com"/>
  </r>
  <r>
    <n v="650"/>
    <s v="BA"/>
    <s v="BAS"/>
    <x v="13"/>
    <m/>
    <m/>
    <m/>
    <n v="0"/>
    <n v="0"/>
    <n v="0"/>
    <n v="0"/>
    <n v="0"/>
    <n v="0"/>
    <s v="2nd Floor"/>
    <n v="7"/>
    <x v="2"/>
    <s v="Mar 14, 2018 @ 13:05"/>
    <s v="Mar 14, 2018 @ 13:58"/>
    <s v="nboyd@hanson-inc.com"/>
  </r>
  <r>
    <n v="653"/>
    <s v="BA"/>
    <s v="BAS"/>
    <x v="14"/>
    <m/>
    <m/>
    <m/>
    <n v="0"/>
    <n v="0"/>
    <n v="0"/>
    <n v="0"/>
    <n v="0"/>
    <n v="0"/>
    <s v="2nd Floor"/>
    <n v="2"/>
    <x v="2"/>
    <s v="Mar 14, 2018 @ 13:11"/>
    <s v="Mar 14, 2018 @ 13:16"/>
    <s v="nboyd@hanson-inc.com"/>
  </r>
  <r>
    <n v="655"/>
    <s v="BA"/>
    <s v="BAS"/>
    <x v="6"/>
    <m/>
    <m/>
    <m/>
    <n v="0"/>
    <n v="0"/>
    <n v="0"/>
    <n v="0"/>
    <n v="0"/>
    <n v="0"/>
    <s v="2nd Floor"/>
    <n v="0"/>
    <x v="2"/>
    <s v="Mar 14, 2018 @ 13:18"/>
    <s v="Mar 14, 2018 @ 13:18"/>
    <s v="nboyd@hanson-inc.com"/>
  </r>
  <r>
    <n v="690"/>
    <s v="BA"/>
    <s v="BAS"/>
    <x v="6"/>
    <m/>
    <m/>
    <m/>
    <n v="0"/>
    <n v="0"/>
    <n v="0"/>
    <n v="0"/>
    <n v="0"/>
    <n v="0"/>
    <s v="2nd Floor"/>
    <n v="0"/>
    <x v="2"/>
    <s v="Mar 14, 2018 @ 13:26"/>
    <s v="Mar 14, 2018 @ 13:27"/>
    <s v="nboyd@hanson-inc.com"/>
  </r>
  <r>
    <n v="695"/>
    <s v="BA"/>
    <s v="BAS"/>
    <x v="2"/>
    <m/>
    <m/>
    <m/>
    <n v="0"/>
    <n v="0"/>
    <n v="0"/>
    <n v="0"/>
    <n v="0"/>
    <n v="0"/>
    <s v="2nd Floor"/>
    <n v="0"/>
    <x v="2"/>
    <s v="Mar 14, 2018 @ 13:27"/>
    <s v="Mar 14, 2018 @ 13:27"/>
    <s v="mcoalson@hanson-inc.com"/>
  </r>
  <r>
    <n v="718"/>
    <s v="BA"/>
    <s v="BAS"/>
    <x v="6"/>
    <m/>
    <m/>
    <m/>
    <n v="0"/>
    <n v="0"/>
    <n v="0"/>
    <n v="0"/>
    <n v="0"/>
    <n v="0"/>
    <s v="2nd Floor"/>
    <n v="0"/>
    <x v="2"/>
    <s v="Mar 14, 2018 @ 13:42"/>
    <s v="Mar 14, 2018 @ 13:42"/>
    <s v="nboyd@hanson-inc.com"/>
  </r>
  <r>
    <n v="735"/>
    <s v="BA"/>
    <s v="BAS"/>
    <x v="6"/>
    <m/>
    <m/>
    <m/>
    <n v="0"/>
    <n v="0"/>
    <n v="0"/>
    <n v="0"/>
    <n v="0"/>
    <n v="0"/>
    <s v="2nd Floor"/>
    <n v="0"/>
    <x v="2"/>
    <s v="Mar 14, 2018 @ 13:56"/>
    <s v="Mar 14, 2018 @ 13:56"/>
    <s v="nboyd@hanson-inc.com"/>
  </r>
  <r>
    <n v="747"/>
    <s v="BA"/>
    <s v="BAS"/>
    <x v="7"/>
    <m/>
    <m/>
    <m/>
    <n v="0"/>
    <n v="0"/>
    <n v="0"/>
    <n v="0"/>
    <n v="0"/>
    <n v="0"/>
    <s v="2nd Floor"/>
    <n v="0"/>
    <x v="2"/>
    <s v="Mar 14, 2018 @ 14:12"/>
    <s v="Mar 14, 2018 @ 14:06"/>
    <s v="mcoalson@hanson-inc.com"/>
  </r>
  <r>
    <n v="749"/>
    <s v="BA"/>
    <s v="BAS"/>
    <x v="7"/>
    <m/>
    <m/>
    <m/>
    <n v="0"/>
    <n v="0"/>
    <n v="0"/>
    <n v="0"/>
    <n v="0"/>
    <n v="0"/>
    <s v="2nd Floor"/>
    <n v="0"/>
    <x v="2"/>
    <s v="Mar 14, 2018 @ 14:14"/>
    <s v="Mar 14, 2018 @ 14:07"/>
    <s v="mcoalson@hanson-inc.com"/>
  </r>
  <r>
    <n v="752"/>
    <s v="BA"/>
    <s v="BAS"/>
    <x v="6"/>
    <m/>
    <m/>
    <m/>
    <n v="0"/>
    <n v="0"/>
    <n v="0"/>
    <n v="0"/>
    <n v="0"/>
    <n v="0"/>
    <s v="2nd Floor"/>
    <n v="0"/>
    <x v="2"/>
    <s v="Mar 14, 2018 @ 14:12"/>
    <s v="Mar 14, 2018 @ 14:12"/>
    <s v="nboyd@hanson-inc.com"/>
  </r>
  <r>
    <n v="807"/>
    <s v="BA"/>
    <s v="BAS"/>
    <x v="6"/>
    <m/>
    <m/>
    <m/>
    <n v="0"/>
    <n v="0"/>
    <n v="0"/>
    <n v="0"/>
    <n v="0"/>
    <n v="0"/>
    <s v="2nd Floor"/>
    <n v="0"/>
    <x v="2"/>
    <s v="Mar 14, 2018 @ 14:42"/>
    <s v="Mar 14, 2018 @ 14:42"/>
    <s v="nboyd@hanson-inc.com"/>
  </r>
  <r>
    <n v="810"/>
    <s v="BA"/>
    <s v="BAS"/>
    <x v="6"/>
    <m/>
    <m/>
    <m/>
    <n v="0"/>
    <n v="0"/>
    <n v="0"/>
    <n v="0"/>
    <n v="0"/>
    <n v="0"/>
    <s v="2nd Floor"/>
    <n v="0"/>
    <x v="2"/>
    <s v="Mar 14, 2018 @ 14:43"/>
    <s v="Mar 14, 2018 @ 14:43"/>
    <s v="nboyd@hanson-inc.com"/>
  </r>
  <r>
    <n v="817"/>
    <s v="BA"/>
    <s v="BAS"/>
    <x v="6"/>
    <m/>
    <m/>
    <m/>
    <n v="0"/>
    <n v="0"/>
    <n v="0"/>
    <n v="0"/>
    <n v="0"/>
    <n v="0"/>
    <s v="2nd Floor"/>
    <n v="0"/>
    <x v="2"/>
    <s v="Mar 14, 2018 @ 14:45"/>
    <s v="Mar 14, 2018 @ 14:45"/>
    <s v="nboyd@hanson-inc.com"/>
  </r>
  <r>
    <n v="822"/>
    <s v="BA"/>
    <s v="BAS"/>
    <x v="6"/>
    <m/>
    <m/>
    <m/>
    <n v="0"/>
    <n v="0"/>
    <n v="0"/>
    <n v="0"/>
    <n v="0"/>
    <n v="0"/>
    <s v="2nd Floor"/>
    <n v="0"/>
    <x v="2"/>
    <s v="Mar 14, 2018 @ 14:46"/>
    <s v="Mar 14, 2018 @ 14:46"/>
    <s v="nboyd@hanson-inc.com"/>
  </r>
  <r>
    <n v="836"/>
    <s v="BA"/>
    <s v="BAS"/>
    <x v="7"/>
    <m/>
    <m/>
    <m/>
    <n v="0"/>
    <n v="0"/>
    <n v="0"/>
    <n v="0"/>
    <n v="0"/>
    <n v="0"/>
    <s v="2nd Floor"/>
    <n v="0"/>
    <x v="2"/>
    <s v="Mar 14, 2018 @ 14:58"/>
    <s v="Mar 14, 2018 @ 14:52"/>
    <s v="mcoalson@hanson-inc.com"/>
  </r>
  <r>
    <n v="857"/>
    <s v="BA"/>
    <s v="BAS"/>
    <x v="7"/>
    <m/>
    <m/>
    <m/>
    <n v="0"/>
    <n v="0"/>
    <n v="0"/>
    <n v="0"/>
    <n v="0"/>
    <n v="0"/>
    <s v="2nd Floor"/>
    <n v="0"/>
    <x v="2"/>
    <s v="Mar 14, 2018 @ 15:03"/>
    <s v="Mar 14, 2018 @ 14:57"/>
    <s v="mcoalson@hanson-inc.com"/>
  </r>
  <r>
    <n v="866"/>
    <s v="BA"/>
    <s v="BAS"/>
    <x v="7"/>
    <m/>
    <m/>
    <m/>
    <n v="0"/>
    <n v="0"/>
    <n v="0"/>
    <n v="0"/>
    <n v="0"/>
    <n v="0"/>
    <s v="2nd Floor"/>
    <n v="0"/>
    <x v="2"/>
    <s v="Mar 14, 2018 @ 15:04"/>
    <s v="Mar 14, 2018 @ 14:58"/>
    <s v="mcoalson@hanson-inc.com"/>
  </r>
  <r>
    <n v="879"/>
    <s v="BA"/>
    <s v="BAS"/>
    <x v="6"/>
    <m/>
    <m/>
    <m/>
    <n v="0"/>
    <n v="0"/>
    <n v="0"/>
    <n v="0"/>
    <n v="0"/>
    <n v="0"/>
    <s v="2nd Floor"/>
    <n v="0"/>
    <x v="2"/>
    <s v="Mar 14, 2018 @ 15:00"/>
    <s v="Mar 14, 2018 @ 15:00"/>
    <s v="nboyd@hanson-inc.com"/>
  </r>
  <r>
    <n v="5"/>
    <s v="BA"/>
    <s v="BAS"/>
    <x v="15"/>
    <m/>
    <m/>
    <m/>
    <n v="0"/>
    <n v="0"/>
    <n v="0"/>
    <n v="0"/>
    <n v="0"/>
    <n v="0"/>
    <s v="M401"/>
    <n v="13"/>
    <x v="2"/>
    <s v="Mar 12, 2018 @ 13:28"/>
    <s v="Mar 12, 2018 @ 13:33"/>
    <s v="nboyd@hanson-inc.com"/>
  </r>
  <r>
    <n v="9"/>
    <s v="BA"/>
    <s v="BAS"/>
    <x v="16"/>
    <m/>
    <m/>
    <m/>
    <n v="0"/>
    <n v="0"/>
    <n v="0"/>
    <n v="0"/>
    <n v="0"/>
    <n v="0"/>
    <s v="M401"/>
    <n v="1"/>
    <x v="2"/>
    <s v="Mar 12, 2018 @ 13:44"/>
    <s v="Mar 12, 2018 @ 13:45"/>
    <s v="nboyd@hanson-inc.com"/>
  </r>
  <r>
    <n v="39"/>
    <s v="BA"/>
    <s v="BAS"/>
    <x v="6"/>
    <m/>
    <m/>
    <m/>
    <n v="0"/>
    <n v="0"/>
    <n v="0"/>
    <n v="0"/>
    <n v="0"/>
    <n v="0"/>
    <s v="VTU3-20"/>
    <n v="0"/>
    <x v="2"/>
    <s v="Mar 12, 2018 @ 14:09"/>
    <s v="Mar 12, 2018 @ 14:09"/>
    <s v="nboyd@hanson-inc.com"/>
  </r>
  <r>
    <n v="42"/>
    <s v="BA"/>
    <s v="BAS"/>
    <x v="2"/>
    <m/>
    <m/>
    <m/>
    <n v="0"/>
    <n v="0"/>
    <n v="0"/>
    <n v="0"/>
    <n v="0"/>
    <n v="0"/>
    <s v="VTU3-20"/>
    <n v="0"/>
    <x v="2"/>
    <s v="Mar 12, 2018 @ 14:16"/>
    <s v="Mar 12, 2018 @ 14:10"/>
    <s v="mcoalson@hanson-inc.com"/>
  </r>
  <r>
    <n v="60"/>
    <s v="BA"/>
    <s v="BAS"/>
    <x v="6"/>
    <m/>
    <m/>
    <m/>
    <n v="0"/>
    <n v="0"/>
    <n v="0"/>
    <n v="0"/>
    <n v="0"/>
    <n v="0"/>
    <s v="VTU3-20"/>
    <n v="0"/>
    <x v="2"/>
    <s v="Mar 12, 2018 @ 14:18"/>
    <s v="Mar 12, 2018 @ 14:18"/>
    <s v="nboyd@hanson-inc.com"/>
  </r>
  <r>
    <n v="113"/>
    <s v="BA"/>
    <s v="BAS"/>
    <x v="2"/>
    <m/>
    <m/>
    <m/>
    <n v="0"/>
    <n v="0"/>
    <n v="0"/>
    <n v="0"/>
    <n v="0"/>
    <n v="0"/>
    <s v="VTU3-20"/>
    <n v="0"/>
    <x v="2"/>
    <s v="Mar 12, 2018 @ 14:37"/>
    <s v="Mar 12, 2018 @ 14:31"/>
    <s v="mcoalson@hanson-inc.com"/>
  </r>
  <r>
    <n v="114"/>
    <s v="BA"/>
    <s v="BAS"/>
    <x v="6"/>
    <m/>
    <m/>
    <m/>
    <n v="0"/>
    <n v="0"/>
    <n v="0"/>
    <n v="0"/>
    <n v="0"/>
    <n v="0"/>
    <s v="VTU3-20"/>
    <n v="0"/>
    <x v="2"/>
    <s v="Mar 12, 2018 @ 14:31"/>
    <s v="Mar 12, 2018 @ 14:31"/>
    <s v="nboyd@hanson-inc.com"/>
  </r>
  <r>
    <n v="115"/>
    <s v="BA"/>
    <s v="BAS"/>
    <x v="2"/>
    <m/>
    <m/>
    <m/>
    <n v="0"/>
    <n v="0"/>
    <n v="0"/>
    <n v="0"/>
    <n v="0"/>
    <n v="0"/>
    <s v="VTU3-20"/>
    <n v="0"/>
    <x v="2"/>
    <s v="Mar 12, 2018 @ 14:38"/>
    <s v="Mar 12, 2018 @ 14:31"/>
    <s v="mcoalson@hanson-inc.com"/>
  </r>
  <r>
    <n v="116"/>
    <s v="BA"/>
    <s v="BAS"/>
    <x v="2"/>
    <m/>
    <m/>
    <m/>
    <n v="0"/>
    <n v="0"/>
    <n v="0"/>
    <n v="0"/>
    <n v="0"/>
    <n v="0"/>
    <s v="VTU3-20"/>
    <n v="0"/>
    <x v="2"/>
    <s v="Mar 12, 2018 @ 14:38"/>
    <s v="Mar 12, 2018 @ 14:31"/>
    <s v="mcoalson@hanson-inc.com"/>
  </r>
  <r>
    <n v="127"/>
    <s v="BA"/>
    <s v="BAS"/>
    <x v="6"/>
    <m/>
    <m/>
    <m/>
    <n v="0"/>
    <n v="0"/>
    <n v="0"/>
    <n v="0"/>
    <n v="0"/>
    <n v="0"/>
    <s v="VTU3-20"/>
    <n v="0"/>
    <x v="2"/>
    <s v="Mar 12, 2018 @ 14:33"/>
    <s v="Mar 12, 2018 @ 14:33"/>
    <s v="nboyd@hanson-inc.com"/>
  </r>
  <r>
    <n v="158"/>
    <s v="BA"/>
    <s v="BAS"/>
    <x v="6"/>
    <m/>
    <m/>
    <m/>
    <n v="0"/>
    <n v="0"/>
    <n v="0"/>
    <n v="0"/>
    <n v="0"/>
    <n v="0"/>
    <s v="VTU3-20"/>
    <n v="0"/>
    <x v="2"/>
    <s v="Mar 12, 2018 @ 14:38"/>
    <s v="Mar 12, 2018 @ 14:38"/>
    <s v="nboyd@hanson-inc.com"/>
  </r>
  <r>
    <n v="164"/>
    <s v="BA"/>
    <s v="BAS"/>
    <x v="2"/>
    <m/>
    <m/>
    <m/>
    <n v="0"/>
    <n v="0"/>
    <n v="0"/>
    <n v="0"/>
    <n v="0"/>
    <n v="0"/>
    <s v="VTU3-20"/>
    <n v="0"/>
    <x v="2"/>
    <s v="Mar 12, 2018 @ 14:46"/>
    <s v="Mar 12, 2018 @ 14:39"/>
    <s v="mcoalson@hanson-inc.com"/>
  </r>
  <r>
    <n v="193"/>
    <s v="BA"/>
    <s v="BAS"/>
    <x v="2"/>
    <m/>
    <m/>
    <m/>
    <n v="0"/>
    <n v="0"/>
    <n v="0"/>
    <n v="0"/>
    <n v="0"/>
    <n v="0"/>
    <s v="VTU3-20"/>
    <n v="0"/>
    <x v="2"/>
    <s v="Mar 12, 2018 @ 14:53"/>
    <s v="Mar 12, 2018 @ 14:46"/>
    <s v="mcoalson@hanson-inc.com"/>
  </r>
  <r>
    <n v="216"/>
    <s v="BA"/>
    <s v="BAS"/>
    <x v="6"/>
    <m/>
    <m/>
    <m/>
    <n v="0"/>
    <n v="0"/>
    <n v="0"/>
    <n v="0"/>
    <n v="0"/>
    <n v="0"/>
    <s v="VTU3-20"/>
    <n v="0"/>
    <x v="2"/>
    <s v="Mar 12, 2018 @ 14:50"/>
    <s v="Mar 12, 2018 @ 14:50"/>
    <s v="nboyd@hanson-inc.com"/>
  </r>
  <r>
    <n v="254"/>
    <s v="BA"/>
    <s v="BAS"/>
    <x v="6"/>
    <m/>
    <m/>
    <m/>
    <n v="0"/>
    <n v="0"/>
    <n v="0"/>
    <n v="0"/>
    <n v="0"/>
    <n v="0"/>
    <s v="VTU3-20"/>
    <n v="0"/>
    <x v="2"/>
    <s v="Mar 12, 2018 @ 15:07"/>
    <s v="Mar 12, 2018 @ 15:07"/>
    <s v="nboyd@hanson-inc.com"/>
  </r>
  <r>
    <n v="264"/>
    <s v="BA"/>
    <s v="BAS"/>
    <x v="6"/>
    <m/>
    <m/>
    <m/>
    <n v="0"/>
    <n v="0"/>
    <n v="0"/>
    <n v="0"/>
    <n v="0"/>
    <n v="0"/>
    <s v="VTU3-20"/>
    <n v="0"/>
    <x v="2"/>
    <s v="Mar 12, 2018 @ 15:13"/>
    <s v="Mar 12, 2018 @ 15:13"/>
    <s v="nboyd@hanson-inc.com"/>
  </r>
  <r>
    <n v="287"/>
    <s v="BA"/>
    <s v="BAS"/>
    <x v="2"/>
    <m/>
    <m/>
    <m/>
    <n v="0"/>
    <n v="0"/>
    <n v="0"/>
    <n v="0"/>
    <n v="0"/>
    <n v="0"/>
    <s v="VTU3-20"/>
    <n v="0"/>
    <x v="2"/>
    <s v="Mar 12, 2018 @ 15:25"/>
    <s v="Mar 12, 2018 @ 18:28"/>
    <s v="mcoalson@hanson-inc.com"/>
  </r>
  <r>
    <n v="342"/>
    <s v="BA"/>
    <s v="BAS"/>
    <x v="2"/>
    <m/>
    <m/>
    <m/>
    <n v="0"/>
    <n v="0"/>
    <n v="0"/>
    <n v="0"/>
    <n v="0"/>
    <n v="0"/>
    <s v="VTU3-20"/>
    <n v="0"/>
    <x v="2"/>
    <s v="Mar 12, 2018 @ 15:49"/>
    <s v="Mar 12, 2018 @ 18:30"/>
    <s v="mcoalson@hanson-inc.com"/>
  </r>
  <r>
    <n v="343"/>
    <s v="BA"/>
    <s v="BAS"/>
    <x v="2"/>
    <m/>
    <m/>
    <m/>
    <n v="0"/>
    <n v="0"/>
    <n v="0"/>
    <n v="0"/>
    <n v="0"/>
    <n v="0"/>
    <s v="VTU3-20"/>
    <n v="0"/>
    <x v="2"/>
    <s v="Mar 12, 2018 @ 15:50"/>
    <s v="Mar 12, 2018 @ 18:30"/>
    <s v="mcoalson@hanson-inc.com"/>
  </r>
  <r>
    <n v="385"/>
    <s v="BA"/>
    <s v="BAS"/>
    <x v="2"/>
    <m/>
    <m/>
    <m/>
    <n v="0"/>
    <n v="0"/>
    <n v="0"/>
    <n v="0"/>
    <n v="0"/>
    <n v="0"/>
    <s v="VTU3-20"/>
    <n v="0"/>
    <x v="2"/>
    <s v="Mar 12, 2018 @ 18:39"/>
    <s v="Mar 12, 2018 @ 18:33"/>
    <s v="mcoalson@hanson-inc.com"/>
  </r>
  <r>
    <n v="403"/>
    <s v="BA"/>
    <s v="BAS"/>
    <x v="2"/>
    <m/>
    <m/>
    <m/>
    <n v="0"/>
    <n v="0"/>
    <n v="0"/>
    <n v="0"/>
    <n v="0"/>
    <n v="0"/>
    <s v="VTU3-20"/>
    <n v="0"/>
    <x v="2"/>
    <s v="Mar 12, 2018 @ 18:43"/>
    <s v="Mar 12, 2018 @ 18:37"/>
    <s v="mcoalson@hanson-inc.com"/>
  </r>
  <r>
    <n v="424"/>
    <s v="BA"/>
    <s v="BAS"/>
    <x v="6"/>
    <m/>
    <m/>
    <m/>
    <n v="0"/>
    <n v="0"/>
    <n v="0"/>
    <n v="0"/>
    <n v="0"/>
    <n v="0"/>
    <s v="VTU3-20"/>
    <n v="0"/>
    <x v="2"/>
    <s v="Mar 12, 2018 @ 18:41"/>
    <s v="Mar 12, 2018 @ 18:41"/>
    <s v="nboyd@hanson-inc.com"/>
  </r>
  <r>
    <n v="437"/>
    <s v="BA"/>
    <s v="BAS"/>
    <x v="6"/>
    <m/>
    <m/>
    <m/>
    <n v="0"/>
    <n v="0"/>
    <n v="0"/>
    <n v="0"/>
    <n v="0"/>
    <n v="0"/>
    <s v="VTU3-20"/>
    <n v="0"/>
    <x v="2"/>
    <s v="Mar 12, 2018 @ 18:48"/>
    <s v="Mar 12, 2018 @ 18:48"/>
    <s v="nboyd@hanson-inc.com"/>
  </r>
  <r>
    <n v="440"/>
    <s v="BA"/>
    <s v="BAS"/>
    <x v="2"/>
    <m/>
    <m/>
    <m/>
    <n v="0"/>
    <n v="0"/>
    <n v="0"/>
    <n v="0"/>
    <n v="0"/>
    <n v="0"/>
    <s v="VTU3-20"/>
    <n v="0"/>
    <x v="2"/>
    <s v="Mar 12, 2018 @ 19:00"/>
    <s v="Mar 12, 2018 @ 18:54"/>
    <s v="mcoalson@hanson-inc.com"/>
  </r>
  <r>
    <n v="461"/>
    <s v="BA"/>
    <s v="BAS"/>
    <x v="2"/>
    <m/>
    <m/>
    <m/>
    <n v="0"/>
    <n v="0"/>
    <n v="0"/>
    <n v="0"/>
    <n v="0"/>
    <n v="0"/>
    <s v="VTU3-20"/>
    <n v="0"/>
    <x v="2"/>
    <s v="Mar 12, 2018 @ 19:05"/>
    <s v="Mar 12, 2018 @ 18:58"/>
    <s v="mcoalson@hanson-inc.com"/>
  </r>
  <r>
    <n v="464"/>
    <s v="BA"/>
    <s v="BAS"/>
    <x v="2"/>
    <m/>
    <m/>
    <m/>
    <n v="0"/>
    <n v="0"/>
    <n v="0"/>
    <n v="0"/>
    <n v="0"/>
    <n v="0"/>
    <s v="VTU3-20"/>
    <n v="0"/>
    <x v="2"/>
    <s v="Mar 12, 2018 @ 19:05"/>
    <s v="Mar 12, 2018 @ 18:59"/>
    <s v="mcoalson@hanson-inc.com"/>
  </r>
  <r>
    <n v="488"/>
    <s v="BA"/>
    <s v="BAS"/>
    <x v="2"/>
    <m/>
    <m/>
    <m/>
    <n v="0"/>
    <n v="0"/>
    <n v="0"/>
    <n v="0"/>
    <n v="0"/>
    <n v="0"/>
    <s v="VTU3-20"/>
    <n v="0"/>
    <x v="2"/>
    <s v="Mar 12, 2018 @ 19:09"/>
    <s v="Mar 12, 2018 @ 19:03"/>
    <s v="mcoalson@hanson-inc.com"/>
  </r>
  <r>
    <n v="499"/>
    <s v="BA"/>
    <s v="BAS"/>
    <x v="2"/>
    <m/>
    <m/>
    <m/>
    <n v="0"/>
    <n v="0"/>
    <n v="0"/>
    <n v="0"/>
    <n v="0"/>
    <n v="0"/>
    <s v="VTU3-20"/>
    <n v="0"/>
    <x v="2"/>
    <s v="Mar 12, 2018 @ 19:11"/>
    <s v="Mar 12, 2018 @ 19:05"/>
    <s v="mcoalson@hanson-inc.com"/>
  </r>
  <r>
    <n v="520"/>
    <s v="BA"/>
    <s v="BAS"/>
    <x v="6"/>
    <m/>
    <m/>
    <m/>
    <n v="0"/>
    <n v="0"/>
    <n v="0"/>
    <n v="0"/>
    <n v="0"/>
    <n v="0"/>
    <s v="VTU3-20"/>
    <n v="0"/>
    <x v="2"/>
    <s v="Mar 12, 2018 @ 19:07"/>
    <s v="Mar 12, 2018 @ 19:07"/>
    <s v="nboyd@hanson-inc.com"/>
  </r>
  <r>
    <n v="529"/>
    <s v="BA"/>
    <s v="BAS"/>
    <x v="2"/>
    <m/>
    <m/>
    <m/>
    <n v="0"/>
    <n v="0"/>
    <n v="0"/>
    <n v="0"/>
    <n v="0"/>
    <n v="0"/>
    <s v="VTU3-20"/>
    <n v="0"/>
    <x v="2"/>
    <s v="Mar 12, 2018 @ 19:14"/>
    <s v="Mar 12, 2018 @ 19:08"/>
    <s v="mcoalson@hanson-inc.com"/>
  </r>
  <r>
    <n v="537"/>
    <s v="BA"/>
    <s v="BAS"/>
    <x v="6"/>
    <m/>
    <m/>
    <m/>
    <n v="0"/>
    <n v="0"/>
    <n v="0"/>
    <n v="0"/>
    <n v="0"/>
    <n v="0"/>
    <s v="VTU3-20"/>
    <n v="0"/>
    <x v="2"/>
    <s v="Mar 12, 2018 @ 19:09"/>
    <s v="Mar 12, 2018 @ 19:09"/>
    <s v="nboyd@hanson-inc.com"/>
  </r>
  <r>
    <n v="588"/>
    <s v="BA"/>
    <s v="BAS"/>
    <x v="6"/>
    <m/>
    <m/>
    <m/>
    <n v="0"/>
    <n v="0"/>
    <n v="0"/>
    <n v="0"/>
    <n v="0"/>
    <n v="0"/>
    <s v="VTU3-20"/>
    <n v="0"/>
    <x v="2"/>
    <s v="Mar 12, 2018 @ 19:15"/>
    <s v="Mar 12, 2018 @ 19:15"/>
    <s v="nboyd@hanson-inc.com"/>
  </r>
  <r>
    <n v="603"/>
    <s v="BA"/>
    <s v="BAS"/>
    <x v="2"/>
    <m/>
    <m/>
    <m/>
    <n v="0"/>
    <n v="0"/>
    <n v="0"/>
    <n v="0"/>
    <n v="0"/>
    <n v="0"/>
    <s v="VTU3-20"/>
    <n v="0"/>
    <x v="2"/>
    <s v="Mar 12, 2018 @ 19:23"/>
    <s v="Mar 12, 2018 @ 19:16"/>
    <s v="mcoalson@hanson-inc.com"/>
  </r>
  <r>
    <n v="438"/>
    <s v="AH"/>
    <s v="AHU"/>
    <x v="17"/>
    <n v="250"/>
    <n v="1"/>
    <n v="0.9"/>
    <n v="250"/>
    <n v="1231.875"/>
    <n v="131.33430838005617"/>
    <n v="2.0258103241296517E-2"/>
    <n v="4203.3319743094835"/>
    <n v="6.9123517477831964E-2"/>
    <s v="VTU3-20"/>
    <n v="0"/>
    <x v="0"/>
    <s v="Mar 12, 2018 @ 18:49"/>
    <s v="Mar 12, 2018 @ 18:51"/>
    <s v="nboyd@hanson-inc.com"/>
  </r>
  <r>
    <n v="1100"/>
    <s v="BA"/>
    <s v="BAS"/>
    <x v="18"/>
    <n v="120"/>
    <n v="1"/>
    <n v="1.6"/>
    <n v="120"/>
    <n v="1051.2"/>
    <n v="112.07194315098127"/>
    <n v="1.7286914765906363E-2"/>
    <n v="3586.8432847440922"/>
    <n v="5.8985401581083265E-2"/>
    <s v="1st Floor"/>
    <n v="1"/>
    <x v="3"/>
    <s v="Mar 14, 2018 @ 17:43"/>
    <s v="Mar 14, 2018 @ 17:44"/>
    <s v="mcoalson@hanson-inc.com"/>
  </r>
  <r>
    <n v="937"/>
    <s v="C"/>
    <s v="Coffee"/>
    <x v="2"/>
    <n v="1000"/>
    <n v="1"/>
    <n v="0.05"/>
    <n v="1000"/>
    <n v="273.75"/>
    <n v="29.185401862234706"/>
    <n v="4.501800720288115E-3"/>
    <n v="934.07377206877402"/>
    <n v="1.5360781661740434E-2"/>
    <s v="1st Floor"/>
    <n v="0"/>
    <x v="3"/>
    <s v="Mar 14, 2018 @ 15:47"/>
    <s v="Mar 14, 2018 @ 15:47"/>
    <s v="mcoalson@hanson-inc.com"/>
  </r>
  <r>
    <n v="938"/>
    <s v="C"/>
    <s v="Coffee"/>
    <x v="2"/>
    <n v="1000"/>
    <n v="1"/>
    <n v="0.05"/>
    <n v="1000"/>
    <n v="273.75"/>
    <n v="29.185401862234706"/>
    <n v="4.501800720288115E-3"/>
    <n v="934.07377206877402"/>
    <n v="1.5360781661740434E-2"/>
    <s v="1st Floor"/>
    <n v="0"/>
    <x v="3"/>
    <s v="Mar 14, 2018 @ 15:47"/>
    <s v="Mar 14, 2018 @ 15:47"/>
    <s v="mcoalson@hanson-inc.com"/>
  </r>
  <r>
    <n v="1094"/>
    <s v="C"/>
    <s v="Coffee"/>
    <x v="2"/>
    <n v="1000"/>
    <n v="1"/>
    <n v="0.05"/>
    <n v="1000"/>
    <n v="273.75"/>
    <n v="29.185401862234706"/>
    <n v="4.501800720288115E-3"/>
    <n v="934.07377206877402"/>
    <n v="1.5360781661740434E-2"/>
    <s v="1st Floor"/>
    <n v="1"/>
    <x v="3"/>
    <s v="Mar 14, 2018 @ 16:36"/>
    <s v="Mar 14, 2018 @ 16:30"/>
    <s v="mcoalson@hanson-inc.com"/>
  </r>
  <r>
    <n v="710"/>
    <s v="C"/>
    <s v="Coffee"/>
    <x v="2"/>
    <n v="1000"/>
    <n v="1"/>
    <n v="0.05"/>
    <n v="1000"/>
    <n v="273.75"/>
    <n v="29.185401862234706"/>
    <n v="4.501800720288115E-3"/>
    <n v="934.07377206877402"/>
    <n v="1.5360781661740434E-2"/>
    <s v="2nd Floor"/>
    <n v="0"/>
    <x v="3"/>
    <s v="Mar 14, 2018 @ 13:33"/>
    <s v="Mar 14, 2018 @ 13:33"/>
    <s v="nboyd@hanson-inc.com"/>
  </r>
  <r>
    <n v="776"/>
    <s v="C"/>
    <s v="Coffee"/>
    <x v="2"/>
    <n v="1000"/>
    <n v="1"/>
    <n v="0.05"/>
    <n v="1000"/>
    <n v="273.75"/>
    <n v="29.185401862234706"/>
    <n v="4.501800720288115E-3"/>
    <n v="934.07377206877402"/>
    <n v="1.5360781661740434E-2"/>
    <s v="2nd Floor"/>
    <n v="2"/>
    <x v="3"/>
    <s v="Mar 14, 2018 @ 14:25"/>
    <s v="Mar 14, 2018 @ 14:19"/>
    <s v="mcoalson@hanson-inc.com"/>
  </r>
  <r>
    <n v="875"/>
    <s v="C"/>
    <s v="Coffee"/>
    <x v="2"/>
    <n v="1000"/>
    <n v="1"/>
    <n v="0.05"/>
    <n v="1000"/>
    <n v="273.75"/>
    <n v="29.185401862234706"/>
    <n v="4.501800720288115E-3"/>
    <n v="934.07377206877402"/>
    <n v="1.5360781661740434E-2"/>
    <s v="2nd Floor"/>
    <n v="0"/>
    <x v="3"/>
    <s v="Mar 14, 2018 @ 14:59"/>
    <s v="Mar 14, 2018 @ 14:59"/>
    <s v="nboyd@hanson-inc.com"/>
  </r>
  <r>
    <n v="77"/>
    <s v="C"/>
    <s v="Coffee"/>
    <x v="2"/>
    <n v="1000"/>
    <n v="1"/>
    <n v="0.05"/>
    <n v="1000"/>
    <n v="273.75"/>
    <n v="29.185401862234706"/>
    <n v="4.501800720288115E-3"/>
    <n v="934.07377206877402"/>
    <n v="1.5360781661740434E-2"/>
    <s v="VTU3-20"/>
    <n v="0"/>
    <x v="3"/>
    <s v="Mar 12, 2018 @ 14:29"/>
    <s v="Mar 12, 2018 @ 14:23"/>
    <s v="mcoalson@hanson-inc.com"/>
  </r>
  <r>
    <n v="99"/>
    <s v="C"/>
    <s v="Coffee"/>
    <x v="2"/>
    <n v="1000"/>
    <n v="1"/>
    <n v="0.05"/>
    <n v="1000"/>
    <n v="273.75"/>
    <n v="29.185401862234706"/>
    <n v="4.501800720288115E-3"/>
    <n v="934.07377206877402"/>
    <n v="1.5360781661740434E-2"/>
    <s v="VTU3-20"/>
    <n v="0"/>
    <x v="3"/>
    <s v="Mar 12, 2018 @ 14:35"/>
    <s v="Mar 12, 2018 @ 14:28"/>
    <s v="mcoalson@hanson-inc.com"/>
  </r>
  <r>
    <n v="148"/>
    <s v="C"/>
    <s v="Coffee"/>
    <x v="2"/>
    <n v="1000"/>
    <n v="1"/>
    <n v="0.05"/>
    <n v="1000"/>
    <n v="273.75"/>
    <n v="29.185401862234706"/>
    <n v="4.501800720288115E-3"/>
    <n v="934.07377206877402"/>
    <n v="1.5360781661740434E-2"/>
    <s v="VTU3-20"/>
    <n v="0"/>
    <x v="3"/>
    <s v="Mar 12, 2018 @ 14:43"/>
    <s v="Mar 12, 2018 @ 14:37"/>
    <s v="mcoalson@hanson-inc.com"/>
  </r>
  <r>
    <n v="226"/>
    <s v="C"/>
    <s v="Coffee"/>
    <x v="2"/>
    <n v="1000"/>
    <n v="1"/>
    <n v="0.05"/>
    <n v="1000"/>
    <n v="273.75"/>
    <n v="29.185401862234706"/>
    <n v="4.501800720288115E-3"/>
    <n v="934.07377206877402"/>
    <n v="1.5360781661740434E-2"/>
    <s v="VTU3-20"/>
    <n v="0"/>
    <x v="3"/>
    <s v="Mar 12, 2018 @ 14:59"/>
    <s v="Mar 12, 2018 @ 14:52"/>
    <s v="mcoalson@hanson-inc.com"/>
  </r>
  <r>
    <n v="239"/>
    <s v="C"/>
    <s v="Coffee"/>
    <x v="2"/>
    <n v="1000"/>
    <n v="1"/>
    <n v="0.05"/>
    <n v="1000"/>
    <n v="273.75"/>
    <n v="29.185401862234706"/>
    <n v="4.501800720288115E-3"/>
    <n v="934.07377206877402"/>
    <n v="1.5360781661740434E-2"/>
    <s v="VTU3-20"/>
    <n v="0"/>
    <x v="3"/>
    <s v="Mar 12, 2018 @ 15:02"/>
    <s v="Mar 12, 2018 @ 14:56"/>
    <s v="mcoalson@hanson-inc.com"/>
  </r>
  <r>
    <n v="303"/>
    <s v="C"/>
    <s v="Coffee"/>
    <x v="2"/>
    <n v="1000"/>
    <n v="1"/>
    <n v="0.05"/>
    <n v="1000"/>
    <n v="273.75"/>
    <n v="29.185401862234706"/>
    <n v="4.501800720288115E-3"/>
    <n v="934.07377206877402"/>
    <n v="1.5360781661740434E-2"/>
    <s v="VTU3-20"/>
    <n v="0"/>
    <x v="3"/>
    <s v="Mar 12, 2018 @ 15:32"/>
    <s v="Mar 12, 2018 @ 18:28"/>
    <s v="mcoalson@hanson-inc.com"/>
  </r>
  <r>
    <n v="307"/>
    <s v="C"/>
    <s v="Coffee"/>
    <x v="2"/>
    <n v="1000"/>
    <n v="1"/>
    <n v="0.05"/>
    <n v="1000"/>
    <n v="273.75"/>
    <n v="29.185401862234706"/>
    <n v="4.501800720288115E-3"/>
    <n v="934.07377206877402"/>
    <n v="1.5360781661740434E-2"/>
    <s v="VTU3-20"/>
    <n v="0"/>
    <x v="3"/>
    <s v="Mar 12, 2018 @ 15:33"/>
    <s v="Mar 12, 2018 @ 18:28"/>
    <s v="mcoalson@hanson-inc.com"/>
  </r>
  <r>
    <n v="308"/>
    <s v="C"/>
    <s v="Coffee"/>
    <x v="2"/>
    <n v="1000"/>
    <n v="1"/>
    <n v="0.05"/>
    <n v="1000"/>
    <n v="273.75"/>
    <n v="29.185401862234706"/>
    <n v="4.501800720288115E-3"/>
    <n v="934.07377206877402"/>
    <n v="1.5360781661740434E-2"/>
    <s v="VTU3-20"/>
    <n v="0"/>
    <x v="3"/>
    <s v="Mar 12, 2018 @ 15:33"/>
    <s v="Mar 12, 2018 @ 18:28"/>
    <s v="mcoalson@hanson-inc.com"/>
  </r>
  <r>
    <n v="405"/>
    <s v="C"/>
    <s v="Coffee"/>
    <x v="2"/>
    <n v="1000"/>
    <n v="1"/>
    <n v="0.05"/>
    <n v="1000"/>
    <n v="273.75"/>
    <n v="29.185401862234706"/>
    <n v="4.501800720288115E-3"/>
    <n v="934.07377206877402"/>
    <n v="1.5360781661740434E-2"/>
    <s v="VTU3-20"/>
    <n v="0"/>
    <x v="3"/>
    <s v="Mar 12, 2018 @ 18:37"/>
    <s v="Mar 12, 2018 @ 18:37"/>
    <s v="nboyd@hanson-inc.com"/>
  </r>
  <r>
    <n v="531"/>
    <s v="C"/>
    <s v="Coffee"/>
    <x v="2"/>
    <n v="1000"/>
    <n v="1"/>
    <n v="0.05"/>
    <n v="1000"/>
    <n v="273.75"/>
    <n v="29.185401862234706"/>
    <n v="4.501800720288115E-3"/>
    <n v="934.07377206877402"/>
    <n v="1.5360781661740434E-2"/>
    <s v="VTU3-20"/>
    <n v="0"/>
    <x v="3"/>
    <s v="Mar 12, 2018 @ 19:15"/>
    <s v="Mar 12, 2018 @ 19:08"/>
    <s v="mcoalson@hanson-inc.com"/>
  </r>
  <r>
    <n v="572"/>
    <s v="C"/>
    <s v="Coffee"/>
    <x v="2"/>
    <n v="1000"/>
    <n v="1"/>
    <n v="0.05"/>
    <n v="1000"/>
    <n v="273.75"/>
    <n v="29.185401862234706"/>
    <n v="4.501800720288115E-3"/>
    <n v="934.07377206877402"/>
    <n v="1.5360781661740434E-2"/>
    <s v="VTU3-20"/>
    <n v="0"/>
    <x v="3"/>
    <s v="Mar 12, 2018 @ 19:13"/>
    <s v="Mar 12, 2018 @ 19:13"/>
    <s v="nboyd@hanson-inc.com"/>
  </r>
  <r>
    <n v="602"/>
    <s v="C"/>
    <s v="Coffee"/>
    <x v="2"/>
    <n v="1000"/>
    <n v="1"/>
    <n v="0.05"/>
    <n v="1000"/>
    <n v="273.75"/>
    <n v="29.185401862234706"/>
    <n v="4.501800720288115E-3"/>
    <n v="934.07377206877402"/>
    <n v="1.5360781661740434E-2"/>
    <s v="VTU3-20"/>
    <n v="0"/>
    <x v="3"/>
    <s v="Mar 12, 2018 @ 19:16"/>
    <s v="Mar 12, 2018 @ 19:16"/>
    <s v="nboyd@hanson-inc.com"/>
  </r>
  <r>
    <n v="1062"/>
    <s v="CO"/>
    <s v="Copier"/>
    <x v="2"/>
    <n v="100"/>
    <n v="1"/>
    <n v="0.1"/>
    <n v="100"/>
    <n v="54.75"/>
    <n v="5.8370803724469411"/>
    <n v="9.0036014405762304E-4"/>
    <n v="186.8147544137548"/>
    <n v="3.0721563323480865E-3"/>
    <s v="1st Floor"/>
    <n v="0"/>
    <x v="3"/>
    <s v="Mar 14, 2018 @ 16:23"/>
    <s v="Mar 14, 2018 @ 16:23"/>
    <s v="nboyd@hanson-inc.com"/>
  </r>
  <r>
    <n v="1084"/>
    <s v="CO"/>
    <s v="Copier"/>
    <x v="2"/>
    <n v="100"/>
    <n v="1"/>
    <n v="0.1"/>
    <n v="100"/>
    <n v="54.75"/>
    <n v="5.8370803724469411"/>
    <n v="9.0036014405762304E-4"/>
    <n v="186.8147544137548"/>
    <n v="3.0721563323480865E-3"/>
    <s v="1st Floor"/>
    <n v="0"/>
    <x v="3"/>
    <s v="Mar 14, 2018 @ 16:27"/>
    <s v="Mar 14, 2018 @ 16:27"/>
    <s v="mcoalson@hanson-inc.com"/>
  </r>
  <r>
    <n v="713"/>
    <s v="CO"/>
    <s v="Copier"/>
    <x v="2"/>
    <n v="100"/>
    <n v="1"/>
    <n v="0.1"/>
    <n v="100"/>
    <n v="54.75"/>
    <n v="5.8370803724469411"/>
    <n v="9.0036014405762304E-4"/>
    <n v="186.8147544137548"/>
    <n v="3.0721563323480865E-3"/>
    <s v="2nd Floor"/>
    <n v="0"/>
    <x v="3"/>
    <s v="Mar 14, 2018 @ 13:34"/>
    <s v="Mar 14, 2018 @ 13:34"/>
    <s v="nboyd@hanson-inc.com"/>
  </r>
  <r>
    <n v="769"/>
    <s v="CO"/>
    <s v="Copier"/>
    <x v="2"/>
    <n v="100"/>
    <n v="1"/>
    <n v="0.1"/>
    <n v="100"/>
    <n v="54.75"/>
    <n v="5.8370803724469411"/>
    <n v="9.0036014405762304E-4"/>
    <n v="186.8147544137548"/>
    <n v="3.0721563323480865E-3"/>
    <s v="2nd Floor"/>
    <n v="0"/>
    <x v="3"/>
    <s v="Mar 14, 2018 @ 14:16"/>
    <s v="Mar 14, 2018 @ 14:16"/>
    <s v="nboyd@hanson-inc.com"/>
  </r>
  <r>
    <n v="858"/>
    <s v="CO"/>
    <s v="Copier"/>
    <x v="2"/>
    <n v="100"/>
    <n v="1"/>
    <n v="0.1"/>
    <n v="100"/>
    <n v="54.75"/>
    <n v="5.8370803724469411"/>
    <n v="9.0036014405762304E-4"/>
    <n v="186.8147544137548"/>
    <n v="3.0721563323480865E-3"/>
    <s v="2nd Floor"/>
    <n v="0"/>
    <x v="3"/>
    <s v="Mar 14, 2018 @ 14:57"/>
    <s v="Mar 14, 2018 @ 14:57"/>
    <s v="nboyd@hanson-inc.com"/>
  </r>
  <r>
    <n v="21"/>
    <s v="CO"/>
    <s v="Copier"/>
    <x v="19"/>
    <n v="100"/>
    <n v="1"/>
    <n v="0.1"/>
    <n v="100"/>
    <n v="54.75"/>
    <n v="5.8370803724469411"/>
    <n v="9.0036014405762304E-4"/>
    <n v="186.8147544137548"/>
    <n v="3.0721563323480865E-3"/>
    <s v="VTU3-20"/>
    <n v="0"/>
    <x v="3"/>
    <s v="Mar 12, 2018 @ 14:11"/>
    <s v="Mar 12, 2018 @ 14:05"/>
    <s v="mcoalson@hanson-inc.com"/>
  </r>
  <r>
    <n v="413"/>
    <s v="CO"/>
    <s v="Copier"/>
    <x v="2"/>
    <n v="100"/>
    <n v="1"/>
    <n v="0.1"/>
    <n v="100"/>
    <n v="54.75"/>
    <n v="5.8370803724469411"/>
    <n v="9.0036014405762304E-4"/>
    <n v="186.8147544137548"/>
    <n v="3.0721563323480865E-3"/>
    <s v="VTU3-20"/>
    <n v="0"/>
    <x v="3"/>
    <s v="Mar 12, 2018 @ 18:40"/>
    <s v="Mar 12, 2018 @ 18:40"/>
    <s v="nboyd@hanson-inc.com"/>
  </r>
  <r>
    <n v="1000"/>
    <s v="DT"/>
    <s v="Desktop"/>
    <x v="20"/>
    <n v="50"/>
    <n v="1"/>
    <n v="0.9"/>
    <n v="50"/>
    <n v="246.375"/>
    <n v="26.266861676011235"/>
    <n v="4.0516206482593036E-3"/>
    <n v="840.66639486189661"/>
    <n v="1.3824703495566391E-2"/>
    <s v="1st Floor"/>
    <n v="0"/>
    <x v="3"/>
    <s v="Mar 14, 2018 @ 16:06"/>
    <s v="Mar 14, 2018 @ 16:00"/>
    <s v="mcoalson@hanson-inc.com"/>
  </r>
  <r>
    <n v="885"/>
    <s v="DT"/>
    <s v="Desktop"/>
    <x v="2"/>
    <n v="50"/>
    <n v="1"/>
    <n v="0.9"/>
    <n v="50"/>
    <n v="246.375"/>
    <n v="26.266861676011235"/>
    <n v="4.0516206482593036E-3"/>
    <n v="840.66639486189661"/>
    <n v="1.3824703495566391E-2"/>
    <s v="1st Floor"/>
    <n v="0"/>
    <x v="3"/>
    <s v="Mar 14, 2018 @ 15:09"/>
    <s v="Mar 14, 2018 @ 15:09"/>
    <s v="mcoalson@hanson-inc.com"/>
  </r>
  <r>
    <n v="895"/>
    <s v="DT"/>
    <s v="Desktop"/>
    <x v="2"/>
    <n v="50"/>
    <n v="1"/>
    <n v="0.9"/>
    <n v="50"/>
    <n v="246.375"/>
    <n v="26.266861676011235"/>
    <n v="4.0516206482593036E-3"/>
    <n v="840.66639486189661"/>
    <n v="1.3824703495566391E-2"/>
    <s v="1st Floor"/>
    <n v="0"/>
    <x v="3"/>
    <s v="Mar 14, 2018 @ 15:13"/>
    <s v="Mar 14, 2018 @ 15:13"/>
    <s v="nboyd@hanson-inc.com"/>
  </r>
  <r>
    <n v="899"/>
    <s v="DT"/>
    <s v="Desktop"/>
    <x v="2"/>
    <n v="50"/>
    <n v="1"/>
    <n v="0.9"/>
    <n v="50"/>
    <n v="246.375"/>
    <n v="26.266861676011235"/>
    <n v="4.0516206482593036E-3"/>
    <n v="840.66639486189661"/>
    <n v="1.3824703495566391E-2"/>
    <s v="1st Floor"/>
    <n v="0"/>
    <x v="3"/>
    <s v="Mar 14, 2018 @ 15:15"/>
    <s v="Mar 14, 2018 @ 15:15"/>
    <s v="mcoalson@hanson-inc.com"/>
  </r>
  <r>
    <n v="900"/>
    <s v="DT"/>
    <s v="Desktop"/>
    <x v="2"/>
    <n v="50"/>
    <n v="1"/>
    <n v="0.9"/>
    <n v="50"/>
    <n v="246.375"/>
    <n v="26.266861676011235"/>
    <n v="4.0516206482593036E-3"/>
    <n v="840.66639486189661"/>
    <n v="1.3824703495566391E-2"/>
    <s v="1st Floor"/>
    <n v="0"/>
    <x v="3"/>
    <s v="Mar 14, 2018 @ 15:15"/>
    <s v="Mar 14, 2018 @ 15:15"/>
    <s v="mcoalson@hanson-inc.com"/>
  </r>
  <r>
    <n v="901"/>
    <s v="DT"/>
    <s v="Desktop"/>
    <x v="2"/>
    <n v="50"/>
    <n v="1"/>
    <n v="0.9"/>
    <n v="50"/>
    <n v="246.375"/>
    <n v="26.266861676011235"/>
    <n v="4.0516206482593036E-3"/>
    <n v="840.66639486189661"/>
    <n v="1.3824703495566391E-2"/>
    <s v="1st Floor"/>
    <n v="0"/>
    <x v="3"/>
    <s v="Mar 14, 2018 @ 15:15"/>
    <s v="Mar 14, 2018 @ 15:15"/>
    <s v="mcoalson@hanson-inc.com"/>
  </r>
  <r>
    <n v="312"/>
    <s v="T8"/>
    <s v="Light Fixture"/>
    <x v="21"/>
    <n v="24"/>
    <n v="1"/>
    <n v="1"/>
    <n v="24"/>
    <n v="131.4"/>
    <n v="14.008992893872659"/>
    <n v="2.1608643457382954E-3"/>
    <n v="448.35541059301153"/>
    <n v="7.3731751976354081E-3"/>
    <s v="VTU3-20"/>
    <n v="0"/>
    <x v="4"/>
    <s v="Mar 12, 2018 @ 15:36"/>
    <s v="Mar 12, 2018 @ 18:29"/>
    <s v="mcoalson@hanson-inc.com"/>
  </r>
  <r>
    <n v="954"/>
    <s v="DT"/>
    <s v="Desktop"/>
    <x v="2"/>
    <n v="50"/>
    <n v="1"/>
    <n v="0.9"/>
    <n v="50"/>
    <n v="246.375"/>
    <n v="26.266861676011235"/>
    <n v="4.0516206482593036E-3"/>
    <n v="840.66639486189661"/>
    <n v="1.3824703495566391E-2"/>
    <s v="1st Floor"/>
    <n v="0"/>
    <x v="3"/>
    <s v="Mar 14, 2018 @ 15:52"/>
    <s v="Mar 14, 2018 @ 15:52"/>
    <s v="nboyd@hanson-inc.com"/>
  </r>
  <r>
    <n v="958"/>
    <s v="DT"/>
    <s v="Desktop"/>
    <x v="2"/>
    <n v="50"/>
    <n v="1"/>
    <n v="0.9"/>
    <n v="50"/>
    <n v="246.375"/>
    <n v="26.266861676011235"/>
    <n v="4.0516206482593036E-3"/>
    <n v="840.66639486189661"/>
    <n v="1.3824703495566391E-2"/>
    <s v="1st Floor"/>
    <n v="0"/>
    <x v="3"/>
    <s v="Mar 14, 2018 @ 15:52"/>
    <s v="Mar 14, 2018 @ 15:52"/>
    <s v="mcoalson@hanson-inc.com"/>
  </r>
  <r>
    <n v="295"/>
    <s v="LF"/>
    <s v="Lighting Fixture"/>
    <x v="22"/>
    <n v="12"/>
    <n v="1"/>
    <n v="1"/>
    <n v="12"/>
    <n v="65.7"/>
    <n v="7.0044964469363293"/>
    <n v="1.0804321728691477E-3"/>
    <n v="224.17770529650576"/>
    <n v="3.686587598817704E-3"/>
    <s v="VTU3-20"/>
    <n v="0"/>
    <x v="4"/>
    <s v="Mar 12, 2018 @ 15:27"/>
    <s v="Mar 12, 2018 @ 18:28"/>
    <s v="mcoalson@hanson-inc.com"/>
  </r>
  <r>
    <n v="967"/>
    <s v="DT"/>
    <s v="Desktop"/>
    <x v="2"/>
    <n v="50"/>
    <n v="1"/>
    <n v="0.9"/>
    <n v="50"/>
    <n v="246.375"/>
    <n v="26.266861676011235"/>
    <n v="4.0516206482593036E-3"/>
    <n v="840.66639486189661"/>
    <n v="1.3824703495566391E-2"/>
    <s v="1st Floor"/>
    <n v="0"/>
    <x v="3"/>
    <s v="Mar 14, 2018 @ 15:53"/>
    <s v="Mar 14, 2018 @ 15:53"/>
    <s v="nboyd@hanson-inc.com"/>
  </r>
  <r>
    <n v="968"/>
    <s v="DT"/>
    <s v="Desktop"/>
    <x v="2"/>
    <n v="50"/>
    <n v="1"/>
    <n v="0.9"/>
    <n v="50"/>
    <n v="246.375"/>
    <n v="26.266861676011235"/>
    <n v="4.0516206482593036E-3"/>
    <n v="840.66639486189661"/>
    <n v="1.3824703495566391E-2"/>
    <s v="1st Floor"/>
    <n v="0"/>
    <x v="3"/>
    <s v="Mar 14, 2018 @ 15:54"/>
    <s v="Mar 14, 2018 @ 15:54"/>
    <s v="mcoalson@hanson-inc.com"/>
  </r>
  <r>
    <n v="979"/>
    <s v="DT"/>
    <s v="Desktop"/>
    <x v="2"/>
    <n v="50"/>
    <n v="1"/>
    <n v="0.9"/>
    <n v="50"/>
    <n v="246.375"/>
    <n v="26.266861676011235"/>
    <n v="4.0516206482593036E-3"/>
    <n v="840.66639486189661"/>
    <n v="1.3824703495566391E-2"/>
    <s v="1st Floor"/>
    <n v="0"/>
    <x v="3"/>
    <s v="Mar 14, 2018 @ 15:56"/>
    <s v="Mar 14, 2018 @ 15:56"/>
    <s v="nboyd@hanson-inc.com"/>
  </r>
  <r>
    <n v="980"/>
    <s v="DT"/>
    <s v="Desktop"/>
    <x v="2"/>
    <n v="50"/>
    <n v="1"/>
    <n v="0.9"/>
    <n v="50"/>
    <n v="246.375"/>
    <n v="26.266861676011235"/>
    <n v="4.0516206482593036E-3"/>
    <n v="840.66639486189661"/>
    <n v="1.3824703495566391E-2"/>
    <s v="1st Floor"/>
    <n v="0"/>
    <x v="3"/>
    <s v="Mar 14, 2018 @ 15:56"/>
    <s v="Mar 14, 2018 @ 15:56"/>
    <s v="mcoalson@hanson-inc.com"/>
  </r>
  <r>
    <n v="983"/>
    <s v="DT"/>
    <s v="Desktop"/>
    <x v="2"/>
    <n v="50"/>
    <n v="1"/>
    <n v="0.9"/>
    <n v="50"/>
    <n v="246.375"/>
    <n v="26.266861676011235"/>
    <n v="4.0516206482593036E-3"/>
    <n v="840.66639486189661"/>
    <n v="1.3824703495566391E-2"/>
    <s v="1st Floor"/>
    <n v="0"/>
    <x v="3"/>
    <s v="Mar 14, 2018 @ 15:57"/>
    <s v="Mar 14, 2018 @ 15:57"/>
    <s v="mcoalson@hanson-inc.com"/>
  </r>
  <r>
    <n v="993"/>
    <s v="DT"/>
    <s v="Desktop"/>
    <x v="2"/>
    <n v="50"/>
    <n v="1"/>
    <n v="0.9"/>
    <n v="50"/>
    <n v="246.375"/>
    <n v="26.266861676011235"/>
    <n v="4.0516206482593036E-3"/>
    <n v="840.66639486189661"/>
    <n v="1.3824703495566391E-2"/>
    <s v="1st Floor"/>
    <n v="0"/>
    <x v="3"/>
    <s v="Mar 14, 2018 @ 15:59"/>
    <s v="Mar 14, 2018 @ 15:59"/>
    <s v="nboyd@hanson-inc.com"/>
  </r>
  <r>
    <n v="997"/>
    <s v="DT"/>
    <s v="Desktop"/>
    <x v="2"/>
    <n v="50"/>
    <n v="1"/>
    <n v="0.9"/>
    <n v="50"/>
    <n v="246.375"/>
    <n v="26.266861676011235"/>
    <n v="4.0516206482593036E-3"/>
    <n v="840.66639486189661"/>
    <n v="1.3824703495566391E-2"/>
    <s v="1st Floor"/>
    <n v="0"/>
    <x v="3"/>
    <s v="Mar 14, 2018 @ 16:03"/>
    <s v="Mar 14, 2018 @ 16:00"/>
    <s v="mcoalson@hanson-inc.com"/>
  </r>
  <r>
    <n v="966"/>
    <s v="T8"/>
    <s v="Light Fixture"/>
    <x v="23"/>
    <n v="36"/>
    <n v="1"/>
    <n v="1"/>
    <n v="36"/>
    <n v="197.1"/>
    <n v="21.013489340808988"/>
    <n v="3.2412965186074429E-3"/>
    <n v="672.53311588951726"/>
    <n v="1.1059762796453111E-2"/>
    <s v="1st Floor"/>
    <n v="0"/>
    <x v="4"/>
    <s v="Mar 14, 2018 @ 15:53"/>
    <s v="Mar 14, 2018 @ 15:53"/>
    <s v="mcoalson@hanson-inc.com"/>
  </r>
  <r>
    <n v="1008"/>
    <s v="DT"/>
    <s v="Desktop"/>
    <x v="2"/>
    <n v="50"/>
    <n v="1"/>
    <n v="0.9"/>
    <n v="50"/>
    <n v="246.375"/>
    <n v="26.266861676011235"/>
    <n v="4.0516206482593036E-3"/>
    <n v="840.66639486189661"/>
    <n v="1.3824703495566391E-2"/>
    <s v="1st Floor"/>
    <n v="0"/>
    <x v="3"/>
    <s v="Mar 14, 2018 @ 16:02"/>
    <s v="Mar 14, 2018 @ 16:02"/>
    <s v="mcoalson@hanson-inc.com"/>
  </r>
  <r>
    <n v="1017"/>
    <s v="DT"/>
    <s v="Desktop"/>
    <x v="2"/>
    <n v="50"/>
    <n v="1"/>
    <n v="0.9"/>
    <n v="50"/>
    <n v="246.375"/>
    <n v="26.266861676011235"/>
    <n v="4.0516206482593036E-3"/>
    <n v="840.66639486189661"/>
    <n v="1.3824703495566391E-2"/>
    <s v="1st Floor"/>
    <n v="0"/>
    <x v="3"/>
    <s v="Mar 14, 2018 @ 16:03"/>
    <s v="Mar 14, 2018 @ 16:03"/>
    <s v="mcoalson@hanson-inc.com"/>
  </r>
  <r>
    <n v="1019"/>
    <s v="DT"/>
    <s v="Desktop"/>
    <x v="2"/>
    <n v="50"/>
    <n v="1"/>
    <n v="0.9"/>
    <n v="50"/>
    <n v="246.375"/>
    <n v="26.266861676011235"/>
    <n v="4.0516206482593036E-3"/>
    <n v="840.66639486189661"/>
    <n v="1.3824703495566391E-2"/>
    <s v="1st Floor"/>
    <n v="0"/>
    <x v="3"/>
    <s v="Mar 14, 2018 @ 16:03"/>
    <s v="Mar 14, 2018 @ 16:03"/>
    <s v="nboyd@hanson-inc.com"/>
  </r>
  <r>
    <n v="1023"/>
    <s v="DT"/>
    <s v="Desktop"/>
    <x v="2"/>
    <n v="50"/>
    <n v="1"/>
    <n v="0.9"/>
    <n v="50"/>
    <n v="246.375"/>
    <n v="26.266861676011235"/>
    <n v="4.0516206482593036E-3"/>
    <n v="840.66639486189661"/>
    <n v="1.3824703495566391E-2"/>
    <s v="1st Floor"/>
    <n v="0"/>
    <x v="3"/>
    <s v="Mar 14, 2018 @ 16:10"/>
    <s v="Mar 14, 2018 @ 16:03"/>
    <s v="mcoalson@hanson-inc.com"/>
  </r>
  <r>
    <n v="1030"/>
    <s v="DT"/>
    <s v="Desktop"/>
    <x v="2"/>
    <n v="50"/>
    <n v="1"/>
    <n v="0.9"/>
    <n v="50"/>
    <n v="246.375"/>
    <n v="26.266861676011235"/>
    <n v="4.0516206482593036E-3"/>
    <n v="840.66639486189661"/>
    <n v="1.3824703495566391E-2"/>
    <s v="1st Floor"/>
    <n v="0"/>
    <x v="3"/>
    <s v="Mar 14, 2018 @ 16:05"/>
    <s v="Mar 14, 2018 @ 16:05"/>
    <s v="mcoalson@hanson-inc.com"/>
  </r>
  <r>
    <n v="1038"/>
    <s v="DT"/>
    <s v="Desktop"/>
    <x v="2"/>
    <n v="50"/>
    <n v="1"/>
    <n v="0.9"/>
    <n v="50"/>
    <n v="246.375"/>
    <n v="26.266861676011235"/>
    <n v="4.0516206482593036E-3"/>
    <n v="840.66639486189661"/>
    <n v="1.3824703495566391E-2"/>
    <s v="1st Floor"/>
    <n v="0"/>
    <x v="3"/>
    <s v="Mar 14, 2018 @ 16:12"/>
    <s v="Mar 14, 2018 @ 16:06"/>
    <s v="mcoalson@hanson-inc.com"/>
  </r>
  <r>
    <n v="1063"/>
    <s v="DT"/>
    <s v="Desktop"/>
    <x v="2"/>
    <n v="50"/>
    <n v="1"/>
    <n v="0.9"/>
    <n v="50"/>
    <n v="246.375"/>
    <n v="26.266861676011235"/>
    <n v="4.0516206482593036E-3"/>
    <n v="840.66639486189661"/>
    <n v="1.3824703495566391E-2"/>
    <s v="1st Floor"/>
    <n v="0"/>
    <x v="3"/>
    <s v="Mar 14, 2018 @ 16:23"/>
    <s v="Mar 14, 2018 @ 16:23"/>
    <s v="nboyd@hanson-inc.com"/>
  </r>
  <r>
    <n v="665"/>
    <s v="DT"/>
    <s v="Desktop"/>
    <x v="2"/>
    <n v="50"/>
    <n v="1"/>
    <n v="0.9"/>
    <n v="50"/>
    <n v="246.375"/>
    <n v="26.266861676011235"/>
    <n v="4.0516206482593036E-3"/>
    <n v="840.66639486189661"/>
    <n v="1.3824703495566391E-2"/>
    <s v="2nd Floor"/>
    <n v="0"/>
    <x v="3"/>
    <s v="Mar 14, 2018 @ 13:21"/>
    <s v="Mar 14, 2018 @ 13:21"/>
    <s v="nboyd@hanson-inc.com"/>
  </r>
  <r>
    <n v="669"/>
    <s v="DT"/>
    <s v="Desktop"/>
    <x v="2"/>
    <n v="50"/>
    <n v="1"/>
    <n v="0.9"/>
    <n v="50"/>
    <n v="246.375"/>
    <n v="26.266861676011235"/>
    <n v="4.0516206482593036E-3"/>
    <n v="840.66639486189661"/>
    <n v="1.3824703495566391E-2"/>
    <s v="2nd Floor"/>
    <n v="0"/>
    <x v="3"/>
    <s v="Mar 14, 2018 @ 13:23"/>
    <s v="Mar 14, 2018 @ 13:23"/>
    <s v="mcoalson@hanson-inc.com"/>
  </r>
  <r>
    <n v="670"/>
    <s v="DT"/>
    <s v="Desktop"/>
    <x v="2"/>
    <n v="50"/>
    <n v="1"/>
    <n v="0.9"/>
    <n v="50"/>
    <n v="246.375"/>
    <n v="26.266861676011235"/>
    <n v="4.0516206482593036E-3"/>
    <n v="840.66639486189661"/>
    <n v="1.3824703495566391E-2"/>
    <s v="2nd Floor"/>
    <n v="0"/>
    <x v="3"/>
    <s v="Mar 14, 2018 @ 13:23"/>
    <s v="Mar 14, 2018 @ 13:23"/>
    <s v="mcoalson@hanson-inc.com"/>
  </r>
  <r>
    <n v="671"/>
    <s v="DT"/>
    <s v="Desktop"/>
    <x v="2"/>
    <n v="50"/>
    <n v="1"/>
    <n v="0.9"/>
    <n v="50"/>
    <n v="246.375"/>
    <n v="26.266861676011235"/>
    <n v="4.0516206482593036E-3"/>
    <n v="840.66639486189661"/>
    <n v="1.3824703495566391E-2"/>
    <s v="2nd Floor"/>
    <n v="0"/>
    <x v="3"/>
    <s v="Mar 14, 2018 @ 13:23"/>
    <s v="Mar 14, 2018 @ 13:23"/>
    <s v="mcoalson@hanson-inc.com"/>
  </r>
  <r>
    <n v="681"/>
    <s v="DT"/>
    <s v="Desktop"/>
    <x v="2"/>
    <n v="50"/>
    <n v="1"/>
    <n v="0.9"/>
    <n v="50"/>
    <n v="246.375"/>
    <n v="26.266861676011235"/>
    <n v="4.0516206482593036E-3"/>
    <n v="840.66639486189661"/>
    <n v="1.3824703495566391E-2"/>
    <s v="2nd Floor"/>
    <n v="0"/>
    <x v="3"/>
    <s v="Mar 14, 2018 @ 13:25"/>
    <s v="Mar 14, 2018 @ 13:25"/>
    <s v="mcoalson@hanson-inc.com"/>
  </r>
  <r>
    <n v="696"/>
    <s v="DT"/>
    <s v="Desktop"/>
    <x v="2"/>
    <n v="50"/>
    <n v="1"/>
    <n v="0.9"/>
    <n v="50"/>
    <n v="246.375"/>
    <n v="26.266861676011235"/>
    <n v="4.0516206482593036E-3"/>
    <n v="840.66639486189661"/>
    <n v="1.3824703495566391E-2"/>
    <s v="2nd Floor"/>
    <n v="0"/>
    <x v="3"/>
    <s v="Mar 14, 2018 @ 13:27"/>
    <s v="Mar 14, 2018 @ 13:27"/>
    <s v="nboyd@hanson-inc.com"/>
  </r>
  <r>
    <n v="703"/>
    <s v="DT"/>
    <s v="Desktop"/>
    <x v="2"/>
    <n v="50"/>
    <n v="1"/>
    <n v="0.9"/>
    <n v="50"/>
    <n v="246.375"/>
    <n v="26.266861676011235"/>
    <n v="4.0516206482593036E-3"/>
    <n v="840.66639486189661"/>
    <n v="1.3824703495566391E-2"/>
    <s v="2nd Floor"/>
    <n v="0"/>
    <x v="3"/>
    <s v="Mar 14, 2018 @ 13:30"/>
    <s v="Mar 14, 2018 @ 13:30"/>
    <s v="nboyd@hanson-inc.com"/>
  </r>
  <r>
    <n v="708"/>
    <s v="DT"/>
    <s v="Desktop"/>
    <x v="2"/>
    <n v="50"/>
    <n v="1"/>
    <n v="0.9"/>
    <n v="50"/>
    <n v="246.375"/>
    <n v="26.266861676011235"/>
    <n v="4.0516206482593036E-3"/>
    <n v="840.66639486189661"/>
    <n v="1.3824703495566391E-2"/>
    <s v="2nd Floor"/>
    <n v="0"/>
    <x v="3"/>
    <s v="Mar 14, 2018 @ 13:32"/>
    <s v="Mar 14, 2018 @ 13:32"/>
    <s v="nboyd@hanson-inc.com"/>
  </r>
  <r>
    <n v="739"/>
    <s v="DT"/>
    <s v="Desktop"/>
    <x v="2"/>
    <n v="50"/>
    <n v="1"/>
    <n v="0.9"/>
    <n v="50"/>
    <n v="246.375"/>
    <n v="26.266861676011235"/>
    <n v="4.0516206482593036E-3"/>
    <n v="840.66639486189661"/>
    <n v="1.3824703495566391E-2"/>
    <s v="2nd Floor"/>
    <n v="0"/>
    <x v="3"/>
    <s v="Mar 14, 2018 @ 13:58"/>
    <s v="Mar 14, 2018 @ 13:58"/>
    <s v="mcoalson@hanson-inc.com"/>
  </r>
  <r>
    <n v="756"/>
    <s v="DT"/>
    <s v="Desktop"/>
    <x v="2"/>
    <n v="50"/>
    <n v="1"/>
    <n v="0.9"/>
    <n v="50"/>
    <n v="246.375"/>
    <n v="26.266861676011235"/>
    <n v="4.0516206482593036E-3"/>
    <n v="840.66639486189661"/>
    <n v="1.3824703495566391E-2"/>
    <s v="2nd Floor"/>
    <n v="0"/>
    <x v="3"/>
    <s v="Mar 14, 2018 @ 14:14"/>
    <s v="Mar 14, 2018 @ 14:14"/>
    <s v="mcoalson@hanson-inc.com"/>
  </r>
  <r>
    <n v="757"/>
    <s v="DT"/>
    <s v="Desktop"/>
    <x v="2"/>
    <n v="50"/>
    <n v="1"/>
    <n v="0.9"/>
    <n v="50"/>
    <n v="246.375"/>
    <n v="26.266861676011235"/>
    <n v="4.0516206482593036E-3"/>
    <n v="840.66639486189661"/>
    <n v="1.3824703495566391E-2"/>
    <s v="2nd Floor"/>
    <n v="0"/>
    <x v="3"/>
    <s v="Mar 14, 2018 @ 14:14"/>
    <s v="Mar 14, 2018 @ 14:14"/>
    <s v="mcoalson@hanson-inc.com"/>
  </r>
  <r>
    <n v="773"/>
    <s v="DT"/>
    <s v="Desktop"/>
    <x v="2"/>
    <n v="50"/>
    <n v="1"/>
    <n v="0.9"/>
    <n v="50"/>
    <n v="246.375"/>
    <n v="26.266861676011235"/>
    <n v="4.0516206482593036E-3"/>
    <n v="840.66639486189661"/>
    <n v="1.3824703495566391E-2"/>
    <s v="2nd Floor"/>
    <n v="0"/>
    <x v="3"/>
    <s v="Mar 14, 2018 @ 14:18"/>
    <s v="Mar 14, 2018 @ 14:18"/>
    <s v="mcoalson@hanson-inc.com"/>
  </r>
  <r>
    <n v="780"/>
    <s v="DT"/>
    <s v="Desktop"/>
    <x v="2"/>
    <n v="50"/>
    <n v="1"/>
    <n v="0.9"/>
    <n v="50"/>
    <n v="246.375"/>
    <n v="26.266861676011235"/>
    <n v="4.0516206482593036E-3"/>
    <n v="840.66639486189661"/>
    <n v="1.3824703495566391E-2"/>
    <s v="2nd Floor"/>
    <n v="0"/>
    <x v="3"/>
    <s v="Mar 14, 2018 @ 14:28"/>
    <s v="Mar 14, 2018 @ 14:21"/>
    <s v="mcoalson@hanson-inc.com"/>
  </r>
  <r>
    <n v="790"/>
    <s v="DT"/>
    <s v="Desktop"/>
    <x v="2"/>
    <n v="50"/>
    <n v="1"/>
    <n v="0.9"/>
    <n v="50"/>
    <n v="246.375"/>
    <n v="26.266861676011235"/>
    <n v="4.0516206482593036E-3"/>
    <n v="840.66639486189661"/>
    <n v="1.3824703495566391E-2"/>
    <s v="2nd Floor"/>
    <n v="0"/>
    <x v="3"/>
    <s v="Mar 14, 2018 @ 14:32"/>
    <s v="Mar 14, 2018 @ 14:32"/>
    <s v="mcoalson@hanson-inc.com"/>
  </r>
  <r>
    <n v="798"/>
    <s v="DT"/>
    <s v="Desktop"/>
    <x v="2"/>
    <n v="50"/>
    <n v="1"/>
    <n v="0.9"/>
    <n v="50"/>
    <n v="246.375"/>
    <n v="26.266861676011235"/>
    <n v="4.0516206482593036E-3"/>
    <n v="840.66639486189661"/>
    <n v="1.3824703495566391E-2"/>
    <s v="2nd Floor"/>
    <n v="0"/>
    <x v="3"/>
    <s v="Mar 14, 2018 @ 14:39"/>
    <s v="Mar 14, 2018 @ 14:39"/>
    <s v="mcoalson@hanson-inc.com"/>
  </r>
  <r>
    <n v="818"/>
    <s v="DT"/>
    <s v="Desktop"/>
    <x v="2"/>
    <n v="50"/>
    <n v="1"/>
    <n v="0.9"/>
    <n v="50"/>
    <n v="246.375"/>
    <n v="26.266861676011235"/>
    <n v="4.0516206482593036E-3"/>
    <n v="840.66639486189661"/>
    <n v="1.3824703495566391E-2"/>
    <s v="2nd Floor"/>
    <n v="0"/>
    <x v="3"/>
    <s v="Mar 14, 2018 @ 14:51"/>
    <s v="Mar 14, 2018 @ 14:45"/>
    <s v="mcoalson@hanson-inc.com"/>
  </r>
  <r>
    <n v="843"/>
    <s v="DT"/>
    <s v="Desktop"/>
    <x v="2"/>
    <n v="50"/>
    <n v="1"/>
    <n v="0.9"/>
    <n v="50"/>
    <n v="246.375"/>
    <n v="26.266861676011235"/>
    <n v="4.0516206482593036E-3"/>
    <n v="840.66639486189661"/>
    <n v="1.3824703495566391E-2"/>
    <s v="2nd Floor"/>
    <n v="0"/>
    <x v="3"/>
    <s v="Mar 14, 2018 @ 14:54"/>
    <s v="Mar 14, 2018 @ 14:54"/>
    <s v="mcoalson@hanson-inc.com"/>
  </r>
  <r>
    <n v="844"/>
    <s v="DT"/>
    <s v="Desktop"/>
    <x v="2"/>
    <n v="50"/>
    <n v="1"/>
    <n v="0.9"/>
    <n v="50"/>
    <n v="246.375"/>
    <n v="26.266861676011235"/>
    <n v="4.0516206482593036E-3"/>
    <n v="840.66639486189661"/>
    <n v="1.3824703495566391E-2"/>
    <s v="2nd Floor"/>
    <n v="0"/>
    <x v="3"/>
    <s v="Mar 14, 2018 @ 14:54"/>
    <s v="Mar 14, 2018 @ 14:54"/>
    <s v="nboyd@hanson-inc.com"/>
  </r>
  <r>
    <n v="856"/>
    <s v="DT"/>
    <s v="Desktop"/>
    <x v="2"/>
    <n v="50"/>
    <n v="1"/>
    <n v="0.9"/>
    <n v="50"/>
    <n v="246.375"/>
    <n v="26.266861676011235"/>
    <n v="4.0516206482593036E-3"/>
    <n v="840.66639486189661"/>
    <n v="1.3824703495566391E-2"/>
    <s v="2nd Floor"/>
    <n v="0"/>
    <x v="3"/>
    <s v="Mar 14, 2018 @ 14:57"/>
    <s v="Mar 14, 2018 @ 14:57"/>
    <s v="mcoalson@hanson-inc.com"/>
  </r>
  <r>
    <n v="862"/>
    <s v="DT"/>
    <s v="Desktop"/>
    <x v="2"/>
    <n v="50"/>
    <n v="1"/>
    <n v="0.9"/>
    <n v="50"/>
    <n v="246.375"/>
    <n v="26.266861676011235"/>
    <n v="4.0516206482593036E-3"/>
    <n v="840.66639486189661"/>
    <n v="1.3824703495566391E-2"/>
    <s v="2nd Floor"/>
    <n v="0"/>
    <x v="3"/>
    <s v="Mar 14, 2018 @ 14:57"/>
    <s v="Mar 14, 2018 @ 14:57"/>
    <s v="nboyd@hanson-inc.com"/>
  </r>
  <r>
    <n v="878"/>
    <s v="DT"/>
    <s v="Desktop"/>
    <x v="2"/>
    <n v="50"/>
    <n v="1"/>
    <n v="0.9"/>
    <n v="50"/>
    <n v="246.375"/>
    <n v="26.266861676011235"/>
    <n v="4.0516206482593036E-3"/>
    <n v="840.66639486189661"/>
    <n v="1.3824703495566391E-2"/>
    <s v="2nd Floor"/>
    <n v="0"/>
    <x v="3"/>
    <s v="Mar 14, 2018 @ 15:06"/>
    <s v="Mar 14, 2018 @ 15:00"/>
    <s v="mcoalson@hanson-inc.com"/>
  </r>
  <r>
    <n v="880"/>
    <s v="DT"/>
    <s v="Desktop"/>
    <x v="2"/>
    <n v="50"/>
    <n v="1"/>
    <n v="0.9"/>
    <n v="50"/>
    <n v="246.375"/>
    <n v="26.266861676011235"/>
    <n v="4.0516206482593036E-3"/>
    <n v="840.66639486189661"/>
    <n v="1.3824703495566391E-2"/>
    <s v="2nd Floor"/>
    <n v="0"/>
    <x v="3"/>
    <s v="Mar 14, 2018 @ 15:08"/>
    <s v="Mar 14, 2018 @ 15:01"/>
    <s v="mcoalson@hanson-inc.com"/>
  </r>
  <r>
    <n v="19"/>
    <s v="DT"/>
    <s v="Desktop"/>
    <x v="2"/>
    <n v="50"/>
    <n v="1"/>
    <n v="0.9"/>
    <n v="50"/>
    <n v="246.375"/>
    <n v="26.266861676011235"/>
    <n v="4.0516206482593036E-3"/>
    <n v="840.66639486189661"/>
    <n v="1.3824703495566391E-2"/>
    <s v="VTU3-20"/>
    <n v="0"/>
    <x v="3"/>
    <s v="Mar 12, 2018 @ 14:11"/>
    <s v="Mar 12, 2018 @ 14:05"/>
    <s v="mcoalson@hanson-inc.com"/>
  </r>
  <r>
    <n v="24"/>
    <s v="DT"/>
    <s v="Desktop"/>
    <x v="2"/>
    <n v="50"/>
    <n v="1"/>
    <n v="0.9"/>
    <n v="50"/>
    <n v="246.375"/>
    <n v="26.266861676011235"/>
    <n v="4.0516206482593036E-3"/>
    <n v="840.66639486189661"/>
    <n v="1.3824703495566391E-2"/>
    <s v="VTU3-20"/>
    <n v="0"/>
    <x v="3"/>
    <s v="Mar 12, 2018 @ 14:05"/>
    <s v="Mar 12, 2018 @ 14:05"/>
    <s v="nboyd@hanson-inc.com"/>
  </r>
  <r>
    <n v="33"/>
    <s v="DT"/>
    <s v="Desktop"/>
    <x v="2"/>
    <n v="50"/>
    <n v="1"/>
    <n v="0.9"/>
    <n v="50"/>
    <n v="246.375"/>
    <n v="26.266861676011235"/>
    <n v="4.0516206482593036E-3"/>
    <n v="840.66639486189661"/>
    <n v="1.3824703495566391E-2"/>
    <s v="VTU3-20"/>
    <n v="0"/>
    <x v="3"/>
    <s v="Mar 12, 2018 @ 14:08"/>
    <s v="Mar 12, 2018 @ 14:08"/>
    <s v="nboyd@hanson-inc.com"/>
  </r>
  <r>
    <n v="37"/>
    <s v="DT"/>
    <s v="Desktop"/>
    <x v="2"/>
    <n v="50"/>
    <n v="1"/>
    <n v="0.9"/>
    <n v="50"/>
    <n v="246.375"/>
    <n v="26.266861676011235"/>
    <n v="4.0516206482593036E-3"/>
    <n v="840.66639486189661"/>
    <n v="1.3824703495566391E-2"/>
    <s v="VTU3-20"/>
    <n v="0"/>
    <x v="3"/>
    <s v="Mar 12, 2018 @ 14:15"/>
    <s v="Mar 12, 2018 @ 14:09"/>
    <s v="mcoalson@hanson-inc.com"/>
  </r>
  <r>
    <n v="63"/>
    <s v="DT"/>
    <s v="Desktop"/>
    <x v="2"/>
    <n v="50"/>
    <n v="1"/>
    <n v="0.9"/>
    <n v="50"/>
    <n v="246.375"/>
    <n v="26.266861676011235"/>
    <n v="4.0516206482593036E-3"/>
    <n v="840.66639486189661"/>
    <n v="1.3824703495566391E-2"/>
    <s v="VTU3-20"/>
    <n v="0"/>
    <x v="3"/>
    <s v="Mar 12, 2018 @ 14:19"/>
    <s v="Mar 12, 2018 @ 14:19"/>
    <s v="nboyd@hanson-inc.com"/>
  </r>
  <r>
    <n v="67"/>
    <s v="DT"/>
    <s v="Desktop"/>
    <x v="2"/>
    <n v="50"/>
    <n v="1"/>
    <n v="0.9"/>
    <n v="50"/>
    <n v="246.375"/>
    <n v="26.266861676011235"/>
    <n v="4.0516206482593036E-3"/>
    <n v="840.66639486189661"/>
    <n v="1.3824703495566391E-2"/>
    <s v="VTU3-20"/>
    <n v="0"/>
    <x v="3"/>
    <s v="Mar 12, 2018 @ 14:27"/>
    <s v="Mar 12, 2018 @ 14:20"/>
    <s v="mcoalson@hanson-inc.com"/>
  </r>
  <r>
    <n v="70"/>
    <s v="DT"/>
    <s v="Desktop"/>
    <x v="2"/>
    <n v="50"/>
    <n v="1"/>
    <n v="0.9"/>
    <n v="50"/>
    <n v="246.375"/>
    <n v="26.266861676011235"/>
    <n v="4.0516206482593036E-3"/>
    <n v="840.66639486189661"/>
    <n v="1.3824703495566391E-2"/>
    <s v="VTU3-20"/>
    <n v="0"/>
    <x v="3"/>
    <s v="Mar 12, 2018 @ 14:28"/>
    <s v="Mar 12, 2018 @ 14:21"/>
    <s v="mcoalson@hanson-inc.com"/>
  </r>
  <r>
    <n v="81"/>
    <s v="DT"/>
    <s v="Desktop"/>
    <x v="2"/>
    <n v="50"/>
    <n v="1"/>
    <n v="0.9"/>
    <n v="50"/>
    <n v="246.375"/>
    <n v="26.266861676011235"/>
    <n v="4.0516206482593036E-3"/>
    <n v="840.66639486189661"/>
    <n v="1.3824703495566391E-2"/>
    <s v="VTU3-20"/>
    <n v="0"/>
    <x v="3"/>
    <s v="Mar 12, 2018 @ 14:24"/>
    <s v="Mar 12, 2018 @ 14:24"/>
    <s v="nboyd@hanson-inc.com"/>
  </r>
  <r>
    <n v="98"/>
    <s v="DT"/>
    <s v="Desktop"/>
    <x v="2"/>
    <n v="50"/>
    <n v="1"/>
    <n v="0.9"/>
    <n v="50"/>
    <n v="246.375"/>
    <n v="26.266861676011235"/>
    <n v="4.0516206482593036E-3"/>
    <n v="840.66639486189661"/>
    <n v="1.3824703495566391E-2"/>
    <s v="VTU3-20"/>
    <n v="0"/>
    <x v="3"/>
    <s v="Mar 12, 2018 @ 14:35"/>
    <s v="Mar 12, 2018 @ 14:28"/>
    <s v="mcoalson@hanson-inc.com"/>
  </r>
  <r>
    <n v="100"/>
    <s v="DT"/>
    <s v="Desktop"/>
    <x v="2"/>
    <n v="50"/>
    <n v="1"/>
    <n v="0.9"/>
    <n v="50"/>
    <n v="246.375"/>
    <n v="26.266861676011235"/>
    <n v="4.0516206482593036E-3"/>
    <n v="840.66639486189661"/>
    <n v="1.3824703495566391E-2"/>
    <s v="VTU3-20"/>
    <n v="0"/>
    <x v="3"/>
    <s v="Mar 12, 2018 @ 14:29"/>
    <s v="Mar 12, 2018 @ 14:29"/>
    <s v="nboyd@hanson-inc.com"/>
  </r>
  <r>
    <n v="106"/>
    <s v="DT"/>
    <s v="Desktop"/>
    <x v="2"/>
    <n v="50"/>
    <n v="1"/>
    <n v="0.9"/>
    <n v="50"/>
    <n v="246.375"/>
    <n v="26.266861676011235"/>
    <n v="4.0516206482593036E-3"/>
    <n v="840.66639486189661"/>
    <n v="1.3824703495566391E-2"/>
    <s v="VTU3-20"/>
    <n v="0"/>
    <x v="3"/>
    <s v="Mar 12, 2018 @ 14:30"/>
    <s v="Mar 12, 2018 @ 14:30"/>
    <s v="nboyd@hanson-inc.com"/>
  </r>
  <r>
    <n v="118"/>
    <s v="DT"/>
    <s v="Desktop"/>
    <x v="2"/>
    <n v="50"/>
    <n v="1"/>
    <n v="0.9"/>
    <n v="50"/>
    <n v="246.375"/>
    <n v="26.266861676011235"/>
    <n v="4.0516206482593036E-3"/>
    <n v="840.66639486189661"/>
    <n v="1.3824703495566391E-2"/>
    <s v="VTU3-20"/>
    <n v="0"/>
    <x v="3"/>
    <s v="Mar 12, 2018 @ 14:38"/>
    <s v="Mar 12, 2018 @ 14:31"/>
    <s v="mcoalson@hanson-inc.com"/>
  </r>
  <r>
    <n v="124"/>
    <s v="DT"/>
    <s v="Desktop"/>
    <x v="2"/>
    <n v="50"/>
    <n v="1"/>
    <n v="0.9"/>
    <n v="50"/>
    <n v="246.375"/>
    <n v="26.266861676011235"/>
    <n v="4.0516206482593036E-3"/>
    <n v="840.66639486189661"/>
    <n v="1.3824703495566391E-2"/>
    <s v="VTU3-20"/>
    <n v="0"/>
    <x v="3"/>
    <s v="Mar 12, 2018 @ 14:32"/>
    <s v="Mar 12, 2018 @ 14:32"/>
    <s v="nboyd@hanson-inc.com"/>
  </r>
  <r>
    <n v="132"/>
    <s v="DT"/>
    <s v="Desktop"/>
    <x v="2"/>
    <n v="50"/>
    <n v="1"/>
    <n v="0.9"/>
    <n v="50"/>
    <n v="246.375"/>
    <n v="26.266861676011235"/>
    <n v="4.0516206482593036E-3"/>
    <n v="840.66639486189661"/>
    <n v="1.3824703495566391E-2"/>
    <s v="VTU3-20"/>
    <n v="0"/>
    <x v="3"/>
    <s v="Mar 12, 2018 @ 14:34"/>
    <s v="Mar 12, 2018 @ 14:34"/>
    <s v="nboyd@hanson-inc.com"/>
  </r>
  <r>
    <n v="141"/>
    <s v="DT"/>
    <s v="Desktop"/>
    <x v="2"/>
    <n v="50"/>
    <n v="1"/>
    <n v="0.9"/>
    <n v="50"/>
    <n v="246.375"/>
    <n v="26.266861676011235"/>
    <n v="4.0516206482593036E-3"/>
    <n v="840.66639486189661"/>
    <n v="1.3824703495566391E-2"/>
    <s v="VTU3-20"/>
    <n v="0"/>
    <x v="3"/>
    <s v="Mar 12, 2018 @ 14:35"/>
    <s v="Mar 12, 2018 @ 14:35"/>
    <s v="nboyd@hanson-inc.com"/>
  </r>
  <r>
    <n v="142"/>
    <s v="DT"/>
    <s v="Desktop"/>
    <x v="2"/>
    <n v="50"/>
    <n v="1"/>
    <n v="0.9"/>
    <n v="50"/>
    <n v="246.375"/>
    <n v="26.266861676011235"/>
    <n v="4.0516206482593036E-3"/>
    <n v="840.66639486189661"/>
    <n v="1.3824703495566391E-2"/>
    <s v="VTU3-20"/>
    <n v="0"/>
    <x v="3"/>
    <s v="Mar 12, 2018 @ 14:42"/>
    <s v="Mar 12, 2018 @ 14:35"/>
    <s v="mcoalson@hanson-inc.com"/>
  </r>
  <r>
    <n v="151"/>
    <s v="DT"/>
    <s v="Desktop"/>
    <x v="2"/>
    <n v="50"/>
    <n v="1"/>
    <n v="0.9"/>
    <n v="50"/>
    <n v="246.375"/>
    <n v="26.266861676011235"/>
    <n v="4.0516206482593036E-3"/>
    <n v="840.66639486189661"/>
    <n v="1.3824703495566391E-2"/>
    <s v="VTU3-20"/>
    <n v="0"/>
    <x v="3"/>
    <s v="Mar 12, 2018 @ 14:37"/>
    <s v="Mar 12, 2018 @ 14:37"/>
    <s v="nboyd@hanson-inc.com"/>
  </r>
  <r>
    <n v="161"/>
    <s v="DT"/>
    <s v="Desktop"/>
    <x v="2"/>
    <n v="50"/>
    <n v="1"/>
    <n v="0.9"/>
    <n v="50"/>
    <n v="246.375"/>
    <n v="26.266861676011235"/>
    <n v="4.0516206482593036E-3"/>
    <n v="840.66639486189661"/>
    <n v="1.3824703495566391E-2"/>
    <s v="VTU3-20"/>
    <n v="0"/>
    <x v="3"/>
    <s v="Mar 12, 2018 @ 14:45"/>
    <s v="Mar 12, 2018 @ 14:39"/>
    <s v="mcoalson@hanson-inc.com"/>
  </r>
  <r>
    <n v="167"/>
    <s v="DT"/>
    <s v="Desktop"/>
    <x v="2"/>
    <n v="50"/>
    <n v="1"/>
    <n v="0.9"/>
    <n v="50"/>
    <n v="246.375"/>
    <n v="26.266861676011235"/>
    <n v="4.0516206482593036E-3"/>
    <n v="840.66639486189661"/>
    <n v="1.3824703495566391E-2"/>
    <s v="VTU3-20"/>
    <n v="0"/>
    <x v="3"/>
    <s v="Mar 12, 2018 @ 14:46"/>
    <s v="Mar 12, 2018 @ 14:40"/>
    <s v="mcoalson@hanson-inc.com"/>
  </r>
  <r>
    <n v="170"/>
    <s v="DT"/>
    <s v="Desktop"/>
    <x v="2"/>
    <n v="50"/>
    <n v="1"/>
    <n v="0.9"/>
    <n v="50"/>
    <n v="246.375"/>
    <n v="26.266861676011235"/>
    <n v="4.0516206482593036E-3"/>
    <n v="840.66639486189661"/>
    <n v="1.3824703495566391E-2"/>
    <s v="VTU3-20"/>
    <n v="0"/>
    <x v="3"/>
    <s v="Mar 12, 2018 @ 14:40"/>
    <s v="Mar 12, 2018 @ 14:40"/>
    <s v="nboyd@hanson-inc.com"/>
  </r>
  <r>
    <n v="177"/>
    <s v="DT"/>
    <s v="Desktop"/>
    <x v="2"/>
    <n v="50"/>
    <n v="1"/>
    <n v="0.9"/>
    <n v="50"/>
    <n v="246.375"/>
    <n v="26.266861676011235"/>
    <n v="4.0516206482593036E-3"/>
    <n v="840.66639486189661"/>
    <n v="1.3824703495566391E-2"/>
    <s v="VTU3-20"/>
    <n v="0"/>
    <x v="3"/>
    <s v="Mar 12, 2018 @ 14:50"/>
    <s v="Mar 12, 2018 @ 14:43"/>
    <s v="mcoalson@hanson-inc.com"/>
  </r>
  <r>
    <n v="186"/>
    <s v="DT"/>
    <s v="Desktop"/>
    <x v="2"/>
    <n v="50"/>
    <n v="1"/>
    <n v="0.9"/>
    <n v="50"/>
    <n v="246.375"/>
    <n v="26.266861676011235"/>
    <n v="4.0516206482593036E-3"/>
    <n v="840.66639486189661"/>
    <n v="1.3824703495566391E-2"/>
    <s v="VTU3-20"/>
    <n v="0"/>
    <x v="3"/>
    <s v="Mar 12, 2018 @ 14:45"/>
    <s v="Mar 12, 2018 @ 14:45"/>
    <s v="nboyd@hanson-inc.com"/>
  </r>
  <r>
    <n v="198"/>
    <s v="DT"/>
    <s v="Desktop"/>
    <x v="2"/>
    <n v="50"/>
    <n v="1"/>
    <n v="0.9"/>
    <n v="50"/>
    <n v="246.375"/>
    <n v="26.266861676011235"/>
    <n v="4.0516206482593036E-3"/>
    <n v="840.66639486189661"/>
    <n v="1.3824703495566391E-2"/>
    <s v="VTU3-20"/>
    <n v="0"/>
    <x v="3"/>
    <s v="Mar 12, 2018 @ 14:53"/>
    <s v="Mar 12, 2018 @ 14:47"/>
    <s v="mcoalson@hanson-inc.com"/>
  </r>
  <r>
    <n v="199"/>
    <s v="DT"/>
    <s v="Desktop"/>
    <x v="2"/>
    <n v="50"/>
    <n v="1"/>
    <n v="0.9"/>
    <n v="50"/>
    <n v="246.375"/>
    <n v="26.266861676011235"/>
    <n v="4.0516206482593036E-3"/>
    <n v="840.66639486189661"/>
    <n v="1.3824703495566391E-2"/>
    <s v="VTU3-20"/>
    <n v="0"/>
    <x v="3"/>
    <s v="Mar 12, 2018 @ 14:47"/>
    <s v="Mar 12, 2018 @ 14:47"/>
    <s v="nboyd@hanson-inc.com"/>
  </r>
  <r>
    <n v="210"/>
    <s v="DT"/>
    <s v="Desktop"/>
    <x v="2"/>
    <n v="50"/>
    <n v="1"/>
    <n v="0.9"/>
    <n v="50"/>
    <n v="246.375"/>
    <n v="26.266861676011235"/>
    <n v="4.0516206482593036E-3"/>
    <n v="840.66639486189661"/>
    <n v="1.3824703495566391E-2"/>
    <s v="VTU3-20"/>
    <n v="0"/>
    <x v="3"/>
    <s v="Mar 12, 2018 @ 14:49"/>
    <s v="Mar 12, 2018 @ 14:49"/>
    <s v="nboyd@hanson-inc.com"/>
  </r>
  <r>
    <n v="214"/>
    <s v="DT"/>
    <s v="Desktop"/>
    <x v="2"/>
    <n v="50"/>
    <n v="1"/>
    <n v="0.9"/>
    <n v="50"/>
    <n v="246.375"/>
    <n v="26.266861676011235"/>
    <n v="4.0516206482593036E-3"/>
    <n v="840.66639486189661"/>
    <n v="1.3824703495566391E-2"/>
    <s v="VTU3-20"/>
    <n v="0"/>
    <x v="3"/>
    <s v="Mar 12, 2018 @ 14:57"/>
    <s v="Mar 12, 2018 @ 14:50"/>
    <s v="mcoalson@hanson-inc.com"/>
  </r>
  <r>
    <n v="223"/>
    <s v="DT"/>
    <s v="Desktop"/>
    <x v="2"/>
    <n v="50"/>
    <n v="1"/>
    <n v="0.9"/>
    <n v="50"/>
    <n v="246.375"/>
    <n v="26.266861676011235"/>
    <n v="4.0516206482593036E-3"/>
    <n v="840.66639486189661"/>
    <n v="1.3824703495566391E-2"/>
    <s v="VTU3-20"/>
    <n v="0"/>
    <x v="3"/>
    <s v="Mar 12, 2018 @ 14:51"/>
    <s v="Mar 12, 2018 @ 14:51"/>
    <s v="nboyd@hanson-inc.com"/>
  </r>
  <r>
    <n v="232"/>
    <s v="DT"/>
    <s v="Desktop"/>
    <x v="2"/>
    <n v="50"/>
    <n v="1"/>
    <n v="0.9"/>
    <n v="50"/>
    <n v="246.375"/>
    <n v="26.266861676011235"/>
    <n v="4.0516206482593036E-3"/>
    <n v="840.66639486189661"/>
    <n v="1.3824703495566391E-2"/>
    <s v="VTU3-20"/>
    <n v="0"/>
    <x v="3"/>
    <s v="Mar 12, 2018 @ 15:00"/>
    <s v="Mar 12, 2018 @ 14:53"/>
    <s v="mcoalson@hanson-inc.com"/>
  </r>
  <r>
    <n v="233"/>
    <s v="DT"/>
    <s v="Desktop"/>
    <x v="2"/>
    <n v="50"/>
    <n v="1"/>
    <n v="0.9"/>
    <n v="50"/>
    <n v="246.375"/>
    <n v="26.266861676011235"/>
    <n v="4.0516206482593036E-3"/>
    <n v="840.66639486189661"/>
    <n v="1.3824703495566391E-2"/>
    <s v="VTU3-20"/>
    <n v="0"/>
    <x v="3"/>
    <s v="Mar 12, 2018 @ 15:00"/>
    <s v="Mar 12, 2018 @ 14:53"/>
    <s v="mcoalson@hanson-inc.com"/>
  </r>
  <r>
    <n v="250"/>
    <s v="DT"/>
    <s v="Desktop"/>
    <x v="2"/>
    <n v="50"/>
    <n v="1"/>
    <n v="0.9"/>
    <n v="50"/>
    <n v="246.375"/>
    <n v="26.266861676011235"/>
    <n v="4.0516206482593036E-3"/>
    <n v="840.66639486189661"/>
    <n v="1.3824703495566391E-2"/>
    <s v="VTU3-20"/>
    <n v="0"/>
    <x v="3"/>
    <s v="Mar 12, 2018 @ 15:06"/>
    <s v="Mar 12, 2018 @ 15:06"/>
    <s v="nboyd@hanson-inc.com"/>
  </r>
  <r>
    <n v="271"/>
    <s v="DT"/>
    <s v="Desktop"/>
    <x v="2"/>
    <n v="50"/>
    <n v="1"/>
    <n v="0.9"/>
    <n v="50"/>
    <n v="246.375"/>
    <n v="26.266861676011235"/>
    <n v="4.0516206482593036E-3"/>
    <n v="840.66639486189661"/>
    <n v="1.3824703495566391E-2"/>
    <s v="VTU3-20"/>
    <n v="0"/>
    <x v="3"/>
    <s v="Mar 12, 2018 @ 15:20"/>
    <s v="Mar 12, 2018 @ 15:14"/>
    <s v="mcoalson@hanson-inc.com"/>
  </r>
  <r>
    <n v="274"/>
    <s v="DT"/>
    <s v="Desktop"/>
    <x v="2"/>
    <n v="50"/>
    <n v="1"/>
    <n v="0.9"/>
    <n v="50"/>
    <n v="246.375"/>
    <n v="26.266861676011235"/>
    <n v="4.0516206482593036E-3"/>
    <n v="840.66639486189661"/>
    <n v="1.3824703495566391E-2"/>
    <s v="VTU3-20"/>
    <n v="0"/>
    <x v="3"/>
    <s v="Mar 12, 2018 @ 15:15"/>
    <s v="Mar 12, 2018 @ 15:15"/>
    <s v="nboyd@hanson-inc.com"/>
  </r>
  <r>
    <n v="286"/>
    <s v="DT"/>
    <s v="Desktop"/>
    <x v="2"/>
    <n v="50"/>
    <n v="1"/>
    <n v="0.9"/>
    <n v="50"/>
    <n v="246.375"/>
    <n v="26.266861676011235"/>
    <n v="4.0516206482593036E-3"/>
    <n v="840.66639486189661"/>
    <n v="1.3824703495566391E-2"/>
    <s v="VTU3-20"/>
    <n v="0"/>
    <x v="3"/>
    <s v="Mar 12, 2018 @ 15:25"/>
    <s v="Mar 12, 2018 @ 18:28"/>
    <s v="mcoalson@hanson-inc.com"/>
  </r>
  <r>
    <n v="292"/>
    <s v="DT"/>
    <s v="Desktop"/>
    <x v="2"/>
    <n v="50"/>
    <n v="1"/>
    <n v="0.9"/>
    <n v="50"/>
    <n v="246.375"/>
    <n v="26.266861676011235"/>
    <n v="4.0516206482593036E-3"/>
    <n v="840.66639486189661"/>
    <n v="1.3824703495566391E-2"/>
    <s v="VTU3-20"/>
    <n v="0"/>
    <x v="3"/>
    <s v="Mar 12, 2018 @ 15:26"/>
    <s v="Mar 12, 2018 @ 18:28"/>
    <s v="mcoalson@hanson-inc.com"/>
  </r>
  <r>
    <n v="298"/>
    <s v="DT"/>
    <s v="Desktop"/>
    <x v="2"/>
    <n v="50"/>
    <n v="1"/>
    <n v="0.9"/>
    <n v="50"/>
    <n v="246.375"/>
    <n v="26.266861676011235"/>
    <n v="4.0516206482593036E-3"/>
    <n v="840.66639486189661"/>
    <n v="1.3824703495566391E-2"/>
    <s v="VTU3-20"/>
    <n v="0"/>
    <x v="3"/>
    <s v="Mar 12, 2018 @ 15:30"/>
    <s v="Mar 12, 2018 @ 18:28"/>
    <s v="mcoalson@hanson-inc.com"/>
  </r>
  <r>
    <n v="323"/>
    <s v="DT"/>
    <s v="Desktop"/>
    <x v="2"/>
    <n v="50"/>
    <n v="1"/>
    <n v="0.9"/>
    <n v="50"/>
    <n v="246.375"/>
    <n v="26.266861676011235"/>
    <n v="4.0516206482593036E-3"/>
    <n v="840.66639486189661"/>
    <n v="1.3824703495566391E-2"/>
    <s v="VTU3-20"/>
    <n v="0"/>
    <x v="3"/>
    <s v="Mar 12, 2018 @ 15:42"/>
    <s v="Mar 12, 2018 @ 18:29"/>
    <s v="mcoalson@hanson-inc.com"/>
  </r>
  <r>
    <n v="327"/>
    <s v="DT"/>
    <s v="Desktop"/>
    <x v="2"/>
    <n v="50"/>
    <n v="1"/>
    <n v="0.9"/>
    <n v="50"/>
    <n v="246.375"/>
    <n v="26.266861676011235"/>
    <n v="4.0516206482593036E-3"/>
    <n v="840.66639486189661"/>
    <n v="1.3824703495566391E-2"/>
    <s v="VTU3-20"/>
    <n v="0"/>
    <x v="3"/>
    <s v="Mar 12, 2018 @ 15:43"/>
    <s v="Mar 12, 2018 @ 18:29"/>
    <s v="mcoalson@hanson-inc.com"/>
  </r>
  <r>
    <n v="333"/>
    <s v="DT"/>
    <s v="Desktop"/>
    <x v="2"/>
    <n v="50"/>
    <n v="1"/>
    <n v="0.9"/>
    <n v="50"/>
    <n v="246.375"/>
    <n v="26.266861676011235"/>
    <n v="4.0516206482593036E-3"/>
    <n v="840.66639486189661"/>
    <n v="1.3824703495566391E-2"/>
    <s v="VTU3-20"/>
    <n v="0"/>
    <x v="3"/>
    <s v="Mar 12, 2018 @ 15:45"/>
    <s v="Mar 12, 2018 @ 18:29"/>
    <s v="mcoalson@hanson-inc.com"/>
  </r>
  <r>
    <n v="340"/>
    <s v="DT"/>
    <s v="Desktop"/>
    <x v="2"/>
    <n v="50"/>
    <n v="1"/>
    <n v="0.9"/>
    <n v="50"/>
    <n v="246.375"/>
    <n v="26.266861676011235"/>
    <n v="4.0516206482593036E-3"/>
    <n v="840.66639486189661"/>
    <n v="1.3824703495566391E-2"/>
    <s v="VTU3-20"/>
    <n v="0"/>
    <x v="3"/>
    <s v="Mar 12, 2018 @ 15:47"/>
    <s v="Mar 12, 2018 @ 18:30"/>
    <s v="mcoalson@hanson-inc.com"/>
  </r>
  <r>
    <n v="346"/>
    <s v="DT"/>
    <s v="Desktop"/>
    <x v="2"/>
    <n v="50"/>
    <n v="1"/>
    <n v="0.9"/>
    <n v="50"/>
    <n v="246.375"/>
    <n v="26.266861676011235"/>
    <n v="4.0516206482593036E-3"/>
    <n v="840.66639486189661"/>
    <n v="1.3824703495566391E-2"/>
    <s v="VTU3-20"/>
    <n v="0"/>
    <x v="3"/>
    <s v="Mar 12, 2018 @ 15:50"/>
    <s v="Mar 12, 2018 @ 18:30"/>
    <s v="mcoalson@hanson-inc.com"/>
  </r>
  <r>
    <n v="351"/>
    <s v="DT"/>
    <s v="Desktop"/>
    <x v="2"/>
    <n v="50"/>
    <n v="1"/>
    <n v="0.9"/>
    <n v="50"/>
    <n v="246.375"/>
    <n v="26.266861676011235"/>
    <n v="4.0516206482593036E-3"/>
    <n v="840.66639486189661"/>
    <n v="1.3824703495566391E-2"/>
    <s v="VTU3-20"/>
    <n v="0"/>
    <x v="3"/>
    <s v="Mar 12, 2018 @ 15:51"/>
    <s v="Mar 12, 2018 @ 18:30"/>
    <s v="mcoalson@hanson-inc.com"/>
  </r>
  <r>
    <n v="368"/>
    <s v="DT"/>
    <s v="Desktop"/>
    <x v="2"/>
    <n v="50"/>
    <n v="1"/>
    <n v="0.9"/>
    <n v="50"/>
    <n v="246.375"/>
    <n v="26.266861676011235"/>
    <n v="4.0516206482593036E-3"/>
    <n v="840.66639486189661"/>
    <n v="1.3824703495566391E-2"/>
    <s v="VTU3-20"/>
    <n v="0"/>
    <x v="3"/>
    <s v="Mar 12, 2018 @ 15:55"/>
    <s v="Mar 12, 2018 @ 18:31"/>
    <s v="mcoalson@hanson-inc.com"/>
  </r>
  <r>
    <n v="369"/>
    <s v="DT"/>
    <s v="Desktop"/>
    <x v="2"/>
    <n v="50"/>
    <n v="1"/>
    <n v="0.9"/>
    <n v="50"/>
    <n v="246.375"/>
    <n v="26.266861676011235"/>
    <n v="4.0516206482593036E-3"/>
    <n v="840.66639486189661"/>
    <n v="1.3824703495566391E-2"/>
    <s v="VTU3-20"/>
    <n v="0"/>
    <x v="3"/>
    <s v="Mar 12, 2018 @ 15:55"/>
    <s v="Mar 12, 2018 @ 18:31"/>
    <s v="mcoalson@hanson-inc.com"/>
  </r>
  <r>
    <n v="371"/>
    <s v="DT"/>
    <s v="Desktop"/>
    <x v="2"/>
    <n v="50"/>
    <n v="1"/>
    <n v="0.9"/>
    <n v="50"/>
    <n v="246.375"/>
    <n v="26.266861676011235"/>
    <n v="4.0516206482593036E-3"/>
    <n v="840.66639486189661"/>
    <n v="1.3824703495566391E-2"/>
    <s v="VTU3-20"/>
    <n v="0"/>
    <x v="3"/>
    <s v="Mar 12, 2018 @ 15:57"/>
    <s v="Mar 12, 2018 @ 18:31"/>
    <s v="mcoalson@hanson-inc.com"/>
  </r>
  <r>
    <n v="372"/>
    <s v="DT"/>
    <s v="Desktop"/>
    <x v="2"/>
    <n v="50"/>
    <n v="1"/>
    <n v="0.9"/>
    <n v="50"/>
    <n v="246.375"/>
    <n v="26.266861676011235"/>
    <n v="4.0516206482593036E-3"/>
    <n v="840.66639486189661"/>
    <n v="1.3824703495566391E-2"/>
    <s v="VTU3-20"/>
    <n v="0"/>
    <x v="3"/>
    <s v="Mar 12, 2018 @ 15:57"/>
    <s v="Mar 12, 2018 @ 18:31"/>
    <s v="mcoalson@hanson-inc.com"/>
  </r>
  <r>
    <n v="373"/>
    <s v="DT"/>
    <s v="Desktop"/>
    <x v="2"/>
    <n v="50"/>
    <n v="1"/>
    <n v="0.9"/>
    <n v="50"/>
    <n v="246.375"/>
    <n v="26.266861676011235"/>
    <n v="4.0516206482593036E-3"/>
    <n v="840.66639486189661"/>
    <n v="1.3824703495566391E-2"/>
    <s v="VTU3-20"/>
    <n v="0"/>
    <x v="3"/>
    <s v="Mar 12, 2018 @ 15:57"/>
    <s v="Mar 12, 2018 @ 18:31"/>
    <s v="mcoalson@hanson-inc.com"/>
  </r>
  <r>
    <n v="374"/>
    <s v="DT"/>
    <s v="Desktop"/>
    <x v="2"/>
    <n v="50"/>
    <n v="1"/>
    <n v="0.9"/>
    <n v="50"/>
    <n v="246.375"/>
    <n v="26.266861676011235"/>
    <n v="4.0516206482593036E-3"/>
    <n v="840.66639486189661"/>
    <n v="1.3824703495566391E-2"/>
    <s v="VTU3-20"/>
    <n v="0"/>
    <x v="3"/>
    <s v="Mar 12, 2018 @ 15:57"/>
    <s v="Mar 12, 2018 @ 18:31"/>
    <s v="mcoalson@hanson-inc.com"/>
  </r>
  <r>
    <n v="386"/>
    <s v="DT"/>
    <s v="Desktop"/>
    <x v="2"/>
    <n v="50"/>
    <n v="1"/>
    <n v="0.9"/>
    <n v="50"/>
    <n v="246.375"/>
    <n v="26.266861676011235"/>
    <n v="4.0516206482593036E-3"/>
    <n v="840.66639486189661"/>
    <n v="1.3824703495566391E-2"/>
    <s v="VTU3-20"/>
    <n v="0"/>
    <x v="3"/>
    <s v="Mar 12, 2018 @ 18:40"/>
    <s v="Mar 12, 2018 @ 18:33"/>
    <s v="mcoalson@hanson-inc.com"/>
  </r>
  <r>
    <n v="391"/>
    <s v="DT"/>
    <s v="Desktop"/>
    <x v="2"/>
    <n v="50"/>
    <n v="1"/>
    <n v="0.9"/>
    <n v="50"/>
    <n v="246.375"/>
    <n v="26.266861676011235"/>
    <n v="4.0516206482593036E-3"/>
    <n v="840.66639486189661"/>
    <n v="1.3824703495566391E-2"/>
    <s v="VTU3-20"/>
    <n v="0"/>
    <x v="3"/>
    <s v="Mar 12, 2018 @ 18:41"/>
    <s v="Mar 12, 2018 @ 18:35"/>
    <s v="mcoalson@hanson-inc.com"/>
  </r>
  <r>
    <n v="398"/>
    <s v="DT"/>
    <s v="Desktop"/>
    <x v="2"/>
    <n v="50"/>
    <n v="1"/>
    <n v="0.9"/>
    <n v="50"/>
    <n v="246.375"/>
    <n v="26.266861676011235"/>
    <n v="4.0516206482593036E-3"/>
    <n v="840.66639486189661"/>
    <n v="1.3824703495566391E-2"/>
    <s v="VTU3-20"/>
    <n v="0"/>
    <x v="3"/>
    <s v="Mar 12, 2018 @ 18:43"/>
    <s v="Mar 12, 2018 @ 18:36"/>
    <s v="mcoalson@hanson-inc.com"/>
  </r>
  <r>
    <n v="409"/>
    <s v="DT"/>
    <s v="Desktop"/>
    <x v="2"/>
    <n v="50"/>
    <n v="1"/>
    <n v="0.9"/>
    <n v="50"/>
    <n v="246.375"/>
    <n v="26.266861676011235"/>
    <n v="4.0516206482593036E-3"/>
    <n v="840.66639486189661"/>
    <n v="1.3824703495566391E-2"/>
    <s v="VTU3-20"/>
    <n v="0"/>
    <x v="3"/>
    <s v="Mar 12, 2018 @ 18:44"/>
    <s v="Mar 12, 2018 @ 18:38"/>
    <s v="mcoalson@hanson-inc.com"/>
  </r>
  <r>
    <n v="417"/>
    <s v="DT"/>
    <s v="Desktop"/>
    <x v="2"/>
    <n v="50"/>
    <n v="1"/>
    <n v="0.9"/>
    <n v="50"/>
    <n v="246.375"/>
    <n v="26.266861676011235"/>
    <n v="4.0516206482593036E-3"/>
    <n v="840.66639486189661"/>
    <n v="1.3824703495566391E-2"/>
    <s v="VTU3-20"/>
    <n v="0"/>
    <x v="3"/>
    <s v="Mar 12, 2018 @ 18:47"/>
    <s v="Mar 12, 2018 @ 18:40"/>
    <s v="mcoalson@hanson-inc.com"/>
  </r>
  <r>
    <n v="420"/>
    <s v="DT"/>
    <s v="Desktop"/>
    <x v="2"/>
    <n v="50"/>
    <n v="1"/>
    <n v="0.9"/>
    <n v="50"/>
    <n v="246.375"/>
    <n v="26.266861676011235"/>
    <n v="4.0516206482593036E-3"/>
    <n v="840.66639486189661"/>
    <n v="1.3824703495566391E-2"/>
    <s v="VTU3-20"/>
    <n v="0"/>
    <x v="3"/>
    <s v="Mar 12, 2018 @ 18:41"/>
    <s v="Mar 12, 2018 @ 18:41"/>
    <s v="nboyd@hanson-inc.com"/>
  </r>
  <r>
    <n v="445"/>
    <s v="DT"/>
    <s v="Desktop"/>
    <x v="2"/>
    <n v="50"/>
    <n v="1"/>
    <n v="0.9"/>
    <n v="50"/>
    <n v="246.375"/>
    <n v="26.266861676011235"/>
    <n v="4.0516206482593036E-3"/>
    <n v="840.66639486189661"/>
    <n v="1.3824703495566391E-2"/>
    <s v="VTU3-20"/>
    <n v="0"/>
    <x v="3"/>
    <s v="Mar 12, 2018 @ 18:55"/>
    <s v="Mar 12, 2018 @ 18:55"/>
    <s v="nboyd@hanson-inc.com"/>
  </r>
  <r>
    <n v="457"/>
    <s v="DT"/>
    <s v="Desktop"/>
    <x v="2"/>
    <n v="50"/>
    <n v="1"/>
    <n v="0.9"/>
    <n v="50"/>
    <n v="246.375"/>
    <n v="26.266861676011235"/>
    <n v="4.0516206482593036E-3"/>
    <n v="840.66639486189661"/>
    <n v="1.3824703495566391E-2"/>
    <s v="VTU3-20"/>
    <n v="0"/>
    <x v="3"/>
    <s v="Mar 12, 2018 @ 19:04"/>
    <s v="Mar 12, 2018 @ 18:57"/>
    <s v="mcoalson@hanson-inc.com"/>
  </r>
  <r>
    <n v="470"/>
    <s v="DT"/>
    <s v="Desktop"/>
    <x v="2"/>
    <n v="50"/>
    <n v="1"/>
    <n v="0.9"/>
    <n v="50"/>
    <n v="246.375"/>
    <n v="26.266861676011235"/>
    <n v="4.0516206482593036E-3"/>
    <n v="840.66639486189661"/>
    <n v="1.3824703495566391E-2"/>
    <s v="VTU3-20"/>
    <n v="0"/>
    <x v="3"/>
    <s v="Mar 12, 2018 @ 19:00"/>
    <s v="Mar 12, 2018 @ 19:00"/>
    <s v="nboyd@hanson-inc.com"/>
  </r>
  <r>
    <n v="473"/>
    <s v="DT"/>
    <s v="Desktop"/>
    <x v="2"/>
    <n v="50"/>
    <n v="1"/>
    <n v="0.9"/>
    <n v="50"/>
    <n v="246.375"/>
    <n v="26.266861676011235"/>
    <n v="4.0516206482593036E-3"/>
    <n v="840.66639486189661"/>
    <n v="1.3824703495566391E-2"/>
    <s v="VTU3-20"/>
    <n v="0"/>
    <x v="3"/>
    <s v="Mar 12, 2018 @ 19:07"/>
    <s v="Mar 12, 2018 @ 19:01"/>
    <s v="mcoalson@hanson-inc.com"/>
  </r>
  <r>
    <n v="480"/>
    <s v="DT"/>
    <s v="Desktop"/>
    <x v="2"/>
    <n v="50"/>
    <n v="1"/>
    <n v="0.9"/>
    <n v="50"/>
    <n v="246.375"/>
    <n v="26.266861676011235"/>
    <n v="4.0516206482593036E-3"/>
    <n v="840.66639486189661"/>
    <n v="1.3824703495566391E-2"/>
    <s v="VTU3-20"/>
    <n v="0"/>
    <x v="3"/>
    <s v="Mar 12, 2018 @ 19:09"/>
    <s v="Mar 12, 2018 @ 19:02"/>
    <s v="mcoalson@hanson-inc.com"/>
  </r>
  <r>
    <n v="484"/>
    <s v="DT"/>
    <s v="Desktop"/>
    <x v="2"/>
    <n v="50"/>
    <n v="1"/>
    <n v="0.9"/>
    <n v="50"/>
    <n v="246.375"/>
    <n v="26.266861676011235"/>
    <n v="4.0516206482593036E-3"/>
    <n v="840.66639486189661"/>
    <n v="1.3824703495566391E-2"/>
    <s v="VTU3-20"/>
    <n v="0"/>
    <x v="3"/>
    <s v="Mar 12, 2018 @ 19:02"/>
    <s v="Mar 12, 2018 @ 19:02"/>
    <s v="nboyd@hanson-inc.com"/>
  </r>
  <r>
    <n v="492"/>
    <s v="DT"/>
    <s v="Desktop"/>
    <x v="2"/>
    <n v="50"/>
    <n v="1"/>
    <n v="0.9"/>
    <n v="50"/>
    <n v="246.375"/>
    <n v="26.266861676011235"/>
    <n v="4.0516206482593036E-3"/>
    <n v="840.66639486189661"/>
    <n v="1.3824703495566391E-2"/>
    <s v="VTU3-20"/>
    <n v="0"/>
    <x v="3"/>
    <s v="Mar 12, 2018 @ 19:10"/>
    <s v="Mar 12, 2018 @ 19:04"/>
    <s v="mcoalson@hanson-inc.com"/>
  </r>
  <r>
    <n v="502"/>
    <s v="DT"/>
    <s v="Desktop"/>
    <x v="2"/>
    <n v="50"/>
    <n v="1"/>
    <n v="0.9"/>
    <n v="50"/>
    <n v="246.375"/>
    <n v="26.266861676011235"/>
    <n v="4.0516206482593036E-3"/>
    <n v="840.66639486189661"/>
    <n v="1.3824703495566391E-2"/>
    <s v="VTU3-20"/>
    <n v="0"/>
    <x v="3"/>
    <s v="Mar 12, 2018 @ 19:11"/>
    <s v="Mar 12, 2018 @ 19:05"/>
    <s v="mcoalson@hanson-inc.com"/>
  </r>
  <r>
    <n v="508"/>
    <s v="DT"/>
    <s v="Desktop"/>
    <x v="2"/>
    <n v="50"/>
    <n v="1"/>
    <n v="0.9"/>
    <n v="50"/>
    <n v="246.375"/>
    <n v="26.266861676011235"/>
    <n v="4.0516206482593036E-3"/>
    <n v="840.66639486189661"/>
    <n v="1.3824703495566391E-2"/>
    <s v="VTU3-20"/>
    <n v="0"/>
    <x v="3"/>
    <s v="Mar 12, 2018 @ 19:05"/>
    <s v="Mar 12, 2018 @ 19:05"/>
    <s v="nboyd@hanson-inc.com"/>
  </r>
  <r>
    <n v="514"/>
    <s v="DT"/>
    <s v="Desktop"/>
    <x v="2"/>
    <n v="50"/>
    <n v="1"/>
    <n v="0.9"/>
    <n v="50"/>
    <n v="246.375"/>
    <n v="26.266861676011235"/>
    <n v="4.0516206482593036E-3"/>
    <n v="840.66639486189661"/>
    <n v="1.3824703495566391E-2"/>
    <s v="VTU3-20"/>
    <n v="0"/>
    <x v="3"/>
    <s v="Mar 12, 2018 @ 19:12"/>
    <s v="Mar 12, 2018 @ 19:06"/>
    <s v="mcoalson@hanson-inc.com"/>
  </r>
  <r>
    <n v="526"/>
    <s v="DT"/>
    <s v="Desktop"/>
    <x v="2"/>
    <n v="50"/>
    <n v="1"/>
    <n v="0.9"/>
    <n v="50"/>
    <n v="246.375"/>
    <n v="26.266861676011235"/>
    <n v="4.0516206482593036E-3"/>
    <n v="840.66639486189661"/>
    <n v="1.3824703495566391E-2"/>
    <s v="VTU3-20"/>
    <n v="0"/>
    <x v="3"/>
    <s v="Mar 12, 2018 @ 19:14"/>
    <s v="Mar 12, 2018 @ 19:08"/>
    <s v="mcoalson@hanson-inc.com"/>
  </r>
  <r>
    <n v="534"/>
    <s v="DT"/>
    <s v="Desktop"/>
    <x v="2"/>
    <n v="50"/>
    <n v="1"/>
    <n v="0.9"/>
    <n v="50"/>
    <n v="246.375"/>
    <n v="26.266861676011235"/>
    <n v="4.0516206482593036E-3"/>
    <n v="840.66639486189661"/>
    <n v="1.3824703495566391E-2"/>
    <s v="VTU3-20"/>
    <n v="0"/>
    <x v="3"/>
    <s v="Mar 12, 2018 @ 19:15"/>
    <s v="Mar 12, 2018 @ 19:08"/>
    <s v="mcoalson@hanson-inc.com"/>
  </r>
  <r>
    <n v="542"/>
    <s v="DT"/>
    <s v="Desktop"/>
    <x v="2"/>
    <n v="50"/>
    <n v="1"/>
    <n v="0.9"/>
    <n v="50"/>
    <n v="246.375"/>
    <n v="26.266861676011235"/>
    <n v="4.0516206482593036E-3"/>
    <n v="840.66639486189661"/>
    <n v="1.3824703495566391E-2"/>
    <s v="VTU3-20"/>
    <n v="0"/>
    <x v="3"/>
    <s v="Mar 12, 2018 @ 19:15"/>
    <s v="Mar 12, 2018 @ 19:09"/>
    <s v="mcoalson@hanson-inc.com"/>
  </r>
  <r>
    <n v="549"/>
    <s v="DT"/>
    <s v="Desktop"/>
    <x v="2"/>
    <n v="50"/>
    <n v="1"/>
    <n v="0.9"/>
    <n v="50"/>
    <n v="246.375"/>
    <n v="26.266861676011235"/>
    <n v="4.0516206482593036E-3"/>
    <n v="840.66639486189661"/>
    <n v="1.3824703495566391E-2"/>
    <s v="VTU3-20"/>
    <n v="0"/>
    <x v="3"/>
    <s v="Mar 12, 2018 @ 19:10"/>
    <s v="Mar 12, 2018 @ 19:10"/>
    <s v="nboyd@hanson-inc.com"/>
  </r>
  <r>
    <n v="554"/>
    <s v="DT"/>
    <s v="Desktop"/>
    <x v="2"/>
    <n v="50"/>
    <n v="1"/>
    <n v="0.9"/>
    <n v="50"/>
    <n v="246.375"/>
    <n v="26.266861676011235"/>
    <n v="4.0516206482593036E-3"/>
    <n v="840.66639486189661"/>
    <n v="1.3824703495566391E-2"/>
    <s v="VTU3-20"/>
    <n v="0"/>
    <x v="3"/>
    <s v="Mar 12, 2018 @ 19:17"/>
    <s v="Mar 12, 2018 @ 19:11"/>
    <s v="mcoalson@hanson-inc.com"/>
  </r>
  <r>
    <n v="559"/>
    <s v="DT"/>
    <s v="Desktop"/>
    <x v="2"/>
    <n v="50"/>
    <n v="1"/>
    <n v="0.9"/>
    <n v="50"/>
    <n v="246.375"/>
    <n v="26.266861676011235"/>
    <n v="4.0516206482593036E-3"/>
    <n v="840.66639486189661"/>
    <n v="1.3824703495566391E-2"/>
    <s v="VTU3-20"/>
    <n v="0"/>
    <x v="3"/>
    <s v="Mar 12, 2018 @ 19:18"/>
    <s v="Mar 12, 2018 @ 19:12"/>
    <s v="mcoalson@hanson-inc.com"/>
  </r>
  <r>
    <n v="567"/>
    <s v="DT"/>
    <s v="Desktop"/>
    <x v="2"/>
    <n v="50"/>
    <n v="1"/>
    <n v="0.9"/>
    <n v="50"/>
    <n v="246.375"/>
    <n v="26.266861676011235"/>
    <n v="4.0516206482593036E-3"/>
    <n v="840.66639486189661"/>
    <n v="1.3824703495566391E-2"/>
    <s v="VTU3-20"/>
    <n v="0"/>
    <x v="3"/>
    <s v="Mar 12, 2018 @ 19:19"/>
    <s v="Mar 12, 2018 @ 19:13"/>
    <s v="mcoalson@hanson-inc.com"/>
  </r>
  <r>
    <n v="577"/>
    <s v="DT"/>
    <s v="Desktop"/>
    <x v="2"/>
    <n v="50"/>
    <n v="1"/>
    <n v="0.9"/>
    <n v="50"/>
    <n v="246.375"/>
    <n v="26.266861676011235"/>
    <n v="4.0516206482593036E-3"/>
    <n v="840.66639486189661"/>
    <n v="1.3824703495566391E-2"/>
    <s v="VTU3-20"/>
    <n v="0"/>
    <x v="3"/>
    <s v="Mar 12, 2018 @ 19:20"/>
    <s v="Mar 12, 2018 @ 19:13"/>
    <s v="mcoalson@hanson-inc.com"/>
  </r>
  <r>
    <n v="578"/>
    <s v="DT"/>
    <s v="Desktop"/>
    <x v="2"/>
    <n v="50"/>
    <n v="1"/>
    <n v="0.9"/>
    <n v="50"/>
    <n v="246.375"/>
    <n v="26.266861676011235"/>
    <n v="4.0516206482593036E-3"/>
    <n v="840.66639486189661"/>
    <n v="1.3824703495566391E-2"/>
    <s v="VTU3-20"/>
    <n v="0"/>
    <x v="3"/>
    <s v="Mar 12, 2018 @ 19:14"/>
    <s v="Mar 12, 2018 @ 19:14"/>
    <s v="nboyd@hanson-inc.com"/>
  </r>
  <r>
    <n v="582"/>
    <s v="DT"/>
    <s v="Desktop"/>
    <x v="2"/>
    <n v="50"/>
    <n v="1"/>
    <n v="0.9"/>
    <n v="50"/>
    <n v="246.375"/>
    <n v="26.266861676011235"/>
    <n v="4.0516206482593036E-3"/>
    <n v="840.66639486189661"/>
    <n v="1.3824703495566391E-2"/>
    <s v="VTU3-20"/>
    <n v="0"/>
    <x v="3"/>
    <s v="Mar 12, 2018 @ 19:21"/>
    <s v="Mar 12, 2018 @ 19:15"/>
    <s v="mcoalson@hanson-inc.com"/>
  </r>
  <r>
    <n v="593"/>
    <s v="DT"/>
    <s v="Desktop"/>
    <x v="2"/>
    <n v="50"/>
    <n v="1"/>
    <n v="0.9"/>
    <n v="50"/>
    <n v="246.375"/>
    <n v="26.266861676011235"/>
    <n v="4.0516206482593036E-3"/>
    <n v="840.66639486189661"/>
    <n v="1.3824703495566391E-2"/>
    <s v="VTU3-20"/>
    <n v="0"/>
    <x v="3"/>
    <s v="Mar 12, 2018 @ 19:16"/>
    <s v="Mar 12, 2018 @ 19:16"/>
    <s v="nboyd@hanson-inc.com"/>
  </r>
  <r>
    <n v="597"/>
    <s v="DT"/>
    <s v="Desktop"/>
    <x v="2"/>
    <n v="50"/>
    <n v="1"/>
    <n v="0.9"/>
    <n v="50"/>
    <n v="246.375"/>
    <n v="26.266861676011235"/>
    <n v="4.0516206482593036E-3"/>
    <n v="840.66639486189661"/>
    <n v="1.3824703495566391E-2"/>
    <s v="VTU3-20"/>
    <n v="0"/>
    <x v="3"/>
    <s v="Mar 12, 2018 @ 19:16"/>
    <s v="Mar 12, 2018 @ 19:16"/>
    <s v="nboyd@hanson-inc.com"/>
  </r>
  <r>
    <n v="599"/>
    <s v="DT"/>
    <s v="Desktop"/>
    <x v="2"/>
    <n v="50"/>
    <n v="1"/>
    <n v="0.9"/>
    <n v="50"/>
    <n v="246.375"/>
    <n v="26.266861676011235"/>
    <n v="4.0516206482593036E-3"/>
    <n v="840.66639486189661"/>
    <n v="1.3824703495566391E-2"/>
    <s v="VTU3-20"/>
    <n v="0"/>
    <x v="3"/>
    <s v="Mar 12, 2018 @ 19:22"/>
    <s v="Mar 12, 2018 @ 19:16"/>
    <s v="mcoalson@hanson-inc.com"/>
  </r>
  <r>
    <n v="607"/>
    <s v="DT"/>
    <s v="Desktop"/>
    <x v="2"/>
    <n v="50"/>
    <n v="1"/>
    <n v="0.9"/>
    <n v="50"/>
    <n v="246.375"/>
    <n v="26.266861676011235"/>
    <n v="4.0516206482593036E-3"/>
    <n v="840.66639486189661"/>
    <n v="1.3824703495566391E-2"/>
    <s v="VTU3-20"/>
    <n v="0"/>
    <x v="3"/>
    <s v="Mar 12, 2018 @ 19:23"/>
    <s v="Mar 12, 2018 @ 19:17"/>
    <s v="mcoalson@hanson-inc.com"/>
  </r>
  <r>
    <n v="615"/>
    <s v="DT"/>
    <s v="Desktop"/>
    <x v="2"/>
    <n v="50"/>
    <n v="1"/>
    <n v="0.9"/>
    <n v="50"/>
    <n v="246.375"/>
    <n v="26.266861676011235"/>
    <n v="4.0516206482593036E-3"/>
    <n v="840.66639486189661"/>
    <n v="1.3824703495566391E-2"/>
    <s v="VTU3-20"/>
    <n v="0"/>
    <x v="3"/>
    <s v="Mar 12, 2018 @ 19:18"/>
    <s v="Mar 12, 2018 @ 19:18"/>
    <s v="nboyd@hanson-inc.com"/>
  </r>
  <r>
    <n v="624"/>
    <s v="DT"/>
    <s v="Desktop"/>
    <x v="2"/>
    <n v="50"/>
    <n v="1"/>
    <n v="0.9"/>
    <n v="50"/>
    <n v="246.375"/>
    <n v="26.266861676011235"/>
    <n v="4.0516206482593036E-3"/>
    <n v="840.66639486189661"/>
    <n v="1.3824703495566391E-2"/>
    <s v="VTU3-20"/>
    <n v="0"/>
    <x v="3"/>
    <s v="Mar 12, 2018 @ 19:28"/>
    <s v="Mar 12, 2018 @ 19:22"/>
    <s v="mcoalson@hanson-inc.com"/>
  </r>
  <r>
    <n v="924"/>
    <s v="E"/>
    <s v="Electrical"/>
    <x v="24"/>
    <m/>
    <m/>
    <m/>
    <n v="0"/>
    <n v="0"/>
    <n v="0"/>
    <n v="0"/>
    <n v="0"/>
    <n v="0"/>
    <s v="1st Floor"/>
    <n v="1"/>
    <x v="5"/>
    <s v="Mar 14, 2018 @ 15:30"/>
    <s v="Mar 14, 2018 @ 15:30"/>
    <s v="nboyd@hanson-inc.com"/>
  </r>
  <r>
    <n v="925"/>
    <s v="E"/>
    <s v="Electrical"/>
    <x v="24"/>
    <m/>
    <m/>
    <m/>
    <n v="0"/>
    <n v="0"/>
    <n v="0"/>
    <n v="0"/>
    <n v="0"/>
    <n v="0"/>
    <s v="1st Floor"/>
    <n v="1"/>
    <x v="5"/>
    <s v="Mar 14, 2018 @ 15:31"/>
    <s v="Mar 14, 2018 @ 15:32"/>
    <s v="nboyd@hanson-inc.com"/>
  </r>
  <r>
    <n v="927"/>
    <s v="E"/>
    <s v="Electrical"/>
    <x v="25"/>
    <m/>
    <m/>
    <m/>
    <n v="0"/>
    <n v="0"/>
    <n v="0"/>
    <n v="0"/>
    <n v="0"/>
    <n v="0"/>
    <s v="1st Floor"/>
    <n v="1"/>
    <x v="5"/>
    <s v="Mar 14, 2018 @ 15:33"/>
    <s v="Mar 14, 2018 @ 15:33"/>
    <s v="nboyd@hanson-inc.com"/>
  </r>
  <r>
    <n v="744"/>
    <s v="E"/>
    <s v="Electrical"/>
    <x v="26"/>
    <m/>
    <m/>
    <m/>
    <n v="0"/>
    <n v="0"/>
    <n v="0"/>
    <n v="0"/>
    <n v="0"/>
    <n v="0"/>
    <s v="2nd Floor"/>
    <n v="0"/>
    <x v="5"/>
    <s v="Mar 14, 2018 @ 14:02"/>
    <s v="Mar 14, 2018 @ 14:03"/>
    <s v="nboyd@hanson-inc.com"/>
  </r>
  <r>
    <n v="794"/>
    <s v="E"/>
    <s v="Electrical"/>
    <x v="24"/>
    <m/>
    <m/>
    <m/>
    <n v="0"/>
    <n v="0"/>
    <n v="0"/>
    <n v="0"/>
    <n v="0"/>
    <n v="0"/>
    <s v="2nd Floor"/>
    <n v="1"/>
    <x v="5"/>
    <s v="Mar 14, 2018 @ 14:36"/>
    <s v="Mar 14, 2018 @ 14:37"/>
    <s v="nboyd@hanson-inc.com"/>
  </r>
  <r>
    <n v="8"/>
    <s v="FN"/>
    <s v="Fan"/>
    <x v="27"/>
    <m/>
    <m/>
    <m/>
    <n v="0"/>
    <n v="0"/>
    <n v="0"/>
    <n v="0"/>
    <n v="0"/>
    <n v="0"/>
    <s v="VTU3-20"/>
    <n v="2"/>
    <x v="6"/>
    <s v="Mar 12, 2018 @ 13:43"/>
    <s v="Mar 12, 2018 @ 13:44"/>
    <s v="mcoalson@hanson-inc.com"/>
  </r>
  <r>
    <n v="10"/>
    <s v="FN"/>
    <s v="Fan"/>
    <x v="27"/>
    <m/>
    <m/>
    <m/>
    <n v="0"/>
    <n v="0"/>
    <n v="0"/>
    <n v="0"/>
    <n v="0"/>
    <n v="0"/>
    <s v="VTU3-20"/>
    <n v="3"/>
    <x v="6"/>
    <s v="Mar 12, 2018 @ 13:44"/>
    <s v="Mar 12, 2018 @ 13:45"/>
    <s v="mcoalson@hanson-inc.com"/>
  </r>
  <r>
    <n v="628"/>
    <s v="DT"/>
    <s v="Desktop"/>
    <x v="2"/>
    <n v="50"/>
    <n v="1"/>
    <n v="0.9"/>
    <n v="50"/>
    <n v="246.375"/>
    <n v="26.266861676011235"/>
    <n v="4.0516206482593036E-3"/>
    <n v="840.66639486189661"/>
    <n v="1.3824703495566391E-2"/>
    <s v="VTU3-20"/>
    <n v="0"/>
    <x v="3"/>
    <s v="Mar 12, 2018 @ 19:36"/>
    <s v="Mar 12, 2018 @ 19:29"/>
    <s v="mcoalson@hanson-inc.com"/>
  </r>
  <r>
    <n v="236"/>
    <s v="GL"/>
    <s v="Glass"/>
    <x v="28"/>
    <m/>
    <m/>
    <m/>
    <n v="0"/>
    <n v="0"/>
    <n v="0"/>
    <n v="0"/>
    <n v="0"/>
    <n v="0"/>
    <s v="VTU3-20"/>
    <n v="2"/>
    <x v="2"/>
    <s v="Mar 12, 2018 @ 14:54"/>
    <s v="Mar 12, 2018 @ 14:55"/>
    <s v="nboyd@hanson-inc.com"/>
  </r>
  <r>
    <n v="238"/>
    <s v="GL"/>
    <s v="Glass"/>
    <x v="2"/>
    <m/>
    <m/>
    <m/>
    <n v="0"/>
    <n v="0"/>
    <n v="0"/>
    <n v="0"/>
    <n v="0"/>
    <n v="0"/>
    <s v="VTU3-20"/>
    <n v="0"/>
    <x v="2"/>
    <s v="Mar 12, 2018 @ 14:56"/>
    <s v="Mar 12, 2018 @ 14:56"/>
    <s v="nboyd@hanson-inc.com"/>
  </r>
  <r>
    <n v="918"/>
    <s v="E"/>
    <s v="Electrical"/>
    <x v="24"/>
    <n v="8800"/>
    <n v="1"/>
    <n v="1"/>
    <n v="8800"/>
    <n v="48180"/>
    <n v="5136.6307277533078"/>
    <n v="0.79231692677070831"/>
    <n v="164396.98388410424"/>
    <n v="2.7034975724663166"/>
    <s v="1st Floor"/>
    <n v="1"/>
    <x v="5"/>
    <s v="Mar 14, 2018 @ 15:22"/>
    <s v="Mar 14, 2018 @ 15:23"/>
    <s v="nboyd@hanson-inc.com"/>
  </r>
  <r>
    <n v="748"/>
    <s v="IT"/>
    <s v="Information technology"/>
    <x v="29"/>
    <m/>
    <m/>
    <m/>
    <n v="0"/>
    <n v="0"/>
    <n v="0"/>
    <n v="0"/>
    <n v="0"/>
    <n v="0"/>
    <s v="2nd Floor"/>
    <n v="0"/>
    <x v="2"/>
    <s v="Mar 14, 2018 @ 14:06"/>
    <s v="Mar 14, 2018 @ 14:06"/>
    <s v="nboyd@hanson-inc.com"/>
  </r>
  <r>
    <n v="242"/>
    <s v="IT"/>
    <s v="Information technology"/>
    <x v="30"/>
    <m/>
    <m/>
    <m/>
    <n v="0"/>
    <n v="0"/>
    <n v="0"/>
    <n v="0"/>
    <n v="0"/>
    <n v="0"/>
    <s v="VTU3-20"/>
    <n v="0"/>
    <x v="2"/>
    <s v="Mar 12, 2018 @ 15:00"/>
    <s v="Mar 12, 2018 @ 15:00"/>
    <s v="nboyd@hanson-inc.com"/>
  </r>
  <r>
    <n v="11"/>
    <s v="FN"/>
    <s v="Fan"/>
    <x v="31"/>
    <n v="22371"/>
    <n v="1"/>
    <n v="0"/>
    <n v="22371"/>
    <n v="0"/>
    <n v="0"/>
    <n v="0"/>
    <n v="0"/>
    <n v="0"/>
    <s v="VTU3-20"/>
    <n v="1"/>
    <x v="6"/>
    <s v="Mar 12, 2018 @ 13:45"/>
    <s v="Mar 12, 2018 @ 13:53"/>
    <s v="mcoalson@hanson-inc.com"/>
  </r>
  <r>
    <n v="894"/>
    <s v="IT"/>
    <s v="Information technology"/>
    <x v="32"/>
    <n v="120"/>
    <n v="1"/>
    <n v="0.5"/>
    <n v="120"/>
    <n v="328.5"/>
    <n v="35.022482234681647"/>
    <n v="5.4021608643457387E-3"/>
    <n v="1120.8885264825287"/>
    <n v="1.843293799408852E-2"/>
    <s v="1st Floor"/>
    <n v="0"/>
    <x v="3"/>
    <s v="Mar 14, 2018 @ 15:12"/>
    <s v="Mar 14, 2018 @ 15:12"/>
    <s v="nboyd@hanson-inc.com"/>
  </r>
  <r>
    <n v="1069"/>
    <s v="LT"/>
    <s v="Laptop"/>
    <x v="2"/>
    <n v="40"/>
    <n v="1"/>
    <n v="0.9"/>
    <n v="40"/>
    <n v="197.1"/>
    <n v="21.013489340808988"/>
    <n v="3.2412965186074429E-3"/>
    <n v="672.53311588951726"/>
    <n v="1.1059762796453111E-2"/>
    <s v="1st Floor"/>
    <n v="0"/>
    <x v="3"/>
    <s v="Mar 14, 2018 @ 16:25"/>
    <s v="Mar 14, 2018 @ 16:25"/>
    <s v="mcoalson@hanson-inc.com"/>
  </r>
  <r>
    <n v="1079"/>
    <s v="LT"/>
    <s v="Laptop"/>
    <x v="2"/>
    <n v="40"/>
    <n v="1"/>
    <n v="0.9"/>
    <n v="40"/>
    <n v="197.1"/>
    <n v="21.013489340808988"/>
    <n v="3.2412965186074429E-3"/>
    <n v="672.53311588951726"/>
    <n v="1.1059762796453111E-2"/>
    <s v="1st Floor"/>
    <n v="0"/>
    <x v="3"/>
    <s v="Mar 14, 2018 @ 16:27"/>
    <s v="Mar 14, 2018 @ 16:27"/>
    <s v="mcoalson@hanson-inc.com"/>
  </r>
  <r>
    <n v="1086"/>
    <s v="LT"/>
    <s v="Laptop"/>
    <x v="2"/>
    <n v="40"/>
    <n v="1"/>
    <n v="0.9"/>
    <n v="40"/>
    <n v="197.1"/>
    <n v="21.013489340808988"/>
    <n v="3.2412965186074429E-3"/>
    <n v="672.53311588951726"/>
    <n v="1.1059762796453111E-2"/>
    <s v="1st Floor"/>
    <n v="0"/>
    <x v="3"/>
    <s v="Mar 14, 2018 @ 16:28"/>
    <s v="Mar 14, 2018 @ 16:28"/>
    <s v="nboyd@hanson-inc.com"/>
  </r>
  <r>
    <n v="1091"/>
    <s v="LT"/>
    <s v="Laptop"/>
    <x v="2"/>
    <n v="40"/>
    <n v="1"/>
    <n v="0.9"/>
    <n v="40"/>
    <n v="197.1"/>
    <n v="21.013489340808988"/>
    <n v="3.2412965186074429E-3"/>
    <n v="672.53311588951726"/>
    <n v="1.1059762796453111E-2"/>
    <s v="1st Floor"/>
    <n v="0"/>
    <x v="3"/>
    <s v="Mar 14, 2018 @ 16:29"/>
    <s v="Mar 14, 2018 @ 16:29"/>
    <s v="mcoalson@hanson-inc.com"/>
  </r>
  <r>
    <n v="658"/>
    <s v="LT"/>
    <s v="Laptop"/>
    <x v="2"/>
    <n v="40"/>
    <n v="1"/>
    <n v="0.9"/>
    <n v="40"/>
    <n v="197.1"/>
    <n v="21.013489340808988"/>
    <n v="3.2412965186074429E-3"/>
    <n v="672.53311588951726"/>
    <n v="1.1059762796453111E-2"/>
    <s v="2nd Floor"/>
    <n v="0"/>
    <x v="3"/>
    <s v="Mar 14, 2018 @ 13:18"/>
    <s v="Mar 14, 2018 @ 13:18"/>
    <s v="nboyd@hanson-inc.com"/>
  </r>
  <r>
    <n v="777"/>
    <s v="LT"/>
    <s v="Laptop"/>
    <x v="2"/>
    <n v="40"/>
    <n v="1"/>
    <n v="0.9"/>
    <n v="40"/>
    <n v="197.1"/>
    <n v="21.013489340808988"/>
    <n v="3.2412965186074429E-3"/>
    <n v="672.53311588951726"/>
    <n v="1.1059762796453111E-2"/>
    <s v="2nd Floor"/>
    <n v="0"/>
    <x v="3"/>
    <s v="Mar 14, 2018 @ 14:19"/>
    <s v="Mar 14, 2018 @ 14:19"/>
    <s v="mcoalson@hanson-inc.com"/>
  </r>
  <r>
    <n v="781"/>
    <s v="LT"/>
    <s v="Laptop"/>
    <x v="2"/>
    <n v="40"/>
    <n v="1"/>
    <n v="0.9"/>
    <n v="40"/>
    <n v="197.1"/>
    <n v="21.013489340808988"/>
    <n v="3.2412965186074429E-3"/>
    <n v="672.53311588951726"/>
    <n v="1.1059762796453111E-2"/>
    <s v="2nd Floor"/>
    <n v="0"/>
    <x v="3"/>
    <s v="Mar 14, 2018 @ 14:21"/>
    <s v="Mar 14, 2018 @ 14:21"/>
    <s v="mcoalson@hanson-inc.com"/>
  </r>
  <r>
    <n v="47"/>
    <s v="LT"/>
    <s v="Laptop"/>
    <x v="2"/>
    <n v="40"/>
    <n v="1"/>
    <n v="0.9"/>
    <n v="40"/>
    <n v="197.1"/>
    <n v="21.013489340808988"/>
    <n v="3.2412965186074429E-3"/>
    <n v="672.53311588951726"/>
    <n v="1.1059762796453111E-2"/>
    <s v="VTU3-20"/>
    <n v="0"/>
    <x v="3"/>
    <s v="Mar 12, 2018 @ 14:11"/>
    <s v="Mar 12, 2018 @ 14:11"/>
    <s v="nboyd@hanson-inc.com"/>
  </r>
  <r>
    <n v="54"/>
    <s v="LT"/>
    <s v="Laptop"/>
    <x v="2"/>
    <n v="40"/>
    <n v="1"/>
    <n v="0.9"/>
    <n v="40"/>
    <n v="197.1"/>
    <n v="21.013489340808988"/>
    <n v="3.2412965186074429E-3"/>
    <n v="672.53311588951726"/>
    <n v="1.1059762796453111E-2"/>
    <s v="VTU3-20"/>
    <n v="0"/>
    <x v="3"/>
    <s v="Mar 12, 2018 @ 14:19"/>
    <s v="Mar 12, 2018 @ 14:13"/>
    <s v="mcoalson@hanson-inc.com"/>
  </r>
  <r>
    <n v="168"/>
    <s v="LT"/>
    <s v="Laptop"/>
    <x v="2"/>
    <n v="40"/>
    <n v="1"/>
    <n v="0.9"/>
    <n v="40"/>
    <n v="197.1"/>
    <n v="21.013489340808988"/>
    <n v="3.2412965186074429E-3"/>
    <n v="672.53311588951726"/>
    <n v="1.1059762796453111E-2"/>
    <s v="VTU3-20"/>
    <n v="0"/>
    <x v="3"/>
    <s v="Mar 12, 2018 @ 14:46"/>
    <s v="Mar 12, 2018 @ 14:40"/>
    <s v="mcoalson@hanson-inc.com"/>
  </r>
  <r>
    <n v="181"/>
    <s v="LT"/>
    <s v="Laptop"/>
    <x v="2"/>
    <n v="40"/>
    <n v="1"/>
    <n v="0.9"/>
    <n v="40"/>
    <n v="197.1"/>
    <n v="21.013489340808988"/>
    <n v="3.2412965186074429E-3"/>
    <n v="672.53311588951726"/>
    <n v="1.1059762796453111E-2"/>
    <s v="VTU3-20"/>
    <n v="0"/>
    <x v="3"/>
    <s v="Mar 12, 2018 @ 14:50"/>
    <s v="Mar 12, 2018 @ 14:44"/>
    <s v="mcoalson@hanson-inc.com"/>
  </r>
  <r>
    <n v="187"/>
    <s v="LT"/>
    <s v="Laptop"/>
    <x v="2"/>
    <n v="40"/>
    <n v="1"/>
    <n v="0.9"/>
    <n v="40"/>
    <n v="197.1"/>
    <n v="21.013489340808988"/>
    <n v="3.2412965186074429E-3"/>
    <n v="672.53311588951726"/>
    <n v="1.1059762796453111E-2"/>
    <s v="VTU3-20"/>
    <n v="0"/>
    <x v="3"/>
    <s v="Mar 12, 2018 @ 14:51"/>
    <s v="Mar 12, 2018 @ 14:45"/>
    <s v="mcoalson@hanson-inc.com"/>
  </r>
  <r>
    <n v="227"/>
    <s v="LT"/>
    <s v="Laptop"/>
    <x v="2"/>
    <n v="40"/>
    <n v="1"/>
    <n v="0.9"/>
    <n v="40"/>
    <n v="197.1"/>
    <n v="21.013489340808988"/>
    <n v="3.2412965186074429E-3"/>
    <n v="672.53311588951726"/>
    <n v="1.1059762796453111E-2"/>
    <s v="VTU3-20"/>
    <n v="0"/>
    <x v="3"/>
    <s v="Mar 12, 2018 @ 14:59"/>
    <s v="Mar 12, 2018 @ 14:53"/>
    <s v="mcoalson@hanson-inc.com"/>
  </r>
  <r>
    <n v="228"/>
    <s v="LT"/>
    <s v="Laptop"/>
    <x v="2"/>
    <n v="40"/>
    <n v="1"/>
    <n v="0.9"/>
    <n v="40"/>
    <n v="197.1"/>
    <n v="21.013489340808988"/>
    <n v="3.2412965186074429E-3"/>
    <n v="672.53311588951726"/>
    <n v="1.1059762796453111E-2"/>
    <s v="VTU3-20"/>
    <n v="0"/>
    <x v="3"/>
    <s v="Mar 12, 2018 @ 14:59"/>
    <s v="Mar 12, 2018 @ 14:53"/>
    <s v="mcoalson@hanson-inc.com"/>
  </r>
  <r>
    <n v="229"/>
    <s v="LT"/>
    <s v="Laptop"/>
    <x v="2"/>
    <n v="40"/>
    <n v="1"/>
    <n v="0.9"/>
    <n v="40"/>
    <n v="197.1"/>
    <n v="21.013489340808988"/>
    <n v="3.2412965186074429E-3"/>
    <n v="672.53311588951726"/>
    <n v="1.1059762796453111E-2"/>
    <s v="VTU3-20"/>
    <n v="0"/>
    <x v="3"/>
    <s v="Mar 12, 2018 @ 14:59"/>
    <s v="Mar 12, 2018 @ 14:53"/>
    <s v="mcoalson@hanson-inc.com"/>
  </r>
  <r>
    <n v="230"/>
    <s v="LT"/>
    <s v="Laptop"/>
    <x v="2"/>
    <n v="40"/>
    <n v="1"/>
    <n v="0.9"/>
    <n v="40"/>
    <n v="197.1"/>
    <n v="21.013489340808988"/>
    <n v="3.2412965186074429E-3"/>
    <n v="672.53311588951726"/>
    <n v="1.1059762796453111E-2"/>
    <s v="VTU3-20"/>
    <n v="0"/>
    <x v="3"/>
    <s v="Mar 12, 2018 @ 14:59"/>
    <s v="Mar 12, 2018 @ 14:53"/>
    <s v="mcoalson@hanson-inc.com"/>
  </r>
  <r>
    <n v="231"/>
    <s v="LT"/>
    <s v="Laptop"/>
    <x v="2"/>
    <n v="40"/>
    <n v="1"/>
    <n v="0.9"/>
    <n v="40"/>
    <n v="197.1"/>
    <n v="21.013489340808988"/>
    <n v="3.2412965186074429E-3"/>
    <n v="672.53311588951726"/>
    <n v="1.1059762796453111E-2"/>
    <s v="VTU3-20"/>
    <n v="0"/>
    <x v="3"/>
    <s v="Mar 12, 2018 @ 14:59"/>
    <s v="Mar 12, 2018 @ 14:53"/>
    <s v="mcoalson@hanson-inc.com"/>
  </r>
  <r>
    <n v="279"/>
    <s v="LT"/>
    <s v="Laptop"/>
    <x v="2"/>
    <n v="40"/>
    <n v="1"/>
    <n v="0.9"/>
    <n v="40"/>
    <n v="197.1"/>
    <n v="21.013489340808988"/>
    <n v="3.2412965186074429E-3"/>
    <n v="672.53311588951726"/>
    <n v="1.1059762796453111E-2"/>
    <s v="VTU3-20"/>
    <n v="0"/>
    <x v="3"/>
    <s v="Mar 12, 2018 @ 15:23"/>
    <s v="Mar 12, 2018 @ 15:16"/>
    <s v="mcoalson@hanson-inc.com"/>
  </r>
  <r>
    <n v="361"/>
    <s v="LT"/>
    <s v="Laptop"/>
    <x v="2"/>
    <n v="40"/>
    <n v="1"/>
    <n v="0.9"/>
    <n v="40"/>
    <n v="197.1"/>
    <n v="21.013489340808988"/>
    <n v="3.2412965186074429E-3"/>
    <n v="672.53311588951726"/>
    <n v="1.1059762796453111E-2"/>
    <s v="VTU3-20"/>
    <n v="0"/>
    <x v="3"/>
    <s v="Mar 12, 2018 @ 15:53"/>
    <s v="Mar 12, 2018 @ 18:30"/>
    <s v="mcoalson@hanson-inc.com"/>
  </r>
  <r>
    <n v="530"/>
    <s v="LT"/>
    <s v="Laptop"/>
    <x v="2"/>
    <n v="40"/>
    <n v="1"/>
    <n v="0.9"/>
    <n v="40"/>
    <n v="197.1"/>
    <n v="21.013489340808988"/>
    <n v="3.2412965186074429E-3"/>
    <n v="672.53311588951726"/>
    <n v="1.1059762796453111E-2"/>
    <s v="VTU3-20"/>
    <n v="0"/>
    <x v="3"/>
    <s v="Mar 12, 2018 @ 19:14"/>
    <s v="Mar 12, 2018 @ 19:08"/>
    <s v="mcoalson@hanson-inc.com"/>
  </r>
  <r>
    <n v="716"/>
    <s v="T8"/>
    <s v="Light Fixture"/>
    <x v="33"/>
    <n v="12"/>
    <n v="1"/>
    <n v="1"/>
    <n v="12"/>
    <n v="65.7"/>
    <n v="7.0044964469363293"/>
    <n v="1.0804321728691477E-3"/>
    <n v="224.17770529650576"/>
    <n v="3.686587598817704E-3"/>
    <s v="2nd Floor"/>
    <n v="0"/>
    <x v="4"/>
    <s v="Mar 14, 2018 @ 13:44"/>
    <s v="Mar 14, 2018 @ 13:38"/>
    <s v="mcoalson@hanson-inc.com"/>
  </r>
  <r>
    <n v="1065"/>
    <s v="T8"/>
    <s v="Light Fixture"/>
    <x v="34"/>
    <n v="36"/>
    <n v="1"/>
    <n v="1"/>
    <n v="36"/>
    <n v="197.1"/>
    <n v="21.013489340808988"/>
    <n v="3.2412965186074429E-3"/>
    <n v="672.53311588951726"/>
    <n v="1.1059762796453111E-2"/>
    <s v="1st Floor"/>
    <n v="0"/>
    <x v="4"/>
    <s v="Mar 14, 2018 @ 16:24"/>
    <s v="Mar 14, 2018 @ 16:24"/>
    <s v="mcoalson@hanson-inc.com"/>
  </r>
  <r>
    <n v="715"/>
    <s v="T8"/>
    <s v="Light Fixture"/>
    <x v="34"/>
    <n v="36"/>
    <n v="1"/>
    <n v="1"/>
    <n v="36"/>
    <n v="197.1"/>
    <n v="21.013489340808988"/>
    <n v="3.2412965186074429E-3"/>
    <n v="672.53311588951726"/>
    <n v="1.1059762796453111E-2"/>
    <s v="2nd Floor"/>
    <n v="0"/>
    <x v="4"/>
    <s v="Mar 14, 2018 @ 13:41"/>
    <s v="Mar 14, 2018 @ 13:37"/>
    <s v="mcoalson@hanson-inc.com"/>
  </r>
  <r>
    <n v="802"/>
    <s v="T8"/>
    <s v="Light Fixture"/>
    <x v="35"/>
    <n v="36"/>
    <n v="1"/>
    <n v="1"/>
    <n v="36"/>
    <n v="197.1"/>
    <n v="21.013489340808988"/>
    <n v="3.2412965186074429E-3"/>
    <n v="672.53311588951726"/>
    <n v="1.1059762796453111E-2"/>
    <s v="2nd Floor"/>
    <n v="0"/>
    <x v="4"/>
    <s v="Mar 14, 2018 @ 14:40"/>
    <s v="Mar 14, 2018 @ 14:40"/>
    <s v="nboyd@hanson-inc.com"/>
  </r>
  <r>
    <n v="43"/>
    <s v="T8"/>
    <s v="Light Fixture"/>
    <x v="36"/>
    <n v="12"/>
    <n v="1"/>
    <n v="1"/>
    <n v="12"/>
    <n v="65.7"/>
    <n v="7.0044964469363293"/>
    <n v="1.0804321728691477E-3"/>
    <n v="224.17770529650576"/>
    <n v="3.686587598817704E-3"/>
    <s v="VTU3-20"/>
    <n v="0"/>
    <x v="4"/>
    <s v="Mar 12, 2018 @ 14:10"/>
    <s v="Mar 12, 2018 @ 14:10"/>
    <s v="nboyd@hanson-inc.com"/>
  </r>
  <r>
    <n v="745"/>
    <s v="LF"/>
    <s v="Lighting Fixture"/>
    <x v="37"/>
    <n v="36"/>
    <n v="1"/>
    <n v="1"/>
    <n v="36"/>
    <n v="197.1"/>
    <n v="21.013489340808988"/>
    <n v="3.2412965186074429E-3"/>
    <n v="672.53311588951726"/>
    <n v="1.1059762796453111E-2"/>
    <s v="2nd Floor"/>
    <n v="0"/>
    <x v="4"/>
    <s v="Mar 14, 2018 @ 14:04"/>
    <s v="Mar 14, 2018 @ 14:04"/>
    <s v="mcoalson@hanson-inc.com"/>
  </r>
  <r>
    <n v="1034"/>
    <s v="LF"/>
    <s v="Lighting Fixture"/>
    <x v="38"/>
    <n v="100"/>
    <n v="1"/>
    <n v="1"/>
    <n v="100"/>
    <n v="547.5"/>
    <n v="58.370803724469411"/>
    <n v="9.00360144057623E-3"/>
    <n v="1868.147544137548"/>
    <n v="3.0721563323480867E-2"/>
    <s v="1st Floor"/>
    <n v="0"/>
    <x v="4"/>
    <s v="Mar 14, 2018 @ 16:06"/>
    <s v="Mar 14, 2018 @ 16:06"/>
    <s v="mcoalson@hanson-inc.com"/>
  </r>
  <r>
    <n v="1029"/>
    <s v="LF"/>
    <s v="Lighting Fixture"/>
    <x v="39"/>
    <n v="13"/>
    <n v="1"/>
    <n v="1"/>
    <n v="13"/>
    <n v="71.174999999999997"/>
    <n v="7.5882044841810226"/>
    <n v="1.17046818727491E-3"/>
    <n v="242.85918073788125"/>
    <n v="3.9938032320525124E-3"/>
    <s v="1st Floor"/>
    <n v="0"/>
    <x v="4"/>
    <s v="Mar 14, 2018 @ 16:05"/>
    <s v="Mar 14, 2018 @ 16:05"/>
    <s v="mcoalson@hanson-inc.com"/>
  </r>
  <r>
    <n v="994"/>
    <s v="LF"/>
    <s v="Lighting Fixture"/>
    <x v="40"/>
    <n v="13"/>
    <n v="1"/>
    <n v="1"/>
    <n v="13"/>
    <n v="71.174999999999997"/>
    <n v="7.5882044841810226"/>
    <n v="1.17046818727491E-3"/>
    <n v="242.85918073788125"/>
    <n v="3.9938032320525124E-3"/>
    <s v="1st Floor"/>
    <n v="0"/>
    <x v="4"/>
    <s v="Mar 14, 2018 @ 15:59"/>
    <s v="Mar 14, 2018 @ 16:00"/>
    <s v="nboyd@hanson-inc.com"/>
  </r>
  <r>
    <n v="719"/>
    <s v="LF"/>
    <s v="Lighting Fixture"/>
    <x v="41"/>
    <n v="150"/>
    <n v="1"/>
    <n v="1"/>
    <n v="150"/>
    <n v="821.25"/>
    <n v="87.55620558670411"/>
    <n v="1.3505402160864346E-2"/>
    <n v="2802.2213162063222"/>
    <n v="4.6082344985221305E-2"/>
    <s v="2nd Floor"/>
    <n v="1"/>
    <x v="4"/>
    <s v="Mar 14, 2018 @ 13:43"/>
    <s v="Mar 14, 2018 @ 13:43"/>
    <s v="nboyd@hanson-inc.com"/>
  </r>
  <r>
    <n v="152"/>
    <s v="T8"/>
    <s v="Light Fixture"/>
    <x v="42"/>
    <n v="9"/>
    <n v="1"/>
    <n v="1"/>
    <n v="9"/>
    <n v="49.274999999999999"/>
    <n v="5.253372335202247"/>
    <n v="8.1032412965186072E-4"/>
    <n v="168.13327897237932"/>
    <n v="2.7649406991132777E-3"/>
    <s v="VTU3-20"/>
    <n v="0"/>
    <x v="4"/>
    <s v="Mar 12, 2018 @ 14:37"/>
    <s v="Mar 12, 2018 @ 14:37"/>
    <s v="nboyd@hanson-inc.com"/>
  </r>
  <r>
    <n v="1077"/>
    <s v="T8"/>
    <s v="Light Fixture"/>
    <x v="43"/>
    <n v="36"/>
    <n v="1"/>
    <n v="1"/>
    <n v="36"/>
    <n v="197.1"/>
    <n v="21.013489340808988"/>
    <n v="3.2412965186074429E-3"/>
    <n v="672.53311588951726"/>
    <n v="1.1059762796453111E-2"/>
    <s v="1st Floor"/>
    <n v="0"/>
    <x v="4"/>
    <s v="Mar 14, 2018 @ 16:26"/>
    <s v="Mar 14, 2018 @ 16:26"/>
    <s v="nboyd@hanson-inc.com"/>
  </r>
  <r>
    <n v="805"/>
    <s v="T8"/>
    <s v="Light Fixture"/>
    <x v="44"/>
    <n v="36"/>
    <n v="1"/>
    <n v="1"/>
    <n v="36"/>
    <n v="197.1"/>
    <n v="21.013489340808988"/>
    <n v="3.2412965186074429E-3"/>
    <n v="672.53311588951726"/>
    <n v="1.1059762796453111E-2"/>
    <s v="2nd Floor"/>
    <n v="0"/>
    <x v="4"/>
    <s v="Mar 14, 2018 @ 14:41"/>
    <s v="Mar 14, 2018 @ 14:41"/>
    <s v="nboyd@hanson-inc.com"/>
  </r>
  <r>
    <n v="806"/>
    <s v="T8"/>
    <s v="Light Fixture"/>
    <x v="44"/>
    <n v="36"/>
    <n v="1"/>
    <n v="1"/>
    <n v="36"/>
    <n v="197.1"/>
    <n v="21.013489340808988"/>
    <n v="3.2412965186074429E-3"/>
    <n v="672.53311588951726"/>
    <n v="1.1059762796453111E-2"/>
    <s v="2nd Floor"/>
    <n v="0"/>
    <x v="4"/>
    <s v="Mar 14, 2018 @ 14:42"/>
    <s v="Mar 14, 2018 @ 14:42"/>
    <s v="nboyd@hanson-inc.com"/>
  </r>
  <r>
    <n v="808"/>
    <s v="T8"/>
    <s v="Light Fixture"/>
    <x v="44"/>
    <n v="36"/>
    <n v="1"/>
    <n v="1"/>
    <n v="36"/>
    <n v="197.1"/>
    <n v="21.013489340808988"/>
    <n v="3.2412965186074429E-3"/>
    <n v="672.53311588951726"/>
    <n v="1.1059762796453111E-2"/>
    <s v="2nd Floor"/>
    <n v="0"/>
    <x v="4"/>
    <s v="Mar 14, 2018 @ 14:42"/>
    <s v="Mar 14, 2018 @ 14:43"/>
    <s v="nboyd@hanson-inc.com"/>
  </r>
  <r>
    <n v="809"/>
    <s v="T8"/>
    <s v="Light Fixture"/>
    <x v="44"/>
    <n v="36"/>
    <n v="1"/>
    <n v="1"/>
    <n v="36"/>
    <n v="197.1"/>
    <n v="21.013489340808988"/>
    <n v="3.2412965186074429E-3"/>
    <n v="672.53311588951726"/>
    <n v="1.1059762796453111E-2"/>
    <s v="2nd Floor"/>
    <n v="0"/>
    <x v="4"/>
    <s v="Mar 14, 2018 @ 14:43"/>
    <s v="Mar 14, 2018 @ 14:43"/>
    <s v="nboyd@hanson-inc.com"/>
  </r>
  <r>
    <n v="811"/>
    <s v="T8"/>
    <s v="Light Fixture"/>
    <x v="44"/>
    <n v="36"/>
    <n v="1"/>
    <n v="1"/>
    <n v="36"/>
    <n v="197.1"/>
    <n v="21.013489340808988"/>
    <n v="3.2412965186074429E-3"/>
    <n v="672.53311588951726"/>
    <n v="1.1059762796453111E-2"/>
    <s v="2nd Floor"/>
    <n v="0"/>
    <x v="4"/>
    <s v="Mar 14, 2018 @ 14:43"/>
    <s v="Mar 14, 2018 @ 14:44"/>
    <s v="nboyd@hanson-inc.com"/>
  </r>
  <r>
    <n v="812"/>
    <s v="T8"/>
    <s v="Light Fixture"/>
    <x v="44"/>
    <n v="36"/>
    <n v="1"/>
    <n v="1"/>
    <n v="36"/>
    <n v="197.1"/>
    <n v="21.013489340808988"/>
    <n v="3.2412965186074429E-3"/>
    <n v="672.53311588951726"/>
    <n v="1.1059762796453111E-2"/>
    <s v="2nd Floor"/>
    <n v="0"/>
    <x v="4"/>
    <s v="Mar 14, 2018 @ 14:44"/>
    <s v="Mar 14, 2018 @ 14:44"/>
    <s v="nboyd@hanson-inc.com"/>
  </r>
  <r>
    <n v="814"/>
    <s v="T8"/>
    <s v="Light Fixture"/>
    <x v="44"/>
    <n v="36"/>
    <n v="1"/>
    <n v="1"/>
    <n v="36"/>
    <n v="197.1"/>
    <n v="21.013489340808988"/>
    <n v="3.2412965186074429E-3"/>
    <n v="672.53311588951726"/>
    <n v="1.1059762796453111E-2"/>
    <s v="2nd Floor"/>
    <n v="0"/>
    <x v="4"/>
    <s v="Mar 14, 2018 @ 14:44"/>
    <s v="Mar 14, 2018 @ 14:44"/>
    <s v="nboyd@hanson-inc.com"/>
  </r>
  <r>
    <n v="819"/>
    <s v="T8"/>
    <s v="Light Fixture"/>
    <x v="44"/>
    <n v="36"/>
    <n v="1"/>
    <n v="1"/>
    <n v="36"/>
    <n v="197.1"/>
    <n v="21.013489340808988"/>
    <n v="3.2412965186074429E-3"/>
    <n v="672.53311588951726"/>
    <n v="1.1059762796453111E-2"/>
    <s v="2nd Floor"/>
    <n v="0"/>
    <x v="4"/>
    <s v="Mar 14, 2018 @ 14:45"/>
    <s v="Mar 14, 2018 @ 14:45"/>
    <s v="nboyd@hanson-inc.com"/>
  </r>
  <r>
    <n v="820"/>
    <s v="T8"/>
    <s v="Light Fixture"/>
    <x v="44"/>
    <n v="36"/>
    <n v="1"/>
    <n v="1"/>
    <n v="36"/>
    <n v="197.1"/>
    <n v="21.013489340808988"/>
    <n v="3.2412965186074429E-3"/>
    <n v="672.53311588951726"/>
    <n v="1.1059762796453111E-2"/>
    <s v="2nd Floor"/>
    <n v="0"/>
    <x v="4"/>
    <s v="Mar 14, 2018 @ 14:46"/>
    <s v="Mar 14, 2018 @ 14:46"/>
    <s v="nboyd@hanson-inc.com"/>
  </r>
  <r>
    <n v="667"/>
    <s v="LF"/>
    <s v="Lighting Fixture"/>
    <x v="45"/>
    <n v="25"/>
    <n v="1"/>
    <n v="1"/>
    <n v="25"/>
    <n v="136.875"/>
    <n v="14.592700931117353"/>
    <n v="2.2509003601440575E-3"/>
    <n v="467.03688603438701"/>
    <n v="7.6803908308702169E-3"/>
    <s v="2nd Floor"/>
    <n v="0"/>
    <x v="4"/>
    <s v="Mar 14, 2018 @ 13:22"/>
    <s v="Mar 14, 2018 @ 13:22"/>
    <s v="nboyd@hanson-inc.com"/>
  </r>
  <r>
    <n v="166"/>
    <s v="T8"/>
    <s v="Light Fixture"/>
    <x v="46"/>
    <n v="12"/>
    <n v="1"/>
    <n v="1"/>
    <n v="12"/>
    <n v="65.7"/>
    <n v="7.0044964469363293"/>
    <n v="1.0804321728691477E-3"/>
    <n v="224.17770529650576"/>
    <n v="3.686587598817704E-3"/>
    <s v="VTU3-20"/>
    <n v="0"/>
    <x v="4"/>
    <s v="Mar 12, 2018 @ 14:39"/>
    <s v="Mar 12, 2018 @ 14:42"/>
    <s v="nboyd@hanson-inc.com"/>
  </r>
  <r>
    <n v="175"/>
    <s v="T8"/>
    <s v="Light Fixture"/>
    <x v="46"/>
    <n v="12"/>
    <n v="1"/>
    <n v="1"/>
    <n v="12"/>
    <n v="65.7"/>
    <n v="7.0044964469363293"/>
    <n v="1.0804321728691477E-3"/>
    <n v="224.17770529650576"/>
    <n v="3.686587598817704E-3"/>
    <s v="VTU3-20"/>
    <n v="0"/>
    <x v="4"/>
    <s v="Mar 12, 2018 @ 14:42"/>
    <s v="Mar 12, 2018 @ 14:42"/>
    <s v="nboyd@hanson-inc.com"/>
  </r>
  <r>
    <n v="270"/>
    <s v="T8"/>
    <s v="Light Fixture"/>
    <x v="46"/>
    <n v="12"/>
    <n v="1"/>
    <n v="1"/>
    <n v="12"/>
    <n v="65.7"/>
    <n v="7.0044964469363293"/>
    <n v="1.0804321728691477E-3"/>
    <n v="224.17770529650576"/>
    <n v="3.686587598817704E-3"/>
    <s v="VTU3-20"/>
    <n v="0"/>
    <x v="4"/>
    <s v="Mar 12, 2018 @ 15:14"/>
    <s v="Mar 12, 2018 @ 15:14"/>
    <s v="nboyd@hanson-inc.com"/>
  </r>
  <r>
    <n v="898"/>
    <s v="LF"/>
    <s v="Lighting Fixture"/>
    <x v="47"/>
    <n v="36"/>
    <n v="1"/>
    <n v="1"/>
    <n v="36"/>
    <n v="197.1"/>
    <n v="21.013489340808988"/>
    <n v="3.2412965186074429E-3"/>
    <n v="672.53311588951726"/>
    <n v="1.1059762796453111E-2"/>
    <s v="1st Floor"/>
    <n v="0"/>
    <x v="4"/>
    <s v="Mar 14, 2018 @ 15:15"/>
    <s v="Mar 14, 2018 @ 15:15"/>
    <s v="nboyd@hanson-inc.com"/>
  </r>
  <r>
    <n v="676"/>
    <s v="LF"/>
    <s v="Lighting Fixture"/>
    <x v="48"/>
    <n v="50"/>
    <n v="1"/>
    <n v="1"/>
    <n v="50"/>
    <n v="273.75"/>
    <n v="29.185401862234706"/>
    <n v="4.501800720288115E-3"/>
    <n v="934.07377206877402"/>
    <n v="1.5360781661740434E-2"/>
    <s v="2nd Floor"/>
    <n v="0"/>
    <x v="4"/>
    <s v="Mar 14, 2018 @ 13:24"/>
    <s v="Mar 14, 2018 @ 13:24"/>
    <s v="nboyd@hanson-inc.com"/>
  </r>
  <r>
    <n v="614"/>
    <s v="LD"/>
    <s v="LED Fixture"/>
    <x v="49"/>
    <n v="60"/>
    <n v="1"/>
    <n v="1"/>
    <n v="60"/>
    <n v="328.5"/>
    <n v="35.022482234681647"/>
    <n v="5.4021608643457387E-3"/>
    <n v="1120.8885264825287"/>
    <n v="1.843293799408852E-2"/>
    <s v="VTU3-20"/>
    <n v="0"/>
    <x v="4"/>
    <s v="Mar 12, 2018 @ 19:24"/>
    <s v="Mar 12, 2018 @ 19:21"/>
    <s v="mcoalson@hanson-inc.com"/>
  </r>
  <r>
    <n v="1041"/>
    <s v="LF"/>
    <s v="Lighting Fixture"/>
    <x v="50"/>
    <n v="60"/>
    <n v="1"/>
    <n v="1"/>
    <n v="60"/>
    <n v="328.5"/>
    <n v="35.022482234681647"/>
    <n v="5.4021608643457387E-3"/>
    <n v="1120.8885264825287"/>
    <n v="1.843293799408852E-2"/>
    <s v="1st Floor"/>
    <n v="0"/>
    <x v="4"/>
    <s v="Mar 14, 2018 @ 16:06"/>
    <s v="Mar 14, 2018 @ 16:06"/>
    <s v="mcoalson@hanson-inc.com"/>
  </r>
  <r>
    <n v="988"/>
    <s v="LF"/>
    <s v="Lighting Fixture"/>
    <x v="51"/>
    <n v="72"/>
    <n v="1"/>
    <n v="1"/>
    <n v="72"/>
    <n v="394.2"/>
    <n v="42.026978681617976"/>
    <n v="6.4825930372148857E-3"/>
    <n v="1345.0662317790345"/>
    <n v="2.2119525592906222E-2"/>
    <s v="1st Floor"/>
    <n v="0"/>
    <x v="4"/>
    <s v="Mar 14, 2018 @ 15:58"/>
    <s v="Mar 14, 2018 @ 15:58"/>
    <s v="mcoalson@hanson-inc.com"/>
  </r>
  <r>
    <n v="982"/>
    <s v="LF"/>
    <s v="Lighting Fixture"/>
    <x v="52"/>
    <n v="9"/>
    <n v="1"/>
    <n v="1"/>
    <n v="9"/>
    <n v="49.274999999999999"/>
    <n v="5.253372335202247"/>
    <n v="8.1032412965186072E-4"/>
    <n v="168.13327897237932"/>
    <n v="2.7649406991132777E-3"/>
    <s v="1st Floor"/>
    <n v="0"/>
    <x v="4"/>
    <s v="Mar 14, 2018 @ 15:56"/>
    <s v="Mar 14, 2018 @ 15:58"/>
    <s v="nboyd@hanson-inc.com"/>
  </r>
  <r>
    <n v="1010"/>
    <s v="LF"/>
    <s v="Lighting Fixture"/>
    <x v="53"/>
    <n v="13"/>
    <n v="1"/>
    <n v="1"/>
    <n v="13"/>
    <n v="71.174999999999997"/>
    <n v="7.5882044841810226"/>
    <n v="1.17046818727491E-3"/>
    <n v="242.85918073788125"/>
    <n v="3.9938032320525124E-3"/>
    <s v="1st Floor"/>
    <n v="0"/>
    <x v="4"/>
    <s v="Mar 14, 2018 @ 16:02"/>
    <s v="Mar 14, 2018 @ 16:03"/>
    <s v="nboyd@hanson-inc.com"/>
  </r>
  <r>
    <n v="1014"/>
    <s v="LF"/>
    <s v="Lighting Fixture"/>
    <x v="53"/>
    <n v="13"/>
    <n v="1"/>
    <n v="1"/>
    <n v="13"/>
    <n v="71.174999999999997"/>
    <n v="7.5882044841810226"/>
    <n v="1.17046818727491E-3"/>
    <n v="242.85918073788125"/>
    <n v="3.9938032320525124E-3"/>
    <s v="1st Floor"/>
    <n v="0"/>
    <x v="4"/>
    <s v="Mar 14, 2018 @ 16:03"/>
    <s v="Mar 14, 2018 @ 16:03"/>
    <s v="nboyd@hanson-inc.com"/>
  </r>
  <r>
    <n v="972"/>
    <s v="LF"/>
    <s v="Lighting Fixture"/>
    <x v="54"/>
    <n v="9"/>
    <n v="1"/>
    <n v="1"/>
    <n v="9"/>
    <n v="49.274999999999999"/>
    <n v="5.253372335202247"/>
    <n v="8.1032412965186072E-4"/>
    <n v="168.13327897237932"/>
    <n v="2.7649406991132777E-3"/>
    <s v="1st Floor"/>
    <n v="0"/>
    <x v="4"/>
    <s v="Mar 14, 2018 @ 15:54"/>
    <s v="Mar 14, 2018 @ 15:55"/>
    <s v="nboyd@hanson-inc.com"/>
  </r>
  <r>
    <n v="171"/>
    <s v="LF"/>
    <s v="Lighting Fixture"/>
    <x v="55"/>
    <n v="100"/>
    <n v="1"/>
    <n v="1"/>
    <n v="100"/>
    <n v="547.5"/>
    <n v="58.370803724469411"/>
    <n v="9.00360144057623E-3"/>
    <n v="1868.147544137548"/>
    <n v="3.0721563323480867E-2"/>
    <s v="VTU3-20"/>
    <n v="0"/>
    <x v="4"/>
    <s v="Mar 12, 2018 @ 14:48"/>
    <s v="Mar 12, 2018 @ 14:41"/>
    <s v="mcoalson@hanson-inc.com"/>
  </r>
  <r>
    <n v="689"/>
    <s v="LF"/>
    <s v="Lighting Fixture"/>
    <x v="56"/>
    <n v="13"/>
    <n v="1"/>
    <n v="1"/>
    <n v="13"/>
    <n v="71.174999999999997"/>
    <n v="7.5882044841810226"/>
    <n v="1.17046818727491E-3"/>
    <n v="242.85918073788125"/>
    <n v="3.9938032320525124E-3"/>
    <s v="2nd Floor"/>
    <n v="0"/>
    <x v="4"/>
    <s v="Mar 14, 2018 @ 13:26"/>
    <s v="Mar 14, 2018 @ 13:27"/>
    <s v="mcoalson@hanson-inc.com"/>
  </r>
  <r>
    <n v="454"/>
    <s v="LF"/>
    <s v="Lighting Fixture"/>
    <x v="57"/>
    <n v="20"/>
    <n v="1"/>
    <n v="1"/>
    <n v="20"/>
    <n v="109.5"/>
    <n v="11.674160744893882"/>
    <n v="1.8007202881152461E-3"/>
    <n v="373.6295088275096"/>
    <n v="6.144312664696173E-3"/>
    <s v="VTU3-20"/>
    <n v="0"/>
    <x v="4"/>
    <s v="Mar 12, 2018 @ 19:03"/>
    <s v="Mar 12, 2018 @ 18:57"/>
    <s v="mcoalson@hanson-inc.com"/>
  </r>
  <r>
    <n v="332"/>
    <s v="LF"/>
    <s v="Lighting Fixture"/>
    <x v="58"/>
    <n v="60"/>
    <n v="1"/>
    <n v="1"/>
    <n v="60"/>
    <n v="328.5"/>
    <n v="35.022482234681647"/>
    <n v="5.4021608643457387E-3"/>
    <n v="1120.8885264825287"/>
    <n v="1.843293799408852E-2"/>
    <s v="VTU3-20"/>
    <n v="0"/>
    <x v="4"/>
    <s v="Mar 12, 2018 @ 15:44"/>
    <s v="Mar 12, 2018 @ 18:29"/>
    <s v="mcoalson@hanson-inc.com"/>
  </r>
  <r>
    <n v="1012"/>
    <s v="LF"/>
    <s v="Lighting Fixture"/>
    <x v="59"/>
    <n v="12"/>
    <n v="1"/>
    <n v="1"/>
    <n v="12"/>
    <n v="65.7"/>
    <n v="7.0044964469363293"/>
    <n v="1.0804321728691477E-3"/>
    <n v="224.17770529650576"/>
    <n v="3.686587598817704E-3"/>
    <s v="1st Floor"/>
    <n v="0"/>
    <x v="4"/>
    <s v="Mar 14, 2018 @ 16:03"/>
    <s v="Mar 14, 2018 @ 16:03"/>
    <s v="nboyd@hanson-inc.com"/>
  </r>
  <r>
    <n v="1013"/>
    <s v="LF"/>
    <s v="Lighting Fixture"/>
    <x v="59"/>
    <n v="12"/>
    <n v="1"/>
    <n v="1"/>
    <n v="12"/>
    <n v="65.7"/>
    <n v="7.0044964469363293"/>
    <n v="1.0804321728691477E-3"/>
    <n v="224.17770529650576"/>
    <n v="3.686587598817704E-3"/>
    <s v="1st Floor"/>
    <n v="0"/>
    <x v="4"/>
    <s v="Mar 14, 2018 @ 16:03"/>
    <s v="Mar 14, 2018 @ 16:03"/>
    <s v="nboyd@hanson-inc.com"/>
  </r>
  <r>
    <n v="1027"/>
    <s v="T8"/>
    <s v="Light Fixture"/>
    <x v="2"/>
    <n v="36"/>
    <n v="1"/>
    <n v="1"/>
    <n v="36"/>
    <n v="197.1"/>
    <n v="21.013489340808988"/>
    <n v="3.2412965186074429E-3"/>
    <n v="672.53311588951726"/>
    <n v="1.1059762796453111E-2"/>
    <s v="1st Floor"/>
    <n v="0"/>
    <x v="4"/>
    <s v="Mar 14, 2018 @ 16:04"/>
    <s v="Mar 14, 2018 @ 16:04"/>
    <s v="mcoalson@hanson-inc.com"/>
  </r>
  <r>
    <n v="1073"/>
    <s v="T8"/>
    <s v="Light Fixture"/>
    <x v="2"/>
    <n v="24"/>
    <n v="1"/>
    <n v="1"/>
    <n v="24"/>
    <n v="131.4"/>
    <n v="14.008992893872659"/>
    <n v="2.1608643457382954E-3"/>
    <n v="448.35541059301153"/>
    <n v="7.3731751976354081E-3"/>
    <s v="2nd Floor"/>
    <n v="0"/>
    <x v="4"/>
    <s v="Mar 14, 2018 @ 14:44"/>
    <s v="Mar 14, 2018 @ 16:25"/>
    <s v="mcoalson@hanson-inc.com"/>
  </r>
  <r>
    <n v="1048"/>
    <s v="M"/>
    <s v="Mechanical"/>
    <x v="60"/>
    <n v="37285"/>
    <n v="1"/>
    <n v="0.5"/>
    <n v="37285"/>
    <n v="102067.6875"/>
    <n v="10881.77708433421"/>
    <n v="1.6784963985594237"/>
    <n v="348269.40591584239"/>
    <n v="5.7272674425799206"/>
    <s v="1st Floor"/>
    <n v="3"/>
    <x v="7"/>
    <s v="Mar 14, 2018 @ 16:15"/>
    <s v="Mar 14, 2018 @ 16:16"/>
    <s v="nboyd@hanson-inc.com"/>
  </r>
  <r>
    <n v="936"/>
    <s v="MV"/>
    <s v="Microwave"/>
    <x v="2"/>
    <n v="1200"/>
    <n v="1"/>
    <n v="0.05"/>
    <n v="1200"/>
    <n v="328.5"/>
    <n v="35.022482234681647"/>
    <n v="5.4021608643457387E-3"/>
    <n v="1120.8885264825287"/>
    <n v="1.843293799408852E-2"/>
    <s v="1st Floor"/>
    <n v="0"/>
    <x v="3"/>
    <s v="Mar 14, 2018 @ 15:47"/>
    <s v="Mar 14, 2018 @ 15:47"/>
    <s v="mcoalson@hanson-inc.com"/>
  </r>
  <r>
    <n v="1093"/>
    <s v="MV"/>
    <s v="Microwave"/>
    <x v="2"/>
    <n v="1200"/>
    <n v="1"/>
    <n v="0.05"/>
    <n v="1200"/>
    <n v="328.5"/>
    <n v="35.022482234681647"/>
    <n v="5.4021608643457387E-3"/>
    <n v="1120.8885264825287"/>
    <n v="1.843293799408852E-2"/>
    <s v="1st Floor"/>
    <n v="1"/>
    <x v="3"/>
    <s v="Mar 14, 2018 @ 16:36"/>
    <s v="Mar 14, 2018 @ 16:30"/>
    <s v="mcoalson@hanson-inc.com"/>
  </r>
  <r>
    <n v="680"/>
    <s v="MV"/>
    <s v="Microwave"/>
    <x v="2"/>
    <n v="1200"/>
    <n v="1"/>
    <n v="0.05"/>
    <n v="1200"/>
    <n v="328.5"/>
    <n v="35.022482234681647"/>
    <n v="5.4021608643457387E-3"/>
    <n v="1120.8885264825287"/>
    <n v="1.843293799408852E-2"/>
    <s v="2nd Floor"/>
    <n v="0"/>
    <x v="3"/>
    <s v="Mar 14, 2018 @ 13:25"/>
    <s v="Mar 14, 2018 @ 13:25"/>
    <s v="nboyd@hanson-inc.com"/>
  </r>
  <r>
    <n v="709"/>
    <s v="MV"/>
    <s v="Microwave"/>
    <x v="2"/>
    <n v="1200"/>
    <n v="1"/>
    <n v="0.05"/>
    <n v="1200"/>
    <n v="328.5"/>
    <n v="35.022482234681647"/>
    <n v="5.4021608643457387E-3"/>
    <n v="1120.8885264825287"/>
    <n v="1.843293799408852E-2"/>
    <s v="2nd Floor"/>
    <n v="0"/>
    <x v="3"/>
    <s v="Mar 14, 2018 @ 13:33"/>
    <s v="Mar 14, 2018 @ 13:33"/>
    <s v="nboyd@hanson-inc.com"/>
  </r>
  <r>
    <n v="766"/>
    <s v="MV"/>
    <s v="Microwave"/>
    <x v="2"/>
    <n v="1200"/>
    <n v="1"/>
    <n v="0.05"/>
    <n v="1200"/>
    <n v="328.5"/>
    <n v="35.022482234681647"/>
    <n v="5.4021608643457387E-3"/>
    <n v="1120.8885264825287"/>
    <n v="1.843293799408852E-2"/>
    <s v="2nd Floor"/>
    <n v="0"/>
    <x v="3"/>
    <s v="Mar 14, 2018 @ 14:16"/>
    <s v="Mar 14, 2018 @ 14:16"/>
    <s v="nboyd@hanson-inc.com"/>
  </r>
  <r>
    <n v="768"/>
    <s v="MV"/>
    <s v="Microwave"/>
    <x v="61"/>
    <n v="1200"/>
    <n v="1"/>
    <n v="0.05"/>
    <n v="1200"/>
    <n v="328.5"/>
    <n v="35.022482234681647"/>
    <n v="5.4021608643457387E-3"/>
    <n v="1120.8885264825287"/>
    <n v="1.843293799408852E-2"/>
    <s v="2nd Floor"/>
    <n v="0"/>
    <x v="3"/>
    <s v="Mar 14, 2018 @ 14:16"/>
    <s v="Mar 14, 2018 @ 14:16"/>
    <s v="nboyd@hanson-inc.com"/>
  </r>
  <r>
    <n v="874"/>
    <s v="MV"/>
    <s v="Microwave"/>
    <x v="2"/>
    <n v="1200"/>
    <n v="1"/>
    <n v="0.05"/>
    <n v="1200"/>
    <n v="328.5"/>
    <n v="35.022482234681647"/>
    <n v="5.4021608643457387E-3"/>
    <n v="1120.8885264825287"/>
    <n v="1.843293799408852E-2"/>
    <s v="2nd Floor"/>
    <n v="0"/>
    <x v="3"/>
    <s v="Mar 14, 2018 @ 14:59"/>
    <s v="Mar 14, 2018 @ 14:59"/>
    <s v="nboyd@hanson-inc.com"/>
  </r>
  <r>
    <n v="144"/>
    <s v="MV"/>
    <s v="Microwave"/>
    <x v="2"/>
    <n v="1200"/>
    <n v="1"/>
    <n v="0.05"/>
    <n v="1200"/>
    <n v="328.5"/>
    <n v="35.022482234681647"/>
    <n v="5.4021608643457387E-3"/>
    <n v="1120.8885264825287"/>
    <n v="1.843293799408852E-2"/>
    <s v="VTU3-20"/>
    <n v="0"/>
    <x v="3"/>
    <s v="Mar 12, 2018 @ 14:43"/>
    <s v="Mar 12, 2018 @ 14:36"/>
    <s v="mcoalson@hanson-inc.com"/>
  </r>
  <r>
    <n v="304"/>
    <s v="MV"/>
    <s v="Microwave"/>
    <x v="2"/>
    <n v="1200"/>
    <n v="1"/>
    <n v="0.05"/>
    <n v="1200"/>
    <n v="328.5"/>
    <n v="35.022482234681647"/>
    <n v="5.4021608643457387E-3"/>
    <n v="1120.8885264825287"/>
    <n v="1.843293799408852E-2"/>
    <s v="VTU3-20"/>
    <n v="0"/>
    <x v="3"/>
    <s v="Mar 12, 2018 @ 15:32"/>
    <s v="Mar 12, 2018 @ 18:28"/>
    <s v="mcoalson@hanson-inc.com"/>
  </r>
  <r>
    <n v="402"/>
    <s v="MV"/>
    <s v="Microwave"/>
    <x v="2"/>
    <n v="1200"/>
    <n v="1"/>
    <n v="0.05"/>
    <n v="1200"/>
    <n v="328.5"/>
    <n v="35.022482234681647"/>
    <n v="5.4021608643457387E-3"/>
    <n v="1120.8885264825287"/>
    <n v="1.843293799408852E-2"/>
    <s v="VTU3-20"/>
    <n v="0"/>
    <x v="3"/>
    <s v="Mar 12, 2018 @ 18:37"/>
    <s v="Mar 12, 2018 @ 18:37"/>
    <s v="nboyd@hanson-inc.com"/>
  </r>
  <r>
    <n v="404"/>
    <s v="MV"/>
    <s v="Microwave"/>
    <x v="62"/>
    <n v="1200"/>
    <n v="1"/>
    <n v="0.05"/>
    <n v="1200"/>
    <n v="328.5"/>
    <n v="35.022482234681647"/>
    <n v="5.4021608643457387E-3"/>
    <n v="1120.8885264825287"/>
    <n v="1.843293799408852E-2"/>
    <s v="VTU3-20"/>
    <n v="0"/>
    <x v="3"/>
    <s v="Mar 12, 2018 @ 18:37"/>
    <s v="Mar 12, 2018 @ 18:37"/>
    <s v="nboyd@hanson-inc.com"/>
  </r>
  <r>
    <n v="406"/>
    <s v="MV"/>
    <s v="Microwave"/>
    <x v="61"/>
    <n v="1200"/>
    <n v="1"/>
    <n v="0.05"/>
    <n v="1200"/>
    <n v="328.5"/>
    <n v="35.022482234681647"/>
    <n v="5.4021608643457387E-3"/>
    <n v="1120.8885264825287"/>
    <n v="1.843293799408852E-2"/>
    <s v="VTU3-20"/>
    <n v="0"/>
    <x v="3"/>
    <s v="Mar 12, 2018 @ 18:37"/>
    <s v="Mar 12, 2018 @ 18:37"/>
    <s v="nboyd@hanson-inc.com"/>
  </r>
  <r>
    <n v="428"/>
    <s v="MV"/>
    <s v="Microwave"/>
    <x v="2"/>
    <n v="1200"/>
    <n v="1"/>
    <n v="0.05"/>
    <n v="1200"/>
    <n v="328.5"/>
    <n v="35.022482234681647"/>
    <n v="5.4021608643457387E-3"/>
    <n v="1120.8885264825287"/>
    <n v="1.843293799408852E-2"/>
    <s v="VTU3-20"/>
    <n v="0"/>
    <x v="3"/>
    <s v="Mar 12, 2018 @ 18:43"/>
    <s v="Mar 12, 2018 @ 18:43"/>
    <s v="nboyd@hanson-inc.com"/>
  </r>
  <r>
    <n v="619"/>
    <s v="MV"/>
    <s v="Microwave"/>
    <x v="2"/>
    <n v="1200"/>
    <n v="1"/>
    <n v="0.05"/>
    <n v="1200"/>
    <n v="328.5"/>
    <n v="35.022482234681647"/>
    <n v="5.4021608643457387E-3"/>
    <n v="1120.8885264825287"/>
    <n v="1.843293799408852E-2"/>
    <s v="VTU3-20"/>
    <n v="0"/>
    <x v="3"/>
    <s v="Mar 12, 2018 @ 19:18"/>
    <s v="Mar 12, 2018 @ 19:18"/>
    <s v="nboyd@hanson-inc.com"/>
  </r>
  <r>
    <n v="678"/>
    <s v="FR"/>
    <s v="Minifridge"/>
    <x v="2"/>
    <n v="57"/>
    <n v="1"/>
    <n v="0.75"/>
    <n v="57"/>
    <n v="234.05625000000001"/>
    <n v="24.953518592210674"/>
    <n v="3.8490396158463386E-3"/>
    <n v="798.6330751188018"/>
    <n v="1.313346832078807E-2"/>
    <s v="2nd Floor"/>
    <n v="0"/>
    <x v="3"/>
    <s v="Mar 14, 2018 @ 13:24"/>
    <s v="Mar 14, 2018 @ 13:24"/>
    <s v="nboyd@hanson-inc.com"/>
  </r>
  <r>
    <n v="765"/>
    <s v="FR"/>
    <s v="Minifridge"/>
    <x v="2"/>
    <n v="57"/>
    <n v="1"/>
    <n v="0.75"/>
    <n v="57"/>
    <n v="234.05625000000001"/>
    <n v="24.953518592210674"/>
    <n v="3.8490396158463386E-3"/>
    <n v="798.6330751188018"/>
    <n v="1.313346832078807E-2"/>
    <s v="2nd Floor"/>
    <n v="0"/>
    <x v="3"/>
    <s v="Mar 14, 2018 @ 14:15"/>
    <s v="Mar 14, 2018 @ 14:15"/>
    <s v="nboyd@hanson-inc.com"/>
  </r>
  <r>
    <n v="873"/>
    <s v="FR"/>
    <s v="Minifridge"/>
    <x v="2"/>
    <n v="57"/>
    <n v="1"/>
    <n v="0.75"/>
    <n v="57"/>
    <n v="234.05625000000001"/>
    <n v="24.953518592210674"/>
    <n v="3.8490396158463386E-3"/>
    <n v="798.6330751188018"/>
    <n v="1.313346832078807E-2"/>
    <s v="2nd Floor"/>
    <n v="0"/>
    <x v="3"/>
    <s v="Mar 14, 2018 @ 14:59"/>
    <s v="Mar 14, 2018 @ 14:59"/>
    <s v="nboyd@hanson-inc.com"/>
  </r>
  <r>
    <n v="78"/>
    <s v="FR"/>
    <s v="Minifridge"/>
    <x v="2"/>
    <n v="57"/>
    <n v="1"/>
    <n v="0.75"/>
    <n v="57"/>
    <n v="234.05625000000001"/>
    <n v="24.953518592210674"/>
    <n v="3.8490396158463386E-3"/>
    <n v="798.6330751188018"/>
    <n v="1.313346832078807E-2"/>
    <s v="VTU3-20"/>
    <n v="0"/>
    <x v="3"/>
    <s v="Mar 12, 2018 @ 14:23"/>
    <s v="Mar 12, 2018 @ 14:23"/>
    <s v="nboyd@hanson-inc.com"/>
  </r>
  <r>
    <n v="430"/>
    <s v="FR"/>
    <s v="Minifridge"/>
    <x v="2"/>
    <n v="57"/>
    <n v="1"/>
    <n v="0.75"/>
    <n v="57"/>
    <n v="234.05625000000001"/>
    <n v="24.953518592210674"/>
    <n v="3.8490396158463386E-3"/>
    <n v="798.6330751188018"/>
    <n v="1.313346832078807E-2"/>
    <s v="VTU3-20"/>
    <n v="0"/>
    <x v="3"/>
    <s v="Mar 12, 2018 @ 18:43"/>
    <s v="Mar 12, 2018 @ 18:43"/>
    <s v="nboyd@hanson-inc.com"/>
  </r>
  <r>
    <n v="550"/>
    <s v="FR"/>
    <s v="Minifridge"/>
    <x v="2"/>
    <n v="57"/>
    <n v="1"/>
    <n v="0.75"/>
    <n v="57"/>
    <n v="234.05625000000001"/>
    <n v="24.953518592210674"/>
    <n v="3.8490396158463386E-3"/>
    <n v="798.6330751188018"/>
    <n v="1.313346832078807E-2"/>
    <s v="VTU3-20"/>
    <n v="0"/>
    <x v="3"/>
    <s v="Mar 12, 2018 @ 19:11"/>
    <s v="Mar 12, 2018 @ 19:11"/>
    <s v="nboyd@hanson-inc.com"/>
  </r>
  <r>
    <n v="618"/>
    <s v="FR"/>
    <s v="Minifridge"/>
    <x v="2"/>
    <n v="57"/>
    <n v="1"/>
    <n v="0.75"/>
    <n v="57"/>
    <n v="234.05625000000001"/>
    <n v="24.953518592210674"/>
    <n v="3.8490396158463386E-3"/>
    <n v="798.6330751188018"/>
    <n v="1.313346832078807E-2"/>
    <s v="VTU3-20"/>
    <n v="0"/>
    <x v="3"/>
    <s v="Mar 12, 2018 @ 19:18"/>
    <s v="Mar 12, 2018 @ 19:18"/>
    <s v="nboyd@hanson-inc.com"/>
  </r>
  <r>
    <n v="883"/>
    <s v="MS"/>
    <s v="Miscellaneous"/>
    <x v="63"/>
    <n v="308"/>
    <n v="1"/>
    <n v="0.5"/>
    <n v="308"/>
    <n v="843.15"/>
    <n v="89.891037735682886"/>
    <n v="1.3865546218487394E-2"/>
    <n v="2876.9472179718241"/>
    <n v="4.7311207518160536E-2"/>
    <s v="1st Floor"/>
    <n v="1"/>
    <x v="3"/>
    <s v="Mar 14, 2018 @ 15:07"/>
    <s v="Mar 14, 2018 @ 15:08"/>
    <s v="mcoalson@hanson-inc.com"/>
  </r>
  <r>
    <n v="886"/>
    <s v="MS"/>
    <s v="Miscellaneous"/>
    <x v="64"/>
    <n v="120"/>
    <n v="1"/>
    <n v="0.5"/>
    <n v="120"/>
    <n v="328.5"/>
    <n v="35.022482234681647"/>
    <n v="5.4021608643457387E-3"/>
    <n v="1120.8885264825287"/>
    <n v="1.843293799408852E-2"/>
    <s v="1st Floor"/>
    <n v="1"/>
    <x v="3"/>
    <s v="Mar 14, 2018 @ 15:09"/>
    <s v="Mar 14, 2018 @ 15:10"/>
    <s v="mcoalson@hanson-inc.com"/>
  </r>
  <r>
    <n v="981"/>
    <s v="MS"/>
    <s v="Miscellaneous"/>
    <x v="63"/>
    <n v="308"/>
    <n v="1"/>
    <n v="0.5"/>
    <n v="308"/>
    <n v="843.15"/>
    <n v="89.891037735682886"/>
    <n v="1.3865546218487394E-2"/>
    <n v="2876.9472179718241"/>
    <n v="4.7311207518160536E-2"/>
    <s v="1st Floor"/>
    <n v="0"/>
    <x v="3"/>
    <s v="Mar 14, 2018 @ 15:56"/>
    <s v="Mar 14, 2018 @ 15:56"/>
    <s v="mcoalson@hanson-inc.com"/>
  </r>
  <r>
    <n v="1050"/>
    <s v="MS"/>
    <s v="Miscellaneous"/>
    <x v="65"/>
    <n v="4000"/>
    <n v="1"/>
    <n v="0.1"/>
    <n v="4000"/>
    <n v="2190"/>
    <n v="233.48321489787764"/>
    <n v="3.601440576230492E-2"/>
    <n v="7472.5901765501922"/>
    <n v="0.12288625329392347"/>
    <s v="1st Floor"/>
    <n v="1"/>
    <x v="8"/>
    <s v="Mar 14, 2018 @ 16:16"/>
    <s v="Mar 14, 2018 @ 16:16"/>
    <s v="mcoalson@hanson-inc.com"/>
  </r>
  <r>
    <n v="642"/>
    <s v="MS"/>
    <s v="Miscellaneous"/>
    <x v="66"/>
    <n v="120"/>
    <n v="1"/>
    <n v="1"/>
    <n v="120"/>
    <n v="657"/>
    <n v="70.044964469363293"/>
    <n v="1.0804321728691477E-2"/>
    <n v="2241.7770529650575"/>
    <n v="3.686587598817704E-2"/>
    <s v="2nd Floor"/>
    <n v="4"/>
    <x v="3"/>
    <s v="Mar 12, 2018 @ 19:53"/>
    <s v="Mar 12, 2018 @ 19:48"/>
    <s v="mcoalson@hanson-inc.com"/>
  </r>
  <r>
    <n v="705"/>
    <s v="MS"/>
    <s v="Miscellaneous"/>
    <x v="67"/>
    <n v="276"/>
    <n v="1"/>
    <n v="1"/>
    <n v="276"/>
    <n v="1511.1"/>
    <n v="161.10341827953556"/>
    <n v="2.4849939975990394E-2"/>
    <n v="5156.0872218196328"/>
    <n v="8.4791514772807192E-2"/>
    <s v="2nd Floor"/>
    <n v="3"/>
    <x v="3"/>
    <s v="Mar 14, 2018 @ 13:37"/>
    <s v="Mar 14, 2018 @ 13:37"/>
    <s v="mcoalson@hanson-inc.com"/>
  </r>
  <r>
    <n v="720"/>
    <s v="MS"/>
    <s v="Miscellaneous"/>
    <x v="68"/>
    <n v="370"/>
    <n v="1"/>
    <n v="0.75"/>
    <n v="370"/>
    <n v="1519.3125"/>
    <n v="161.97898033540261"/>
    <n v="2.4984993997599039E-2"/>
    <n v="5184.1094349816958"/>
    <n v="8.5252338222659402E-2"/>
    <s v="2nd Floor"/>
    <n v="1"/>
    <x v="3"/>
    <s v="Mar 14, 2018 @ 13:43"/>
    <s v="Mar 14, 2018 @ 13:45"/>
    <s v="mcoalson@hanson-inc.com"/>
  </r>
  <r>
    <n v="738"/>
    <s v="MS"/>
    <s v="Miscellaneous"/>
    <x v="63"/>
    <n v="308"/>
    <n v="1"/>
    <n v="0.5"/>
    <n v="308"/>
    <n v="843.15"/>
    <n v="89.891037735682886"/>
    <n v="1.3865546218487394E-2"/>
    <n v="2876.9472179718241"/>
    <n v="4.7311207518160536E-2"/>
    <s v="2nd Floor"/>
    <n v="1"/>
    <x v="3"/>
    <s v="Mar 14, 2018 @ 13:57"/>
    <s v="Mar 14, 2018 @ 13:57"/>
    <s v="mcoalson@hanson-inc.com"/>
  </r>
  <r>
    <n v="791"/>
    <s v="MS"/>
    <s v="Miscellaneous"/>
    <x v="63"/>
    <n v="308"/>
    <n v="1"/>
    <n v="0.5"/>
    <n v="308"/>
    <n v="843.15"/>
    <n v="89.891037735682886"/>
    <n v="1.3865546218487394E-2"/>
    <n v="2876.9472179718241"/>
    <n v="4.7311207518160536E-2"/>
    <s v="2nd Floor"/>
    <n v="0"/>
    <x v="3"/>
    <s v="Mar 14, 2018 @ 14:32"/>
    <s v="Mar 14, 2018 @ 14:32"/>
    <s v="mcoalson@hanson-inc.com"/>
  </r>
  <r>
    <n v="797"/>
    <s v="MS"/>
    <s v="Miscellaneous"/>
    <x v="63"/>
    <n v="308"/>
    <n v="1"/>
    <n v="0.5"/>
    <n v="308"/>
    <n v="843.15"/>
    <n v="89.891037735682886"/>
    <n v="1.3865546218487394E-2"/>
    <n v="2876.9472179718241"/>
    <n v="4.7311207518160536E-2"/>
    <s v="2nd Floor"/>
    <n v="0"/>
    <x v="3"/>
    <s v="Mar 14, 2018 @ 14:39"/>
    <s v="Mar 14, 2018 @ 14:39"/>
    <s v="mcoalson@hanson-inc.com"/>
  </r>
  <r>
    <n v="816"/>
    <s v="MS"/>
    <s v="Miscellaneous"/>
    <x v="69"/>
    <n v="120"/>
    <n v="1"/>
    <n v="0.5"/>
    <n v="120"/>
    <n v="328.5"/>
    <n v="35.022482234681647"/>
    <n v="5.4021608643457387E-3"/>
    <n v="1120.8885264825287"/>
    <n v="1.843293799408852E-2"/>
    <s v="2nd Floor"/>
    <n v="3"/>
    <x v="3"/>
    <s v="Mar 14, 2018 @ 14:44"/>
    <s v="Mar 14, 2018 @ 14:51"/>
    <s v="mcoalson@hanson-inc.com"/>
  </r>
  <r>
    <n v="821"/>
    <s v="MS"/>
    <s v="Miscellaneous"/>
    <x v="70"/>
    <n v="308"/>
    <n v="1"/>
    <n v="0.5"/>
    <n v="308"/>
    <n v="843.15"/>
    <n v="89.891037735682886"/>
    <n v="1.3865546218487394E-2"/>
    <n v="2876.9472179718241"/>
    <n v="4.7311207518160536E-2"/>
    <s v="2nd Floor"/>
    <n v="0"/>
    <x v="3"/>
    <s v="Mar 14, 2018 @ 14:52"/>
    <s v="Mar 14, 2018 @ 14:46"/>
    <s v="mcoalson@hanson-inc.com"/>
  </r>
  <r>
    <n v="296"/>
    <s v="MS"/>
    <s v="Miscellaneous"/>
    <x v="71"/>
    <n v="50"/>
    <n v="1"/>
    <n v="0.1"/>
    <n v="50"/>
    <n v="27.375"/>
    <n v="2.9185401862234706"/>
    <n v="4.5018007202881152E-4"/>
    <n v="93.407377206877399"/>
    <n v="1.5360781661740432E-3"/>
    <s v="VTU3-20"/>
    <n v="1"/>
    <x v="3"/>
    <s v="Mar 12, 2018 @ 15:29"/>
    <s v="Mar 12, 2018 @ 18:28"/>
    <s v="mcoalson@hanson-inc.com"/>
  </r>
  <r>
    <n v="297"/>
    <s v="MS"/>
    <s v="Miscellaneous"/>
    <x v="72"/>
    <n v="1000"/>
    <n v="1"/>
    <n v="0.1"/>
    <n v="1000"/>
    <n v="547.5"/>
    <n v="58.370803724469411"/>
    <n v="9.00360144057623E-3"/>
    <n v="1868.147544137548"/>
    <n v="3.0721563323480867E-2"/>
    <s v="VTU3-20"/>
    <n v="1"/>
    <x v="3"/>
    <s v="Mar 12, 2018 @ 15:30"/>
    <s v="Mar 12, 2018 @ 18:28"/>
    <s v="mcoalson@hanson-inc.com"/>
  </r>
  <r>
    <n v="306"/>
    <s v="MS"/>
    <s v="Miscellaneous"/>
    <x v="73"/>
    <n v="1000"/>
    <n v="1"/>
    <n v="0.05"/>
    <n v="1000"/>
    <n v="273.75"/>
    <n v="29.185401862234706"/>
    <n v="4.501800720288115E-3"/>
    <n v="934.07377206877402"/>
    <n v="1.5360781661740434E-2"/>
    <s v="VTU3-20"/>
    <n v="0"/>
    <x v="3"/>
    <s v="Mar 12, 2018 @ 15:33"/>
    <s v="Mar 12, 2018 @ 18:28"/>
    <s v="mcoalson@hanson-inc.com"/>
  </r>
  <r>
    <n v="629"/>
    <s v="MS"/>
    <s v="Miscellaneous"/>
    <x v="63"/>
    <n v="308"/>
    <n v="1"/>
    <n v="0.5"/>
    <n v="308"/>
    <n v="843.15"/>
    <n v="89.891037735682886"/>
    <n v="1.3865546218487394E-2"/>
    <n v="2876.9472179718241"/>
    <n v="4.7311207518160536E-2"/>
    <s v="VTU3-20"/>
    <n v="0"/>
    <x v="3"/>
    <s v="Mar 12, 2018 @ 19:36"/>
    <s v="Mar 12, 2018 @ 19:30"/>
    <s v="mcoalson@hanson-inc.com"/>
  </r>
  <r>
    <n v="884"/>
    <s v="M"/>
    <s v="Monitor"/>
    <x v="2"/>
    <n v="21"/>
    <n v="1"/>
    <n v="1"/>
    <n v="21"/>
    <n v="114.97499999999999"/>
    <n v="12.257868782138575"/>
    <n v="1.8907563025210084E-3"/>
    <n v="392.31098426888508"/>
    <n v="6.4515282979309817E-3"/>
    <s v="1st Floor"/>
    <n v="0"/>
    <x v="3"/>
    <s v="Mar 14, 2018 @ 15:08"/>
    <s v="Mar 14, 2018 @ 15:08"/>
    <s v="mcoalson@hanson-inc.com"/>
  </r>
  <r>
    <n v="896"/>
    <s v="M"/>
    <s v="Monitor"/>
    <x v="2"/>
    <n v="21"/>
    <n v="1"/>
    <n v="1"/>
    <n v="21"/>
    <n v="114.97499999999999"/>
    <n v="12.257868782138575"/>
    <n v="1.8907563025210084E-3"/>
    <n v="392.31098426888508"/>
    <n v="6.4515282979309817E-3"/>
    <s v="1st Floor"/>
    <n v="0"/>
    <x v="3"/>
    <s v="Mar 14, 2018 @ 15:13"/>
    <s v="Mar 14, 2018 @ 15:13"/>
    <s v="nboyd@hanson-inc.com"/>
  </r>
  <r>
    <n v="897"/>
    <s v="M"/>
    <s v="Monitor"/>
    <x v="74"/>
    <n v="21"/>
    <n v="1"/>
    <n v="1"/>
    <n v="21"/>
    <n v="114.97499999999999"/>
    <n v="12.257868782138575"/>
    <n v="1.8907563025210084E-3"/>
    <n v="392.31098426888508"/>
    <n v="6.4515282979309817E-3"/>
    <s v="1st Floor"/>
    <n v="2"/>
    <x v="3"/>
    <s v="Mar 14, 2018 @ 15:13"/>
    <s v="Mar 14, 2018 @ 15:14"/>
    <s v="nboyd@hanson-inc.com"/>
  </r>
  <r>
    <n v="902"/>
    <s v="M"/>
    <s v="Monitor"/>
    <x v="2"/>
    <n v="21"/>
    <n v="1"/>
    <n v="1"/>
    <n v="21"/>
    <n v="114.97499999999999"/>
    <n v="12.257868782138575"/>
    <n v="1.8907563025210084E-3"/>
    <n v="392.31098426888508"/>
    <n v="6.4515282979309817E-3"/>
    <s v="1st Floor"/>
    <n v="0"/>
    <x v="3"/>
    <s v="Mar 14, 2018 @ 15:15"/>
    <s v="Mar 14, 2018 @ 15:15"/>
    <s v="mcoalson@hanson-inc.com"/>
  </r>
  <r>
    <n v="903"/>
    <s v="M"/>
    <s v="Monitor"/>
    <x v="2"/>
    <n v="21"/>
    <n v="1"/>
    <n v="1"/>
    <n v="21"/>
    <n v="114.97499999999999"/>
    <n v="12.257868782138575"/>
    <n v="1.8907563025210084E-3"/>
    <n v="392.31098426888508"/>
    <n v="6.4515282979309817E-3"/>
    <s v="1st Floor"/>
    <n v="0"/>
    <x v="3"/>
    <s v="Mar 14, 2018 @ 15:15"/>
    <s v="Mar 14, 2018 @ 15:15"/>
    <s v="mcoalson@hanson-inc.com"/>
  </r>
  <r>
    <n v="904"/>
    <s v="M"/>
    <s v="Monitor"/>
    <x v="2"/>
    <n v="21"/>
    <n v="1"/>
    <n v="1"/>
    <n v="21"/>
    <n v="114.97499999999999"/>
    <n v="12.257868782138575"/>
    <n v="1.8907563025210084E-3"/>
    <n v="392.31098426888508"/>
    <n v="6.4515282979309817E-3"/>
    <s v="1st Floor"/>
    <n v="0"/>
    <x v="3"/>
    <s v="Mar 14, 2018 @ 15:15"/>
    <s v="Mar 14, 2018 @ 15:15"/>
    <s v="mcoalson@hanson-inc.com"/>
  </r>
  <r>
    <n v="905"/>
    <s v="M"/>
    <s v="Monitor"/>
    <x v="2"/>
    <n v="21"/>
    <n v="1"/>
    <n v="1"/>
    <n v="21"/>
    <n v="114.97499999999999"/>
    <n v="12.257868782138575"/>
    <n v="1.8907563025210084E-3"/>
    <n v="392.31098426888508"/>
    <n v="6.4515282979309817E-3"/>
    <s v="1st Floor"/>
    <n v="0"/>
    <x v="3"/>
    <s v="Mar 14, 2018 @ 15:15"/>
    <s v="Mar 14, 2018 @ 15:15"/>
    <s v="mcoalson@hanson-inc.com"/>
  </r>
  <r>
    <n v="909"/>
    <s v="M"/>
    <s v="Monitor"/>
    <x v="2"/>
    <n v="21"/>
    <n v="1"/>
    <n v="1"/>
    <n v="21"/>
    <n v="114.97499999999999"/>
    <n v="12.257868782138575"/>
    <n v="1.8907563025210084E-3"/>
    <n v="392.31098426888508"/>
    <n v="6.4515282979309817E-3"/>
    <s v="1st Floor"/>
    <n v="0"/>
    <x v="3"/>
    <s v="Mar 14, 2018 @ 15:17"/>
    <s v="Mar 14, 2018 @ 15:17"/>
    <s v="mcoalson@hanson-inc.com"/>
  </r>
  <r>
    <n v="948"/>
    <s v="M"/>
    <s v="Monitor"/>
    <x v="2"/>
    <n v="21"/>
    <n v="1"/>
    <n v="1"/>
    <n v="21"/>
    <n v="114.97499999999999"/>
    <n v="12.257868782138575"/>
    <n v="1.8907563025210084E-3"/>
    <n v="392.31098426888508"/>
    <n v="6.4515282979309817E-3"/>
    <s v="1st Floor"/>
    <n v="0"/>
    <x v="3"/>
    <s v="Mar 14, 2018 @ 15:51"/>
    <s v="Mar 14, 2018 @ 15:51"/>
    <s v="nboyd@hanson-inc.com"/>
  </r>
  <r>
    <n v="949"/>
    <s v="M"/>
    <s v="Monitor"/>
    <x v="2"/>
    <n v="21"/>
    <n v="1"/>
    <n v="1"/>
    <n v="21"/>
    <n v="114.97499999999999"/>
    <n v="12.257868782138575"/>
    <n v="1.8907563025210084E-3"/>
    <n v="392.31098426888508"/>
    <n v="6.4515282979309817E-3"/>
    <s v="1st Floor"/>
    <n v="0"/>
    <x v="3"/>
    <s v="Mar 14, 2018 @ 15:51"/>
    <s v="Mar 14, 2018 @ 15:51"/>
    <s v="nboyd@hanson-inc.com"/>
  </r>
  <r>
    <n v="951"/>
    <s v="M"/>
    <s v="Monitor"/>
    <x v="2"/>
    <n v="21"/>
    <n v="1"/>
    <n v="1"/>
    <n v="21"/>
    <n v="114.97499999999999"/>
    <n v="12.257868782138575"/>
    <n v="1.8907563025210084E-3"/>
    <n v="392.31098426888508"/>
    <n v="6.4515282979309817E-3"/>
    <s v="1st Floor"/>
    <n v="0"/>
    <x v="3"/>
    <s v="Mar 14, 2018 @ 15:51"/>
    <s v="Mar 14, 2018 @ 15:51"/>
    <s v="nboyd@hanson-inc.com"/>
  </r>
  <r>
    <n v="955"/>
    <s v="M"/>
    <s v="Monitor"/>
    <x v="2"/>
    <n v="21"/>
    <n v="1"/>
    <n v="1"/>
    <n v="21"/>
    <n v="114.97499999999999"/>
    <n v="12.257868782138575"/>
    <n v="1.8907563025210084E-3"/>
    <n v="392.31098426888508"/>
    <n v="6.4515282979309817E-3"/>
    <s v="1st Floor"/>
    <n v="0"/>
    <x v="3"/>
    <s v="Mar 14, 2018 @ 15:52"/>
    <s v="Mar 14, 2018 @ 15:52"/>
    <s v="mcoalson@hanson-inc.com"/>
  </r>
  <r>
    <n v="956"/>
    <s v="M"/>
    <s v="Monitor"/>
    <x v="2"/>
    <n v="21"/>
    <n v="1"/>
    <n v="1"/>
    <n v="21"/>
    <n v="114.97499999999999"/>
    <n v="12.257868782138575"/>
    <n v="1.8907563025210084E-3"/>
    <n v="392.31098426888508"/>
    <n v="6.4515282979309817E-3"/>
    <s v="1st Floor"/>
    <n v="0"/>
    <x v="3"/>
    <s v="Mar 14, 2018 @ 15:52"/>
    <s v="Mar 14, 2018 @ 15:52"/>
    <s v="mcoalson@hanson-inc.com"/>
  </r>
  <r>
    <n v="969"/>
    <s v="M"/>
    <s v="Monitor"/>
    <x v="2"/>
    <n v="21"/>
    <n v="1"/>
    <n v="1"/>
    <n v="21"/>
    <n v="114.97499999999999"/>
    <n v="12.257868782138575"/>
    <n v="1.8907563025210084E-3"/>
    <n v="392.31098426888508"/>
    <n v="6.4515282979309817E-3"/>
    <s v="1st Floor"/>
    <n v="0"/>
    <x v="3"/>
    <s v="Mar 14, 2018 @ 15:54"/>
    <s v="Mar 14, 2018 @ 15:54"/>
    <s v="mcoalson@hanson-inc.com"/>
  </r>
  <r>
    <n v="970"/>
    <s v="M"/>
    <s v="Monitor"/>
    <x v="2"/>
    <n v="21"/>
    <n v="1"/>
    <n v="1"/>
    <n v="21"/>
    <n v="114.97499999999999"/>
    <n v="12.257868782138575"/>
    <n v="1.8907563025210084E-3"/>
    <n v="392.31098426888508"/>
    <n v="6.4515282979309817E-3"/>
    <s v="1st Floor"/>
    <n v="0"/>
    <x v="3"/>
    <s v="Mar 14, 2018 @ 15:54"/>
    <s v="Mar 14, 2018 @ 15:54"/>
    <s v="mcoalson@hanson-inc.com"/>
  </r>
  <r>
    <n v="984"/>
    <s v="M"/>
    <s v="Monitor"/>
    <x v="2"/>
    <n v="21"/>
    <n v="1"/>
    <n v="1"/>
    <n v="21"/>
    <n v="114.97499999999999"/>
    <n v="12.257868782138575"/>
    <n v="1.8907563025210084E-3"/>
    <n v="392.31098426888508"/>
    <n v="6.4515282979309817E-3"/>
    <s v="1st Floor"/>
    <n v="0"/>
    <x v="3"/>
    <s v="Mar 14, 2018 @ 15:57"/>
    <s v="Mar 14, 2018 @ 15:57"/>
    <s v="mcoalson@hanson-inc.com"/>
  </r>
  <r>
    <n v="985"/>
    <s v="M"/>
    <s v="Monitor"/>
    <x v="2"/>
    <n v="21"/>
    <n v="1"/>
    <n v="1"/>
    <n v="21"/>
    <n v="114.97499999999999"/>
    <n v="12.257868782138575"/>
    <n v="1.8907563025210084E-3"/>
    <n v="392.31098426888508"/>
    <n v="6.4515282979309817E-3"/>
    <s v="1st Floor"/>
    <n v="0"/>
    <x v="3"/>
    <s v="Mar 14, 2018 @ 15:57"/>
    <s v="Mar 14, 2018 @ 15:57"/>
    <s v="mcoalson@hanson-inc.com"/>
  </r>
  <r>
    <n v="986"/>
    <s v="M"/>
    <s v="Monitor"/>
    <x v="2"/>
    <n v="21"/>
    <n v="1"/>
    <n v="1"/>
    <n v="21"/>
    <n v="114.97499999999999"/>
    <n v="12.257868782138575"/>
    <n v="1.8907563025210084E-3"/>
    <n v="392.31098426888508"/>
    <n v="6.4515282979309817E-3"/>
    <s v="1st Floor"/>
    <n v="0"/>
    <x v="3"/>
    <s v="Mar 14, 2018 @ 15:57"/>
    <s v="Mar 14, 2018 @ 15:57"/>
    <s v="mcoalson@hanson-inc.com"/>
  </r>
  <r>
    <n v="995"/>
    <s v="M"/>
    <s v="Monitor"/>
    <x v="2"/>
    <n v="21"/>
    <n v="1"/>
    <n v="1"/>
    <n v="21"/>
    <n v="114.97499999999999"/>
    <n v="12.257868782138575"/>
    <n v="1.8907563025210084E-3"/>
    <n v="392.31098426888508"/>
    <n v="6.4515282979309817E-3"/>
    <s v="1st Floor"/>
    <n v="0"/>
    <x v="3"/>
    <s v="Mar 14, 2018 @ 16:03"/>
    <s v="Mar 14, 2018 @ 16:00"/>
    <s v="mcoalson@hanson-inc.com"/>
  </r>
  <r>
    <n v="996"/>
    <s v="M"/>
    <s v="Monitor"/>
    <x v="2"/>
    <n v="21"/>
    <n v="1"/>
    <n v="1"/>
    <n v="21"/>
    <n v="114.97499999999999"/>
    <n v="12.257868782138575"/>
    <n v="1.8907563025210084E-3"/>
    <n v="392.31098426888508"/>
    <n v="6.4515282979309817E-3"/>
    <s v="1st Floor"/>
    <n v="0"/>
    <x v="3"/>
    <s v="Mar 14, 2018 @ 16:03"/>
    <s v="Mar 14, 2018 @ 16:00"/>
    <s v="mcoalson@hanson-inc.com"/>
  </r>
  <r>
    <n v="1006"/>
    <s v="M"/>
    <s v="Monitor"/>
    <x v="2"/>
    <n v="21"/>
    <n v="1"/>
    <n v="1"/>
    <n v="21"/>
    <n v="114.97499999999999"/>
    <n v="12.257868782138575"/>
    <n v="1.8907563025210084E-3"/>
    <n v="392.31098426888508"/>
    <n v="6.4515282979309817E-3"/>
    <s v="1st Floor"/>
    <n v="0"/>
    <x v="3"/>
    <s v="Mar 14, 2018 @ 16:01"/>
    <s v="Mar 14, 2018 @ 16:02"/>
    <s v="mcoalson@hanson-inc.com"/>
  </r>
  <r>
    <n v="1009"/>
    <s v="M"/>
    <s v="Monitor"/>
    <x v="2"/>
    <n v="21"/>
    <n v="1"/>
    <n v="1"/>
    <n v="21"/>
    <n v="114.97499999999999"/>
    <n v="12.257868782138575"/>
    <n v="1.8907563025210084E-3"/>
    <n v="392.31098426888508"/>
    <n v="6.4515282979309817E-3"/>
    <s v="1st Floor"/>
    <n v="0"/>
    <x v="3"/>
    <s v="Mar 14, 2018 @ 16:02"/>
    <s v="Mar 14, 2018 @ 16:02"/>
    <s v="mcoalson@hanson-inc.com"/>
  </r>
  <r>
    <n v="1018"/>
    <s v="M"/>
    <s v="Monitor"/>
    <x v="2"/>
    <n v="21"/>
    <n v="1"/>
    <n v="1"/>
    <n v="21"/>
    <n v="114.97499999999999"/>
    <n v="12.257868782138575"/>
    <n v="1.8907563025210084E-3"/>
    <n v="392.31098426888508"/>
    <n v="6.4515282979309817E-3"/>
    <s v="1st Floor"/>
    <n v="0"/>
    <x v="3"/>
    <s v="Mar 14, 2018 @ 16:03"/>
    <s v="Mar 14, 2018 @ 16:03"/>
    <s v="mcoalson@hanson-inc.com"/>
  </r>
  <r>
    <n v="1020"/>
    <s v="M"/>
    <s v="Monitor"/>
    <x v="2"/>
    <n v="21"/>
    <n v="1"/>
    <n v="1"/>
    <n v="21"/>
    <n v="114.97499999999999"/>
    <n v="12.257868782138575"/>
    <n v="1.8907563025210084E-3"/>
    <n v="392.31098426888508"/>
    <n v="6.4515282979309817E-3"/>
    <s v="1st Floor"/>
    <n v="0"/>
    <x v="3"/>
    <s v="Mar 14, 2018 @ 16:03"/>
    <s v="Mar 14, 2018 @ 16:03"/>
    <s v="mcoalson@hanson-inc.com"/>
  </r>
  <r>
    <n v="1022"/>
    <s v="M"/>
    <s v="Monitor"/>
    <x v="2"/>
    <n v="21"/>
    <n v="1"/>
    <n v="1"/>
    <n v="21"/>
    <n v="114.97499999999999"/>
    <n v="12.257868782138575"/>
    <n v="1.8907563025210084E-3"/>
    <n v="392.31098426888508"/>
    <n v="6.4515282979309817E-3"/>
    <s v="1st Floor"/>
    <n v="0"/>
    <x v="3"/>
    <s v="Mar 14, 2018 @ 16:03"/>
    <s v="Mar 14, 2018 @ 16:03"/>
    <s v="mcoalson@hanson-inc.com"/>
  </r>
  <r>
    <n v="1031"/>
    <s v="M"/>
    <s v="Monitor"/>
    <x v="2"/>
    <n v="21"/>
    <n v="1"/>
    <n v="1"/>
    <n v="21"/>
    <n v="114.97499999999999"/>
    <n v="12.257868782138575"/>
    <n v="1.8907563025210084E-3"/>
    <n v="392.31098426888508"/>
    <n v="6.4515282979309817E-3"/>
    <s v="1st Floor"/>
    <n v="0"/>
    <x v="3"/>
    <s v="Mar 14, 2018 @ 16:05"/>
    <s v="Mar 14, 2018 @ 16:05"/>
    <s v="mcoalson@hanson-inc.com"/>
  </r>
  <r>
    <n v="1032"/>
    <s v="M"/>
    <s v="Monitor"/>
    <x v="2"/>
    <n v="21"/>
    <n v="1"/>
    <n v="1"/>
    <n v="21"/>
    <n v="114.97499999999999"/>
    <n v="12.257868782138575"/>
    <n v="1.8907563025210084E-3"/>
    <n v="392.31098426888508"/>
    <n v="6.4515282979309817E-3"/>
    <s v="1st Floor"/>
    <n v="0"/>
    <x v="3"/>
    <s v="Mar 14, 2018 @ 16:05"/>
    <s v="Mar 14, 2018 @ 16:05"/>
    <s v="mcoalson@hanson-inc.com"/>
  </r>
  <r>
    <n v="1033"/>
    <s v="M"/>
    <s v="Monitor"/>
    <x v="2"/>
    <n v="21"/>
    <n v="1"/>
    <n v="1"/>
    <n v="21"/>
    <n v="114.97499999999999"/>
    <n v="12.257868782138575"/>
    <n v="1.8907563025210084E-3"/>
    <n v="392.31098426888508"/>
    <n v="6.4515282979309817E-3"/>
    <s v="1st Floor"/>
    <n v="0"/>
    <x v="3"/>
    <s v="Mar 14, 2018 @ 16:05"/>
    <s v="Mar 14, 2018 @ 16:05"/>
    <s v="mcoalson@hanson-inc.com"/>
  </r>
  <r>
    <n v="1064"/>
    <s v="M"/>
    <s v="Monitor"/>
    <x v="2"/>
    <n v="21"/>
    <n v="1"/>
    <n v="1"/>
    <n v="21"/>
    <n v="114.97499999999999"/>
    <n v="12.257868782138575"/>
    <n v="1.8907563025210084E-3"/>
    <n v="392.31098426888508"/>
    <n v="6.4515282979309817E-3"/>
    <s v="1st Floor"/>
    <n v="0"/>
    <x v="3"/>
    <s v="Mar 14, 2018 @ 16:23"/>
    <s v="Mar 14, 2018 @ 16:23"/>
    <s v="nboyd@hanson-inc.com"/>
  </r>
  <r>
    <n v="1080"/>
    <s v="M"/>
    <s v="Monitor"/>
    <x v="2"/>
    <n v="21"/>
    <n v="1"/>
    <n v="1"/>
    <n v="21"/>
    <n v="114.97499999999999"/>
    <n v="12.257868782138575"/>
    <n v="1.8907563025210084E-3"/>
    <n v="392.31098426888508"/>
    <n v="6.4515282979309817E-3"/>
    <s v="1st Floor"/>
    <n v="0"/>
    <x v="3"/>
    <s v="Mar 14, 2018 @ 16:27"/>
    <s v="Mar 14, 2018 @ 16:27"/>
    <s v="mcoalson@hanson-inc.com"/>
  </r>
  <r>
    <n v="1083"/>
    <s v="M"/>
    <s v="Monitor"/>
    <x v="2"/>
    <n v="21"/>
    <n v="1"/>
    <n v="1"/>
    <n v="21"/>
    <n v="114.97499999999999"/>
    <n v="12.257868782138575"/>
    <n v="1.8907563025210084E-3"/>
    <n v="392.31098426888508"/>
    <n v="6.4515282979309817E-3"/>
    <s v="1st Floor"/>
    <n v="0"/>
    <x v="3"/>
    <s v="Mar 14, 2018 @ 16:27"/>
    <s v="Mar 14, 2018 @ 16:27"/>
    <s v="mcoalson@hanson-inc.com"/>
  </r>
  <r>
    <n v="662"/>
    <s v="M"/>
    <s v="Monitor"/>
    <x v="2"/>
    <n v="21"/>
    <n v="1"/>
    <n v="1"/>
    <n v="21"/>
    <n v="114.97499999999999"/>
    <n v="12.257868782138575"/>
    <n v="1.8907563025210084E-3"/>
    <n v="392.31098426888508"/>
    <n v="6.4515282979309817E-3"/>
    <s v="2nd Floor"/>
    <n v="0"/>
    <x v="3"/>
    <s v="Mar 14, 2018 @ 13:20"/>
    <s v="Mar 14, 2018 @ 13:20"/>
    <s v="nboyd@hanson-inc.com"/>
  </r>
  <r>
    <n v="663"/>
    <s v="M"/>
    <s v="Monitor"/>
    <x v="2"/>
    <n v="21"/>
    <n v="1"/>
    <n v="1"/>
    <n v="21"/>
    <n v="114.97499999999999"/>
    <n v="12.257868782138575"/>
    <n v="1.8907563025210084E-3"/>
    <n v="392.31098426888508"/>
    <n v="6.4515282979309817E-3"/>
    <s v="2nd Floor"/>
    <n v="0"/>
    <x v="3"/>
    <s v="Mar 14, 2018 @ 13:20"/>
    <s v="Mar 14, 2018 @ 13:20"/>
    <s v="nboyd@hanson-inc.com"/>
  </r>
  <r>
    <n v="672"/>
    <s v="M"/>
    <s v="Monitor"/>
    <x v="2"/>
    <n v="21"/>
    <n v="1"/>
    <n v="1"/>
    <n v="21"/>
    <n v="114.97499999999999"/>
    <n v="12.257868782138575"/>
    <n v="1.8907563025210084E-3"/>
    <n v="392.31098426888508"/>
    <n v="6.4515282979309817E-3"/>
    <s v="2nd Floor"/>
    <n v="0"/>
    <x v="3"/>
    <s v="Mar 14, 2018 @ 13:23"/>
    <s v="Mar 14, 2018 @ 13:23"/>
    <s v="mcoalson@hanson-inc.com"/>
  </r>
  <r>
    <n v="674"/>
    <s v="M"/>
    <s v="Monitor"/>
    <x v="2"/>
    <n v="21"/>
    <n v="1"/>
    <n v="1"/>
    <n v="21"/>
    <n v="114.97499999999999"/>
    <n v="12.257868782138575"/>
    <n v="1.8907563025210084E-3"/>
    <n v="392.31098426888508"/>
    <n v="6.4515282979309817E-3"/>
    <s v="2nd Floor"/>
    <n v="0"/>
    <x v="3"/>
    <s v="Mar 14, 2018 @ 13:24"/>
    <s v="Mar 14, 2018 @ 13:24"/>
    <s v="mcoalson@hanson-inc.com"/>
  </r>
  <r>
    <n v="675"/>
    <s v="M"/>
    <s v="Monitor"/>
    <x v="2"/>
    <n v="21"/>
    <n v="1"/>
    <n v="1"/>
    <n v="21"/>
    <n v="114.97499999999999"/>
    <n v="12.257868782138575"/>
    <n v="1.8907563025210084E-3"/>
    <n v="392.31098426888508"/>
    <n v="6.4515282979309817E-3"/>
    <s v="2nd Floor"/>
    <n v="0"/>
    <x v="3"/>
    <s v="Mar 14, 2018 @ 13:24"/>
    <s v="Mar 14, 2018 @ 13:24"/>
    <s v="mcoalson@hanson-inc.com"/>
  </r>
  <r>
    <n v="683"/>
    <s v="M"/>
    <s v="Monitor"/>
    <x v="2"/>
    <n v="21"/>
    <n v="1"/>
    <n v="1"/>
    <n v="21"/>
    <n v="114.97499999999999"/>
    <n v="12.257868782138575"/>
    <n v="1.8907563025210084E-3"/>
    <n v="392.31098426888508"/>
    <n v="6.4515282979309817E-3"/>
    <s v="2nd Floor"/>
    <n v="0"/>
    <x v="3"/>
    <s v="Mar 14, 2018 @ 13:26"/>
    <s v="Mar 14, 2018 @ 13:26"/>
    <s v="mcoalson@hanson-inc.com"/>
  </r>
  <r>
    <n v="684"/>
    <s v="M"/>
    <s v="Monitor"/>
    <x v="2"/>
    <n v="21"/>
    <n v="1"/>
    <n v="1"/>
    <n v="21"/>
    <n v="114.97499999999999"/>
    <n v="12.257868782138575"/>
    <n v="1.8907563025210084E-3"/>
    <n v="392.31098426888508"/>
    <n v="6.4515282979309817E-3"/>
    <s v="2nd Floor"/>
    <n v="0"/>
    <x v="3"/>
    <s v="Mar 14, 2018 @ 13:26"/>
    <s v="Mar 14, 2018 @ 13:26"/>
    <s v="mcoalson@hanson-inc.com"/>
  </r>
  <r>
    <n v="693"/>
    <s v="M"/>
    <s v="Monitor"/>
    <x v="2"/>
    <n v="21"/>
    <n v="1"/>
    <n v="1"/>
    <n v="21"/>
    <n v="114.97499999999999"/>
    <n v="12.257868782138575"/>
    <n v="1.8907563025210084E-3"/>
    <n v="392.31098426888508"/>
    <n v="6.4515282979309817E-3"/>
    <s v="2nd Floor"/>
    <n v="0"/>
    <x v="3"/>
    <s v="Mar 14, 2018 @ 13:27"/>
    <s v="Mar 14, 2018 @ 13:27"/>
    <s v="nboyd@hanson-inc.com"/>
  </r>
  <r>
    <n v="700"/>
    <s v="M"/>
    <s v="Monitor"/>
    <x v="2"/>
    <n v="21"/>
    <n v="1"/>
    <n v="1"/>
    <n v="21"/>
    <n v="114.97499999999999"/>
    <n v="12.257868782138575"/>
    <n v="1.8907563025210084E-3"/>
    <n v="392.31098426888508"/>
    <n v="6.4515282979309817E-3"/>
    <s v="2nd Floor"/>
    <n v="0"/>
    <x v="3"/>
    <s v="Mar 14, 2018 @ 13:29"/>
    <s v="Mar 14, 2018 @ 13:29"/>
    <s v="nboyd@hanson-inc.com"/>
  </r>
  <r>
    <n v="702"/>
    <s v="M"/>
    <s v="Monitor"/>
    <x v="2"/>
    <n v="21"/>
    <n v="1"/>
    <n v="1"/>
    <n v="21"/>
    <n v="114.97499999999999"/>
    <n v="12.257868782138575"/>
    <n v="1.8907563025210084E-3"/>
    <n v="392.31098426888508"/>
    <n v="6.4515282979309817E-3"/>
    <s v="2nd Floor"/>
    <n v="0"/>
    <x v="3"/>
    <s v="Mar 14, 2018 @ 13:29"/>
    <s v="Mar 14, 2018 @ 13:29"/>
    <s v="nboyd@hanson-inc.com"/>
  </r>
  <r>
    <n v="707"/>
    <s v="M"/>
    <s v="Monitor"/>
    <x v="2"/>
    <n v="21"/>
    <n v="1"/>
    <n v="1"/>
    <n v="21"/>
    <n v="114.97499999999999"/>
    <n v="12.257868782138575"/>
    <n v="1.8907563025210084E-3"/>
    <n v="392.31098426888508"/>
    <n v="6.4515282979309817E-3"/>
    <s v="2nd Floor"/>
    <n v="0"/>
    <x v="3"/>
    <s v="Mar 14, 2018 @ 13:31"/>
    <s v="Mar 14, 2018 @ 13:31"/>
    <s v="nboyd@hanson-inc.com"/>
  </r>
  <r>
    <n v="730"/>
    <s v="M"/>
    <s v="Monitor"/>
    <x v="2"/>
    <n v="21"/>
    <n v="1"/>
    <n v="1"/>
    <n v="21"/>
    <n v="114.97499999999999"/>
    <n v="12.257868782138575"/>
    <n v="1.8907563025210084E-3"/>
    <n v="392.31098426888508"/>
    <n v="6.4515282979309817E-3"/>
    <s v="2nd Floor"/>
    <n v="0"/>
    <x v="3"/>
    <s v="Mar 14, 2018 @ 13:49"/>
    <s v="Mar 14, 2018 @ 13:49"/>
    <s v="mcoalson@hanson-inc.com"/>
  </r>
  <r>
    <n v="740"/>
    <s v="M"/>
    <s v="Monitor"/>
    <x v="2"/>
    <n v="21"/>
    <n v="1"/>
    <n v="1"/>
    <n v="21"/>
    <n v="114.97499999999999"/>
    <n v="12.257868782138575"/>
    <n v="1.8907563025210084E-3"/>
    <n v="392.31098426888508"/>
    <n v="6.4515282979309817E-3"/>
    <s v="2nd Floor"/>
    <n v="0"/>
    <x v="3"/>
    <s v="Mar 14, 2018 @ 13:58"/>
    <s v="Mar 14, 2018 @ 13:58"/>
    <s v="mcoalson@hanson-inc.com"/>
  </r>
  <r>
    <n v="758"/>
    <s v="M"/>
    <s v="Monitor"/>
    <x v="2"/>
    <n v="21"/>
    <n v="1"/>
    <n v="1"/>
    <n v="21"/>
    <n v="114.97499999999999"/>
    <n v="12.257868782138575"/>
    <n v="1.8907563025210084E-3"/>
    <n v="392.31098426888508"/>
    <n v="6.4515282979309817E-3"/>
    <s v="2nd Floor"/>
    <n v="0"/>
    <x v="3"/>
    <s v="Mar 14, 2018 @ 14:14"/>
    <s v="Mar 14, 2018 @ 14:14"/>
    <s v="mcoalson@hanson-inc.com"/>
  </r>
  <r>
    <n v="759"/>
    <s v="M"/>
    <s v="Monitor"/>
    <x v="2"/>
    <n v="21"/>
    <n v="1"/>
    <n v="1"/>
    <n v="21"/>
    <n v="114.97499999999999"/>
    <n v="12.257868782138575"/>
    <n v="1.8907563025210084E-3"/>
    <n v="392.31098426888508"/>
    <n v="6.4515282979309817E-3"/>
    <s v="2nd Floor"/>
    <n v="0"/>
    <x v="3"/>
    <s v="Mar 14, 2018 @ 14:14"/>
    <s v="Mar 14, 2018 @ 14:14"/>
    <s v="mcoalson@hanson-inc.com"/>
  </r>
  <r>
    <n v="760"/>
    <s v="M"/>
    <s v="Monitor"/>
    <x v="2"/>
    <n v="21"/>
    <n v="1"/>
    <n v="1"/>
    <n v="21"/>
    <n v="114.97499999999999"/>
    <n v="12.257868782138575"/>
    <n v="1.8907563025210084E-3"/>
    <n v="392.31098426888508"/>
    <n v="6.4515282979309817E-3"/>
    <s v="2nd Floor"/>
    <n v="0"/>
    <x v="3"/>
    <s v="Mar 14, 2018 @ 14:14"/>
    <s v="Mar 14, 2018 @ 14:14"/>
    <s v="mcoalson@hanson-inc.com"/>
  </r>
  <r>
    <n v="762"/>
    <s v="M"/>
    <s v="Monitor"/>
    <x v="2"/>
    <n v="21"/>
    <n v="1"/>
    <n v="1"/>
    <n v="21"/>
    <n v="114.97499999999999"/>
    <n v="12.257868782138575"/>
    <n v="1.8907563025210084E-3"/>
    <n v="392.31098426888508"/>
    <n v="6.4515282979309817E-3"/>
    <s v="2nd Floor"/>
    <n v="0"/>
    <x v="3"/>
    <s v="Mar 14, 2018 @ 14:14"/>
    <s v="Mar 14, 2018 @ 14:14"/>
    <s v="mcoalson@hanson-inc.com"/>
  </r>
  <r>
    <n v="767"/>
    <s v="M"/>
    <s v="Monitor"/>
    <x v="2"/>
    <n v="21"/>
    <n v="1"/>
    <n v="1"/>
    <n v="21"/>
    <n v="114.97499999999999"/>
    <n v="12.257868782138575"/>
    <n v="1.8907563025210084E-3"/>
    <n v="392.31098426888508"/>
    <n v="6.4515282979309817E-3"/>
    <s v="2nd Floor"/>
    <n v="0"/>
    <x v="3"/>
    <s v="Mar 14, 2018 @ 14:22"/>
    <s v="Mar 14, 2018 @ 14:16"/>
    <s v="mcoalson@hanson-inc.com"/>
  </r>
  <r>
    <n v="770"/>
    <s v="M"/>
    <s v="Monitor"/>
    <x v="2"/>
    <n v="21"/>
    <n v="1"/>
    <n v="1"/>
    <n v="21"/>
    <n v="114.97499999999999"/>
    <n v="12.257868782138575"/>
    <n v="1.8907563025210084E-3"/>
    <n v="392.31098426888508"/>
    <n v="6.4515282979309817E-3"/>
    <s v="2nd Floor"/>
    <n v="0"/>
    <x v="3"/>
    <s v="Mar 14, 2018 @ 14:24"/>
    <s v="Mar 14, 2018 @ 14:18"/>
    <s v="mcoalson@hanson-inc.com"/>
  </r>
  <r>
    <n v="774"/>
    <s v="M"/>
    <s v="Monitor"/>
    <x v="2"/>
    <n v="21"/>
    <n v="1"/>
    <n v="1"/>
    <n v="21"/>
    <n v="114.97499999999999"/>
    <n v="12.257868782138575"/>
    <n v="1.8907563025210084E-3"/>
    <n v="392.31098426888508"/>
    <n v="6.4515282979309817E-3"/>
    <s v="2nd Floor"/>
    <n v="0"/>
    <x v="3"/>
    <s v="Mar 14, 2018 @ 14:18"/>
    <s v="Mar 14, 2018 @ 14:18"/>
    <s v="mcoalson@hanson-inc.com"/>
  </r>
  <r>
    <n v="775"/>
    <s v="M"/>
    <s v="Monitor"/>
    <x v="2"/>
    <n v="21"/>
    <n v="1"/>
    <n v="1"/>
    <n v="21"/>
    <n v="114.97499999999999"/>
    <n v="12.257868782138575"/>
    <n v="1.8907563025210084E-3"/>
    <n v="392.31098426888508"/>
    <n v="6.4515282979309817E-3"/>
    <s v="2nd Floor"/>
    <n v="0"/>
    <x v="3"/>
    <s v="Mar 14, 2018 @ 14:18"/>
    <s v="Mar 14, 2018 @ 14:18"/>
    <s v="mcoalson@hanson-inc.com"/>
  </r>
  <r>
    <n v="789"/>
    <s v="M"/>
    <s v="Monitor"/>
    <x v="2"/>
    <n v="21"/>
    <n v="1"/>
    <n v="1"/>
    <n v="21"/>
    <n v="114.97499999999999"/>
    <n v="12.257868782138575"/>
    <n v="1.8907563025210084E-3"/>
    <n v="392.31098426888508"/>
    <n v="6.4515282979309817E-3"/>
    <s v="2nd Floor"/>
    <n v="0"/>
    <x v="3"/>
    <s v="Mar 14, 2018 @ 14:32"/>
    <s v="Mar 14, 2018 @ 14:32"/>
    <s v="mcoalson@hanson-inc.com"/>
  </r>
  <r>
    <n v="799"/>
    <s v="M"/>
    <s v="Monitor"/>
    <x v="2"/>
    <n v="21"/>
    <n v="1"/>
    <n v="1"/>
    <n v="21"/>
    <n v="114.97499999999999"/>
    <n v="12.257868782138575"/>
    <n v="1.8907563025210084E-3"/>
    <n v="392.31098426888508"/>
    <n v="6.4515282979309817E-3"/>
    <s v="2nd Floor"/>
    <n v="0"/>
    <x v="3"/>
    <s v="Mar 14, 2018 @ 14:39"/>
    <s v="Mar 14, 2018 @ 14:39"/>
    <s v="mcoalson@hanson-inc.com"/>
  </r>
  <r>
    <n v="815"/>
    <s v="M"/>
    <s v="Monitor"/>
    <x v="2"/>
    <n v="21"/>
    <n v="1"/>
    <n v="1"/>
    <n v="21"/>
    <n v="114.97499999999999"/>
    <n v="12.257868782138575"/>
    <n v="1.8907563025210084E-3"/>
    <n v="392.31098426888508"/>
    <n v="6.4515282979309817E-3"/>
    <s v="2nd Floor"/>
    <n v="0"/>
    <x v="3"/>
    <s v="Mar 14, 2018 @ 14:51"/>
    <s v="Mar 14, 2018 @ 14:44"/>
    <s v="mcoalson@hanson-inc.com"/>
  </r>
  <r>
    <n v="841"/>
    <s v="M"/>
    <s v="Monitor"/>
    <x v="2"/>
    <n v="21"/>
    <n v="1"/>
    <n v="1"/>
    <n v="21"/>
    <n v="114.97499999999999"/>
    <n v="12.257868782138575"/>
    <n v="1.8907563025210084E-3"/>
    <n v="392.31098426888508"/>
    <n v="6.4515282979309817E-3"/>
    <s v="2nd Floor"/>
    <n v="0"/>
    <x v="3"/>
    <s v="Mar 14, 2018 @ 14:54"/>
    <s v="Mar 14, 2018 @ 14:54"/>
    <s v="nboyd@hanson-inc.com"/>
  </r>
  <r>
    <n v="842"/>
    <s v="M"/>
    <s v="Monitor"/>
    <x v="2"/>
    <n v="21"/>
    <n v="1"/>
    <n v="1"/>
    <n v="21"/>
    <n v="114.97499999999999"/>
    <n v="12.257868782138575"/>
    <n v="1.8907563025210084E-3"/>
    <n v="392.31098426888508"/>
    <n v="6.4515282979309817E-3"/>
    <s v="2nd Floor"/>
    <n v="0"/>
    <x v="3"/>
    <s v="Mar 14, 2018 @ 14:54"/>
    <s v="Mar 14, 2018 @ 14:54"/>
    <s v="nboyd@hanson-inc.com"/>
  </r>
  <r>
    <n v="845"/>
    <s v="M"/>
    <s v="Monitor"/>
    <x v="2"/>
    <n v="21"/>
    <n v="1"/>
    <n v="1"/>
    <n v="21"/>
    <n v="114.97499999999999"/>
    <n v="12.257868782138575"/>
    <n v="1.8907563025210084E-3"/>
    <n v="392.31098426888508"/>
    <n v="6.4515282979309817E-3"/>
    <s v="2nd Floor"/>
    <n v="0"/>
    <x v="3"/>
    <s v="Mar 14, 2018 @ 14:54"/>
    <s v="Mar 14, 2018 @ 14:54"/>
    <s v="mcoalson@hanson-inc.com"/>
  </r>
  <r>
    <n v="846"/>
    <s v="M"/>
    <s v="Monitor"/>
    <x v="2"/>
    <n v="21"/>
    <n v="1"/>
    <n v="1"/>
    <n v="21"/>
    <n v="114.97499999999999"/>
    <n v="12.257868782138575"/>
    <n v="1.8907563025210084E-3"/>
    <n v="392.31098426888508"/>
    <n v="6.4515282979309817E-3"/>
    <s v="2nd Floor"/>
    <n v="0"/>
    <x v="3"/>
    <s v="Mar 14, 2018 @ 14:54"/>
    <s v="Mar 14, 2018 @ 14:54"/>
    <s v="mcoalson@hanson-inc.com"/>
  </r>
  <r>
    <n v="854"/>
    <s v="M"/>
    <s v="Monitor"/>
    <x v="2"/>
    <n v="21"/>
    <n v="1"/>
    <n v="1"/>
    <n v="21"/>
    <n v="114.97499999999999"/>
    <n v="12.257868782138575"/>
    <n v="1.8907563025210084E-3"/>
    <n v="392.31098426888508"/>
    <n v="6.4515282979309817E-3"/>
    <s v="2nd Floor"/>
    <n v="0"/>
    <x v="3"/>
    <s v="Mar 14, 2018 @ 15:02"/>
    <s v="Mar 14, 2018 @ 14:56"/>
    <s v="mcoalson@hanson-inc.com"/>
  </r>
  <r>
    <n v="859"/>
    <s v="M"/>
    <s v="Monitor"/>
    <x v="2"/>
    <n v="21"/>
    <n v="1"/>
    <n v="1"/>
    <n v="21"/>
    <n v="114.97499999999999"/>
    <n v="12.257868782138575"/>
    <n v="1.8907563025210084E-3"/>
    <n v="392.31098426888508"/>
    <n v="6.4515282979309817E-3"/>
    <s v="2nd Floor"/>
    <n v="0"/>
    <x v="3"/>
    <s v="Mar 14, 2018 @ 14:57"/>
    <s v="Mar 14, 2018 @ 14:57"/>
    <s v="mcoalson@hanson-inc.com"/>
  </r>
  <r>
    <n v="860"/>
    <s v="M"/>
    <s v="Monitor"/>
    <x v="2"/>
    <n v="21"/>
    <n v="1"/>
    <n v="1"/>
    <n v="21"/>
    <n v="114.97499999999999"/>
    <n v="12.257868782138575"/>
    <n v="1.8907563025210084E-3"/>
    <n v="392.31098426888508"/>
    <n v="6.4515282979309817E-3"/>
    <s v="2nd Floor"/>
    <n v="0"/>
    <x v="3"/>
    <s v="Mar 14, 2018 @ 14:57"/>
    <s v="Mar 14, 2018 @ 14:57"/>
    <s v="nboyd@hanson-inc.com"/>
  </r>
  <r>
    <n v="868"/>
    <s v="M"/>
    <s v="Monitor"/>
    <x v="2"/>
    <n v="21"/>
    <n v="1"/>
    <n v="1"/>
    <n v="21"/>
    <n v="114.97499999999999"/>
    <n v="12.257868782138575"/>
    <n v="1.8907563025210084E-3"/>
    <n v="392.31098426888508"/>
    <n v="6.4515282979309817E-3"/>
    <s v="2nd Floor"/>
    <n v="0"/>
    <x v="3"/>
    <s v="Mar 14, 2018 @ 15:04"/>
    <s v="Mar 14, 2018 @ 14:58"/>
    <s v="mcoalson@hanson-inc.com"/>
  </r>
  <r>
    <n v="869"/>
    <s v="M"/>
    <s v="Monitor"/>
    <x v="2"/>
    <n v="21"/>
    <n v="1"/>
    <n v="1"/>
    <n v="21"/>
    <n v="114.97499999999999"/>
    <n v="12.257868782138575"/>
    <n v="1.8907563025210084E-3"/>
    <n v="392.31098426888508"/>
    <n v="6.4515282979309817E-3"/>
    <s v="2nd Floor"/>
    <n v="0"/>
    <x v="3"/>
    <s v="Mar 14, 2018 @ 15:05"/>
    <s v="Mar 14, 2018 @ 14:58"/>
    <s v="mcoalson@hanson-inc.com"/>
  </r>
  <r>
    <n v="1074"/>
    <s v="M"/>
    <s v="Monitor"/>
    <x v="2"/>
    <n v="21"/>
    <n v="1"/>
    <n v="1"/>
    <n v="21"/>
    <n v="114.97499999999999"/>
    <n v="12.257868782138575"/>
    <n v="1.8907563025210084E-3"/>
    <n v="392.31098426888508"/>
    <n v="6.4515282979309817E-3"/>
    <s v="2nd Floor"/>
    <n v="0"/>
    <x v="3"/>
    <s v="Mar 14, 2018 @ 15:02"/>
    <s v="Mar 14, 2018 @ 16:25"/>
    <s v="mcoalson@hanson-inc.com"/>
  </r>
  <r>
    <n v="20"/>
    <s v="M"/>
    <s v="Monitor"/>
    <x v="2"/>
    <n v="21"/>
    <n v="1"/>
    <n v="1"/>
    <n v="21"/>
    <n v="114.97499999999999"/>
    <n v="12.257868782138575"/>
    <n v="1.8907563025210084E-3"/>
    <n v="392.31098426888508"/>
    <n v="6.4515282979309817E-3"/>
    <s v="VTU3-20"/>
    <n v="0"/>
    <x v="3"/>
    <s v="Mar 12, 2018 @ 14:11"/>
    <s v="Mar 12, 2018 @ 14:05"/>
    <s v="mcoalson@hanson-inc.com"/>
  </r>
  <r>
    <n v="22"/>
    <s v="M"/>
    <s v="Monitor"/>
    <x v="2"/>
    <n v="21"/>
    <n v="1"/>
    <n v="1"/>
    <n v="21"/>
    <n v="114.97499999999999"/>
    <n v="12.257868782138575"/>
    <n v="1.8907563025210084E-3"/>
    <n v="392.31098426888508"/>
    <n v="6.4515282979309817E-3"/>
    <s v="VTU3-20"/>
    <n v="0"/>
    <x v="3"/>
    <s v="Mar 12, 2018 @ 14:05"/>
    <s v="Mar 12, 2018 @ 14:05"/>
    <s v="nboyd@hanson-inc.com"/>
  </r>
  <r>
    <n v="34"/>
    <s v="M"/>
    <s v="Monitor"/>
    <x v="2"/>
    <n v="21"/>
    <n v="1"/>
    <n v="1"/>
    <n v="21"/>
    <n v="114.97499999999999"/>
    <n v="12.257868782138575"/>
    <n v="1.8907563025210084E-3"/>
    <n v="392.31098426888508"/>
    <n v="6.4515282979309817E-3"/>
    <s v="VTU3-20"/>
    <n v="0"/>
    <x v="3"/>
    <s v="Mar 12, 2018 @ 14:08"/>
    <s v="Mar 12, 2018 @ 14:08"/>
    <s v="nboyd@hanson-inc.com"/>
  </r>
  <r>
    <n v="38"/>
    <s v="M"/>
    <s v="Monitor"/>
    <x v="2"/>
    <n v="21"/>
    <n v="1"/>
    <n v="1"/>
    <n v="21"/>
    <n v="114.97499999999999"/>
    <n v="12.257868782138575"/>
    <n v="1.8907563025210084E-3"/>
    <n v="392.31098426888508"/>
    <n v="6.4515282979309817E-3"/>
    <s v="VTU3-20"/>
    <n v="0"/>
    <x v="3"/>
    <s v="Mar 12, 2018 @ 14:15"/>
    <s v="Mar 12, 2018 @ 14:09"/>
    <s v="mcoalson@hanson-inc.com"/>
  </r>
  <r>
    <n v="64"/>
    <s v="M"/>
    <s v="Monitor"/>
    <x v="2"/>
    <n v="21"/>
    <n v="1"/>
    <n v="1"/>
    <n v="21"/>
    <n v="114.97499999999999"/>
    <n v="12.257868782138575"/>
    <n v="1.8907563025210084E-3"/>
    <n v="392.31098426888508"/>
    <n v="6.4515282979309817E-3"/>
    <s v="VTU3-20"/>
    <n v="0"/>
    <x v="3"/>
    <s v="Mar 12, 2018 @ 14:19"/>
    <s v="Mar 12, 2018 @ 14:19"/>
    <s v="nboyd@hanson-inc.com"/>
  </r>
  <r>
    <n v="68"/>
    <s v="M"/>
    <s v="Monitor"/>
    <x v="2"/>
    <n v="21"/>
    <n v="1"/>
    <n v="1"/>
    <n v="21"/>
    <n v="114.97499999999999"/>
    <n v="12.257868782138575"/>
    <n v="1.8907563025210084E-3"/>
    <n v="392.31098426888508"/>
    <n v="6.4515282979309817E-3"/>
    <s v="VTU3-20"/>
    <n v="0"/>
    <x v="3"/>
    <s v="Mar 12, 2018 @ 14:27"/>
    <s v="Mar 12, 2018 @ 14:20"/>
    <s v="mcoalson@hanson-inc.com"/>
  </r>
  <r>
    <n v="71"/>
    <s v="M"/>
    <s v="Monitor"/>
    <x v="2"/>
    <n v="21"/>
    <n v="1"/>
    <n v="1"/>
    <n v="21"/>
    <n v="114.97499999999999"/>
    <n v="12.257868782138575"/>
    <n v="1.8907563025210084E-3"/>
    <n v="392.31098426888508"/>
    <n v="6.4515282979309817E-3"/>
    <s v="VTU3-20"/>
    <n v="0"/>
    <x v="3"/>
    <s v="Mar 12, 2018 @ 14:28"/>
    <s v="Mar 12, 2018 @ 14:22"/>
    <s v="mcoalson@hanson-inc.com"/>
  </r>
  <r>
    <n v="72"/>
    <s v="M"/>
    <s v="Monitor"/>
    <x v="2"/>
    <n v="21"/>
    <n v="1"/>
    <n v="1"/>
    <n v="21"/>
    <n v="114.97499999999999"/>
    <n v="12.257868782138575"/>
    <n v="1.8907563025210084E-3"/>
    <n v="392.31098426888508"/>
    <n v="6.4515282979309817E-3"/>
    <s v="VTU3-20"/>
    <n v="0"/>
    <x v="3"/>
    <s v="Mar 12, 2018 @ 14:28"/>
    <s v="Mar 12, 2018 @ 14:22"/>
    <s v="mcoalson@hanson-inc.com"/>
  </r>
  <r>
    <n v="76"/>
    <s v="M"/>
    <s v="Monitor"/>
    <x v="75"/>
    <n v="21"/>
    <n v="1"/>
    <n v="1"/>
    <n v="21"/>
    <n v="114.97499999999999"/>
    <n v="12.257868782138575"/>
    <n v="1.8907563025210084E-3"/>
    <n v="392.31098426888508"/>
    <n v="6.4515282979309817E-3"/>
    <s v="VTU3-20"/>
    <n v="0"/>
    <x v="3"/>
    <s v="Mar 12, 2018 @ 14:23"/>
    <s v="Mar 12, 2018 @ 14:23"/>
    <s v="nboyd@hanson-inc.com"/>
  </r>
  <r>
    <n v="83"/>
    <s v="M"/>
    <s v="Monitor"/>
    <x v="2"/>
    <n v="21"/>
    <n v="1"/>
    <n v="1"/>
    <n v="21"/>
    <n v="114.97499999999999"/>
    <n v="12.257868782138575"/>
    <n v="1.8907563025210084E-3"/>
    <n v="392.31098426888508"/>
    <n v="6.4515282979309817E-3"/>
    <s v="VTU3-20"/>
    <n v="0"/>
    <x v="3"/>
    <s v="Mar 12, 2018 @ 14:24"/>
    <s v="Mar 12, 2018 @ 14:24"/>
    <s v="nboyd@hanson-inc.com"/>
  </r>
  <r>
    <n v="91"/>
    <s v="M"/>
    <s v="Monitor"/>
    <x v="2"/>
    <n v="21"/>
    <n v="1"/>
    <n v="1"/>
    <n v="21"/>
    <n v="114.97499999999999"/>
    <n v="12.257868782138575"/>
    <n v="1.8907563025210084E-3"/>
    <n v="392.31098426888508"/>
    <n v="6.4515282979309817E-3"/>
    <s v="VTU3-20"/>
    <n v="0"/>
    <x v="3"/>
    <s v="Mar 12, 2018 @ 14:33"/>
    <s v="Mar 12, 2018 @ 14:27"/>
    <s v="mcoalson@hanson-inc.com"/>
  </r>
  <r>
    <n v="94"/>
    <s v="M"/>
    <s v="Monitor"/>
    <x v="2"/>
    <n v="21"/>
    <n v="1"/>
    <n v="1"/>
    <n v="21"/>
    <n v="114.97499999999999"/>
    <n v="12.257868782138575"/>
    <n v="1.8907563025210084E-3"/>
    <n v="392.31098426888508"/>
    <n v="6.4515282979309817E-3"/>
    <s v="VTU3-20"/>
    <n v="0"/>
    <x v="3"/>
    <s v="Mar 12, 2018 @ 14:35"/>
    <s v="Mar 12, 2018 @ 14:28"/>
    <s v="mcoalson@hanson-inc.com"/>
  </r>
  <r>
    <n v="95"/>
    <s v="M"/>
    <s v="Monitor"/>
    <x v="2"/>
    <n v="21"/>
    <n v="1"/>
    <n v="1"/>
    <n v="21"/>
    <n v="114.97499999999999"/>
    <n v="12.257868782138575"/>
    <n v="1.8907563025210084E-3"/>
    <n v="392.31098426888508"/>
    <n v="6.4515282979309817E-3"/>
    <s v="VTU3-20"/>
    <n v="0"/>
    <x v="3"/>
    <s v="Mar 12, 2018 @ 14:35"/>
    <s v="Mar 12, 2018 @ 14:28"/>
    <s v="mcoalson@hanson-inc.com"/>
  </r>
  <r>
    <n v="102"/>
    <s v="M"/>
    <s v="Monitor"/>
    <x v="2"/>
    <n v="21"/>
    <n v="1"/>
    <n v="1"/>
    <n v="21"/>
    <n v="114.97499999999999"/>
    <n v="12.257868782138575"/>
    <n v="1.8907563025210084E-3"/>
    <n v="392.31098426888508"/>
    <n v="6.4515282979309817E-3"/>
    <s v="VTU3-20"/>
    <n v="0"/>
    <x v="3"/>
    <s v="Mar 12, 2018 @ 14:29"/>
    <s v="Mar 12, 2018 @ 14:29"/>
    <s v="nboyd@hanson-inc.com"/>
  </r>
  <r>
    <n v="108"/>
    <s v="M"/>
    <s v="Monitor"/>
    <x v="2"/>
    <n v="21"/>
    <n v="1"/>
    <n v="1"/>
    <n v="21"/>
    <n v="114.97499999999999"/>
    <n v="12.257868782138575"/>
    <n v="1.8907563025210084E-3"/>
    <n v="392.31098426888508"/>
    <n v="6.4515282979309817E-3"/>
    <s v="VTU3-20"/>
    <n v="0"/>
    <x v="3"/>
    <s v="Mar 12, 2018 @ 14:30"/>
    <s v="Mar 12, 2018 @ 14:30"/>
    <s v="nboyd@hanson-inc.com"/>
  </r>
  <r>
    <n v="121"/>
    <s v="M"/>
    <s v="Monitor"/>
    <x v="2"/>
    <n v="21"/>
    <n v="1"/>
    <n v="1"/>
    <n v="21"/>
    <n v="114.97499999999999"/>
    <n v="12.257868782138575"/>
    <n v="1.8907563025210084E-3"/>
    <n v="392.31098426888508"/>
    <n v="6.4515282979309817E-3"/>
    <s v="VTU3-20"/>
    <n v="0"/>
    <x v="3"/>
    <s v="Mar 12, 2018 @ 14:32"/>
    <s v="Mar 12, 2018 @ 14:32"/>
    <s v="nboyd@hanson-inc.com"/>
  </r>
  <r>
    <n v="122"/>
    <s v="M"/>
    <s v="Monitor"/>
    <x v="2"/>
    <n v="21"/>
    <n v="1"/>
    <n v="1"/>
    <n v="21"/>
    <n v="114.97499999999999"/>
    <n v="12.257868782138575"/>
    <n v="1.8907563025210084E-3"/>
    <n v="392.31098426888508"/>
    <n v="6.4515282979309817E-3"/>
    <s v="VTU3-20"/>
    <n v="0"/>
    <x v="3"/>
    <s v="Mar 12, 2018 @ 14:38"/>
    <s v="Mar 12, 2018 @ 14:32"/>
    <s v="mcoalson@hanson-inc.com"/>
  </r>
  <r>
    <n v="129"/>
    <s v="M"/>
    <s v="Monitor"/>
    <x v="2"/>
    <n v="21"/>
    <n v="1"/>
    <n v="1"/>
    <n v="21"/>
    <n v="114.97499999999999"/>
    <n v="12.257868782138575"/>
    <n v="1.8907563025210084E-3"/>
    <n v="392.31098426888508"/>
    <n v="6.4515282979309817E-3"/>
    <s v="VTU3-20"/>
    <n v="0"/>
    <x v="3"/>
    <s v="Mar 12, 2018 @ 14:33"/>
    <s v="Mar 12, 2018 @ 14:33"/>
    <s v="nboyd@hanson-inc.com"/>
  </r>
  <r>
    <n v="139"/>
    <s v="M"/>
    <s v="Monitor"/>
    <x v="2"/>
    <n v="21"/>
    <n v="1"/>
    <n v="1"/>
    <n v="21"/>
    <n v="114.97499999999999"/>
    <n v="12.257868782138575"/>
    <n v="1.8907563025210084E-3"/>
    <n v="392.31098426888508"/>
    <n v="6.4515282979309817E-3"/>
    <s v="VTU3-20"/>
    <n v="0"/>
    <x v="3"/>
    <s v="Mar 12, 2018 @ 14:42"/>
    <s v="Mar 12, 2018 @ 14:35"/>
    <s v="mcoalson@hanson-inc.com"/>
  </r>
  <r>
    <n v="140"/>
    <s v="M"/>
    <s v="Monitor"/>
    <x v="2"/>
    <n v="21"/>
    <n v="1"/>
    <n v="1"/>
    <n v="21"/>
    <n v="114.97499999999999"/>
    <n v="12.257868782138575"/>
    <n v="1.8907563025210084E-3"/>
    <n v="392.31098426888508"/>
    <n v="6.4515282979309817E-3"/>
    <s v="VTU3-20"/>
    <n v="0"/>
    <x v="3"/>
    <s v="Mar 12, 2018 @ 14:35"/>
    <s v="Mar 12, 2018 @ 14:35"/>
    <s v="nboyd@hanson-inc.com"/>
  </r>
  <r>
    <n v="149"/>
    <s v="M"/>
    <s v="Monitor"/>
    <x v="76"/>
    <n v="21"/>
    <n v="1"/>
    <n v="1"/>
    <n v="21"/>
    <n v="114.97499999999999"/>
    <n v="12.257868782138575"/>
    <n v="1.8907563025210084E-3"/>
    <n v="392.31098426888508"/>
    <n v="6.4515282979309817E-3"/>
    <s v="VTU3-20"/>
    <n v="0"/>
    <x v="3"/>
    <s v="Mar 12, 2018 @ 14:37"/>
    <s v="Mar 12, 2018 @ 14:37"/>
    <s v="nboyd@hanson-inc.com"/>
  </r>
  <r>
    <n v="159"/>
    <s v="M"/>
    <s v="Monitor"/>
    <x v="2"/>
    <n v="21"/>
    <n v="1"/>
    <n v="1"/>
    <n v="21"/>
    <n v="114.97499999999999"/>
    <n v="12.257868782138575"/>
    <n v="1.8907563025210084E-3"/>
    <n v="392.31098426888508"/>
    <n v="6.4515282979309817E-3"/>
    <s v="VTU3-20"/>
    <n v="0"/>
    <x v="3"/>
    <s v="Mar 12, 2018 @ 14:45"/>
    <s v="Mar 12, 2018 @ 14:38"/>
    <s v="mcoalson@hanson-inc.com"/>
  </r>
  <r>
    <n v="165"/>
    <s v="M"/>
    <s v="Monitor"/>
    <x v="2"/>
    <n v="21"/>
    <n v="1"/>
    <n v="1"/>
    <n v="21"/>
    <n v="114.97499999999999"/>
    <n v="12.257868782138575"/>
    <n v="1.8907563025210084E-3"/>
    <n v="392.31098426888508"/>
    <n v="6.4515282979309817E-3"/>
    <s v="VTU3-20"/>
    <n v="0"/>
    <x v="3"/>
    <s v="Mar 12, 2018 @ 14:46"/>
    <s v="Mar 12, 2018 @ 14:39"/>
    <s v="mcoalson@hanson-inc.com"/>
  </r>
  <r>
    <n v="169"/>
    <s v="M"/>
    <s v="Monitor"/>
    <x v="2"/>
    <n v="21"/>
    <n v="1"/>
    <n v="1"/>
    <n v="21"/>
    <n v="114.97499999999999"/>
    <n v="12.257868782138575"/>
    <n v="1.8907563025210084E-3"/>
    <n v="392.31098426888508"/>
    <n v="6.4515282979309817E-3"/>
    <s v="VTU3-20"/>
    <n v="0"/>
    <x v="3"/>
    <s v="Mar 12, 2018 @ 14:40"/>
    <s v="Mar 12, 2018 @ 14:40"/>
    <s v="nboyd@hanson-inc.com"/>
  </r>
  <r>
    <n v="178"/>
    <s v="M"/>
    <s v="Monitor"/>
    <x v="2"/>
    <n v="21"/>
    <n v="1"/>
    <n v="1"/>
    <n v="21"/>
    <n v="114.97499999999999"/>
    <n v="12.257868782138575"/>
    <n v="1.8907563025210084E-3"/>
    <n v="392.31098426888508"/>
    <n v="6.4515282979309817E-3"/>
    <s v="VTU3-20"/>
    <n v="0"/>
    <x v="3"/>
    <s v="Mar 12, 2018 @ 14:50"/>
    <s v="Mar 12, 2018 @ 14:43"/>
    <s v="mcoalson@hanson-inc.com"/>
  </r>
  <r>
    <n v="182"/>
    <s v="M"/>
    <s v="Monitor"/>
    <x v="2"/>
    <n v="21"/>
    <n v="1"/>
    <n v="1"/>
    <n v="21"/>
    <n v="114.97499999999999"/>
    <n v="12.257868782138575"/>
    <n v="1.8907563025210084E-3"/>
    <n v="392.31098426888508"/>
    <n v="6.4515282979309817E-3"/>
    <s v="VTU3-20"/>
    <n v="0"/>
    <x v="3"/>
    <s v="Mar 12, 2018 @ 14:44"/>
    <s v="Mar 12, 2018 @ 14:44"/>
    <s v="nboyd@hanson-inc.com"/>
  </r>
  <r>
    <n v="183"/>
    <s v="M"/>
    <s v="Monitor"/>
    <x v="2"/>
    <n v="21"/>
    <n v="1"/>
    <n v="1"/>
    <n v="21"/>
    <n v="114.97499999999999"/>
    <n v="12.257868782138575"/>
    <n v="1.8907563025210084E-3"/>
    <n v="392.31098426888508"/>
    <n v="6.4515282979309817E-3"/>
    <s v="VTU3-20"/>
    <n v="0"/>
    <x v="3"/>
    <s v="Mar 12, 2018 @ 14:51"/>
    <s v="Mar 12, 2018 @ 14:45"/>
    <s v="mcoalson@hanson-inc.com"/>
  </r>
  <r>
    <n v="184"/>
    <s v="M"/>
    <s v="Monitor"/>
    <x v="2"/>
    <n v="21"/>
    <n v="1"/>
    <n v="1"/>
    <n v="21"/>
    <n v="114.97499999999999"/>
    <n v="12.257868782138575"/>
    <n v="1.8907563025210084E-3"/>
    <n v="392.31098426888508"/>
    <n v="6.4515282979309817E-3"/>
    <s v="VTU3-20"/>
    <n v="0"/>
    <x v="3"/>
    <s v="Mar 12, 2018 @ 14:51"/>
    <s v="Mar 12, 2018 @ 14:45"/>
    <s v="mcoalson@hanson-inc.com"/>
  </r>
  <r>
    <n v="195"/>
    <s v="M"/>
    <s v="Monitor"/>
    <x v="2"/>
    <n v="21"/>
    <n v="1"/>
    <n v="1"/>
    <n v="21"/>
    <n v="114.97499999999999"/>
    <n v="12.257868782138575"/>
    <n v="1.8907563025210084E-3"/>
    <n v="392.31098426888508"/>
    <n v="6.4515282979309817E-3"/>
    <s v="VTU3-20"/>
    <n v="0"/>
    <x v="3"/>
    <s v="Mar 12, 2018 @ 14:53"/>
    <s v="Mar 12, 2018 @ 14:47"/>
    <s v="mcoalson@hanson-inc.com"/>
  </r>
  <r>
    <n v="197"/>
    <s v="M"/>
    <s v="Monitor"/>
    <x v="2"/>
    <n v="21"/>
    <n v="1"/>
    <n v="1"/>
    <n v="21"/>
    <n v="114.97499999999999"/>
    <n v="12.257868782138575"/>
    <n v="1.8907563025210084E-3"/>
    <n v="392.31098426888508"/>
    <n v="6.4515282979309817E-3"/>
    <s v="VTU3-20"/>
    <n v="0"/>
    <x v="3"/>
    <s v="Mar 12, 2018 @ 14:47"/>
    <s v="Mar 12, 2018 @ 14:47"/>
    <s v="nboyd@hanson-inc.com"/>
  </r>
  <r>
    <n v="211"/>
    <s v="M"/>
    <s v="Monitor"/>
    <x v="2"/>
    <n v="21"/>
    <n v="1"/>
    <n v="1"/>
    <n v="21"/>
    <n v="114.97499999999999"/>
    <n v="12.257868782138575"/>
    <n v="1.8907563025210084E-3"/>
    <n v="392.31098426888508"/>
    <n v="6.4515282979309817E-3"/>
    <s v="VTU3-20"/>
    <n v="0"/>
    <x v="3"/>
    <s v="Mar 12, 2018 @ 14:49"/>
    <s v="Mar 12, 2018 @ 14:49"/>
    <s v="nboyd@hanson-inc.com"/>
  </r>
  <r>
    <n v="220"/>
    <s v="M"/>
    <s v="Monitor"/>
    <x v="2"/>
    <n v="21"/>
    <n v="1"/>
    <n v="1"/>
    <n v="21"/>
    <n v="114.97499999999999"/>
    <n v="12.257868782138575"/>
    <n v="1.8907563025210084E-3"/>
    <n v="392.31098426888508"/>
    <n v="6.4515282979309817E-3"/>
    <s v="VTU3-20"/>
    <n v="0"/>
    <x v="3"/>
    <s v="Mar 12, 2018 @ 14:57"/>
    <s v="Mar 12, 2018 @ 14:51"/>
    <s v="mcoalson@hanson-inc.com"/>
  </r>
  <r>
    <n v="221"/>
    <s v="M"/>
    <s v="Monitor"/>
    <x v="2"/>
    <n v="21"/>
    <n v="1"/>
    <n v="1"/>
    <n v="21"/>
    <n v="114.97499999999999"/>
    <n v="12.257868782138575"/>
    <n v="1.8907563025210084E-3"/>
    <n v="392.31098426888508"/>
    <n v="6.4515282979309817E-3"/>
    <s v="VTU3-20"/>
    <n v="0"/>
    <x v="3"/>
    <s v="Mar 12, 2018 @ 14:51"/>
    <s v="Mar 12, 2018 @ 14:51"/>
    <s v="nboyd@hanson-inc.com"/>
  </r>
  <r>
    <n v="222"/>
    <s v="M"/>
    <s v="Monitor"/>
    <x v="75"/>
    <n v="21"/>
    <n v="1"/>
    <n v="1"/>
    <n v="21"/>
    <n v="114.97499999999999"/>
    <n v="12.257868782138575"/>
    <n v="1.8907563025210084E-3"/>
    <n v="392.31098426888508"/>
    <n v="6.4515282979309817E-3"/>
    <s v="VTU3-20"/>
    <n v="0"/>
    <x v="3"/>
    <s v="Mar 12, 2018 @ 14:51"/>
    <s v="Mar 12, 2018 @ 14:51"/>
    <s v="nboyd@hanson-inc.com"/>
  </r>
  <r>
    <n v="234"/>
    <s v="M"/>
    <s v="Monitor"/>
    <x v="2"/>
    <n v="21"/>
    <n v="1"/>
    <n v="1"/>
    <n v="21"/>
    <n v="114.97499999999999"/>
    <n v="12.257868782138575"/>
    <n v="1.8907563025210084E-3"/>
    <n v="392.31098426888508"/>
    <n v="6.4515282979309817E-3"/>
    <s v="VTU3-20"/>
    <n v="0"/>
    <x v="3"/>
    <s v="Mar 12, 2018 @ 15:00"/>
    <s v="Mar 12, 2018 @ 14:53"/>
    <s v="mcoalson@hanson-inc.com"/>
  </r>
  <r>
    <n v="235"/>
    <s v="M"/>
    <s v="Monitor"/>
    <x v="2"/>
    <n v="21"/>
    <n v="1"/>
    <n v="1"/>
    <n v="21"/>
    <n v="114.97499999999999"/>
    <n v="12.257868782138575"/>
    <n v="1.8907563025210084E-3"/>
    <n v="392.31098426888508"/>
    <n v="6.4515282979309817E-3"/>
    <s v="VTU3-20"/>
    <n v="0"/>
    <x v="3"/>
    <s v="Mar 12, 2018 @ 15:00"/>
    <s v="Mar 12, 2018 @ 14:54"/>
    <s v="mcoalson@hanson-inc.com"/>
  </r>
  <r>
    <n v="248"/>
    <s v="M"/>
    <s v="Monitor"/>
    <x v="2"/>
    <n v="21"/>
    <n v="1"/>
    <n v="1"/>
    <n v="21"/>
    <n v="114.97499999999999"/>
    <n v="12.257868782138575"/>
    <n v="1.8907563025210084E-3"/>
    <n v="392.31098426888508"/>
    <n v="6.4515282979309817E-3"/>
    <s v="VTU3-20"/>
    <n v="0"/>
    <x v="3"/>
    <s v="Mar 12, 2018 @ 15:06"/>
    <s v="Mar 12, 2018 @ 15:06"/>
    <s v="nboyd@hanson-inc.com"/>
  </r>
  <r>
    <n v="249"/>
    <s v="M"/>
    <s v="Monitor"/>
    <x v="2"/>
    <n v="21"/>
    <n v="1"/>
    <n v="1"/>
    <n v="21"/>
    <n v="114.97499999999999"/>
    <n v="12.257868782138575"/>
    <n v="1.8907563025210084E-3"/>
    <n v="392.31098426888508"/>
    <n v="6.4515282979309817E-3"/>
    <s v="VTU3-20"/>
    <n v="0"/>
    <x v="3"/>
    <s v="Mar 12, 2018 @ 15:06"/>
    <s v="Mar 12, 2018 @ 15:06"/>
    <s v="nboyd@hanson-inc.com"/>
  </r>
  <r>
    <n v="268"/>
    <s v="M"/>
    <s v="Monitor"/>
    <x v="2"/>
    <n v="21"/>
    <n v="1"/>
    <n v="1"/>
    <n v="21"/>
    <n v="114.97499999999999"/>
    <n v="12.257868782138575"/>
    <n v="1.8907563025210084E-3"/>
    <n v="392.31098426888508"/>
    <n v="6.4515282979309817E-3"/>
    <s v="VTU3-20"/>
    <n v="0"/>
    <x v="3"/>
    <s v="Mar 12, 2018 @ 15:20"/>
    <s v="Mar 12, 2018 @ 15:14"/>
    <s v="mcoalson@hanson-inc.com"/>
  </r>
  <r>
    <n v="269"/>
    <s v="M"/>
    <s v="Monitor"/>
    <x v="2"/>
    <n v="21"/>
    <n v="1"/>
    <n v="1"/>
    <n v="21"/>
    <n v="114.97499999999999"/>
    <n v="12.257868782138575"/>
    <n v="1.8907563025210084E-3"/>
    <n v="392.31098426888508"/>
    <n v="6.4515282979309817E-3"/>
    <s v="VTU3-20"/>
    <n v="0"/>
    <x v="3"/>
    <s v="Mar 12, 2018 @ 15:20"/>
    <s v="Mar 12, 2018 @ 15:14"/>
    <s v="mcoalson@hanson-inc.com"/>
  </r>
  <r>
    <n v="273"/>
    <s v="M"/>
    <s v="Monitor"/>
    <x v="2"/>
    <n v="21"/>
    <n v="1"/>
    <n v="1"/>
    <n v="21"/>
    <n v="114.97499999999999"/>
    <n v="12.257868782138575"/>
    <n v="1.8907563025210084E-3"/>
    <n v="392.31098426888508"/>
    <n v="6.4515282979309817E-3"/>
    <s v="VTU3-20"/>
    <n v="0"/>
    <x v="3"/>
    <s v="Mar 12, 2018 @ 15:14"/>
    <s v="Mar 12, 2018 @ 15:14"/>
    <s v="nboyd@hanson-inc.com"/>
  </r>
  <r>
    <n v="278"/>
    <s v="M"/>
    <s v="Monitor"/>
    <x v="2"/>
    <n v="21"/>
    <n v="1"/>
    <n v="1"/>
    <n v="21"/>
    <n v="114.97499999999999"/>
    <n v="12.257868782138575"/>
    <n v="1.8907563025210084E-3"/>
    <n v="392.31098426888508"/>
    <n v="6.4515282979309817E-3"/>
    <s v="VTU3-20"/>
    <n v="0"/>
    <x v="3"/>
    <s v="Mar 12, 2018 @ 15:23"/>
    <s v="Mar 12, 2018 @ 15:16"/>
    <s v="mcoalson@hanson-inc.com"/>
  </r>
  <r>
    <n v="282"/>
    <s v="M"/>
    <s v="Monitor"/>
    <x v="2"/>
    <n v="21"/>
    <n v="1"/>
    <n v="1"/>
    <n v="21"/>
    <n v="114.97499999999999"/>
    <n v="12.257868782138575"/>
    <n v="1.8907563025210084E-3"/>
    <n v="392.31098426888508"/>
    <n v="6.4515282979309817E-3"/>
    <s v="VTU3-20"/>
    <n v="0"/>
    <x v="3"/>
    <s v="Mar 12, 2018 @ 15:24"/>
    <s v="Mar 12, 2018 @ 15:18"/>
    <s v="mcoalson@hanson-inc.com"/>
  </r>
  <r>
    <n v="290"/>
    <s v="M"/>
    <s v="Monitor"/>
    <x v="2"/>
    <n v="21"/>
    <n v="1"/>
    <n v="1"/>
    <n v="21"/>
    <n v="114.97499999999999"/>
    <n v="12.257868782138575"/>
    <n v="1.8907563025210084E-3"/>
    <n v="392.31098426888508"/>
    <n v="6.4515282979309817E-3"/>
    <s v="VTU3-20"/>
    <n v="0"/>
    <x v="3"/>
    <s v="Mar 12, 2018 @ 15:26"/>
    <s v="Mar 12, 2018 @ 18:28"/>
    <s v="mcoalson@hanson-inc.com"/>
  </r>
  <r>
    <n v="291"/>
    <s v="M"/>
    <s v="Monitor"/>
    <x v="2"/>
    <n v="21"/>
    <n v="1"/>
    <n v="1"/>
    <n v="21"/>
    <n v="114.97499999999999"/>
    <n v="12.257868782138575"/>
    <n v="1.8907563025210084E-3"/>
    <n v="392.31098426888508"/>
    <n v="6.4515282979309817E-3"/>
    <s v="VTU3-20"/>
    <n v="0"/>
    <x v="3"/>
    <s v="Mar 12, 2018 @ 15:26"/>
    <s v="Mar 12, 2018 @ 18:28"/>
    <s v="mcoalson@hanson-inc.com"/>
  </r>
  <r>
    <n v="889"/>
    <s v="LC"/>
    <s v="Lighting controls"/>
    <x v="77"/>
    <m/>
    <m/>
    <m/>
    <n v="0"/>
    <n v="0"/>
    <n v="0"/>
    <n v="0"/>
    <n v="0"/>
    <n v="0"/>
    <s v="1st Floor"/>
    <n v="0"/>
    <x v="2"/>
    <s v="Mar 14, 2018 @ 15:10"/>
    <s v="Mar 14, 2018 @ 15:10"/>
    <s v="nboyd@hanson-inc.com"/>
  </r>
  <r>
    <n v="911"/>
    <s v="LC"/>
    <s v="Lighting controls"/>
    <x v="77"/>
    <m/>
    <m/>
    <m/>
    <n v="0"/>
    <n v="0"/>
    <n v="0"/>
    <n v="0"/>
    <n v="0"/>
    <n v="0"/>
    <s v="1st Floor"/>
    <n v="0"/>
    <x v="2"/>
    <s v="Mar 14, 2018 @ 15:18"/>
    <s v="Mar 14, 2018 @ 15:19"/>
    <s v="nboyd@hanson-inc.com"/>
  </r>
  <r>
    <n v="917"/>
    <s v="LC"/>
    <s v="Lighting controls"/>
    <x v="77"/>
    <m/>
    <m/>
    <m/>
    <n v="0"/>
    <n v="0"/>
    <n v="0"/>
    <n v="0"/>
    <n v="0"/>
    <n v="0"/>
    <s v="1st Floor"/>
    <n v="0"/>
    <x v="2"/>
    <s v="Mar 14, 2018 @ 15:22"/>
    <s v="Mar 14, 2018 @ 15:22"/>
    <s v="nboyd@hanson-inc.com"/>
  </r>
  <r>
    <n v="919"/>
    <s v="LC"/>
    <s v="Lighting controls"/>
    <x v="78"/>
    <m/>
    <m/>
    <m/>
    <n v="0"/>
    <n v="0"/>
    <n v="0"/>
    <n v="0"/>
    <n v="0"/>
    <n v="0"/>
    <s v="1st Floor"/>
    <n v="2"/>
    <x v="2"/>
    <s v="Mar 14, 2018 @ 15:23"/>
    <s v="Mar 14, 2018 @ 15:24"/>
    <s v="nboyd@hanson-inc.com"/>
  </r>
  <r>
    <n v="932"/>
    <s v="LC"/>
    <s v="Lighting controls"/>
    <x v="79"/>
    <m/>
    <m/>
    <m/>
    <n v="0"/>
    <n v="0"/>
    <n v="0"/>
    <n v="0"/>
    <n v="0"/>
    <n v="0"/>
    <s v="1st Floor"/>
    <n v="0"/>
    <x v="2"/>
    <s v="Mar 14, 2018 @ 15:45"/>
    <s v="Mar 14, 2018 @ 15:39"/>
    <s v="mcoalson@hanson-inc.com"/>
  </r>
  <r>
    <n v="942"/>
    <s v="LC"/>
    <s v="Lighting controls"/>
    <x v="77"/>
    <m/>
    <m/>
    <m/>
    <n v="0"/>
    <n v="0"/>
    <n v="0"/>
    <n v="0"/>
    <n v="0"/>
    <n v="0"/>
    <s v="1st Floor"/>
    <n v="0"/>
    <x v="2"/>
    <s v="Mar 14, 2018 @ 15:50"/>
    <s v="Mar 14, 2018 @ 15:50"/>
    <s v="nboyd@hanson-inc.com"/>
  </r>
  <r>
    <n v="957"/>
    <s v="LC"/>
    <s v="Lighting controls"/>
    <x v="77"/>
    <m/>
    <m/>
    <m/>
    <n v="0"/>
    <n v="0"/>
    <n v="0"/>
    <n v="0"/>
    <n v="0"/>
    <n v="0"/>
    <s v="1st Floor"/>
    <n v="0"/>
    <x v="2"/>
    <s v="Mar 14, 2018 @ 15:52"/>
    <s v="Mar 14, 2018 @ 15:52"/>
    <s v="nboyd@hanson-inc.com"/>
  </r>
  <r>
    <n v="975"/>
    <s v="LC"/>
    <s v="Lighting controls"/>
    <x v="77"/>
    <m/>
    <m/>
    <m/>
    <n v="0"/>
    <n v="0"/>
    <n v="0"/>
    <n v="0"/>
    <n v="0"/>
    <n v="0"/>
    <s v="1st Floor"/>
    <n v="0"/>
    <x v="2"/>
    <s v="Mar 14, 2018 @ 15:55"/>
    <s v="Mar 14, 2018 @ 15:55"/>
    <s v="nboyd@hanson-inc.com"/>
  </r>
  <r>
    <n v="989"/>
    <s v="LC"/>
    <s v="Lighting controls"/>
    <x v="77"/>
    <m/>
    <m/>
    <m/>
    <n v="0"/>
    <n v="0"/>
    <n v="0"/>
    <n v="0"/>
    <n v="0"/>
    <n v="0"/>
    <s v="1st Floor"/>
    <n v="0"/>
    <x v="2"/>
    <s v="Mar 14, 2018 @ 15:58"/>
    <s v="Mar 14, 2018 @ 15:58"/>
    <s v="nboyd@hanson-inc.com"/>
  </r>
  <r>
    <n v="1004"/>
    <s v="LC"/>
    <s v="Lighting controls"/>
    <x v="77"/>
    <m/>
    <m/>
    <m/>
    <n v="0"/>
    <n v="0"/>
    <n v="0"/>
    <n v="0"/>
    <n v="0"/>
    <n v="0"/>
    <s v="1st Floor"/>
    <n v="0"/>
    <x v="2"/>
    <s v="Mar 14, 2018 @ 16:01"/>
    <s v="Mar 14, 2018 @ 16:01"/>
    <s v="nboyd@hanson-inc.com"/>
  </r>
  <r>
    <n v="1049"/>
    <s v="LC"/>
    <s v="Lighting controls"/>
    <x v="80"/>
    <m/>
    <m/>
    <m/>
    <n v="0"/>
    <n v="0"/>
    <n v="0"/>
    <n v="0"/>
    <n v="0"/>
    <n v="0"/>
    <s v="1st Floor"/>
    <n v="0"/>
    <x v="2"/>
    <s v="Mar 14, 2018 @ 16:15"/>
    <s v="Mar 14, 2018 @ 16:15"/>
    <s v="mcoalson@hanson-inc.com"/>
  </r>
  <r>
    <n v="1070"/>
    <s v="LC"/>
    <s v="Lighting controls"/>
    <x v="77"/>
    <m/>
    <m/>
    <m/>
    <n v="0"/>
    <n v="0"/>
    <n v="0"/>
    <n v="0"/>
    <n v="0"/>
    <n v="0"/>
    <s v="1st Floor"/>
    <n v="0"/>
    <x v="2"/>
    <s v="Mar 14, 2018 @ 16:25"/>
    <s v="Mar 14, 2018 @ 16:25"/>
    <s v="nboyd@hanson-inc.com"/>
  </r>
  <r>
    <n v="634"/>
    <s v="LC"/>
    <s v="Lighting controls"/>
    <x v="81"/>
    <m/>
    <m/>
    <m/>
    <n v="0"/>
    <n v="0"/>
    <n v="0"/>
    <n v="0"/>
    <n v="0"/>
    <n v="0"/>
    <s v="2nd Floor"/>
    <n v="1"/>
    <x v="2"/>
    <s v="Mar 12, 2018 @ 19:41"/>
    <s v="Mar 12, 2018 @ 19:41"/>
    <s v="nboyd@hanson-inc.com"/>
  </r>
  <r>
    <n v="637"/>
    <s v="LC"/>
    <s v="Lighting controls"/>
    <x v="82"/>
    <m/>
    <m/>
    <m/>
    <n v="0"/>
    <n v="0"/>
    <n v="0"/>
    <n v="0"/>
    <n v="0"/>
    <n v="0"/>
    <s v="2nd Floor"/>
    <n v="0"/>
    <x v="2"/>
    <s v="Mar 12, 2018 @ 19:44"/>
    <s v="Mar 12, 2018 @ 19:44"/>
    <s v="nboyd@hanson-inc.com"/>
  </r>
  <r>
    <n v="638"/>
    <s v="LC"/>
    <s v="Lighting controls"/>
    <x v="83"/>
    <m/>
    <m/>
    <m/>
    <n v="0"/>
    <n v="0"/>
    <n v="0"/>
    <n v="0"/>
    <n v="0"/>
    <n v="0"/>
    <s v="2nd Floor"/>
    <n v="0"/>
    <x v="2"/>
    <s v="Mar 12, 2018 @ 19:44"/>
    <s v="Mar 12, 2018 @ 19:45"/>
    <s v="nboyd@hanson-inc.com"/>
  </r>
  <r>
    <n v="641"/>
    <s v="LC"/>
    <s v="Lighting controls"/>
    <x v="80"/>
    <m/>
    <m/>
    <m/>
    <n v="0"/>
    <n v="0"/>
    <n v="0"/>
    <n v="0"/>
    <n v="0"/>
    <n v="0"/>
    <s v="2nd Floor"/>
    <n v="0"/>
    <x v="2"/>
    <s v="Mar 12, 2018 @ 19:52"/>
    <s v="Mar 12, 2018 @ 19:46"/>
    <s v="mcoalson@hanson-inc.com"/>
  </r>
  <r>
    <n v="644"/>
    <s v="LC"/>
    <s v="Lighting controls"/>
    <x v="84"/>
    <m/>
    <m/>
    <m/>
    <n v="0"/>
    <n v="0"/>
    <n v="0"/>
    <n v="0"/>
    <n v="0"/>
    <n v="0"/>
    <s v="2nd Floor"/>
    <n v="0"/>
    <x v="2"/>
    <s v="Mar 12, 2018 @ 19:49"/>
    <s v="Mar 12, 2018 @ 19:49"/>
    <s v="nboyd@hanson-inc.com"/>
  </r>
  <r>
    <n v="649"/>
    <s v="LC"/>
    <s v="Lighting controls"/>
    <x v="85"/>
    <m/>
    <m/>
    <m/>
    <n v="0"/>
    <n v="0"/>
    <n v="0"/>
    <n v="0"/>
    <n v="0"/>
    <n v="0"/>
    <s v="2nd Floor"/>
    <n v="0"/>
    <x v="2"/>
    <s v="Mar 14, 2018 @ 13:09"/>
    <s v="Mar 14, 2018 @ 13:02"/>
    <s v="mcoalson@hanson-inc.com"/>
  </r>
  <r>
    <n v="654"/>
    <s v="LC"/>
    <s v="Lighting controls"/>
    <x v="86"/>
    <m/>
    <m/>
    <m/>
    <n v="0"/>
    <n v="0"/>
    <n v="0"/>
    <n v="0"/>
    <n v="0"/>
    <n v="0"/>
    <s v="2nd Floor"/>
    <n v="0"/>
    <x v="2"/>
    <s v="Mar 14, 2018 @ 13:18"/>
    <s v="Mar 14, 2018 @ 13:18"/>
    <s v="nboyd@hanson-inc.com"/>
  </r>
  <r>
    <n v="660"/>
    <s v="LC"/>
    <s v="Lighting controls"/>
    <x v="87"/>
    <m/>
    <m/>
    <m/>
    <n v="0"/>
    <n v="0"/>
    <n v="0"/>
    <n v="0"/>
    <n v="0"/>
    <n v="0"/>
    <s v="2nd Floor"/>
    <n v="0"/>
    <x v="2"/>
    <s v="Mar 14, 2018 @ 13:19"/>
    <s v="Mar 14, 2018 @ 13:20"/>
    <s v="nboyd@hanson-inc.com"/>
  </r>
  <r>
    <n v="688"/>
    <s v="LC"/>
    <s v="Lighting controls"/>
    <x v="77"/>
    <m/>
    <m/>
    <m/>
    <n v="0"/>
    <n v="0"/>
    <n v="0"/>
    <n v="0"/>
    <n v="0"/>
    <n v="0"/>
    <s v="2nd Floor"/>
    <n v="0"/>
    <x v="2"/>
    <s v="Mar 14, 2018 @ 13:26"/>
    <s v="Mar 14, 2018 @ 13:26"/>
    <s v="nboyd@hanson-inc.com"/>
  </r>
  <r>
    <n v="698"/>
    <s v="LC"/>
    <s v="Lighting controls"/>
    <x v="6"/>
    <m/>
    <m/>
    <m/>
    <n v="0"/>
    <n v="0"/>
    <n v="0"/>
    <n v="0"/>
    <n v="0"/>
    <n v="0"/>
    <s v="2nd Floor"/>
    <n v="0"/>
    <x v="2"/>
    <s v="Mar 14, 2018 @ 13:29"/>
    <s v="Mar 14, 2018 @ 13:29"/>
    <s v="nboyd@hanson-inc.com"/>
  </r>
  <r>
    <n v="704"/>
    <s v="LC"/>
    <s v="Lighting controls"/>
    <x v="77"/>
    <m/>
    <m/>
    <m/>
    <n v="0"/>
    <n v="0"/>
    <n v="0"/>
    <n v="0"/>
    <n v="0"/>
    <n v="0"/>
    <s v="2nd Floor"/>
    <n v="0"/>
    <x v="2"/>
    <s v="Mar 14, 2018 @ 13:30"/>
    <s v="Mar 14, 2018 @ 13:31"/>
    <s v="nboyd@hanson-inc.com"/>
  </r>
  <r>
    <n v="721"/>
    <s v="LC"/>
    <s v="Lighting controls"/>
    <x v="84"/>
    <m/>
    <m/>
    <m/>
    <n v="0"/>
    <n v="0"/>
    <n v="0"/>
    <n v="0"/>
    <n v="0"/>
    <n v="0"/>
    <s v="2nd Floor"/>
    <n v="0"/>
    <x v="2"/>
    <s v="Mar 14, 2018 @ 13:46"/>
    <s v="Mar 14, 2018 @ 13:46"/>
    <s v="nboyd@hanson-inc.com"/>
  </r>
  <r>
    <n v="724"/>
    <s v="LC"/>
    <s v="Lighting controls"/>
    <x v="77"/>
    <m/>
    <m/>
    <m/>
    <n v="0"/>
    <n v="0"/>
    <n v="0"/>
    <n v="0"/>
    <n v="0"/>
    <n v="0"/>
    <s v="2nd Floor"/>
    <n v="0"/>
    <x v="2"/>
    <s v="Mar 14, 2018 @ 13:47"/>
    <s v="Mar 14, 2018 @ 13:47"/>
    <s v="nboyd@hanson-inc.com"/>
  </r>
  <r>
    <n v="731"/>
    <s v="LC"/>
    <s v="Lighting controls"/>
    <x v="84"/>
    <m/>
    <m/>
    <m/>
    <n v="0"/>
    <n v="0"/>
    <n v="0"/>
    <n v="0"/>
    <n v="0"/>
    <n v="0"/>
    <s v="2nd Floor"/>
    <n v="0"/>
    <x v="2"/>
    <s v="Mar 14, 2018 @ 13:56"/>
    <s v="Mar 14, 2018 @ 13:50"/>
    <s v="mcoalson@hanson-inc.com"/>
  </r>
  <r>
    <n v="736"/>
    <s v="LC"/>
    <s v="Lighting controls"/>
    <x v="88"/>
    <m/>
    <m/>
    <m/>
    <n v="0"/>
    <n v="0"/>
    <n v="0"/>
    <n v="0"/>
    <n v="0"/>
    <n v="0"/>
    <s v="2nd Floor"/>
    <n v="1"/>
    <x v="2"/>
    <s v="Mar 14, 2018 @ 13:56"/>
    <s v="Mar 14, 2018 @ 13:58"/>
    <s v="nboyd@hanson-inc.com"/>
  </r>
  <r>
    <n v="751"/>
    <s v="LC"/>
    <s v="Lighting controls"/>
    <x v="89"/>
    <m/>
    <m/>
    <m/>
    <n v="0"/>
    <n v="0"/>
    <n v="0"/>
    <n v="0"/>
    <n v="0"/>
    <n v="0"/>
    <s v="2nd Floor"/>
    <n v="0"/>
    <x v="2"/>
    <s v="Mar 14, 2018 @ 14:16"/>
    <s v="Mar 14, 2018 @ 14:09"/>
    <s v="mcoalson@hanson-inc.com"/>
  </r>
  <r>
    <n v="754"/>
    <s v="LC"/>
    <s v="Lighting controls"/>
    <x v="77"/>
    <m/>
    <m/>
    <m/>
    <n v="0"/>
    <n v="0"/>
    <n v="0"/>
    <n v="0"/>
    <n v="0"/>
    <n v="0"/>
    <s v="2nd Floor"/>
    <n v="0"/>
    <x v="2"/>
    <s v="Mar 14, 2018 @ 14:13"/>
    <s v="Mar 14, 2018 @ 14:14"/>
    <s v="nboyd@hanson-inc.com"/>
  </r>
  <r>
    <n v="795"/>
    <s v="LC"/>
    <s v="Lighting controls"/>
    <x v="79"/>
    <m/>
    <m/>
    <m/>
    <n v="0"/>
    <n v="0"/>
    <n v="0"/>
    <n v="0"/>
    <n v="0"/>
    <n v="0"/>
    <s v="2nd Floor"/>
    <n v="0"/>
    <x v="2"/>
    <s v="Mar 14, 2018 @ 14:45"/>
    <s v="Mar 14, 2018 @ 14:40"/>
    <s v="mcoalson@hanson-inc.com"/>
  </r>
  <r>
    <n v="801"/>
    <s v="LC"/>
    <s v="Lighting controls"/>
    <x v="77"/>
    <m/>
    <m/>
    <m/>
    <n v="0"/>
    <n v="0"/>
    <n v="0"/>
    <n v="0"/>
    <n v="0"/>
    <n v="0"/>
    <s v="2nd Floor"/>
    <n v="0"/>
    <x v="2"/>
    <s v="Mar 14, 2018 @ 14:39"/>
    <s v="Mar 14, 2018 @ 14:40"/>
    <s v="nboyd@hanson-inc.com"/>
  </r>
  <r>
    <n v="838"/>
    <s v="LC"/>
    <s v="Lighting controls"/>
    <x v="77"/>
    <m/>
    <m/>
    <m/>
    <n v="0"/>
    <n v="0"/>
    <n v="0"/>
    <n v="0"/>
    <n v="0"/>
    <n v="0"/>
    <s v="2nd Floor"/>
    <n v="0"/>
    <x v="2"/>
    <s v="Mar 14, 2018 @ 14:53"/>
    <s v="Mar 14, 2018 @ 14:53"/>
    <s v="nboyd@hanson-inc.com"/>
  </r>
  <r>
    <n v="852"/>
    <s v="LC"/>
    <s v="Lighting controls"/>
    <x v="77"/>
    <m/>
    <m/>
    <m/>
    <n v="0"/>
    <n v="0"/>
    <n v="0"/>
    <n v="0"/>
    <n v="0"/>
    <n v="0"/>
    <s v="2nd Floor"/>
    <n v="0"/>
    <x v="2"/>
    <s v="Mar 14, 2018 @ 14:56"/>
    <s v="Mar 14, 2018 @ 14:56"/>
    <s v="nboyd@hanson-inc.com"/>
  </r>
  <r>
    <n v="871"/>
    <s v="LC"/>
    <s v="Lighting controls"/>
    <x v="77"/>
    <m/>
    <m/>
    <m/>
    <n v="0"/>
    <n v="0"/>
    <n v="0"/>
    <n v="0"/>
    <n v="0"/>
    <n v="0"/>
    <s v="2nd Floor"/>
    <n v="0"/>
    <x v="2"/>
    <s v="Mar 14, 2018 @ 14:58"/>
    <s v="Mar 14, 2018 @ 14:59"/>
    <s v="nboyd@hanson-inc.com"/>
  </r>
  <r>
    <n v="7"/>
    <s v="LC"/>
    <s v="Lighting controls"/>
    <x v="90"/>
    <m/>
    <m/>
    <m/>
    <n v="0"/>
    <n v="0"/>
    <n v="0"/>
    <n v="0"/>
    <n v="0"/>
    <n v="0"/>
    <s v="M401"/>
    <n v="0"/>
    <x v="2"/>
    <s v="Mar 12, 2018 @ 13:42"/>
    <s v="Mar 12, 2018 @ 13:43"/>
    <s v="nboyd@hanson-inc.com"/>
  </r>
  <r>
    <n v="27"/>
    <s v="LC"/>
    <s v="Lighting controls"/>
    <x v="77"/>
    <m/>
    <m/>
    <m/>
    <n v="0"/>
    <n v="0"/>
    <n v="0"/>
    <n v="0"/>
    <n v="0"/>
    <n v="0"/>
    <s v="VTU3-20"/>
    <n v="0"/>
    <x v="2"/>
    <s v="Mar 12, 2018 @ 14:07"/>
    <s v="Mar 12, 2018 @ 14:07"/>
    <s v="nboyd@hanson-inc.com"/>
  </r>
  <r>
    <n v="28"/>
    <s v="LC"/>
    <s v="Lighting controls"/>
    <x v="77"/>
    <m/>
    <m/>
    <m/>
    <n v="0"/>
    <n v="0"/>
    <n v="0"/>
    <n v="0"/>
    <n v="0"/>
    <n v="0"/>
    <s v="VTU3-20"/>
    <n v="0"/>
    <x v="2"/>
    <s v="Mar 12, 2018 @ 14:07"/>
    <s v="Mar 12, 2018 @ 14:07"/>
    <s v="nboyd@hanson-inc.com"/>
  </r>
  <r>
    <n v="30"/>
    <s v="LC"/>
    <s v="Lighting controls"/>
    <x v="89"/>
    <m/>
    <m/>
    <m/>
    <n v="0"/>
    <n v="0"/>
    <n v="0"/>
    <n v="0"/>
    <n v="0"/>
    <n v="0"/>
    <s v="VTU3-20"/>
    <n v="0"/>
    <x v="2"/>
    <s v="Mar 12, 2018 @ 14:14"/>
    <s v="Mar 12, 2018 @ 14:08"/>
    <s v="mcoalson@hanson-inc.com"/>
  </r>
  <r>
    <n v="36"/>
    <s v="LC"/>
    <s v="Lighting controls"/>
    <x v="77"/>
    <m/>
    <m/>
    <m/>
    <n v="0"/>
    <n v="0"/>
    <n v="0"/>
    <n v="0"/>
    <n v="0"/>
    <n v="0"/>
    <s v="VTU3-20"/>
    <n v="0"/>
    <x v="2"/>
    <s v="Mar 12, 2018 @ 14:09"/>
    <s v="Mar 12, 2018 @ 14:09"/>
    <s v="nboyd@hanson-inc.com"/>
  </r>
  <r>
    <n v="49"/>
    <s v="LC"/>
    <s v="Lighting controls"/>
    <x v="89"/>
    <m/>
    <m/>
    <m/>
    <n v="0"/>
    <n v="0"/>
    <n v="0"/>
    <n v="0"/>
    <n v="0"/>
    <n v="0"/>
    <s v="VTU3-20"/>
    <n v="0"/>
    <x v="2"/>
    <s v="Mar 12, 2018 @ 14:18"/>
    <s v="Mar 12, 2018 @ 14:12"/>
    <s v="mcoalson@hanson-inc.com"/>
  </r>
  <r>
    <n v="50"/>
    <s v="LC"/>
    <s v="Lighting controls"/>
    <x v="77"/>
    <m/>
    <m/>
    <m/>
    <n v="0"/>
    <n v="0"/>
    <n v="0"/>
    <n v="0"/>
    <n v="0"/>
    <n v="0"/>
    <s v="VTU3-20"/>
    <n v="0"/>
    <x v="2"/>
    <s v="Mar 12, 2018 @ 14:12"/>
    <s v="Mar 12, 2018 @ 14:12"/>
    <s v="nboyd@hanson-inc.com"/>
  </r>
  <r>
    <n v="52"/>
    <s v="LC"/>
    <s v="Lighting controls"/>
    <x v="89"/>
    <m/>
    <m/>
    <m/>
    <n v="0"/>
    <n v="0"/>
    <n v="0"/>
    <n v="0"/>
    <n v="0"/>
    <n v="0"/>
    <s v="VTU3-20"/>
    <n v="0"/>
    <x v="2"/>
    <s v="Mar 12, 2018 @ 14:19"/>
    <s v="Mar 12, 2018 @ 14:12"/>
    <s v="mcoalson@hanson-inc.com"/>
  </r>
  <r>
    <n v="59"/>
    <s v="LC"/>
    <s v="Lighting controls"/>
    <x v="77"/>
    <m/>
    <m/>
    <m/>
    <n v="0"/>
    <n v="0"/>
    <n v="0"/>
    <n v="0"/>
    <n v="0"/>
    <n v="0"/>
    <s v="VTU3-20"/>
    <n v="0"/>
    <x v="2"/>
    <s v="Mar 12, 2018 @ 14:18"/>
    <s v="Mar 12, 2018 @ 14:18"/>
    <s v="nboyd@hanson-inc.com"/>
  </r>
  <r>
    <n v="66"/>
    <s v="LC"/>
    <s v="Lighting controls"/>
    <x v="91"/>
    <m/>
    <m/>
    <m/>
    <n v="0"/>
    <n v="0"/>
    <n v="0"/>
    <n v="0"/>
    <n v="0"/>
    <n v="0"/>
    <s v="VTU3-20"/>
    <n v="0"/>
    <x v="2"/>
    <s v="Mar 12, 2018 @ 14:20"/>
    <s v="Mar 12, 2018 @ 14:21"/>
    <s v="nboyd@hanson-inc.com"/>
  </r>
  <r>
    <n v="73"/>
    <s v="LC"/>
    <s v="Lighting controls"/>
    <x v="77"/>
    <m/>
    <m/>
    <m/>
    <n v="0"/>
    <n v="0"/>
    <n v="0"/>
    <n v="0"/>
    <n v="0"/>
    <n v="0"/>
    <s v="VTU3-20"/>
    <n v="0"/>
    <x v="2"/>
    <s v="Mar 12, 2018 @ 14:22"/>
    <s v="Mar 12, 2018 @ 14:22"/>
    <s v="nboyd@hanson-inc.com"/>
  </r>
  <r>
    <n v="84"/>
    <s v="LC"/>
    <s v="Lighting controls"/>
    <x v="89"/>
    <m/>
    <m/>
    <m/>
    <n v="0"/>
    <n v="0"/>
    <n v="0"/>
    <n v="0"/>
    <n v="0"/>
    <n v="0"/>
    <s v="VTU3-20"/>
    <n v="0"/>
    <x v="2"/>
    <s v="Mar 12, 2018 @ 14:31"/>
    <s v="Mar 12, 2018 @ 14:25"/>
    <s v="mcoalson@hanson-inc.com"/>
  </r>
  <r>
    <n v="85"/>
    <s v="LC"/>
    <s v="Lighting controls"/>
    <x v="89"/>
    <m/>
    <m/>
    <m/>
    <n v="0"/>
    <n v="0"/>
    <n v="0"/>
    <n v="0"/>
    <n v="0"/>
    <n v="0"/>
    <s v="VTU3-20"/>
    <n v="0"/>
    <x v="2"/>
    <s v="Mar 12, 2018 @ 14:31"/>
    <s v="Mar 12, 2018 @ 14:25"/>
    <s v="mcoalson@hanson-inc.com"/>
  </r>
  <r>
    <n v="87"/>
    <s v="LC"/>
    <s v="Lighting controls"/>
    <x v="89"/>
    <m/>
    <m/>
    <m/>
    <n v="0"/>
    <n v="0"/>
    <n v="0"/>
    <n v="0"/>
    <n v="0"/>
    <n v="0"/>
    <s v="VTU3-20"/>
    <n v="0"/>
    <x v="2"/>
    <s v="Mar 12, 2018 @ 14:33"/>
    <s v="Mar 12, 2018 @ 14:26"/>
    <s v="mcoalson@hanson-inc.com"/>
  </r>
  <r>
    <n v="88"/>
    <s v="LC"/>
    <s v="Lighting controls"/>
    <x v="91"/>
    <m/>
    <m/>
    <m/>
    <n v="0"/>
    <n v="0"/>
    <n v="0"/>
    <n v="0"/>
    <n v="0"/>
    <n v="0"/>
    <s v="VTU3-20"/>
    <n v="0"/>
    <x v="2"/>
    <s v="Mar 12, 2018 @ 14:26"/>
    <s v="Mar 12, 2018 @ 14:27"/>
    <s v="nboyd@hanson-inc.com"/>
  </r>
  <r>
    <n v="93"/>
    <s v="LC"/>
    <s v="Lighting controls"/>
    <x v="77"/>
    <m/>
    <m/>
    <m/>
    <n v="0"/>
    <n v="0"/>
    <n v="0"/>
    <n v="0"/>
    <n v="0"/>
    <n v="0"/>
    <s v="VTU3-20"/>
    <n v="0"/>
    <x v="2"/>
    <s v="Mar 12, 2018 @ 14:28"/>
    <s v="Mar 12, 2018 @ 14:28"/>
    <s v="nboyd@hanson-inc.com"/>
  </r>
  <r>
    <n v="103"/>
    <s v="LC"/>
    <s v="Lighting controls"/>
    <x v="89"/>
    <m/>
    <m/>
    <m/>
    <n v="0"/>
    <n v="0"/>
    <n v="0"/>
    <n v="0"/>
    <n v="0"/>
    <n v="0"/>
    <s v="VTU3-20"/>
    <n v="0"/>
    <x v="2"/>
    <s v="Mar 12, 2018 @ 14:36"/>
    <s v="Mar 12, 2018 @ 14:29"/>
    <s v="mcoalson@hanson-inc.com"/>
  </r>
  <r>
    <n v="104"/>
    <s v="LC"/>
    <s v="Lighting controls"/>
    <x v="77"/>
    <m/>
    <m/>
    <m/>
    <n v="0"/>
    <n v="0"/>
    <n v="0"/>
    <n v="0"/>
    <n v="0"/>
    <n v="0"/>
    <s v="VTU3-20"/>
    <n v="0"/>
    <x v="2"/>
    <s v="Mar 12, 2018 @ 14:29"/>
    <s v="Mar 12, 2018 @ 14:30"/>
    <s v="nboyd@hanson-inc.com"/>
  </r>
  <r>
    <n v="111"/>
    <s v="LC"/>
    <s v="Lighting controls"/>
    <x v="89"/>
    <m/>
    <m/>
    <m/>
    <n v="0"/>
    <n v="0"/>
    <n v="0"/>
    <n v="0"/>
    <n v="0"/>
    <n v="0"/>
    <s v="VTU3-20"/>
    <n v="0"/>
    <x v="2"/>
    <s v="Mar 12, 2018 @ 14:37"/>
    <s v="Mar 12, 2018 @ 14:31"/>
    <s v="mcoalson@hanson-inc.com"/>
  </r>
  <r>
    <n v="112"/>
    <s v="LC"/>
    <s v="Lighting controls"/>
    <x v="77"/>
    <m/>
    <m/>
    <m/>
    <n v="0"/>
    <n v="0"/>
    <n v="0"/>
    <n v="0"/>
    <n v="0"/>
    <n v="0"/>
    <s v="VTU3-20"/>
    <n v="0"/>
    <x v="2"/>
    <s v="Mar 12, 2018 @ 14:31"/>
    <s v="Mar 12, 2018 @ 14:31"/>
    <s v="nboyd@hanson-inc.com"/>
  </r>
  <r>
    <n v="126"/>
    <s v="LC"/>
    <s v="Lighting controls"/>
    <x v="77"/>
    <m/>
    <m/>
    <m/>
    <n v="0"/>
    <n v="0"/>
    <n v="0"/>
    <n v="0"/>
    <n v="0"/>
    <n v="0"/>
    <s v="VTU3-20"/>
    <n v="0"/>
    <x v="2"/>
    <s v="Mar 12, 2018 @ 14:33"/>
    <s v="Mar 12, 2018 @ 14:33"/>
    <s v="nboyd@hanson-inc.com"/>
  </r>
  <r>
    <n v="131"/>
    <s v="LC"/>
    <s v="Lighting controls"/>
    <x v="89"/>
    <m/>
    <m/>
    <m/>
    <n v="0"/>
    <n v="0"/>
    <n v="0"/>
    <n v="0"/>
    <n v="0"/>
    <n v="0"/>
    <s v="VTU3-20"/>
    <n v="0"/>
    <x v="2"/>
    <s v="Mar 12, 2018 @ 14:40"/>
    <s v="Mar 12, 2018 @ 14:34"/>
    <s v="mcoalson@hanson-inc.com"/>
  </r>
  <r>
    <n v="133"/>
    <s v="LC"/>
    <s v="Lighting controls"/>
    <x v="89"/>
    <m/>
    <m/>
    <m/>
    <n v="0"/>
    <n v="0"/>
    <n v="0"/>
    <n v="0"/>
    <n v="0"/>
    <n v="0"/>
    <s v="VTU3-20"/>
    <n v="0"/>
    <x v="2"/>
    <s v="Mar 12, 2018 @ 14:41"/>
    <s v="Mar 12, 2018 @ 14:34"/>
    <s v="mcoalson@hanson-inc.com"/>
  </r>
  <r>
    <n v="134"/>
    <s v="LC"/>
    <s v="Lighting controls"/>
    <x v="77"/>
    <m/>
    <m/>
    <m/>
    <n v="0"/>
    <n v="0"/>
    <n v="0"/>
    <n v="0"/>
    <n v="0"/>
    <n v="0"/>
    <s v="VTU3-20"/>
    <n v="0"/>
    <x v="2"/>
    <s v="Mar 12, 2018 @ 14:34"/>
    <s v="Mar 12, 2018 @ 14:34"/>
    <s v="nboyd@hanson-inc.com"/>
  </r>
  <r>
    <n v="143"/>
    <s v="LC"/>
    <s v="Lighting controls"/>
    <x v="89"/>
    <m/>
    <m/>
    <m/>
    <n v="0"/>
    <n v="0"/>
    <n v="0"/>
    <n v="0"/>
    <n v="0"/>
    <n v="0"/>
    <s v="VTU3-20"/>
    <n v="0"/>
    <x v="2"/>
    <s v="Mar 12, 2018 @ 14:42"/>
    <s v="Mar 12, 2018 @ 14:36"/>
    <s v="mcoalson@hanson-inc.com"/>
  </r>
  <r>
    <n v="145"/>
    <s v="LC"/>
    <s v="Lighting controls"/>
    <x v="77"/>
    <m/>
    <m/>
    <m/>
    <n v="0"/>
    <n v="0"/>
    <n v="0"/>
    <n v="0"/>
    <n v="0"/>
    <n v="0"/>
    <s v="VTU3-20"/>
    <n v="0"/>
    <x v="2"/>
    <s v="Mar 12, 2018 @ 14:36"/>
    <s v="Mar 12, 2018 @ 14:36"/>
    <s v="nboyd@hanson-inc.com"/>
  </r>
  <r>
    <n v="154"/>
    <s v="LC"/>
    <s v="Lighting controls"/>
    <x v="89"/>
    <m/>
    <m/>
    <m/>
    <n v="0"/>
    <n v="0"/>
    <n v="0"/>
    <n v="0"/>
    <n v="0"/>
    <n v="0"/>
    <s v="VTU3-20"/>
    <n v="0"/>
    <x v="2"/>
    <s v="Mar 12, 2018 @ 14:44"/>
    <s v="Mar 12, 2018 @ 14:38"/>
    <s v="mcoalson@hanson-inc.com"/>
  </r>
  <r>
    <n v="156"/>
    <s v="LC"/>
    <s v="Lighting controls"/>
    <x v="77"/>
    <m/>
    <m/>
    <m/>
    <n v="0"/>
    <n v="0"/>
    <n v="0"/>
    <n v="0"/>
    <n v="0"/>
    <n v="0"/>
    <s v="VTU3-20"/>
    <n v="0"/>
    <x v="2"/>
    <s v="Mar 12, 2018 @ 14:38"/>
    <s v="Mar 12, 2018 @ 14:38"/>
    <s v="nboyd@hanson-inc.com"/>
  </r>
  <r>
    <n v="163"/>
    <s v="LC"/>
    <s v="Lighting controls"/>
    <x v="89"/>
    <m/>
    <m/>
    <m/>
    <n v="0"/>
    <n v="0"/>
    <n v="0"/>
    <n v="0"/>
    <n v="0"/>
    <n v="0"/>
    <s v="VTU3-20"/>
    <n v="0"/>
    <x v="2"/>
    <s v="Mar 12, 2018 @ 14:46"/>
    <s v="Mar 12, 2018 @ 14:39"/>
    <s v="mcoalson@hanson-inc.com"/>
  </r>
  <r>
    <n v="172"/>
    <s v="LC"/>
    <s v="Lighting controls"/>
    <x v="77"/>
    <m/>
    <m/>
    <m/>
    <n v="0"/>
    <n v="0"/>
    <n v="0"/>
    <n v="0"/>
    <n v="0"/>
    <n v="0"/>
    <s v="VTU3-20"/>
    <n v="0"/>
    <x v="2"/>
    <s v="Mar 12, 2018 @ 14:42"/>
    <s v="Mar 12, 2018 @ 14:42"/>
    <s v="nboyd@hanson-inc.com"/>
  </r>
  <r>
    <n v="176"/>
    <s v="LC"/>
    <s v="Lighting controls"/>
    <x v="89"/>
    <m/>
    <m/>
    <m/>
    <n v="0"/>
    <n v="0"/>
    <n v="0"/>
    <n v="0"/>
    <n v="0"/>
    <n v="0"/>
    <s v="VTU3-20"/>
    <n v="0"/>
    <x v="2"/>
    <s v="Mar 12, 2018 @ 14:50"/>
    <s v="Mar 12, 2018 @ 14:43"/>
    <s v="mcoalson@hanson-inc.com"/>
  </r>
  <r>
    <n v="189"/>
    <s v="LC"/>
    <s v="Lighting controls"/>
    <x v="77"/>
    <m/>
    <m/>
    <m/>
    <n v="0"/>
    <n v="0"/>
    <n v="0"/>
    <n v="0"/>
    <n v="0"/>
    <n v="0"/>
    <s v="VTU3-20"/>
    <n v="0"/>
    <x v="2"/>
    <s v="Mar 12, 2018 @ 14:45"/>
    <s v="Mar 12, 2018 @ 14:45"/>
    <s v="nboyd@hanson-inc.com"/>
  </r>
  <r>
    <n v="190"/>
    <s v="LC"/>
    <s v="Lighting controls"/>
    <x v="89"/>
    <m/>
    <m/>
    <m/>
    <n v="0"/>
    <n v="0"/>
    <n v="0"/>
    <n v="0"/>
    <n v="0"/>
    <n v="0"/>
    <s v="VTU3-20"/>
    <n v="0"/>
    <x v="2"/>
    <s v="Mar 12, 2018 @ 14:52"/>
    <s v="Mar 12, 2018 @ 14:45"/>
    <s v="mcoalson@hanson-inc.com"/>
  </r>
  <r>
    <n v="191"/>
    <s v="LC"/>
    <s v="Lighting controls"/>
    <x v="89"/>
    <m/>
    <m/>
    <m/>
    <n v="0"/>
    <n v="0"/>
    <n v="0"/>
    <n v="0"/>
    <n v="0"/>
    <n v="0"/>
    <s v="VTU3-20"/>
    <n v="0"/>
    <x v="2"/>
    <s v="Mar 12, 2018 @ 14:52"/>
    <s v="Mar 12, 2018 @ 14:46"/>
    <s v="mcoalson@hanson-inc.com"/>
  </r>
  <r>
    <n v="201"/>
    <s v="LC"/>
    <s v="Lighting controls"/>
    <x v="89"/>
    <m/>
    <m/>
    <m/>
    <n v="0"/>
    <n v="0"/>
    <n v="0"/>
    <n v="0"/>
    <n v="0"/>
    <n v="0"/>
    <s v="VTU3-20"/>
    <n v="0"/>
    <x v="2"/>
    <s v="Mar 12, 2018 @ 14:54"/>
    <s v="Mar 12, 2018 @ 14:48"/>
    <s v="mcoalson@hanson-inc.com"/>
  </r>
  <r>
    <n v="202"/>
    <s v="LC"/>
    <s v="Lighting controls"/>
    <x v="77"/>
    <m/>
    <m/>
    <m/>
    <n v="0"/>
    <n v="0"/>
    <n v="0"/>
    <n v="0"/>
    <n v="0"/>
    <n v="0"/>
    <s v="VTU3-20"/>
    <n v="0"/>
    <x v="2"/>
    <s v="Mar 12, 2018 @ 14:48"/>
    <s v="Mar 12, 2018 @ 14:48"/>
    <s v="nboyd@hanson-inc.com"/>
  </r>
  <r>
    <n v="212"/>
    <s v="LC"/>
    <s v="Lighting controls"/>
    <x v="89"/>
    <m/>
    <m/>
    <m/>
    <n v="0"/>
    <n v="0"/>
    <n v="0"/>
    <n v="0"/>
    <n v="0"/>
    <n v="0"/>
    <s v="VTU3-20"/>
    <n v="0"/>
    <x v="2"/>
    <s v="Mar 12, 2018 @ 14:56"/>
    <s v="Mar 12, 2018 @ 14:49"/>
    <s v="mcoalson@hanson-inc.com"/>
  </r>
  <r>
    <n v="215"/>
    <s v="LC"/>
    <s v="Lighting controls"/>
    <x v="77"/>
    <m/>
    <m/>
    <m/>
    <n v="0"/>
    <n v="0"/>
    <n v="0"/>
    <n v="0"/>
    <n v="0"/>
    <n v="0"/>
    <s v="VTU3-20"/>
    <n v="0"/>
    <x v="2"/>
    <s v="Mar 12, 2018 @ 14:50"/>
    <s v="Mar 12, 2018 @ 14:50"/>
    <s v="nboyd@hanson-inc.com"/>
  </r>
  <r>
    <n v="241"/>
    <s v="LC"/>
    <s v="Lighting controls"/>
    <x v="77"/>
    <m/>
    <m/>
    <m/>
    <n v="0"/>
    <n v="0"/>
    <n v="0"/>
    <n v="0"/>
    <n v="0"/>
    <n v="0"/>
    <s v="VTU3-20"/>
    <n v="0"/>
    <x v="2"/>
    <s v="Mar 12, 2018 @ 14:59"/>
    <s v="Mar 12, 2018 @ 14:59"/>
    <s v="nboyd@hanson-inc.com"/>
  </r>
  <r>
    <n v="244"/>
    <s v="LC"/>
    <s v="Lighting controls"/>
    <x v="77"/>
    <m/>
    <m/>
    <m/>
    <n v="0"/>
    <n v="0"/>
    <n v="0"/>
    <n v="0"/>
    <n v="0"/>
    <n v="0"/>
    <s v="VTU3-20"/>
    <n v="0"/>
    <x v="2"/>
    <s v="Mar 12, 2018 @ 15:03"/>
    <s v="Mar 12, 2018 @ 15:03"/>
    <s v="nboyd@hanson-inc.com"/>
  </r>
  <r>
    <n v="256"/>
    <s v="LC"/>
    <s v="Lighting controls"/>
    <x v="80"/>
    <m/>
    <m/>
    <m/>
    <n v="0"/>
    <n v="0"/>
    <n v="0"/>
    <n v="0"/>
    <n v="0"/>
    <n v="0"/>
    <s v="VTU3-20"/>
    <n v="0"/>
    <x v="2"/>
    <s v="Mar 12, 2018 @ 15:14"/>
    <s v="Mar 12, 2018 @ 15:07"/>
    <s v="mcoalson@hanson-inc.com"/>
  </r>
  <r>
    <n v="257"/>
    <s v="LC"/>
    <s v="Lighting controls"/>
    <x v="80"/>
    <m/>
    <m/>
    <m/>
    <n v="0"/>
    <n v="0"/>
    <n v="0"/>
    <n v="0"/>
    <n v="0"/>
    <n v="0"/>
    <s v="VTU3-20"/>
    <n v="0"/>
    <x v="2"/>
    <s v="Mar 12, 2018 @ 15:14"/>
    <s v="Mar 12, 2018 @ 15:07"/>
    <s v="mcoalson@hanson-inc.com"/>
  </r>
  <r>
    <n v="258"/>
    <s v="LC"/>
    <s v="Lighting controls"/>
    <x v="77"/>
    <m/>
    <m/>
    <m/>
    <n v="0"/>
    <n v="0"/>
    <n v="0"/>
    <n v="0"/>
    <n v="0"/>
    <n v="0"/>
    <s v="VTU3-20"/>
    <n v="0"/>
    <x v="2"/>
    <s v="Mar 12, 2018 @ 15:07"/>
    <s v="Mar 12, 2018 @ 15:08"/>
    <s v="nboyd@hanson-inc.com"/>
  </r>
  <r>
    <n v="261"/>
    <s v="LC"/>
    <s v="Lighting controls"/>
    <x v="89"/>
    <m/>
    <m/>
    <m/>
    <n v="0"/>
    <n v="0"/>
    <n v="0"/>
    <n v="0"/>
    <n v="0"/>
    <n v="0"/>
    <s v="VTU3-20"/>
    <n v="0"/>
    <x v="2"/>
    <s v="Mar 12, 2018 @ 15:19"/>
    <s v="Mar 12, 2018 @ 15:12"/>
    <s v="mcoalson@hanson-inc.com"/>
  </r>
  <r>
    <n v="262"/>
    <s v="LC"/>
    <s v="Lighting controls"/>
    <x v="77"/>
    <m/>
    <m/>
    <m/>
    <n v="0"/>
    <n v="0"/>
    <n v="0"/>
    <n v="0"/>
    <n v="0"/>
    <n v="0"/>
    <s v="VTU3-20"/>
    <n v="0"/>
    <x v="2"/>
    <s v="Mar 12, 2018 @ 15:12"/>
    <s v="Mar 12, 2018 @ 15:13"/>
    <s v="nboyd@hanson-inc.com"/>
  </r>
  <r>
    <n v="280"/>
    <s v="LC"/>
    <s v="Lighting controls"/>
    <x v="89"/>
    <m/>
    <m/>
    <m/>
    <n v="0"/>
    <n v="0"/>
    <n v="0"/>
    <n v="0"/>
    <n v="0"/>
    <n v="0"/>
    <s v="VTU3-20"/>
    <n v="0"/>
    <x v="2"/>
    <s v="Mar 12, 2018 @ 15:24"/>
    <s v="Mar 12, 2018 @ 15:17"/>
    <s v="mcoalson@hanson-inc.com"/>
  </r>
  <r>
    <n v="281"/>
    <s v="LC"/>
    <s v="Lighting controls"/>
    <x v="89"/>
    <m/>
    <m/>
    <m/>
    <n v="0"/>
    <n v="0"/>
    <n v="0"/>
    <n v="0"/>
    <n v="0"/>
    <n v="0"/>
    <s v="VTU3-20"/>
    <n v="0"/>
    <x v="2"/>
    <s v="Mar 12, 2018 @ 15:24"/>
    <s v="Mar 12, 2018 @ 15:18"/>
    <s v="mcoalson@hanson-inc.com"/>
  </r>
  <r>
    <n v="301"/>
    <s v="LC"/>
    <s v="Lighting controls"/>
    <x v="89"/>
    <m/>
    <m/>
    <m/>
    <n v="0"/>
    <n v="0"/>
    <n v="0"/>
    <n v="0"/>
    <n v="0"/>
    <n v="0"/>
    <s v="VTU3-20"/>
    <n v="0"/>
    <x v="2"/>
    <s v="Mar 12, 2018 @ 15:31"/>
    <s v="Mar 12, 2018 @ 18:28"/>
    <s v="mcoalson@hanson-inc.com"/>
  </r>
  <r>
    <n v="311"/>
    <s v="LC"/>
    <s v="Lighting controls"/>
    <x v="80"/>
    <m/>
    <m/>
    <m/>
    <n v="0"/>
    <n v="0"/>
    <n v="0"/>
    <n v="0"/>
    <n v="0"/>
    <n v="0"/>
    <s v="VTU3-20"/>
    <n v="0"/>
    <x v="2"/>
    <s v="Mar 12, 2018 @ 15:36"/>
    <s v="Mar 12, 2018 @ 18:29"/>
    <s v="mcoalson@hanson-inc.com"/>
  </r>
  <r>
    <n v="314"/>
    <s v="LC"/>
    <s v="Lighting controls"/>
    <x v="89"/>
    <m/>
    <m/>
    <m/>
    <n v="0"/>
    <n v="0"/>
    <n v="0"/>
    <n v="0"/>
    <n v="0"/>
    <n v="0"/>
    <s v="VTU3-20"/>
    <n v="0"/>
    <x v="2"/>
    <s v="Mar 12, 2018 @ 15:39"/>
    <s v="Mar 12, 2018 @ 18:29"/>
    <s v="mcoalson@hanson-inc.com"/>
  </r>
  <r>
    <n v="317"/>
    <s v="LC"/>
    <s v="Lighting controls"/>
    <x v="89"/>
    <m/>
    <m/>
    <m/>
    <n v="0"/>
    <n v="0"/>
    <n v="0"/>
    <n v="0"/>
    <n v="0"/>
    <n v="0"/>
    <s v="VTU3-20"/>
    <n v="0"/>
    <x v="2"/>
    <s v="Mar 12, 2018 @ 15:40"/>
    <s v="Mar 12, 2018 @ 18:29"/>
    <s v="mcoalson@hanson-inc.com"/>
  </r>
  <r>
    <n v="320"/>
    <s v="LC"/>
    <s v="Lighting controls"/>
    <x v="89"/>
    <m/>
    <m/>
    <m/>
    <n v="0"/>
    <n v="0"/>
    <n v="0"/>
    <n v="0"/>
    <n v="0"/>
    <n v="0"/>
    <s v="VTU3-20"/>
    <n v="0"/>
    <x v="2"/>
    <s v="Mar 12, 2018 @ 15:41"/>
    <s v="Mar 12, 2018 @ 18:29"/>
    <s v="mcoalson@hanson-inc.com"/>
  </r>
  <r>
    <n v="325"/>
    <s v="LC"/>
    <s v="Lighting controls"/>
    <x v="89"/>
    <m/>
    <m/>
    <m/>
    <n v="0"/>
    <n v="0"/>
    <n v="0"/>
    <n v="0"/>
    <n v="0"/>
    <n v="0"/>
    <s v="VTU3-20"/>
    <n v="0"/>
    <x v="2"/>
    <s v="Mar 12, 2018 @ 15:42"/>
    <s v="Mar 12, 2018 @ 18:29"/>
    <s v="mcoalson@hanson-inc.com"/>
  </r>
  <r>
    <n v="334"/>
    <s v="LC"/>
    <s v="Lighting controls"/>
    <x v="89"/>
    <m/>
    <m/>
    <m/>
    <n v="0"/>
    <n v="0"/>
    <n v="0"/>
    <n v="0"/>
    <n v="0"/>
    <n v="0"/>
    <s v="VTU3-20"/>
    <n v="0"/>
    <x v="2"/>
    <s v="Mar 12, 2018 @ 15:45"/>
    <s v="Mar 12, 2018 @ 18:29"/>
    <s v="mcoalson@hanson-inc.com"/>
  </r>
  <r>
    <n v="347"/>
    <s v="LC"/>
    <s v="Lighting controls"/>
    <x v="89"/>
    <m/>
    <m/>
    <m/>
    <n v="0"/>
    <n v="0"/>
    <n v="0"/>
    <n v="0"/>
    <n v="0"/>
    <n v="0"/>
    <s v="VTU3-20"/>
    <n v="0"/>
    <x v="2"/>
    <s v="Mar 12, 2018 @ 15:51"/>
    <s v="Mar 12, 2018 @ 18:30"/>
    <s v="mcoalson@hanson-inc.com"/>
  </r>
  <r>
    <n v="348"/>
    <s v="LC"/>
    <s v="Lighting controls"/>
    <x v="89"/>
    <m/>
    <m/>
    <m/>
    <n v="0"/>
    <n v="0"/>
    <n v="0"/>
    <n v="0"/>
    <n v="0"/>
    <n v="0"/>
    <s v="VTU3-20"/>
    <n v="0"/>
    <x v="2"/>
    <s v="Mar 12, 2018 @ 15:51"/>
    <s v="Mar 12, 2018 @ 18:30"/>
    <s v="mcoalson@hanson-inc.com"/>
  </r>
  <r>
    <n v="350"/>
    <s v="LC"/>
    <s v="Lighting controls"/>
    <x v="89"/>
    <m/>
    <m/>
    <m/>
    <n v="0"/>
    <n v="0"/>
    <n v="0"/>
    <n v="0"/>
    <n v="0"/>
    <n v="0"/>
    <s v="VTU3-20"/>
    <n v="0"/>
    <x v="2"/>
    <s v="Mar 12, 2018 @ 15:51"/>
    <s v="Mar 12, 2018 @ 18:30"/>
    <s v="mcoalson@hanson-inc.com"/>
  </r>
  <r>
    <n v="355"/>
    <s v="LC"/>
    <s v="Lighting controls"/>
    <x v="89"/>
    <m/>
    <m/>
    <m/>
    <n v="0"/>
    <n v="0"/>
    <n v="0"/>
    <n v="0"/>
    <n v="0"/>
    <n v="0"/>
    <s v="VTU3-20"/>
    <n v="0"/>
    <x v="2"/>
    <s v="Mar 12, 2018 @ 15:52"/>
    <s v="Mar 12, 2018 @ 18:30"/>
    <s v="mcoalson@hanson-inc.com"/>
  </r>
  <r>
    <n v="362"/>
    <s v="LC"/>
    <s v="Lighting controls"/>
    <x v="89"/>
    <m/>
    <m/>
    <m/>
    <n v="0"/>
    <n v="0"/>
    <n v="0"/>
    <n v="0"/>
    <n v="0"/>
    <n v="0"/>
    <s v="VTU3-20"/>
    <n v="0"/>
    <x v="2"/>
    <s v="Mar 12, 2018 @ 15:54"/>
    <s v="Mar 12, 2018 @ 18:30"/>
    <s v="mcoalson@hanson-inc.com"/>
  </r>
  <r>
    <n v="364"/>
    <s v="LC"/>
    <s v="Lighting controls"/>
    <x v="89"/>
    <m/>
    <m/>
    <m/>
    <n v="0"/>
    <n v="0"/>
    <n v="0"/>
    <n v="0"/>
    <n v="0"/>
    <n v="0"/>
    <s v="VTU3-20"/>
    <n v="0"/>
    <x v="2"/>
    <s v="Mar 12, 2018 @ 15:55"/>
    <s v="Mar 12, 2018 @ 18:30"/>
    <s v="mcoalson@hanson-inc.com"/>
  </r>
  <r>
    <n v="383"/>
    <s v="LC"/>
    <s v="Lighting controls"/>
    <x v="89"/>
    <m/>
    <m/>
    <m/>
    <n v="0"/>
    <n v="0"/>
    <n v="0"/>
    <n v="0"/>
    <n v="0"/>
    <n v="0"/>
    <s v="VTU3-20"/>
    <n v="0"/>
    <x v="2"/>
    <s v="Mar 12, 2018 @ 18:39"/>
    <s v="Mar 12, 2018 @ 18:33"/>
    <s v="mcoalson@hanson-inc.com"/>
  </r>
  <r>
    <n v="388"/>
    <s v="LC"/>
    <s v="Lighting controls"/>
    <x v="89"/>
    <m/>
    <m/>
    <m/>
    <n v="0"/>
    <n v="0"/>
    <n v="0"/>
    <n v="0"/>
    <n v="0"/>
    <n v="0"/>
    <s v="VTU3-20"/>
    <n v="0"/>
    <x v="2"/>
    <s v="Mar 12, 2018 @ 18:41"/>
    <s v="Mar 12, 2018 @ 18:35"/>
    <s v="mcoalson@hanson-inc.com"/>
  </r>
  <r>
    <n v="394"/>
    <s v="LC"/>
    <s v="Lighting controls"/>
    <x v="77"/>
    <m/>
    <m/>
    <m/>
    <n v="0"/>
    <n v="0"/>
    <n v="0"/>
    <n v="0"/>
    <n v="0"/>
    <n v="0"/>
    <s v="VTU3-20"/>
    <n v="0"/>
    <x v="2"/>
    <s v="Mar 12, 2018 @ 18:36"/>
    <s v="Mar 12, 2018 @ 18:36"/>
    <s v="nboyd@hanson-inc.com"/>
  </r>
  <r>
    <n v="396"/>
    <s v="LC"/>
    <s v="Lighting controls"/>
    <x v="89"/>
    <m/>
    <m/>
    <m/>
    <n v="0"/>
    <n v="0"/>
    <n v="0"/>
    <n v="0"/>
    <n v="0"/>
    <n v="0"/>
    <s v="VTU3-20"/>
    <n v="0"/>
    <x v="2"/>
    <s v="Mar 12, 2018 @ 18:43"/>
    <s v="Mar 12, 2018 @ 18:36"/>
    <s v="mcoalson@hanson-inc.com"/>
  </r>
  <r>
    <n v="407"/>
    <s v="LC"/>
    <s v="Lighting controls"/>
    <x v="89"/>
    <m/>
    <m/>
    <m/>
    <n v="0"/>
    <n v="0"/>
    <n v="0"/>
    <n v="0"/>
    <n v="0"/>
    <n v="0"/>
    <s v="VTU3-20"/>
    <n v="0"/>
    <x v="2"/>
    <s v="Mar 12, 2018 @ 18:44"/>
    <s v="Mar 12, 2018 @ 18:37"/>
    <s v="mcoalson@hanson-inc.com"/>
  </r>
  <r>
    <n v="427"/>
    <s v="LC"/>
    <s v="Lighting controls"/>
    <x v="77"/>
    <m/>
    <m/>
    <m/>
    <n v="0"/>
    <n v="0"/>
    <n v="0"/>
    <n v="0"/>
    <n v="0"/>
    <n v="0"/>
    <s v="VTU3-20"/>
    <n v="0"/>
    <x v="2"/>
    <s v="Mar 12, 2018 @ 18:42"/>
    <s v="Mar 12, 2018 @ 18:42"/>
    <s v="nboyd@hanson-inc.com"/>
  </r>
  <r>
    <n v="439"/>
    <s v="LC"/>
    <s v="Lighting controls"/>
    <x v="89"/>
    <m/>
    <m/>
    <m/>
    <n v="0"/>
    <n v="0"/>
    <n v="0"/>
    <n v="0"/>
    <n v="0"/>
    <n v="0"/>
    <s v="VTU3-20"/>
    <n v="0"/>
    <x v="2"/>
    <s v="Mar 12, 2018 @ 19:00"/>
    <s v="Mar 12, 2018 @ 18:53"/>
    <s v="mcoalson@hanson-inc.com"/>
  </r>
  <r>
    <n v="442"/>
    <s v="LC"/>
    <s v="Lighting controls"/>
    <x v="77"/>
    <m/>
    <m/>
    <m/>
    <n v="0"/>
    <n v="0"/>
    <n v="0"/>
    <n v="0"/>
    <n v="0"/>
    <n v="0"/>
    <s v="VTU3-20"/>
    <n v="0"/>
    <x v="2"/>
    <s v="Mar 12, 2018 @ 18:54"/>
    <s v="Mar 12, 2018 @ 18:54"/>
    <s v="nboyd@hanson-inc.com"/>
  </r>
  <r>
    <n v="450"/>
    <s v="LC"/>
    <s v="Lighting controls"/>
    <x v="89"/>
    <m/>
    <m/>
    <m/>
    <n v="0"/>
    <n v="0"/>
    <n v="0"/>
    <n v="0"/>
    <n v="0"/>
    <n v="0"/>
    <s v="VTU3-20"/>
    <n v="0"/>
    <x v="2"/>
    <s v="Mar 12, 2018 @ 19:02"/>
    <s v="Mar 12, 2018 @ 18:56"/>
    <s v="mcoalson@hanson-inc.com"/>
  </r>
  <r>
    <n v="462"/>
    <s v="LC"/>
    <s v="Lighting controls"/>
    <x v="77"/>
    <m/>
    <m/>
    <m/>
    <n v="0"/>
    <n v="0"/>
    <n v="0"/>
    <n v="0"/>
    <n v="0"/>
    <n v="0"/>
    <s v="VTU3-20"/>
    <n v="0"/>
    <x v="2"/>
    <s v="Mar 12, 2018 @ 18:58"/>
    <s v="Mar 12, 2018 @ 18:59"/>
    <s v="nboyd@hanson-inc.com"/>
  </r>
  <r>
    <n v="463"/>
    <s v="LC"/>
    <s v="Lighting controls"/>
    <x v="89"/>
    <m/>
    <m/>
    <m/>
    <n v="0"/>
    <n v="0"/>
    <n v="0"/>
    <n v="0"/>
    <n v="0"/>
    <n v="0"/>
    <s v="VTU3-20"/>
    <n v="0"/>
    <x v="2"/>
    <s v="Mar 12, 2018 @ 19:05"/>
    <s v="Mar 12, 2018 @ 18:59"/>
    <s v="mcoalson@hanson-inc.com"/>
  </r>
  <r>
    <n v="469"/>
    <s v="LC"/>
    <s v="Lighting controls"/>
    <x v="89"/>
    <m/>
    <m/>
    <m/>
    <n v="0"/>
    <n v="0"/>
    <n v="0"/>
    <n v="0"/>
    <n v="0"/>
    <n v="0"/>
    <s v="VTU3-20"/>
    <n v="0"/>
    <x v="2"/>
    <s v="Mar 12, 2018 @ 19:07"/>
    <s v="Mar 12, 2018 @ 19:00"/>
    <s v="mcoalson@hanson-inc.com"/>
  </r>
  <r>
    <n v="475"/>
    <s v="LC"/>
    <s v="Lighting controls"/>
    <x v="77"/>
    <m/>
    <m/>
    <m/>
    <n v="0"/>
    <n v="0"/>
    <n v="0"/>
    <n v="0"/>
    <n v="0"/>
    <n v="0"/>
    <s v="VTU3-20"/>
    <n v="0"/>
    <x v="2"/>
    <s v="Mar 12, 2018 @ 19:01"/>
    <s v="Mar 12, 2018 @ 19:02"/>
    <s v="nboyd@hanson-inc.com"/>
  </r>
  <r>
    <n v="477"/>
    <s v="LC"/>
    <s v="Lighting controls"/>
    <x v="89"/>
    <m/>
    <m/>
    <m/>
    <n v="0"/>
    <n v="0"/>
    <n v="0"/>
    <n v="0"/>
    <n v="0"/>
    <n v="0"/>
    <s v="VTU3-20"/>
    <n v="0"/>
    <x v="2"/>
    <s v="Mar 12, 2018 @ 19:08"/>
    <s v="Mar 12, 2018 @ 19:02"/>
    <s v="mcoalson@hanson-inc.com"/>
  </r>
  <r>
    <n v="495"/>
    <s v="LC"/>
    <s v="Lighting controls"/>
    <x v="89"/>
    <m/>
    <m/>
    <m/>
    <n v="0"/>
    <n v="0"/>
    <n v="0"/>
    <n v="0"/>
    <n v="0"/>
    <n v="0"/>
    <s v="VTU3-20"/>
    <n v="0"/>
    <x v="2"/>
    <s v="Mar 12, 2018 @ 19:10"/>
    <s v="Mar 12, 2018 @ 19:04"/>
    <s v="mcoalson@hanson-inc.com"/>
  </r>
  <r>
    <n v="497"/>
    <s v="LC"/>
    <s v="Lighting controls"/>
    <x v="77"/>
    <m/>
    <m/>
    <m/>
    <n v="0"/>
    <n v="0"/>
    <n v="0"/>
    <n v="0"/>
    <n v="0"/>
    <n v="0"/>
    <s v="VTU3-20"/>
    <n v="0"/>
    <x v="2"/>
    <s v="Mar 12, 2018 @ 19:04"/>
    <s v="Mar 12, 2018 @ 19:04"/>
    <s v="nboyd@hanson-inc.com"/>
  </r>
  <r>
    <n v="506"/>
    <s v="LC"/>
    <s v="Lighting controls"/>
    <x v="89"/>
    <m/>
    <m/>
    <m/>
    <n v="0"/>
    <n v="0"/>
    <n v="0"/>
    <n v="0"/>
    <n v="0"/>
    <n v="0"/>
    <s v="VTU3-20"/>
    <n v="0"/>
    <x v="2"/>
    <s v="Mar 12, 2018 @ 19:11"/>
    <s v="Mar 12, 2018 @ 19:05"/>
    <s v="mcoalson@hanson-inc.com"/>
  </r>
  <r>
    <n v="517"/>
    <s v="LC"/>
    <s v="Lighting controls"/>
    <x v="89"/>
    <m/>
    <m/>
    <m/>
    <n v="0"/>
    <n v="0"/>
    <n v="0"/>
    <n v="0"/>
    <n v="0"/>
    <n v="0"/>
    <s v="VTU3-20"/>
    <n v="0"/>
    <x v="2"/>
    <s v="Mar 12, 2018 @ 19:12"/>
    <s v="Mar 12, 2018 @ 19:06"/>
    <s v="mcoalson@hanson-inc.com"/>
  </r>
  <r>
    <n v="519"/>
    <s v="LC"/>
    <s v="Lighting controls"/>
    <x v="77"/>
    <m/>
    <m/>
    <m/>
    <n v="0"/>
    <n v="0"/>
    <n v="0"/>
    <n v="0"/>
    <n v="0"/>
    <n v="0"/>
    <s v="VTU3-20"/>
    <n v="0"/>
    <x v="2"/>
    <s v="Mar 12, 2018 @ 19:07"/>
    <s v="Mar 12, 2018 @ 19:07"/>
    <s v="nboyd@hanson-inc.com"/>
  </r>
  <r>
    <n v="522"/>
    <s v="LC"/>
    <s v="Lighting controls"/>
    <x v="89"/>
    <m/>
    <m/>
    <m/>
    <n v="0"/>
    <n v="0"/>
    <n v="0"/>
    <n v="0"/>
    <n v="0"/>
    <n v="0"/>
    <s v="VTU3-20"/>
    <n v="0"/>
    <x v="2"/>
    <s v="Mar 12, 2018 @ 19:14"/>
    <s v="Mar 12, 2018 @ 19:08"/>
    <s v="mcoalson@hanson-inc.com"/>
  </r>
  <r>
    <n v="536"/>
    <s v="LC"/>
    <s v="Lighting controls"/>
    <x v="77"/>
    <m/>
    <m/>
    <m/>
    <n v="0"/>
    <n v="0"/>
    <n v="0"/>
    <n v="0"/>
    <n v="0"/>
    <n v="0"/>
    <s v="VTU3-20"/>
    <n v="0"/>
    <x v="2"/>
    <s v="Mar 12, 2018 @ 19:09"/>
    <s v="Mar 12, 2018 @ 19:09"/>
    <s v="nboyd@hanson-inc.com"/>
  </r>
  <r>
    <n v="539"/>
    <s v="LC"/>
    <s v="Lighting controls"/>
    <x v="89"/>
    <m/>
    <m/>
    <m/>
    <n v="0"/>
    <n v="0"/>
    <n v="0"/>
    <n v="0"/>
    <n v="0"/>
    <n v="0"/>
    <s v="VTU3-20"/>
    <n v="0"/>
    <x v="2"/>
    <s v="Mar 12, 2018 @ 19:15"/>
    <s v="Mar 12, 2018 @ 19:09"/>
    <s v="mcoalson@hanson-inc.com"/>
  </r>
  <r>
    <n v="557"/>
    <s v="LC"/>
    <s v="Lighting controls"/>
    <x v="89"/>
    <m/>
    <m/>
    <m/>
    <n v="0"/>
    <n v="0"/>
    <n v="0"/>
    <n v="0"/>
    <n v="0"/>
    <n v="0"/>
    <s v="VTU3-20"/>
    <n v="0"/>
    <x v="2"/>
    <s v="Mar 12, 2018 @ 19:17"/>
    <s v="Mar 12, 2018 @ 19:11"/>
    <s v="mcoalson@hanson-inc.com"/>
  </r>
  <r>
    <n v="561"/>
    <s v="LC"/>
    <s v="Lighting controls"/>
    <x v="77"/>
    <m/>
    <m/>
    <m/>
    <n v="0"/>
    <n v="0"/>
    <n v="0"/>
    <n v="0"/>
    <n v="0"/>
    <n v="0"/>
    <s v="VTU3-20"/>
    <n v="0"/>
    <x v="2"/>
    <s v="Mar 12, 2018 @ 19:12"/>
    <s v="Mar 12, 2018 @ 19:12"/>
    <s v="nboyd@hanson-inc.com"/>
  </r>
  <r>
    <n v="570"/>
    <s v="LC"/>
    <s v="Lighting controls"/>
    <x v="89"/>
    <m/>
    <m/>
    <m/>
    <n v="0"/>
    <n v="0"/>
    <n v="0"/>
    <n v="0"/>
    <n v="0"/>
    <n v="0"/>
    <s v="VTU3-20"/>
    <n v="0"/>
    <x v="2"/>
    <s v="Mar 12, 2018 @ 19:19"/>
    <s v="Mar 12, 2018 @ 19:13"/>
    <s v="mcoalson@hanson-inc.com"/>
  </r>
  <r>
    <n v="585"/>
    <s v="LC"/>
    <s v="Lighting controls"/>
    <x v="77"/>
    <m/>
    <m/>
    <m/>
    <n v="0"/>
    <n v="0"/>
    <n v="0"/>
    <n v="0"/>
    <n v="0"/>
    <n v="0"/>
    <s v="VTU3-20"/>
    <n v="0"/>
    <x v="2"/>
    <s v="Mar 12, 2018 @ 19:15"/>
    <s v="Mar 12, 2018 @ 19:15"/>
    <s v="nboyd@hanson-inc.com"/>
  </r>
  <r>
    <n v="586"/>
    <s v="LC"/>
    <s v="Lighting controls"/>
    <x v="89"/>
    <m/>
    <m/>
    <m/>
    <n v="0"/>
    <n v="0"/>
    <n v="0"/>
    <n v="0"/>
    <n v="0"/>
    <n v="0"/>
    <s v="VTU3-20"/>
    <n v="0"/>
    <x v="2"/>
    <s v="Mar 12, 2018 @ 19:21"/>
    <s v="Mar 12, 2018 @ 19:15"/>
    <s v="mcoalson@hanson-inc.com"/>
  </r>
  <r>
    <n v="595"/>
    <s v="LC"/>
    <s v="Lighting controls"/>
    <x v="89"/>
    <m/>
    <m/>
    <m/>
    <n v="0"/>
    <n v="0"/>
    <n v="0"/>
    <n v="0"/>
    <n v="0"/>
    <n v="0"/>
    <s v="VTU3-20"/>
    <n v="0"/>
    <x v="2"/>
    <s v="Mar 12, 2018 @ 19:22"/>
    <s v="Mar 12, 2018 @ 19:16"/>
    <s v="mcoalson@hanson-inc.com"/>
  </r>
  <r>
    <n v="604"/>
    <s v="LC"/>
    <s v="Lighting controls"/>
    <x v="89"/>
    <m/>
    <m/>
    <m/>
    <n v="0"/>
    <n v="0"/>
    <n v="0"/>
    <n v="0"/>
    <n v="0"/>
    <n v="0"/>
    <s v="VTU3-20"/>
    <n v="0"/>
    <x v="2"/>
    <s v="Mar 12, 2018 @ 19:23"/>
    <s v="Mar 12, 2018 @ 19:17"/>
    <s v="mcoalson@hanson-inc.com"/>
  </r>
  <r>
    <n v="611"/>
    <s v="LC"/>
    <s v="Lighting controls"/>
    <x v="77"/>
    <m/>
    <m/>
    <m/>
    <n v="0"/>
    <n v="0"/>
    <n v="0"/>
    <n v="0"/>
    <n v="0"/>
    <n v="0"/>
    <s v="VTU3-20"/>
    <n v="0"/>
    <x v="2"/>
    <s v="Mar 12, 2018 @ 19:17"/>
    <s v="Mar 12, 2018 @ 19:17"/>
    <s v="nboyd@hanson-inc.com"/>
  </r>
  <r>
    <n v="299"/>
    <s v="M"/>
    <s v="Monitor"/>
    <x v="2"/>
    <n v="21"/>
    <n v="1"/>
    <n v="1"/>
    <n v="21"/>
    <n v="114.97499999999999"/>
    <n v="12.257868782138575"/>
    <n v="1.8907563025210084E-3"/>
    <n v="392.31098426888508"/>
    <n v="6.4515282979309817E-3"/>
    <s v="VTU3-20"/>
    <n v="0"/>
    <x v="3"/>
    <s v="Mar 12, 2018 @ 15:30"/>
    <s v="Mar 12, 2018 @ 18:28"/>
    <s v="mcoalson@hanson-inc.com"/>
  </r>
  <r>
    <n v="322"/>
    <s v="M"/>
    <s v="Monitor"/>
    <x v="2"/>
    <n v="21"/>
    <n v="1"/>
    <n v="1"/>
    <n v="21"/>
    <n v="114.97499999999999"/>
    <n v="12.257868782138575"/>
    <n v="1.8907563025210084E-3"/>
    <n v="392.31098426888508"/>
    <n v="6.4515282979309817E-3"/>
    <s v="VTU3-20"/>
    <n v="0"/>
    <x v="3"/>
    <s v="Mar 12, 2018 @ 15:42"/>
    <s v="Mar 12, 2018 @ 18:29"/>
    <s v="mcoalson@hanson-inc.com"/>
  </r>
  <r>
    <n v="328"/>
    <s v="M"/>
    <s v="Monitor"/>
    <x v="2"/>
    <n v="21"/>
    <n v="1"/>
    <n v="1"/>
    <n v="21"/>
    <n v="114.97499999999999"/>
    <n v="12.257868782138575"/>
    <n v="1.8907563025210084E-3"/>
    <n v="392.31098426888508"/>
    <n v="6.4515282979309817E-3"/>
    <s v="VTU3-20"/>
    <n v="0"/>
    <x v="3"/>
    <s v="Mar 12, 2018 @ 15:43"/>
    <s v="Mar 12, 2018 @ 18:29"/>
    <s v="mcoalson@hanson-inc.com"/>
  </r>
  <r>
    <n v="329"/>
    <s v="M"/>
    <s v="Monitor"/>
    <x v="2"/>
    <n v="21"/>
    <n v="1"/>
    <n v="1"/>
    <n v="21"/>
    <n v="114.97499999999999"/>
    <n v="12.257868782138575"/>
    <n v="1.8907563025210084E-3"/>
    <n v="392.31098426888508"/>
    <n v="6.4515282979309817E-3"/>
    <s v="VTU3-20"/>
    <n v="0"/>
    <x v="3"/>
    <s v="Mar 12, 2018 @ 15:43"/>
    <s v="Mar 12, 2018 @ 18:29"/>
    <s v="mcoalson@hanson-inc.com"/>
  </r>
  <r>
    <n v="336"/>
    <s v="M"/>
    <s v="Monitor"/>
    <x v="2"/>
    <n v="21"/>
    <n v="1"/>
    <n v="1"/>
    <n v="21"/>
    <n v="114.97499999999999"/>
    <n v="12.257868782138575"/>
    <n v="1.8907563025210084E-3"/>
    <n v="392.31098426888508"/>
    <n v="6.4515282979309817E-3"/>
    <s v="VTU3-20"/>
    <n v="0"/>
    <x v="3"/>
    <s v="Mar 12, 2018 @ 15:46"/>
    <s v="Mar 12, 2018 @ 18:29"/>
    <s v="mcoalson@hanson-inc.com"/>
  </r>
  <r>
    <n v="341"/>
    <s v="M"/>
    <s v="Monitor"/>
    <x v="2"/>
    <n v="21"/>
    <n v="1"/>
    <n v="1"/>
    <n v="21"/>
    <n v="114.97499999999999"/>
    <n v="12.257868782138575"/>
    <n v="1.8907563025210084E-3"/>
    <n v="392.31098426888508"/>
    <n v="6.4515282979309817E-3"/>
    <s v="VTU3-20"/>
    <n v="0"/>
    <x v="3"/>
    <s v="Mar 12, 2018 @ 15:47"/>
    <s v="Mar 12, 2018 @ 18:30"/>
    <s v="mcoalson@hanson-inc.com"/>
  </r>
  <r>
    <n v="344"/>
    <s v="M"/>
    <s v="Monitor"/>
    <x v="2"/>
    <n v="21"/>
    <n v="1"/>
    <n v="1"/>
    <n v="21"/>
    <n v="114.97499999999999"/>
    <n v="12.257868782138575"/>
    <n v="1.8907563025210084E-3"/>
    <n v="392.31098426888508"/>
    <n v="6.4515282979309817E-3"/>
    <s v="VTU3-20"/>
    <n v="0"/>
    <x v="3"/>
    <s v="Mar 12, 2018 @ 15:50"/>
    <s v="Mar 12, 2018 @ 18:30"/>
    <s v="mcoalson@hanson-inc.com"/>
  </r>
  <r>
    <n v="345"/>
    <s v="M"/>
    <s v="Monitor"/>
    <x v="2"/>
    <n v="21"/>
    <n v="1"/>
    <n v="1"/>
    <n v="21"/>
    <n v="114.97499999999999"/>
    <n v="12.257868782138575"/>
    <n v="1.8907563025210084E-3"/>
    <n v="392.31098426888508"/>
    <n v="6.4515282979309817E-3"/>
    <s v="VTU3-20"/>
    <n v="0"/>
    <x v="3"/>
    <s v="Mar 12, 2018 @ 15:50"/>
    <s v="Mar 12, 2018 @ 18:30"/>
    <s v="mcoalson@hanson-inc.com"/>
  </r>
  <r>
    <n v="352"/>
    <s v="M"/>
    <s v="Monitor"/>
    <x v="2"/>
    <n v="21"/>
    <n v="1"/>
    <n v="1"/>
    <n v="21"/>
    <n v="114.97499999999999"/>
    <n v="12.257868782138575"/>
    <n v="1.8907563025210084E-3"/>
    <n v="392.31098426888508"/>
    <n v="6.4515282979309817E-3"/>
    <s v="VTU3-20"/>
    <n v="0"/>
    <x v="3"/>
    <s v="Mar 12, 2018 @ 15:51"/>
    <s v="Mar 12, 2018 @ 18:30"/>
    <s v="mcoalson@hanson-inc.com"/>
  </r>
  <r>
    <n v="357"/>
    <s v="M"/>
    <s v="Monitor"/>
    <x v="2"/>
    <n v="21"/>
    <n v="1"/>
    <n v="1"/>
    <n v="21"/>
    <n v="114.97499999999999"/>
    <n v="12.257868782138575"/>
    <n v="1.8907563025210084E-3"/>
    <n v="392.31098426888508"/>
    <n v="6.4515282979309817E-3"/>
    <s v="VTU3-20"/>
    <n v="0"/>
    <x v="3"/>
    <s v="Mar 12, 2018 @ 15:53"/>
    <s v="Mar 12, 2018 @ 18:30"/>
    <s v="mcoalson@hanson-inc.com"/>
  </r>
  <r>
    <n v="358"/>
    <s v="M"/>
    <s v="Monitor"/>
    <x v="2"/>
    <n v="21"/>
    <n v="1"/>
    <n v="1"/>
    <n v="21"/>
    <n v="114.97499999999999"/>
    <n v="12.257868782138575"/>
    <n v="1.8907563025210084E-3"/>
    <n v="392.31098426888508"/>
    <n v="6.4515282979309817E-3"/>
    <s v="VTU3-20"/>
    <n v="0"/>
    <x v="3"/>
    <s v="Mar 12, 2018 @ 15:53"/>
    <s v="Mar 12, 2018 @ 18:30"/>
    <s v="mcoalson@hanson-inc.com"/>
  </r>
  <r>
    <n v="367"/>
    <s v="M"/>
    <s v="Monitor"/>
    <x v="2"/>
    <n v="21"/>
    <n v="1"/>
    <n v="1"/>
    <n v="21"/>
    <n v="114.97499999999999"/>
    <n v="12.257868782138575"/>
    <n v="1.8907563025210084E-3"/>
    <n v="392.31098426888508"/>
    <n v="6.4515282979309817E-3"/>
    <s v="VTU3-20"/>
    <n v="0"/>
    <x v="3"/>
    <s v="Mar 12, 2018 @ 15:55"/>
    <s v="Mar 12, 2018 @ 18:30"/>
    <s v="mcoalson@hanson-inc.com"/>
  </r>
  <r>
    <n v="375"/>
    <s v="M"/>
    <s v="Monitor"/>
    <x v="2"/>
    <n v="21"/>
    <n v="1"/>
    <n v="1"/>
    <n v="21"/>
    <n v="114.97499999999999"/>
    <n v="12.257868782138575"/>
    <n v="1.8907563025210084E-3"/>
    <n v="392.31098426888508"/>
    <n v="6.4515282979309817E-3"/>
    <s v="VTU3-20"/>
    <n v="0"/>
    <x v="3"/>
    <s v="Mar 12, 2018 @ 15:57"/>
    <s v="Mar 12, 2018 @ 18:31"/>
    <s v="mcoalson@hanson-inc.com"/>
  </r>
  <r>
    <n v="376"/>
    <s v="M"/>
    <s v="Monitor"/>
    <x v="2"/>
    <n v="21"/>
    <n v="1"/>
    <n v="1"/>
    <n v="21"/>
    <n v="114.97499999999999"/>
    <n v="12.257868782138575"/>
    <n v="1.8907563025210084E-3"/>
    <n v="392.31098426888508"/>
    <n v="6.4515282979309817E-3"/>
    <s v="VTU3-20"/>
    <n v="0"/>
    <x v="3"/>
    <s v="Mar 12, 2018 @ 15:57"/>
    <s v="Mar 12, 2018 @ 18:31"/>
    <s v="mcoalson@hanson-inc.com"/>
  </r>
  <r>
    <n v="377"/>
    <s v="M"/>
    <s v="Monitor"/>
    <x v="2"/>
    <n v="21"/>
    <n v="1"/>
    <n v="1"/>
    <n v="21"/>
    <n v="114.97499999999999"/>
    <n v="12.257868782138575"/>
    <n v="1.8907563025210084E-3"/>
    <n v="392.31098426888508"/>
    <n v="6.4515282979309817E-3"/>
    <s v="VTU3-20"/>
    <n v="0"/>
    <x v="3"/>
    <s v="Mar 12, 2018 @ 15:58"/>
    <s v="Mar 12, 2018 @ 18:31"/>
    <s v="mcoalson@hanson-inc.com"/>
  </r>
  <r>
    <n v="378"/>
    <s v="M"/>
    <s v="Monitor"/>
    <x v="2"/>
    <n v="21"/>
    <n v="1"/>
    <n v="1"/>
    <n v="21"/>
    <n v="114.97499999999999"/>
    <n v="12.257868782138575"/>
    <n v="1.8907563025210084E-3"/>
    <n v="392.31098426888508"/>
    <n v="6.4515282979309817E-3"/>
    <s v="VTU3-20"/>
    <n v="0"/>
    <x v="3"/>
    <s v="Mar 12, 2018 @ 15:58"/>
    <s v="Mar 12, 2018 @ 18:31"/>
    <s v="mcoalson@hanson-inc.com"/>
  </r>
  <r>
    <n v="389"/>
    <s v="M"/>
    <s v="Monitor"/>
    <x v="2"/>
    <n v="21"/>
    <n v="1"/>
    <n v="1"/>
    <n v="21"/>
    <n v="114.97499999999999"/>
    <n v="12.257868782138575"/>
    <n v="1.8907563025210084E-3"/>
    <n v="392.31098426888508"/>
    <n v="6.4515282979309817E-3"/>
    <s v="VTU3-20"/>
    <n v="0"/>
    <x v="3"/>
    <s v="Mar 12, 2018 @ 18:41"/>
    <s v="Mar 12, 2018 @ 18:35"/>
    <s v="mcoalson@hanson-inc.com"/>
  </r>
  <r>
    <n v="390"/>
    <s v="M"/>
    <s v="Monitor"/>
    <x v="2"/>
    <n v="21"/>
    <n v="1"/>
    <n v="1"/>
    <n v="21"/>
    <n v="114.97499999999999"/>
    <n v="12.257868782138575"/>
    <n v="1.8907563025210084E-3"/>
    <n v="392.31098426888508"/>
    <n v="6.4515282979309817E-3"/>
    <s v="VTU3-20"/>
    <n v="0"/>
    <x v="3"/>
    <s v="Mar 12, 2018 @ 18:41"/>
    <s v="Mar 12, 2018 @ 18:35"/>
    <s v="mcoalson@hanson-inc.com"/>
  </r>
  <r>
    <n v="401"/>
    <s v="M"/>
    <s v="Monitor"/>
    <x v="2"/>
    <n v="21"/>
    <n v="1"/>
    <n v="1"/>
    <n v="21"/>
    <n v="114.97499999999999"/>
    <n v="12.257868782138575"/>
    <n v="1.8907563025210084E-3"/>
    <n v="392.31098426888508"/>
    <n v="6.4515282979309817E-3"/>
    <s v="VTU3-20"/>
    <n v="0"/>
    <x v="3"/>
    <s v="Mar 12, 2018 @ 18:43"/>
    <s v="Mar 12, 2018 @ 18:36"/>
    <s v="mcoalson@hanson-inc.com"/>
  </r>
  <r>
    <n v="408"/>
    <s v="M"/>
    <s v="Monitor"/>
    <x v="2"/>
    <n v="21"/>
    <n v="1"/>
    <n v="1"/>
    <n v="21"/>
    <n v="114.97499999999999"/>
    <n v="12.257868782138575"/>
    <n v="1.8907563025210084E-3"/>
    <n v="392.31098426888508"/>
    <n v="6.4515282979309817E-3"/>
    <s v="VTU3-20"/>
    <n v="0"/>
    <x v="3"/>
    <s v="Mar 12, 2018 @ 18:44"/>
    <s v="Mar 12, 2018 @ 18:37"/>
    <s v="mcoalson@hanson-inc.com"/>
  </r>
  <r>
    <n v="418"/>
    <s v="M"/>
    <s v="Monitor"/>
    <x v="2"/>
    <n v="21"/>
    <n v="1"/>
    <n v="1"/>
    <n v="21"/>
    <n v="114.97499999999999"/>
    <n v="12.257868782138575"/>
    <n v="1.8907563025210084E-3"/>
    <n v="392.31098426888508"/>
    <n v="6.4515282979309817E-3"/>
    <s v="VTU3-20"/>
    <n v="0"/>
    <x v="3"/>
    <s v="Mar 12, 2018 @ 18:40"/>
    <s v="Mar 12, 2018 @ 18:40"/>
    <s v="nboyd@hanson-inc.com"/>
  </r>
  <r>
    <n v="419"/>
    <s v="M"/>
    <s v="Monitor"/>
    <x v="2"/>
    <n v="21"/>
    <n v="1"/>
    <n v="1"/>
    <n v="21"/>
    <n v="114.97499999999999"/>
    <n v="12.257868782138575"/>
    <n v="1.8907563025210084E-3"/>
    <n v="392.31098426888508"/>
    <n v="6.4515282979309817E-3"/>
    <s v="VTU3-20"/>
    <n v="0"/>
    <x v="3"/>
    <s v="Mar 12, 2018 @ 18:47"/>
    <s v="Mar 12, 2018 @ 18:41"/>
    <s v="mcoalson@hanson-inc.com"/>
  </r>
  <r>
    <n v="447"/>
    <s v="M"/>
    <s v="Monitor"/>
    <x v="2"/>
    <n v="21"/>
    <n v="1"/>
    <n v="1"/>
    <n v="21"/>
    <n v="114.97499999999999"/>
    <n v="12.257868782138575"/>
    <n v="1.8907563025210084E-3"/>
    <n v="392.31098426888508"/>
    <n v="6.4515282979309817E-3"/>
    <s v="VTU3-20"/>
    <n v="0"/>
    <x v="3"/>
    <s v="Mar 12, 2018 @ 18:55"/>
    <s v="Mar 12, 2018 @ 18:55"/>
    <s v="nboyd@hanson-inc.com"/>
  </r>
  <r>
    <n v="448"/>
    <s v="M"/>
    <s v="Monitor"/>
    <x v="2"/>
    <n v="21"/>
    <n v="1"/>
    <n v="1"/>
    <n v="21"/>
    <n v="114.97499999999999"/>
    <n v="12.257868782138575"/>
    <n v="1.8907563025210084E-3"/>
    <n v="392.31098426888508"/>
    <n v="6.4515282979309817E-3"/>
    <s v="VTU3-20"/>
    <n v="0"/>
    <x v="3"/>
    <s v="Mar 12, 2018 @ 18:56"/>
    <s v="Mar 12, 2018 @ 18:56"/>
    <s v="nboyd@hanson-inc.com"/>
  </r>
  <r>
    <n v="458"/>
    <s v="M"/>
    <s v="Monitor"/>
    <x v="2"/>
    <n v="21"/>
    <n v="1"/>
    <n v="1"/>
    <n v="21"/>
    <n v="114.97499999999999"/>
    <n v="12.257868782138575"/>
    <n v="1.8907563025210084E-3"/>
    <n v="392.31098426888508"/>
    <n v="6.4515282979309817E-3"/>
    <s v="VTU3-20"/>
    <n v="0"/>
    <x v="3"/>
    <s v="Mar 12, 2018 @ 19:04"/>
    <s v="Mar 12, 2018 @ 18:57"/>
    <s v="mcoalson@hanson-inc.com"/>
  </r>
  <r>
    <n v="459"/>
    <s v="M"/>
    <s v="Monitor"/>
    <x v="2"/>
    <n v="21"/>
    <n v="1"/>
    <n v="1"/>
    <n v="21"/>
    <n v="114.97499999999999"/>
    <n v="12.257868782138575"/>
    <n v="1.8907563025210084E-3"/>
    <n v="392.31098426888508"/>
    <n v="6.4515282979309817E-3"/>
    <s v="VTU3-20"/>
    <n v="0"/>
    <x v="3"/>
    <s v="Mar 12, 2018 @ 19:04"/>
    <s v="Mar 12, 2018 @ 18:58"/>
    <s v="mcoalson@hanson-inc.com"/>
  </r>
  <r>
    <n v="468"/>
    <s v="M"/>
    <s v="Monitor"/>
    <x v="2"/>
    <n v="21"/>
    <n v="1"/>
    <n v="1"/>
    <n v="21"/>
    <n v="114.97499999999999"/>
    <n v="12.257868782138575"/>
    <n v="1.8907563025210084E-3"/>
    <n v="392.31098426888508"/>
    <n v="6.4515282979309817E-3"/>
    <s v="VTU3-20"/>
    <n v="0"/>
    <x v="3"/>
    <s v="Mar 12, 2018 @ 19:00"/>
    <s v="Mar 12, 2018 @ 19:00"/>
    <s v="nboyd@hanson-inc.com"/>
  </r>
  <r>
    <n v="474"/>
    <s v="M"/>
    <s v="Monitor"/>
    <x v="2"/>
    <n v="21"/>
    <n v="1"/>
    <n v="1"/>
    <n v="21"/>
    <n v="114.97499999999999"/>
    <n v="12.257868782138575"/>
    <n v="1.8907563025210084E-3"/>
    <n v="392.31098426888508"/>
    <n v="6.4515282979309817E-3"/>
    <s v="VTU3-20"/>
    <n v="0"/>
    <x v="3"/>
    <s v="Mar 12, 2018 @ 19:07"/>
    <s v="Mar 12, 2018 @ 19:01"/>
    <s v="mcoalson@hanson-inc.com"/>
  </r>
  <r>
    <n v="481"/>
    <s v="M"/>
    <s v="Monitor"/>
    <x v="2"/>
    <n v="21"/>
    <n v="1"/>
    <n v="1"/>
    <n v="21"/>
    <n v="114.97499999999999"/>
    <n v="12.257868782138575"/>
    <n v="1.8907563025210084E-3"/>
    <n v="392.31098426888508"/>
    <n v="6.4515282979309817E-3"/>
    <s v="VTU3-20"/>
    <n v="0"/>
    <x v="3"/>
    <s v="Mar 12, 2018 @ 19:02"/>
    <s v="Mar 12, 2018 @ 19:02"/>
    <s v="nboyd@hanson-inc.com"/>
  </r>
  <r>
    <n v="482"/>
    <s v="M"/>
    <s v="Monitor"/>
    <x v="2"/>
    <n v="21"/>
    <n v="1"/>
    <n v="1"/>
    <n v="21"/>
    <n v="114.97499999999999"/>
    <n v="12.257868782138575"/>
    <n v="1.8907563025210084E-3"/>
    <n v="392.31098426888508"/>
    <n v="6.4515282979309817E-3"/>
    <s v="VTU3-20"/>
    <n v="0"/>
    <x v="3"/>
    <s v="Mar 12, 2018 @ 19:09"/>
    <s v="Mar 12, 2018 @ 19:02"/>
    <s v="mcoalson@hanson-inc.com"/>
  </r>
  <r>
    <n v="483"/>
    <s v="M"/>
    <s v="Monitor"/>
    <x v="2"/>
    <n v="21"/>
    <n v="1"/>
    <n v="1"/>
    <n v="21"/>
    <n v="114.97499999999999"/>
    <n v="12.257868782138575"/>
    <n v="1.8907563025210084E-3"/>
    <n v="392.31098426888508"/>
    <n v="6.4515282979309817E-3"/>
    <s v="VTU3-20"/>
    <n v="0"/>
    <x v="3"/>
    <s v="Mar 12, 2018 @ 19:02"/>
    <s v="Mar 12, 2018 @ 19:02"/>
    <s v="nboyd@hanson-inc.com"/>
  </r>
  <r>
    <n v="491"/>
    <s v="M"/>
    <s v="Monitor"/>
    <x v="2"/>
    <n v="21"/>
    <n v="1"/>
    <n v="1"/>
    <n v="21"/>
    <n v="114.97499999999999"/>
    <n v="12.257868782138575"/>
    <n v="1.8907563025210084E-3"/>
    <n v="392.31098426888508"/>
    <n v="6.4515282979309817E-3"/>
    <s v="VTU3-20"/>
    <n v="0"/>
    <x v="3"/>
    <s v="Mar 12, 2018 @ 19:10"/>
    <s v="Mar 12, 2018 @ 19:04"/>
    <s v="mcoalson@hanson-inc.com"/>
  </r>
  <r>
    <n v="496"/>
    <s v="M"/>
    <s v="Monitor"/>
    <x v="2"/>
    <n v="21"/>
    <n v="1"/>
    <n v="1"/>
    <n v="21"/>
    <n v="114.97499999999999"/>
    <n v="12.257868782138575"/>
    <n v="1.8907563025210084E-3"/>
    <n v="392.31098426888508"/>
    <n v="6.4515282979309817E-3"/>
    <s v="VTU3-20"/>
    <n v="0"/>
    <x v="3"/>
    <s v="Mar 12, 2018 @ 19:10"/>
    <s v="Mar 12, 2018 @ 19:04"/>
    <s v="mcoalson@hanson-inc.com"/>
  </r>
  <r>
    <n v="501"/>
    <s v="M"/>
    <s v="Monitor"/>
    <x v="2"/>
    <n v="21"/>
    <n v="1"/>
    <n v="1"/>
    <n v="21"/>
    <n v="114.97499999999999"/>
    <n v="12.257868782138575"/>
    <n v="1.8907563025210084E-3"/>
    <n v="392.31098426888508"/>
    <n v="6.4515282979309817E-3"/>
    <s v="VTU3-20"/>
    <n v="0"/>
    <x v="3"/>
    <s v="Mar 12, 2018 @ 19:11"/>
    <s v="Mar 12, 2018 @ 19:05"/>
    <s v="mcoalson@hanson-inc.com"/>
  </r>
  <r>
    <n v="505"/>
    <s v="M"/>
    <s v="Monitor"/>
    <x v="2"/>
    <n v="21"/>
    <n v="1"/>
    <n v="1"/>
    <n v="21"/>
    <n v="114.97499999999999"/>
    <n v="12.257868782138575"/>
    <n v="1.8907563025210084E-3"/>
    <n v="392.31098426888508"/>
    <n v="6.4515282979309817E-3"/>
    <s v="VTU3-20"/>
    <n v="0"/>
    <x v="3"/>
    <s v="Mar 12, 2018 @ 19:05"/>
    <s v="Mar 12, 2018 @ 19:05"/>
    <s v="nboyd@hanson-inc.com"/>
  </r>
  <r>
    <n v="507"/>
    <s v="M"/>
    <s v="Monitor"/>
    <x v="2"/>
    <n v="21"/>
    <n v="1"/>
    <n v="1"/>
    <n v="21"/>
    <n v="114.97499999999999"/>
    <n v="12.257868782138575"/>
    <n v="1.8907563025210084E-3"/>
    <n v="392.31098426888508"/>
    <n v="6.4515282979309817E-3"/>
    <s v="VTU3-20"/>
    <n v="0"/>
    <x v="3"/>
    <s v="Mar 12, 2018 @ 19:05"/>
    <s v="Mar 12, 2018 @ 19:05"/>
    <s v="nboyd@hanson-inc.com"/>
  </r>
  <r>
    <n v="509"/>
    <s v="M"/>
    <s v="Monitor"/>
    <x v="2"/>
    <n v="21"/>
    <n v="1"/>
    <n v="1"/>
    <n v="21"/>
    <n v="114.97499999999999"/>
    <n v="12.257868782138575"/>
    <n v="1.8907563025210084E-3"/>
    <n v="392.31098426888508"/>
    <n v="6.4515282979309817E-3"/>
    <s v="VTU3-20"/>
    <n v="0"/>
    <x v="3"/>
    <s v="Mar 12, 2018 @ 19:12"/>
    <s v="Mar 12, 2018 @ 19:05"/>
    <s v="mcoalson@hanson-inc.com"/>
  </r>
  <r>
    <n v="513"/>
    <s v="M"/>
    <s v="Monitor"/>
    <x v="2"/>
    <n v="21"/>
    <n v="1"/>
    <n v="1"/>
    <n v="21"/>
    <n v="114.97499999999999"/>
    <n v="12.257868782138575"/>
    <n v="1.8907563025210084E-3"/>
    <n v="392.31098426888508"/>
    <n v="6.4515282979309817E-3"/>
    <s v="VTU3-20"/>
    <n v="0"/>
    <x v="3"/>
    <s v="Mar 12, 2018 @ 19:12"/>
    <s v="Mar 12, 2018 @ 19:06"/>
    <s v="mcoalson@hanson-inc.com"/>
  </r>
  <r>
    <n v="527"/>
    <s v="M"/>
    <s v="Monitor"/>
    <x v="2"/>
    <n v="21"/>
    <n v="1"/>
    <n v="1"/>
    <n v="21"/>
    <n v="114.97499999999999"/>
    <n v="12.257868782138575"/>
    <n v="1.8907563025210084E-3"/>
    <n v="392.31098426888508"/>
    <n v="6.4515282979309817E-3"/>
    <s v="VTU3-20"/>
    <n v="0"/>
    <x v="3"/>
    <s v="Mar 12, 2018 @ 19:14"/>
    <s v="Mar 12, 2018 @ 19:08"/>
    <s v="mcoalson@hanson-inc.com"/>
  </r>
  <r>
    <n v="532"/>
    <s v="M"/>
    <s v="Monitor"/>
    <x v="2"/>
    <n v="21"/>
    <n v="1"/>
    <n v="1"/>
    <n v="21"/>
    <n v="114.97499999999999"/>
    <n v="12.257868782138575"/>
    <n v="1.8907563025210084E-3"/>
    <n v="392.31098426888508"/>
    <n v="6.4515282979309817E-3"/>
    <s v="VTU3-20"/>
    <n v="0"/>
    <x v="3"/>
    <s v="Mar 12, 2018 @ 19:08"/>
    <s v="Mar 12, 2018 @ 19:08"/>
    <s v="nboyd@hanson-inc.com"/>
  </r>
  <r>
    <n v="533"/>
    <s v="M"/>
    <s v="Monitor"/>
    <x v="2"/>
    <n v="21"/>
    <n v="1"/>
    <n v="1"/>
    <n v="21"/>
    <n v="114.97499999999999"/>
    <n v="12.257868782138575"/>
    <n v="1.8907563025210084E-3"/>
    <n v="392.31098426888508"/>
    <n v="6.4515282979309817E-3"/>
    <s v="VTU3-20"/>
    <n v="0"/>
    <x v="3"/>
    <s v="Mar 12, 2018 @ 19:08"/>
    <s v="Mar 12, 2018 @ 19:08"/>
    <s v="nboyd@hanson-inc.com"/>
  </r>
  <r>
    <n v="535"/>
    <s v="M"/>
    <s v="Monitor"/>
    <x v="2"/>
    <n v="21"/>
    <n v="1"/>
    <n v="1"/>
    <n v="21"/>
    <n v="114.97499999999999"/>
    <n v="12.257868782138575"/>
    <n v="1.8907563025210084E-3"/>
    <n v="392.31098426888508"/>
    <n v="6.4515282979309817E-3"/>
    <s v="VTU3-20"/>
    <n v="0"/>
    <x v="3"/>
    <s v="Mar 12, 2018 @ 19:15"/>
    <s v="Mar 12, 2018 @ 19:08"/>
    <s v="mcoalson@hanson-inc.com"/>
  </r>
  <r>
    <n v="543"/>
    <s v="M"/>
    <s v="Monitor"/>
    <x v="2"/>
    <n v="21"/>
    <n v="1"/>
    <n v="1"/>
    <n v="21"/>
    <n v="114.97499999999999"/>
    <n v="12.257868782138575"/>
    <n v="1.8907563025210084E-3"/>
    <n v="392.31098426888508"/>
    <n v="6.4515282979309817E-3"/>
    <s v="VTU3-20"/>
    <n v="0"/>
    <x v="3"/>
    <s v="Mar 12, 2018 @ 19:15"/>
    <s v="Mar 12, 2018 @ 19:09"/>
    <s v="mcoalson@hanson-inc.com"/>
  </r>
  <r>
    <n v="546"/>
    <s v="M"/>
    <s v="Monitor"/>
    <x v="2"/>
    <n v="21"/>
    <n v="1"/>
    <n v="1"/>
    <n v="21"/>
    <n v="114.97499999999999"/>
    <n v="12.257868782138575"/>
    <n v="1.8907563025210084E-3"/>
    <n v="392.31098426888508"/>
    <n v="6.4515282979309817E-3"/>
    <s v="VTU3-20"/>
    <n v="0"/>
    <x v="3"/>
    <s v="Mar 12, 2018 @ 19:16"/>
    <s v="Mar 12, 2018 @ 19:09"/>
    <s v="mcoalson@hanson-inc.com"/>
  </r>
  <r>
    <n v="547"/>
    <s v="M"/>
    <s v="Monitor"/>
    <x v="2"/>
    <n v="21"/>
    <n v="1"/>
    <n v="1"/>
    <n v="21"/>
    <n v="114.97499999999999"/>
    <n v="12.257868782138575"/>
    <n v="1.8907563025210084E-3"/>
    <n v="392.31098426888508"/>
    <n v="6.4515282979309817E-3"/>
    <s v="VTU3-20"/>
    <n v="0"/>
    <x v="3"/>
    <s v="Mar 12, 2018 @ 19:10"/>
    <s v="Mar 12, 2018 @ 19:10"/>
    <s v="nboyd@hanson-inc.com"/>
  </r>
  <r>
    <n v="548"/>
    <s v="M"/>
    <s v="Monitor"/>
    <x v="2"/>
    <n v="21"/>
    <n v="1"/>
    <n v="1"/>
    <n v="21"/>
    <n v="114.97499999999999"/>
    <n v="12.257868782138575"/>
    <n v="1.8907563025210084E-3"/>
    <n v="392.31098426888508"/>
    <n v="6.4515282979309817E-3"/>
    <s v="VTU3-20"/>
    <n v="0"/>
    <x v="3"/>
    <s v="Mar 12, 2018 @ 19:10"/>
    <s v="Mar 12, 2018 @ 19:10"/>
    <s v="nboyd@hanson-inc.com"/>
  </r>
  <r>
    <n v="551"/>
    <s v="M"/>
    <s v="Monitor"/>
    <x v="2"/>
    <n v="21"/>
    <n v="1"/>
    <n v="1"/>
    <n v="21"/>
    <n v="114.97499999999999"/>
    <n v="12.257868782138575"/>
    <n v="1.8907563025210084E-3"/>
    <n v="392.31098426888508"/>
    <n v="6.4515282979309817E-3"/>
    <s v="VTU3-20"/>
    <n v="0"/>
    <x v="3"/>
    <s v="Mar 12, 2018 @ 19:17"/>
    <s v="Mar 12, 2018 @ 19:11"/>
    <s v="mcoalson@hanson-inc.com"/>
  </r>
  <r>
    <n v="553"/>
    <s v="M"/>
    <s v="Monitor"/>
    <x v="2"/>
    <n v="21"/>
    <n v="1"/>
    <n v="1"/>
    <n v="21"/>
    <n v="114.97499999999999"/>
    <n v="12.257868782138575"/>
    <n v="1.8907563025210084E-3"/>
    <n v="392.31098426888508"/>
    <n v="6.4515282979309817E-3"/>
    <s v="VTU3-20"/>
    <n v="0"/>
    <x v="3"/>
    <s v="Mar 12, 2018 @ 19:17"/>
    <s v="Mar 12, 2018 @ 19:11"/>
    <s v="mcoalson@hanson-inc.com"/>
  </r>
  <r>
    <n v="560"/>
    <s v="M"/>
    <s v="Monitor"/>
    <x v="2"/>
    <n v="21"/>
    <n v="1"/>
    <n v="1"/>
    <n v="21"/>
    <n v="114.97499999999999"/>
    <n v="12.257868782138575"/>
    <n v="1.8907563025210084E-3"/>
    <n v="392.31098426888508"/>
    <n v="6.4515282979309817E-3"/>
    <s v="VTU3-20"/>
    <n v="0"/>
    <x v="3"/>
    <s v="Mar 12, 2018 @ 19:18"/>
    <s v="Mar 12, 2018 @ 19:12"/>
    <s v="mcoalson@hanson-inc.com"/>
  </r>
  <r>
    <n v="563"/>
    <s v="M"/>
    <s v="Monitor"/>
    <x v="2"/>
    <n v="21"/>
    <n v="1"/>
    <n v="1"/>
    <n v="21"/>
    <n v="114.97499999999999"/>
    <n v="12.257868782138575"/>
    <n v="1.8907563025210084E-3"/>
    <n v="392.31098426888508"/>
    <n v="6.4515282979309817E-3"/>
    <s v="VTU3-20"/>
    <n v="0"/>
    <x v="3"/>
    <s v="Mar 12, 2018 @ 19:19"/>
    <s v="Mar 12, 2018 @ 19:13"/>
    <s v="mcoalson@hanson-inc.com"/>
  </r>
  <r>
    <n v="566"/>
    <s v="M"/>
    <s v="Monitor"/>
    <x v="2"/>
    <n v="21"/>
    <n v="1"/>
    <n v="1"/>
    <n v="21"/>
    <n v="114.97499999999999"/>
    <n v="12.257868782138575"/>
    <n v="1.8907563025210084E-3"/>
    <n v="392.31098426888508"/>
    <n v="6.4515282979309817E-3"/>
    <s v="VTU3-20"/>
    <n v="0"/>
    <x v="3"/>
    <s v="Mar 12, 2018 @ 19:19"/>
    <s v="Mar 12, 2018 @ 19:13"/>
    <s v="mcoalson@hanson-inc.com"/>
  </r>
  <r>
    <n v="573"/>
    <s v="M"/>
    <s v="Monitor"/>
    <x v="2"/>
    <n v="21"/>
    <n v="1"/>
    <n v="1"/>
    <n v="21"/>
    <n v="114.97499999999999"/>
    <n v="12.257868782138575"/>
    <n v="1.8907563025210084E-3"/>
    <n v="392.31098426888508"/>
    <n v="6.4515282979309817E-3"/>
    <s v="VTU3-20"/>
    <n v="0"/>
    <x v="3"/>
    <s v="Mar 12, 2018 @ 19:20"/>
    <s v="Mar 12, 2018 @ 19:13"/>
    <s v="mcoalson@hanson-inc.com"/>
  </r>
  <r>
    <n v="574"/>
    <s v="M"/>
    <s v="Monitor"/>
    <x v="2"/>
    <n v="21"/>
    <n v="1"/>
    <n v="1"/>
    <n v="21"/>
    <n v="114.97499999999999"/>
    <n v="12.257868782138575"/>
    <n v="1.8907563025210084E-3"/>
    <n v="392.31098426888508"/>
    <n v="6.4515282979309817E-3"/>
    <s v="VTU3-20"/>
    <n v="0"/>
    <x v="3"/>
    <s v="Mar 12, 2018 @ 19:20"/>
    <s v="Mar 12, 2018 @ 19:13"/>
    <s v="mcoalson@hanson-inc.com"/>
  </r>
  <r>
    <n v="575"/>
    <s v="M"/>
    <s v="Monitor"/>
    <x v="2"/>
    <n v="21"/>
    <n v="1"/>
    <n v="1"/>
    <n v="21"/>
    <n v="114.97499999999999"/>
    <n v="12.257868782138575"/>
    <n v="1.8907563025210084E-3"/>
    <n v="392.31098426888508"/>
    <n v="6.4515282979309817E-3"/>
    <s v="VTU3-20"/>
    <n v="0"/>
    <x v="3"/>
    <s v="Mar 12, 2018 @ 19:13"/>
    <s v="Mar 12, 2018 @ 19:13"/>
    <s v="nboyd@hanson-inc.com"/>
  </r>
  <r>
    <n v="576"/>
    <s v="M"/>
    <s v="Monitor"/>
    <x v="2"/>
    <n v="21"/>
    <n v="1"/>
    <n v="1"/>
    <n v="21"/>
    <n v="114.97499999999999"/>
    <n v="12.257868782138575"/>
    <n v="1.8907563025210084E-3"/>
    <n v="392.31098426888508"/>
    <n v="6.4515282979309817E-3"/>
    <s v="VTU3-20"/>
    <n v="0"/>
    <x v="3"/>
    <s v="Mar 12, 2018 @ 19:13"/>
    <s v="Mar 12, 2018 @ 19:13"/>
    <s v="nboyd@hanson-inc.com"/>
  </r>
  <r>
    <n v="916"/>
    <s v="M"/>
    <s v="Mechanical"/>
    <x v="92"/>
    <m/>
    <m/>
    <m/>
    <n v="0"/>
    <n v="0"/>
    <n v="0"/>
    <n v="0"/>
    <n v="0"/>
    <n v="0"/>
    <s v="1st Floor"/>
    <n v="0"/>
    <x v="2"/>
    <s v="Mar 14, 2018 @ 15:20"/>
    <s v="Mar 14, 2018 @ 15:21"/>
    <s v="nboyd@hanson-inc.com"/>
  </r>
  <r>
    <n v="579"/>
    <s v="M"/>
    <s v="Monitor"/>
    <x v="2"/>
    <n v="21"/>
    <n v="1"/>
    <n v="1"/>
    <n v="21"/>
    <n v="114.97499999999999"/>
    <n v="12.257868782138575"/>
    <n v="1.8907563025210084E-3"/>
    <n v="392.31098426888508"/>
    <n v="6.4515282979309817E-3"/>
    <s v="VTU3-20"/>
    <n v="0"/>
    <x v="3"/>
    <s v="Mar 12, 2018 @ 19:21"/>
    <s v="Mar 12, 2018 @ 19:14"/>
    <s v="mcoalson@hanson-inc.com"/>
  </r>
  <r>
    <n v="1072"/>
    <s v="M"/>
    <s v="Mechanical"/>
    <x v="93"/>
    <m/>
    <m/>
    <m/>
    <n v="0"/>
    <n v="0"/>
    <n v="0"/>
    <n v="0"/>
    <n v="0"/>
    <n v="0"/>
    <s v="1st Floor"/>
    <n v="1"/>
    <x v="2"/>
    <s v="Mar 14, 2018 @ 16:25"/>
    <s v="Mar 14, 2018 @ 16:26"/>
    <s v="mcoalson@hanson-inc.com"/>
  </r>
  <r>
    <n v="1098"/>
    <s v="M"/>
    <s v="Mechanical"/>
    <x v="94"/>
    <m/>
    <m/>
    <m/>
    <n v="0"/>
    <n v="0"/>
    <n v="0"/>
    <n v="0"/>
    <n v="0"/>
    <n v="0"/>
    <s v="1st Floor"/>
    <n v="1"/>
    <x v="2"/>
    <s v="Mar 14, 2018 @ 17:41"/>
    <s v="Mar 14, 2018 @ 17:42"/>
    <s v="mcoalson@hanson-inc.com"/>
  </r>
  <r>
    <n v="743"/>
    <s v="M"/>
    <s v="Mechanical"/>
    <x v="95"/>
    <m/>
    <m/>
    <m/>
    <n v="0"/>
    <n v="0"/>
    <n v="0"/>
    <n v="0"/>
    <n v="0"/>
    <n v="0"/>
    <s v="2nd Floor"/>
    <n v="1"/>
    <x v="2"/>
    <s v="Mar 14, 2018 @ 14:01"/>
    <s v="Mar 14, 2018 @ 14:01"/>
    <s v="nboyd@hanson-inc.com"/>
  </r>
  <r>
    <n v="804"/>
    <s v="M"/>
    <s v="Mechanical"/>
    <x v="96"/>
    <m/>
    <m/>
    <m/>
    <n v="0"/>
    <n v="0"/>
    <n v="0"/>
    <n v="0"/>
    <n v="0"/>
    <n v="0"/>
    <s v="2nd Floor"/>
    <n v="1"/>
    <x v="2"/>
    <s v="Mar 14, 2018 @ 14:41"/>
    <s v="Mar 14, 2018 @ 14:43"/>
    <s v="mcoalson@hanson-inc.com"/>
  </r>
  <r>
    <n v="848"/>
    <s v="M"/>
    <s v="Mechanical"/>
    <x v="97"/>
    <m/>
    <m/>
    <m/>
    <n v="0"/>
    <n v="0"/>
    <n v="0"/>
    <n v="0"/>
    <n v="0"/>
    <n v="0"/>
    <s v="2nd Floor"/>
    <n v="0"/>
    <x v="2"/>
    <s v="Mar 14, 2018 @ 14:54"/>
    <s v="Mar 14, 2018 @ 14:55"/>
    <s v="nboyd@hanson-inc.com"/>
  </r>
  <r>
    <n v="436"/>
    <s v="M"/>
    <s v="Mechanical"/>
    <x v="98"/>
    <m/>
    <m/>
    <m/>
    <n v="0"/>
    <n v="0"/>
    <n v="0"/>
    <n v="0"/>
    <n v="0"/>
    <n v="0"/>
    <s v="VTU3-20"/>
    <n v="1"/>
    <x v="2"/>
    <s v="Mar 12, 2018 @ 18:47"/>
    <s v="Mar 12, 2018 @ 18:49"/>
    <s v="nboyd@hanson-inc.com"/>
  </r>
  <r>
    <n v="581"/>
    <s v="M"/>
    <s v="Monitor"/>
    <x v="2"/>
    <n v="21"/>
    <n v="1"/>
    <n v="1"/>
    <n v="21"/>
    <n v="114.97499999999999"/>
    <n v="12.257868782138575"/>
    <n v="1.8907563025210084E-3"/>
    <n v="392.31098426888508"/>
    <n v="6.4515282979309817E-3"/>
    <s v="VTU3-20"/>
    <n v="0"/>
    <x v="3"/>
    <s v="Mar 12, 2018 @ 19:21"/>
    <s v="Mar 12, 2018 @ 19:15"/>
    <s v="mcoalson@hanson-inc.com"/>
  </r>
  <r>
    <n v="590"/>
    <s v="M"/>
    <s v="Monitor"/>
    <x v="2"/>
    <n v="21"/>
    <n v="1"/>
    <n v="1"/>
    <n v="21"/>
    <n v="114.97499999999999"/>
    <n v="12.257868782138575"/>
    <n v="1.8907563025210084E-3"/>
    <n v="392.31098426888508"/>
    <n v="6.4515282979309817E-3"/>
    <s v="VTU3-20"/>
    <n v="0"/>
    <x v="3"/>
    <s v="Mar 12, 2018 @ 19:15"/>
    <s v="Mar 12, 2018 @ 19:15"/>
    <s v="nboyd@hanson-inc.com"/>
  </r>
  <r>
    <n v="591"/>
    <s v="M"/>
    <s v="Monitor"/>
    <x v="2"/>
    <n v="21"/>
    <n v="1"/>
    <n v="1"/>
    <n v="21"/>
    <n v="114.97499999999999"/>
    <n v="12.257868782138575"/>
    <n v="1.8907563025210084E-3"/>
    <n v="392.31098426888508"/>
    <n v="6.4515282979309817E-3"/>
    <s v="VTU3-20"/>
    <n v="0"/>
    <x v="3"/>
    <s v="Mar 12, 2018 @ 19:15"/>
    <s v="Mar 12, 2018 @ 19:15"/>
    <s v="nboyd@hanson-inc.com"/>
  </r>
  <r>
    <n v="592"/>
    <s v="M"/>
    <s v="Monitor"/>
    <x v="2"/>
    <n v="21"/>
    <n v="1"/>
    <n v="1"/>
    <n v="21"/>
    <n v="114.97499999999999"/>
    <n v="12.257868782138575"/>
    <n v="1.8907563025210084E-3"/>
    <n v="392.31098426888508"/>
    <n v="6.4515282979309817E-3"/>
    <s v="VTU3-20"/>
    <n v="0"/>
    <x v="3"/>
    <s v="Mar 12, 2018 @ 19:15"/>
    <s v="Mar 12, 2018 @ 19:15"/>
    <s v="nboyd@hanson-inc.com"/>
  </r>
  <r>
    <n v="600"/>
    <s v="M"/>
    <s v="Monitor"/>
    <x v="2"/>
    <n v="21"/>
    <n v="1"/>
    <n v="1"/>
    <n v="21"/>
    <n v="114.97499999999999"/>
    <n v="12.257868782138575"/>
    <n v="1.8907563025210084E-3"/>
    <n v="392.31098426888508"/>
    <n v="6.4515282979309817E-3"/>
    <s v="VTU3-20"/>
    <n v="0"/>
    <x v="3"/>
    <s v="Mar 12, 2018 @ 19:22"/>
    <s v="Mar 12, 2018 @ 19:16"/>
    <s v="mcoalson@hanson-inc.com"/>
  </r>
  <r>
    <n v="608"/>
    <s v="M"/>
    <s v="Monitor"/>
    <x v="2"/>
    <n v="21"/>
    <n v="1"/>
    <n v="1"/>
    <n v="21"/>
    <n v="114.97499999999999"/>
    <n v="12.257868782138575"/>
    <n v="1.8907563025210084E-3"/>
    <n v="392.31098426888508"/>
    <n v="6.4515282979309817E-3"/>
    <s v="VTU3-20"/>
    <n v="0"/>
    <x v="3"/>
    <s v="Mar 12, 2018 @ 19:23"/>
    <s v="Mar 12, 2018 @ 19:17"/>
    <s v="mcoalson@hanson-inc.com"/>
  </r>
  <r>
    <n v="610"/>
    <s v="M"/>
    <s v="Monitor"/>
    <x v="2"/>
    <n v="21"/>
    <n v="1"/>
    <n v="1"/>
    <n v="21"/>
    <n v="114.97499999999999"/>
    <n v="12.257868782138575"/>
    <n v="1.8907563025210084E-3"/>
    <n v="392.31098426888508"/>
    <n v="6.4515282979309817E-3"/>
    <s v="VTU3-20"/>
    <n v="0"/>
    <x v="3"/>
    <s v="Mar 12, 2018 @ 19:23"/>
    <s v="Mar 12, 2018 @ 19:17"/>
    <s v="mcoalson@hanson-inc.com"/>
  </r>
  <r>
    <n v="616"/>
    <s v="M"/>
    <s v="Monitor"/>
    <x v="2"/>
    <n v="21"/>
    <n v="1"/>
    <n v="1"/>
    <n v="21"/>
    <n v="114.97499999999999"/>
    <n v="12.257868782138575"/>
    <n v="1.8907563025210084E-3"/>
    <n v="392.31098426888508"/>
    <n v="6.4515282979309817E-3"/>
    <s v="VTU3-20"/>
    <n v="0"/>
    <x v="3"/>
    <s v="Mar 12, 2018 @ 19:18"/>
    <s v="Mar 12, 2018 @ 19:18"/>
    <s v="nboyd@hanson-inc.com"/>
  </r>
  <r>
    <n v="617"/>
    <s v="M"/>
    <s v="Monitor"/>
    <x v="2"/>
    <n v="21"/>
    <n v="1"/>
    <n v="1"/>
    <n v="21"/>
    <n v="114.97499999999999"/>
    <n v="12.257868782138575"/>
    <n v="1.8907563025210084E-3"/>
    <n v="392.31098426888508"/>
    <n v="6.4515282979309817E-3"/>
    <s v="VTU3-20"/>
    <n v="0"/>
    <x v="3"/>
    <s v="Mar 12, 2018 @ 19:18"/>
    <s v="Mar 12, 2018 @ 19:18"/>
    <s v="nboyd@hanson-inc.com"/>
  </r>
  <r>
    <n v="621"/>
    <s v="M"/>
    <s v="Monitor"/>
    <x v="2"/>
    <n v="21"/>
    <n v="1"/>
    <n v="1"/>
    <n v="21"/>
    <n v="114.97499999999999"/>
    <n v="12.257868782138575"/>
    <n v="1.8907563025210084E-3"/>
    <n v="392.31098426888508"/>
    <n v="6.4515282979309817E-3"/>
    <s v="VTU3-20"/>
    <n v="0"/>
    <x v="3"/>
    <s v="Mar 12, 2018 @ 19:28"/>
    <s v="Mar 12, 2018 @ 19:21"/>
    <s v="mcoalson@hanson-inc.com"/>
  </r>
  <r>
    <n v="623"/>
    <s v="M"/>
    <s v="Monitor"/>
    <x v="2"/>
    <n v="21"/>
    <n v="1"/>
    <n v="1"/>
    <n v="21"/>
    <n v="114.97499999999999"/>
    <n v="12.257868782138575"/>
    <n v="1.8907563025210084E-3"/>
    <n v="392.31098426888508"/>
    <n v="6.4515282979309817E-3"/>
    <s v="VTU3-20"/>
    <n v="0"/>
    <x v="3"/>
    <s v="Mar 12, 2018 @ 19:28"/>
    <s v="Mar 12, 2018 @ 19:22"/>
    <s v="mcoalson@hanson-inc.com"/>
  </r>
  <r>
    <n v="964"/>
    <s v="HT"/>
    <s v="Personal heater"/>
    <x v="99"/>
    <n v="1500"/>
    <n v="1"/>
    <n v="0.2"/>
    <n v="1500"/>
    <n v="1642.5"/>
    <n v="175.11241117340822"/>
    <n v="2.7010804321728692E-2"/>
    <n v="5604.4426324126443"/>
    <n v="9.2164689970442609E-2"/>
    <s v="1st Floor"/>
    <n v="0"/>
    <x v="3"/>
    <s v="Mar 14, 2018 @ 15:53"/>
    <s v="Mar 14, 2018 @ 15:53"/>
    <s v="nboyd@hanson-inc.com"/>
  </r>
  <r>
    <n v="1024"/>
    <s v="HT"/>
    <s v="Personal heater"/>
    <x v="100"/>
    <n v="1200"/>
    <n v="1"/>
    <n v="0.2"/>
    <n v="1200"/>
    <n v="1314"/>
    <n v="140.08992893872659"/>
    <n v="2.1608643457382955E-2"/>
    <n v="4483.5541059301149"/>
    <n v="7.3731751976354079E-2"/>
    <s v="1st Floor"/>
    <n v="0"/>
    <x v="3"/>
    <s v="Mar 14, 2018 @ 16:04"/>
    <s v="Mar 14, 2018 @ 16:04"/>
    <s v="nboyd@hanson-inc.com"/>
  </r>
  <r>
    <n v="1085"/>
    <s v="HT"/>
    <s v="Personal heater"/>
    <x v="2"/>
    <n v="1350"/>
    <n v="1"/>
    <n v="0.2"/>
    <n v="1350"/>
    <n v="1478.25"/>
    <n v="157.60117005606742"/>
    <n v="2.4309723889555823E-2"/>
    <n v="5043.9983691713796"/>
    <n v="8.2948220973398337E-2"/>
    <s v="1st Floor"/>
    <n v="0"/>
    <x v="3"/>
    <s v="Mar 14, 2018 @ 16:28"/>
    <s v="Mar 14, 2018 @ 16:28"/>
    <s v="mcoalson@hanson-inc.com"/>
  </r>
  <r>
    <n v="1087"/>
    <s v="HT"/>
    <s v="Personal heater"/>
    <x v="99"/>
    <n v="1500"/>
    <n v="1"/>
    <n v="0.2"/>
    <n v="1500"/>
    <n v="1642.5"/>
    <n v="175.11241117340822"/>
    <n v="2.7010804321728692E-2"/>
    <n v="5604.4426324126443"/>
    <n v="9.2164689970442609E-2"/>
    <s v="1st Floor"/>
    <n v="0"/>
    <x v="3"/>
    <s v="Mar 14, 2018 @ 16:28"/>
    <s v="Mar 14, 2018 @ 16:29"/>
    <s v="nboyd@hanson-inc.com"/>
  </r>
  <r>
    <n v="682"/>
    <s v="HT"/>
    <s v="Personal heater"/>
    <x v="99"/>
    <n v="1500"/>
    <n v="1"/>
    <n v="0.2"/>
    <n v="1500"/>
    <n v="1642.5"/>
    <n v="175.11241117340822"/>
    <n v="2.7010804321728692E-2"/>
    <n v="5604.4426324126443"/>
    <n v="9.2164689970442609E-2"/>
    <s v="2nd Floor"/>
    <n v="0"/>
    <x v="3"/>
    <s v="Mar 14, 2018 @ 13:25"/>
    <s v="Mar 14, 2018 @ 13:25"/>
    <s v="nboyd@hanson-inc.com"/>
  </r>
  <r>
    <n v="849"/>
    <s v="HT"/>
    <s v="Personal heater"/>
    <x v="2"/>
    <n v="1350"/>
    <n v="1"/>
    <n v="0.2"/>
    <n v="1350"/>
    <n v="1478.25"/>
    <n v="157.60117005606742"/>
    <n v="2.4309723889555823E-2"/>
    <n v="5043.9983691713796"/>
    <n v="8.2948220973398337E-2"/>
    <s v="2nd Floor"/>
    <n v="1"/>
    <x v="3"/>
    <s v="Mar 14, 2018 @ 14:54"/>
    <s v="Mar 14, 2018 @ 14:55"/>
    <s v="mcoalson@hanson-inc.com"/>
  </r>
  <r>
    <n v="58"/>
    <s v="HT"/>
    <s v="Personal heater"/>
    <x v="99"/>
    <n v="1500"/>
    <n v="1"/>
    <n v="0.2"/>
    <n v="1500"/>
    <n v="1642.5"/>
    <n v="175.11241117340822"/>
    <n v="2.7010804321728692E-2"/>
    <n v="5604.4426324126443"/>
    <n v="9.2164689970442609E-2"/>
    <s v="VTU3-20"/>
    <n v="0"/>
    <x v="3"/>
    <s v="Mar 12, 2018 @ 14:13"/>
    <s v="Mar 12, 2018 @ 14:14"/>
    <s v="nboyd@hanson-inc.com"/>
  </r>
  <r>
    <n v="277"/>
    <s v="HT"/>
    <s v="Personal heater"/>
    <x v="99"/>
    <n v="1500"/>
    <n v="1"/>
    <n v="0.2"/>
    <n v="1500"/>
    <n v="1642.5"/>
    <n v="175.11241117340822"/>
    <n v="2.7010804321728692E-2"/>
    <n v="5604.4426324126443"/>
    <n v="9.2164689970442609E-2"/>
    <s v="VTU3-20"/>
    <n v="0"/>
    <x v="3"/>
    <s v="Mar 12, 2018 @ 15:16"/>
    <s v="Mar 12, 2018 @ 15:16"/>
    <s v="nboyd@hanson-inc.com"/>
  </r>
  <r>
    <n v="510"/>
    <s v="HT"/>
    <s v="Personal heater"/>
    <x v="101"/>
    <n v="200"/>
    <n v="1"/>
    <n v="0.2"/>
    <n v="200"/>
    <n v="219"/>
    <n v="23.348321489787764"/>
    <n v="3.6014405762304922E-3"/>
    <n v="747.25901765501919"/>
    <n v="1.2288625329392346E-2"/>
    <s v="VTU3-20"/>
    <n v="0"/>
    <x v="3"/>
    <s v="Mar 12, 2018 @ 19:05"/>
    <s v="Mar 12, 2018 @ 19:06"/>
    <s v="nboyd@hanson-inc.com"/>
  </r>
  <r>
    <n v="687"/>
    <s v="PH"/>
    <s v="Phone"/>
    <x v="2"/>
    <n v="5"/>
    <n v="1"/>
    <n v="1"/>
    <n v="5"/>
    <n v="27.375"/>
    <n v="2.9185401862234706"/>
    <n v="4.5018007202881152E-4"/>
    <n v="93.407377206877399"/>
    <n v="1.5360781661740432E-3"/>
    <s v="2nd Floor"/>
    <n v="0"/>
    <x v="3"/>
    <s v="Mar 14, 2018 @ 13:26"/>
    <s v="Mar 14, 2018 @ 13:26"/>
    <s v="mcoalson@hanson-inc.com"/>
  </r>
  <r>
    <n v="764"/>
    <s v="PH"/>
    <s v="Phone"/>
    <x v="2"/>
    <n v="5"/>
    <n v="1"/>
    <n v="1"/>
    <n v="5"/>
    <n v="27.375"/>
    <n v="2.9185401862234706"/>
    <n v="4.5018007202881152E-4"/>
    <n v="93.407377206877399"/>
    <n v="1.5360781661740432E-3"/>
    <s v="2nd Floor"/>
    <n v="0"/>
    <x v="3"/>
    <s v="Mar 14, 2018 @ 14:15"/>
    <s v="Mar 14, 2018 @ 14:15"/>
    <s v="mcoalson@hanson-inc.com"/>
  </r>
  <r>
    <n v="779"/>
    <s v="PH"/>
    <s v="Phone"/>
    <x v="2"/>
    <n v="5"/>
    <n v="1"/>
    <n v="1"/>
    <n v="5"/>
    <n v="27.375"/>
    <n v="2.9185401862234706"/>
    <n v="4.5018007202881152E-4"/>
    <n v="93.407377206877399"/>
    <n v="1.5360781661740432E-3"/>
    <s v="2nd Floor"/>
    <n v="0"/>
    <x v="3"/>
    <s v="Mar 14, 2018 @ 14:19"/>
    <s v="Mar 14, 2018 @ 14:19"/>
    <s v="mcoalson@hanson-inc.com"/>
  </r>
  <r>
    <n v="914"/>
    <s v="MS"/>
    <s v="Miscellaneous"/>
    <x v="102"/>
    <m/>
    <m/>
    <m/>
    <n v="0"/>
    <n v="0"/>
    <n v="0"/>
    <n v="0"/>
    <n v="0"/>
    <n v="0"/>
    <s v="1st Floor"/>
    <n v="1"/>
    <x v="2"/>
    <s v="Mar 14, 2018 @ 15:20"/>
    <s v="Mar 14, 2018 @ 15:20"/>
    <s v="nboyd@hanson-inc.com"/>
  </r>
  <r>
    <n v="939"/>
    <s v="MS"/>
    <s v="Miscellaneous"/>
    <x v="2"/>
    <m/>
    <m/>
    <m/>
    <n v="0"/>
    <n v="0"/>
    <n v="0"/>
    <n v="0"/>
    <n v="0"/>
    <n v="0"/>
    <s v="1st Floor"/>
    <n v="2"/>
    <x v="2"/>
    <s v="Mar 14, 2018 @ 15:47"/>
    <s v="Mar 14, 2018 @ 15:48"/>
    <s v="mcoalson@hanson-inc.com"/>
  </r>
  <r>
    <n v="782"/>
    <s v="PH"/>
    <s v="Phone"/>
    <x v="2"/>
    <n v="5"/>
    <n v="1"/>
    <n v="1"/>
    <n v="5"/>
    <n v="27.375"/>
    <n v="2.9185401862234706"/>
    <n v="4.5018007202881152E-4"/>
    <n v="93.407377206877399"/>
    <n v="1.5360781661740432E-3"/>
    <s v="2nd Floor"/>
    <n v="0"/>
    <x v="3"/>
    <s v="Mar 14, 2018 @ 14:22"/>
    <s v="Mar 14, 2018 @ 14:22"/>
    <s v="mcoalson@hanson-inc.com"/>
  </r>
  <r>
    <n v="847"/>
    <s v="PH"/>
    <s v="Phone"/>
    <x v="2"/>
    <n v="5"/>
    <n v="1"/>
    <n v="1"/>
    <n v="5"/>
    <n v="27.375"/>
    <n v="2.9185401862234706"/>
    <n v="4.5018007202881152E-4"/>
    <n v="93.407377206877399"/>
    <n v="1.5360781661740432E-3"/>
    <s v="2nd Floor"/>
    <n v="0"/>
    <x v="3"/>
    <s v="Mar 14, 2018 @ 14:54"/>
    <s v="Mar 14, 2018 @ 14:54"/>
    <s v="mcoalson@hanson-inc.com"/>
  </r>
  <r>
    <n v="861"/>
    <s v="PH"/>
    <s v="Phone"/>
    <x v="2"/>
    <n v="5"/>
    <n v="1"/>
    <n v="1"/>
    <n v="5"/>
    <n v="27.375"/>
    <n v="2.9185401862234706"/>
    <n v="4.5018007202881152E-4"/>
    <n v="93.407377206877399"/>
    <n v="1.5360781661740432E-3"/>
    <s v="2nd Floor"/>
    <n v="0"/>
    <x v="3"/>
    <s v="Mar 14, 2018 @ 14:57"/>
    <s v="Mar 14, 2018 @ 14:57"/>
    <s v="mcoalson@hanson-inc.com"/>
  </r>
  <r>
    <n v="23"/>
    <s v="PH"/>
    <s v="Phone"/>
    <x v="2"/>
    <n v="5"/>
    <n v="1"/>
    <n v="1"/>
    <n v="5"/>
    <n v="27.375"/>
    <n v="2.9185401862234706"/>
    <n v="4.5018007202881152E-4"/>
    <n v="93.407377206877399"/>
    <n v="1.5360781661740432E-3"/>
    <s v="VTU3-20"/>
    <n v="0"/>
    <x v="3"/>
    <s v="Mar 12, 2018 @ 14:12"/>
    <s v="Mar 12, 2018 @ 14:05"/>
    <s v="mcoalson@hanson-inc.com"/>
  </r>
  <r>
    <n v="1101"/>
    <s v="MS"/>
    <s v="Miscellaneous"/>
    <x v="103"/>
    <m/>
    <m/>
    <m/>
    <n v="0"/>
    <n v="0"/>
    <n v="0"/>
    <n v="0"/>
    <n v="0"/>
    <n v="0"/>
    <s v="1st Floor"/>
    <n v="2"/>
    <x v="2"/>
    <s v="Mar 14, 2018 @ 17:44"/>
    <s v="Mar 14, 2018 @ 17:45"/>
    <s v="mcoalson@hanson-inc.com"/>
  </r>
  <r>
    <n v="1103"/>
    <s v="MS"/>
    <s v="Miscellaneous"/>
    <x v="104"/>
    <m/>
    <m/>
    <m/>
    <n v="0"/>
    <n v="0"/>
    <n v="0"/>
    <n v="0"/>
    <n v="0"/>
    <n v="0"/>
    <s v="1st Floor"/>
    <n v="2"/>
    <x v="2"/>
    <s v="Mar 14, 2018 @ 17:45"/>
    <s v="Mar 14, 2018 @ 17:46"/>
    <s v="mcoalson@hanson-inc.com"/>
  </r>
  <r>
    <n v="1104"/>
    <s v="MS"/>
    <s v="Miscellaneous"/>
    <x v="105"/>
    <m/>
    <m/>
    <m/>
    <n v="0"/>
    <n v="0"/>
    <n v="0"/>
    <n v="0"/>
    <n v="0"/>
    <n v="0"/>
    <s v="1st Floor"/>
    <n v="1"/>
    <x v="2"/>
    <s v="Mar 14, 2018 @ 17:57"/>
    <s v="Mar 14, 2018 @ 19:36"/>
    <s v="mcoalson@hanson-inc.com"/>
  </r>
  <r>
    <n v="1105"/>
    <s v="MS"/>
    <s v="Miscellaneous"/>
    <x v="106"/>
    <m/>
    <m/>
    <m/>
    <n v="0"/>
    <n v="0"/>
    <n v="0"/>
    <n v="0"/>
    <n v="0"/>
    <n v="0"/>
    <s v="1st Floor"/>
    <n v="0"/>
    <x v="2"/>
    <s v="Mar 16, 2018 @ 15:35"/>
    <s v="Mar 16, 2018 @ 15:37"/>
    <s v="mcoalson@hanson-inc.com"/>
  </r>
  <r>
    <n v="1106"/>
    <s v="MS"/>
    <s v="Miscellaneous"/>
    <x v="107"/>
    <m/>
    <m/>
    <m/>
    <n v="0"/>
    <n v="0"/>
    <n v="0"/>
    <n v="0"/>
    <n v="0"/>
    <n v="0"/>
    <s v="1st Floor"/>
    <n v="0"/>
    <x v="2"/>
    <s v="Mar 16, 2018 @ 15:43"/>
    <s v="Mar 16, 2018 @ 15:45"/>
    <s v="mcoalson@hanson-inc.com"/>
  </r>
  <r>
    <n v="40"/>
    <s v="PH"/>
    <s v="Phone"/>
    <x v="2"/>
    <n v="5"/>
    <n v="1"/>
    <n v="1"/>
    <n v="5"/>
    <n v="27.375"/>
    <n v="2.9185401862234706"/>
    <n v="4.5018007202881152E-4"/>
    <n v="93.407377206877399"/>
    <n v="1.5360781661740432E-3"/>
    <s v="VTU3-20"/>
    <n v="0"/>
    <x v="3"/>
    <s v="Mar 12, 2018 @ 14:16"/>
    <s v="Mar 12, 2018 @ 14:09"/>
    <s v="mcoalson@hanson-inc.com"/>
  </r>
  <r>
    <n v="46"/>
    <s v="PH"/>
    <s v="Phone"/>
    <x v="2"/>
    <n v="5"/>
    <n v="1"/>
    <n v="1"/>
    <n v="5"/>
    <n v="27.375"/>
    <n v="2.9185401862234706"/>
    <n v="4.5018007202881152E-4"/>
    <n v="93.407377206877399"/>
    <n v="1.5360781661740432E-3"/>
    <s v="VTU3-20"/>
    <n v="0"/>
    <x v="3"/>
    <s v="Mar 12, 2018 @ 14:17"/>
    <s v="Mar 12, 2018 @ 14:11"/>
    <s v="mcoalson@hanson-inc.com"/>
  </r>
  <r>
    <n v="56"/>
    <s v="PH"/>
    <s v="Phone"/>
    <x v="2"/>
    <n v="5"/>
    <n v="1"/>
    <n v="1"/>
    <n v="5"/>
    <n v="27.375"/>
    <n v="2.9185401862234706"/>
    <n v="4.5018007202881152E-4"/>
    <n v="93.407377206877399"/>
    <n v="1.5360781661740432E-3"/>
    <s v="VTU3-20"/>
    <n v="0"/>
    <x v="3"/>
    <s v="Mar 12, 2018 @ 14:19"/>
    <s v="Mar 12, 2018 @ 14:13"/>
    <s v="mcoalson@hanson-inc.com"/>
  </r>
  <r>
    <n v="86"/>
    <s v="PH"/>
    <s v="Phone"/>
    <x v="2"/>
    <n v="5"/>
    <n v="1"/>
    <n v="1"/>
    <n v="5"/>
    <n v="27.375"/>
    <n v="2.9185401862234706"/>
    <n v="4.5018007202881152E-4"/>
    <n v="93.407377206877399"/>
    <n v="1.5360781661740432E-3"/>
    <s v="VTU3-20"/>
    <n v="0"/>
    <x v="3"/>
    <s v="Mar 12, 2018 @ 14:32"/>
    <s v="Mar 12, 2018 @ 14:25"/>
    <s v="mcoalson@hanson-inc.com"/>
  </r>
  <r>
    <n v="96"/>
    <s v="PH"/>
    <s v="Phone"/>
    <x v="2"/>
    <n v="5"/>
    <n v="1"/>
    <n v="1"/>
    <n v="5"/>
    <n v="27.375"/>
    <n v="2.9185401862234706"/>
    <n v="4.5018007202881152E-4"/>
    <n v="93.407377206877399"/>
    <n v="1.5360781661740432E-3"/>
    <s v="VTU3-20"/>
    <n v="0"/>
    <x v="3"/>
    <s v="Mar 12, 2018 @ 14:35"/>
    <s v="Mar 12, 2018 @ 14:28"/>
    <s v="mcoalson@hanson-inc.com"/>
  </r>
  <r>
    <n v="742"/>
    <s v="MS"/>
    <s v="Miscellaneous"/>
    <x v="108"/>
    <m/>
    <m/>
    <m/>
    <n v="0"/>
    <n v="0"/>
    <n v="0"/>
    <n v="0"/>
    <n v="0"/>
    <n v="0"/>
    <s v="2nd Floor"/>
    <n v="2"/>
    <x v="2"/>
    <s v="Mar 14, 2018 @ 14:00"/>
    <s v="Mar 14, 2018 @ 14:04"/>
    <s v="mcoalson@hanson-inc.com"/>
  </r>
  <r>
    <n v="788"/>
    <s v="MS"/>
    <s v="Miscellaneous"/>
    <x v="108"/>
    <m/>
    <m/>
    <m/>
    <n v="0"/>
    <n v="0"/>
    <n v="0"/>
    <n v="0"/>
    <n v="0"/>
    <n v="0"/>
    <s v="2nd Floor"/>
    <n v="0"/>
    <x v="2"/>
    <s v="Mar 14, 2018 @ 14:32"/>
    <s v="Mar 14, 2018 @ 14:32"/>
    <s v="mcoalson@hanson-inc.com"/>
  </r>
  <r>
    <n v="123"/>
    <s v="PH"/>
    <s v="Phone"/>
    <x v="2"/>
    <n v="5"/>
    <n v="1"/>
    <n v="1"/>
    <n v="5"/>
    <n v="27.375"/>
    <n v="2.9185401862234706"/>
    <n v="4.5018007202881152E-4"/>
    <n v="93.407377206877399"/>
    <n v="1.5360781661740432E-3"/>
    <s v="VTU3-20"/>
    <n v="0"/>
    <x v="3"/>
    <s v="Mar 12, 2018 @ 14:38"/>
    <s v="Mar 12, 2018 @ 14:32"/>
    <s v="mcoalson@hanson-inc.com"/>
  </r>
  <r>
    <n v="135"/>
    <s v="PH"/>
    <s v="Phone"/>
    <x v="2"/>
    <n v="5"/>
    <n v="1"/>
    <n v="1"/>
    <n v="5"/>
    <n v="27.375"/>
    <n v="2.9185401862234706"/>
    <n v="4.5018007202881152E-4"/>
    <n v="93.407377206877399"/>
    <n v="1.5360781661740432E-3"/>
    <s v="VTU3-20"/>
    <n v="0"/>
    <x v="3"/>
    <s v="Mar 12, 2018 @ 14:41"/>
    <s v="Mar 12, 2018 @ 14:34"/>
    <s v="mcoalson@hanson-inc.com"/>
  </r>
  <r>
    <n v="800"/>
    <s v="MS"/>
    <s v="Miscellaneous"/>
    <x v="108"/>
    <m/>
    <m/>
    <m/>
    <n v="0"/>
    <n v="0"/>
    <n v="0"/>
    <n v="0"/>
    <n v="0"/>
    <n v="0"/>
    <s v="2nd Floor"/>
    <n v="0"/>
    <x v="2"/>
    <s v="Mar 14, 2018 @ 14:39"/>
    <s v="Mar 14, 2018 @ 14:39"/>
    <s v="mcoalson@hanson-inc.com"/>
  </r>
  <r>
    <n v="157"/>
    <s v="PH"/>
    <s v="Phone"/>
    <x v="2"/>
    <n v="5"/>
    <n v="1"/>
    <n v="1"/>
    <n v="5"/>
    <n v="27.375"/>
    <n v="2.9185401862234706"/>
    <n v="4.5018007202881152E-4"/>
    <n v="93.407377206877399"/>
    <n v="1.5360781661740432E-3"/>
    <s v="VTU3-20"/>
    <n v="0"/>
    <x v="3"/>
    <s v="Mar 12, 2018 @ 14:45"/>
    <s v="Mar 12, 2018 @ 14:38"/>
    <s v="mcoalson@hanson-inc.com"/>
  </r>
  <r>
    <n v="180"/>
    <s v="PH"/>
    <s v="Phone"/>
    <x v="2"/>
    <n v="5"/>
    <n v="1"/>
    <n v="1"/>
    <n v="5"/>
    <n v="27.375"/>
    <n v="2.9185401862234706"/>
    <n v="4.5018007202881152E-4"/>
    <n v="93.407377206877399"/>
    <n v="1.5360781661740432E-3"/>
    <s v="VTU3-20"/>
    <n v="0"/>
    <x v="3"/>
    <s v="Mar 12, 2018 @ 14:50"/>
    <s v="Mar 12, 2018 @ 14:44"/>
    <s v="mcoalson@hanson-inc.com"/>
  </r>
  <r>
    <n v="1107"/>
    <s v="MS"/>
    <s v="Miscellaneous"/>
    <x v="109"/>
    <m/>
    <m/>
    <m/>
    <n v="0"/>
    <n v="0"/>
    <n v="0"/>
    <n v="0"/>
    <n v="0"/>
    <n v="0"/>
    <s v="2nd Floor"/>
    <n v="0"/>
    <x v="2"/>
    <s v="Mar 16, 2018 @ 15:46"/>
    <s v="Mar 16, 2018 @ 15:56"/>
    <s v="mcoalson@hanson-inc.com"/>
  </r>
  <r>
    <n v="1108"/>
    <s v="MS"/>
    <s v="Miscellaneous"/>
    <x v="110"/>
    <m/>
    <m/>
    <m/>
    <n v="0"/>
    <n v="0"/>
    <n v="0"/>
    <n v="0"/>
    <n v="0"/>
    <n v="0"/>
    <s v="2nd Floor"/>
    <n v="0"/>
    <x v="2"/>
    <s v="Mar 16, 2018 @ 15:56"/>
    <s v="Mar 16, 2018 @ 15:57"/>
    <s v="mcoalson@hanson-inc.com"/>
  </r>
  <r>
    <n v="188"/>
    <s v="PH"/>
    <s v="Phone"/>
    <x v="2"/>
    <n v="5"/>
    <n v="1"/>
    <n v="1"/>
    <n v="5"/>
    <n v="27.375"/>
    <n v="2.9185401862234706"/>
    <n v="4.5018007202881152E-4"/>
    <n v="93.407377206877399"/>
    <n v="1.5360781661740432E-3"/>
    <s v="VTU3-20"/>
    <n v="0"/>
    <x v="3"/>
    <s v="Mar 12, 2018 @ 14:52"/>
    <s v="Mar 12, 2018 @ 14:45"/>
    <s v="mcoalson@hanson-inc.com"/>
  </r>
  <r>
    <n v="194"/>
    <s v="PH"/>
    <s v="Phone"/>
    <x v="2"/>
    <n v="5"/>
    <n v="1"/>
    <n v="1"/>
    <n v="5"/>
    <n v="27.375"/>
    <n v="2.9185401862234706"/>
    <n v="4.5018007202881152E-4"/>
    <n v="93.407377206877399"/>
    <n v="1.5360781661740432E-3"/>
    <s v="VTU3-20"/>
    <n v="0"/>
    <x v="3"/>
    <s v="Mar 12, 2018 @ 14:53"/>
    <s v="Mar 12, 2018 @ 14:46"/>
    <s v="mcoalson@hanson-inc.com"/>
  </r>
  <r>
    <n v="217"/>
    <s v="PH"/>
    <s v="Phone"/>
    <x v="2"/>
    <n v="5"/>
    <n v="1"/>
    <n v="1"/>
    <n v="5"/>
    <n v="27.375"/>
    <n v="2.9185401862234706"/>
    <n v="4.5018007202881152E-4"/>
    <n v="93.407377206877399"/>
    <n v="1.5360781661740432E-3"/>
    <s v="VTU3-20"/>
    <n v="0"/>
    <x v="3"/>
    <s v="Mar 12, 2018 @ 14:57"/>
    <s v="Mar 12, 2018 @ 14:50"/>
    <s v="mcoalson@hanson-inc.com"/>
  </r>
  <r>
    <n v="319"/>
    <s v="MS"/>
    <s v="Miscellaneous"/>
    <x v="111"/>
    <m/>
    <m/>
    <m/>
    <n v="0"/>
    <n v="0"/>
    <n v="0"/>
    <n v="0"/>
    <n v="0"/>
    <n v="0"/>
    <s v="VTU3-20"/>
    <n v="0"/>
    <x v="2"/>
    <s v="Mar 12, 2018 @ 15:40"/>
    <s v="Mar 12, 2018 @ 18:29"/>
    <s v="mcoalson@hanson-inc.com"/>
  </r>
  <r>
    <n v="272"/>
    <s v="PH"/>
    <s v="Phone"/>
    <x v="2"/>
    <n v="5"/>
    <n v="1"/>
    <n v="1"/>
    <n v="5"/>
    <n v="27.375"/>
    <n v="2.9185401862234706"/>
    <n v="4.5018007202881152E-4"/>
    <n v="93.407377206877399"/>
    <n v="1.5360781661740432E-3"/>
    <s v="VTU3-20"/>
    <n v="0"/>
    <x v="3"/>
    <s v="Mar 12, 2018 @ 15:20"/>
    <s v="Mar 12, 2018 @ 15:14"/>
    <s v="mcoalson@hanson-inc.com"/>
  </r>
  <r>
    <n v="1109"/>
    <s v="MS"/>
    <s v="Miscellaneous"/>
    <x v="112"/>
    <m/>
    <m/>
    <m/>
    <n v="0"/>
    <n v="0"/>
    <n v="0"/>
    <n v="0"/>
    <n v="0"/>
    <n v="0"/>
    <s v="VTU3-20"/>
    <n v="0"/>
    <x v="2"/>
    <s v="Mar 16, 2018 @ 16:07"/>
    <s v="Mar 16, 2018 @ 16:11"/>
    <s v="mcoalson@hanson-inc.com"/>
  </r>
  <r>
    <n v="1110"/>
    <s v="MS"/>
    <s v="Miscellaneous"/>
    <x v="113"/>
    <m/>
    <m/>
    <m/>
    <n v="0"/>
    <n v="0"/>
    <n v="0"/>
    <n v="0"/>
    <n v="0"/>
    <n v="0"/>
    <s v="VTU3-20"/>
    <n v="0"/>
    <x v="2"/>
    <s v="Mar 16, 2018 @ 16:11"/>
    <s v="Mar 16, 2018 @ 16:15"/>
    <s v="mcoalson@hanson-inc.com"/>
  </r>
  <r>
    <n v="293"/>
    <s v="PH"/>
    <s v="Phone"/>
    <x v="2"/>
    <n v="5"/>
    <n v="1"/>
    <n v="1"/>
    <n v="5"/>
    <n v="27.375"/>
    <n v="2.9185401862234706"/>
    <n v="4.5018007202881152E-4"/>
    <n v="93.407377206877399"/>
    <n v="1.5360781661740432E-3"/>
    <s v="VTU3-20"/>
    <n v="0"/>
    <x v="3"/>
    <s v="Mar 12, 2018 @ 15:26"/>
    <s v="Mar 12, 2018 @ 18:28"/>
    <s v="mcoalson@hanson-inc.com"/>
  </r>
  <r>
    <n v="316"/>
    <s v="PH"/>
    <s v="Phone"/>
    <x v="2"/>
    <n v="5"/>
    <n v="1"/>
    <n v="1"/>
    <n v="5"/>
    <n v="27.375"/>
    <n v="2.9185401862234706"/>
    <n v="4.5018007202881152E-4"/>
    <n v="93.407377206877399"/>
    <n v="1.5360781661740432E-3"/>
    <s v="VTU3-20"/>
    <n v="0"/>
    <x v="3"/>
    <s v="Mar 12, 2018 @ 15:40"/>
    <s v="Mar 12, 2018 @ 18:29"/>
    <s v="mcoalson@hanson-inc.com"/>
  </r>
  <r>
    <n v="324"/>
    <s v="PH"/>
    <s v="Phone"/>
    <x v="2"/>
    <n v="5"/>
    <n v="1"/>
    <n v="1"/>
    <n v="5"/>
    <n v="27.375"/>
    <n v="2.9185401862234706"/>
    <n v="4.5018007202881152E-4"/>
    <n v="93.407377206877399"/>
    <n v="1.5360781661740432E-3"/>
    <s v="VTU3-20"/>
    <n v="0"/>
    <x v="3"/>
    <s v="Mar 12, 2018 @ 15:42"/>
    <s v="Mar 12, 2018 @ 18:29"/>
    <s v="mcoalson@hanson-inc.com"/>
  </r>
  <r>
    <n v="330"/>
    <s v="PH"/>
    <s v="Phone"/>
    <x v="2"/>
    <n v="5"/>
    <n v="1"/>
    <n v="1"/>
    <n v="5"/>
    <n v="27.375"/>
    <n v="2.9185401862234706"/>
    <n v="4.5018007202881152E-4"/>
    <n v="93.407377206877399"/>
    <n v="1.5360781661740432E-3"/>
    <s v="VTU3-20"/>
    <n v="0"/>
    <x v="3"/>
    <s v="Mar 12, 2018 @ 15:43"/>
    <s v="Mar 12, 2018 @ 18:29"/>
    <s v="mcoalson@hanson-inc.com"/>
  </r>
  <r>
    <n v="335"/>
    <s v="PH"/>
    <s v="Phone"/>
    <x v="2"/>
    <n v="5"/>
    <n v="1"/>
    <n v="1"/>
    <n v="5"/>
    <n v="27.375"/>
    <n v="2.9185401862234706"/>
    <n v="4.5018007202881152E-4"/>
    <n v="93.407377206877399"/>
    <n v="1.5360781661740432E-3"/>
    <s v="VTU3-20"/>
    <n v="0"/>
    <x v="3"/>
    <s v="Mar 12, 2018 @ 15:45"/>
    <s v="Mar 12, 2018 @ 18:29"/>
    <s v="mcoalson@hanson-inc.com"/>
  </r>
  <r>
    <n v="339"/>
    <s v="PH"/>
    <s v="Phone"/>
    <x v="2"/>
    <n v="5"/>
    <n v="1"/>
    <n v="1"/>
    <n v="5"/>
    <n v="27.375"/>
    <n v="2.9185401862234706"/>
    <n v="4.5018007202881152E-4"/>
    <n v="93.407377206877399"/>
    <n v="1.5360781661740432E-3"/>
    <s v="VTU3-20"/>
    <n v="0"/>
    <x v="3"/>
    <s v="Mar 12, 2018 @ 15:47"/>
    <s v="Mar 12, 2018 @ 18:29"/>
    <s v="mcoalson@hanson-inc.com"/>
  </r>
  <r>
    <n v="349"/>
    <s v="PH"/>
    <s v="Phone"/>
    <x v="2"/>
    <n v="5"/>
    <n v="1"/>
    <n v="1"/>
    <n v="5"/>
    <n v="27.375"/>
    <n v="2.9185401862234706"/>
    <n v="4.5018007202881152E-4"/>
    <n v="93.407377206877399"/>
    <n v="1.5360781661740432E-3"/>
    <s v="VTU3-20"/>
    <n v="0"/>
    <x v="3"/>
    <s v="Mar 12, 2018 @ 15:51"/>
    <s v="Mar 12, 2018 @ 18:30"/>
    <s v="mcoalson@hanson-inc.com"/>
  </r>
  <r>
    <n v="354"/>
    <s v="PH"/>
    <s v="Phone"/>
    <x v="2"/>
    <n v="5"/>
    <n v="1"/>
    <n v="1"/>
    <n v="5"/>
    <n v="27.375"/>
    <n v="2.9185401862234706"/>
    <n v="4.5018007202881152E-4"/>
    <n v="93.407377206877399"/>
    <n v="1.5360781661740432E-3"/>
    <s v="VTU3-20"/>
    <n v="0"/>
    <x v="3"/>
    <s v="Mar 12, 2018 @ 15:52"/>
    <s v="Mar 12, 2018 @ 18:30"/>
    <s v="mcoalson@hanson-inc.com"/>
  </r>
  <r>
    <n v="356"/>
    <s v="PH"/>
    <s v="Phone"/>
    <x v="2"/>
    <n v="5"/>
    <n v="1"/>
    <n v="1"/>
    <n v="5"/>
    <n v="27.375"/>
    <n v="2.9185401862234706"/>
    <n v="4.5018007202881152E-4"/>
    <n v="93.407377206877399"/>
    <n v="1.5360781661740432E-3"/>
    <s v="VTU3-20"/>
    <n v="0"/>
    <x v="3"/>
    <s v="Mar 12, 2018 @ 15:53"/>
    <s v="Mar 12, 2018 @ 18:30"/>
    <s v="mcoalson@hanson-inc.com"/>
  </r>
  <r>
    <n v="359"/>
    <s v="PH"/>
    <s v="Phone"/>
    <x v="2"/>
    <n v="5"/>
    <n v="1"/>
    <n v="1"/>
    <n v="5"/>
    <n v="27.375"/>
    <n v="2.9185401862234706"/>
    <n v="4.5018007202881152E-4"/>
    <n v="93.407377206877399"/>
    <n v="1.5360781661740432E-3"/>
    <s v="VTU3-20"/>
    <n v="0"/>
    <x v="3"/>
    <s v="Mar 12, 2018 @ 15:53"/>
    <s v="Mar 12, 2018 @ 18:30"/>
    <s v="mcoalson@hanson-inc.com"/>
  </r>
  <r>
    <n v="366"/>
    <s v="PH"/>
    <s v="Phone"/>
    <x v="2"/>
    <n v="5"/>
    <n v="1"/>
    <n v="1"/>
    <n v="5"/>
    <n v="27.375"/>
    <n v="2.9185401862234706"/>
    <n v="4.5018007202881152E-4"/>
    <n v="93.407377206877399"/>
    <n v="1.5360781661740432E-3"/>
    <s v="VTU3-20"/>
    <n v="0"/>
    <x v="3"/>
    <s v="Mar 12, 2018 @ 15:55"/>
    <s v="Mar 12, 2018 @ 18:30"/>
    <s v="mcoalson@hanson-inc.com"/>
  </r>
  <r>
    <n v="387"/>
    <s v="PH"/>
    <s v="Phone"/>
    <x v="2"/>
    <n v="5"/>
    <n v="1"/>
    <n v="1"/>
    <n v="5"/>
    <n v="27.375"/>
    <n v="2.9185401862234706"/>
    <n v="4.5018007202881152E-4"/>
    <n v="93.407377206877399"/>
    <n v="1.5360781661740432E-3"/>
    <s v="VTU3-20"/>
    <n v="0"/>
    <x v="3"/>
    <s v="Mar 12, 2018 @ 18:40"/>
    <s v="Mar 12, 2018 @ 18:34"/>
    <s v="mcoalson@hanson-inc.com"/>
  </r>
  <r>
    <n v="392"/>
    <s v="PH"/>
    <s v="Phone"/>
    <x v="2"/>
    <n v="5"/>
    <n v="1"/>
    <n v="1"/>
    <n v="5"/>
    <n v="27.375"/>
    <n v="2.9185401862234706"/>
    <n v="4.5018007202881152E-4"/>
    <n v="93.407377206877399"/>
    <n v="1.5360781661740432E-3"/>
    <s v="VTU3-20"/>
    <n v="0"/>
    <x v="3"/>
    <s v="Mar 12, 2018 @ 18:41"/>
    <s v="Mar 12, 2018 @ 18:35"/>
    <s v="mcoalson@hanson-inc.com"/>
  </r>
  <r>
    <n v="399"/>
    <s v="PH"/>
    <s v="Phone"/>
    <x v="2"/>
    <n v="5"/>
    <n v="1"/>
    <n v="1"/>
    <n v="5"/>
    <n v="27.375"/>
    <n v="2.9185401862234706"/>
    <n v="4.5018007202881152E-4"/>
    <n v="93.407377206877399"/>
    <n v="1.5360781661740432E-3"/>
    <s v="VTU3-20"/>
    <n v="0"/>
    <x v="3"/>
    <s v="Mar 12, 2018 @ 18:43"/>
    <s v="Mar 12, 2018 @ 18:36"/>
    <s v="mcoalson@hanson-inc.com"/>
  </r>
  <r>
    <n v="421"/>
    <s v="PH"/>
    <s v="Phone"/>
    <x v="2"/>
    <n v="5"/>
    <n v="1"/>
    <n v="1"/>
    <n v="5"/>
    <n v="27.375"/>
    <n v="2.9185401862234706"/>
    <n v="4.5018007202881152E-4"/>
    <n v="93.407377206877399"/>
    <n v="1.5360781661740432E-3"/>
    <s v="VTU3-20"/>
    <n v="0"/>
    <x v="3"/>
    <s v="Mar 12, 2018 @ 18:47"/>
    <s v="Mar 12, 2018 @ 18:41"/>
    <s v="mcoalson@hanson-inc.com"/>
  </r>
  <r>
    <n v="422"/>
    <s v="PH"/>
    <s v="Phone"/>
    <x v="2"/>
    <n v="5"/>
    <n v="1"/>
    <n v="1"/>
    <n v="5"/>
    <n v="27.375"/>
    <n v="2.9185401862234706"/>
    <n v="4.5018007202881152E-4"/>
    <n v="93.407377206877399"/>
    <n v="1.5360781661740432E-3"/>
    <s v="VTU3-20"/>
    <n v="0"/>
    <x v="3"/>
    <s v="Mar 12, 2018 @ 18:47"/>
    <s v="Mar 12, 2018 @ 18:41"/>
    <s v="mcoalson@hanson-inc.com"/>
  </r>
  <r>
    <n v="460"/>
    <s v="PH"/>
    <s v="Phone"/>
    <x v="2"/>
    <n v="5"/>
    <n v="1"/>
    <n v="1"/>
    <n v="5"/>
    <n v="27.375"/>
    <n v="2.9185401862234706"/>
    <n v="4.5018007202881152E-4"/>
    <n v="93.407377206877399"/>
    <n v="1.5360781661740432E-3"/>
    <s v="VTU3-20"/>
    <n v="0"/>
    <x v="3"/>
    <s v="Mar 12, 2018 @ 19:04"/>
    <s v="Mar 12, 2018 @ 18:58"/>
    <s v="mcoalson@hanson-inc.com"/>
  </r>
  <r>
    <n v="465"/>
    <s v="PH"/>
    <s v="Phone"/>
    <x v="2"/>
    <n v="5"/>
    <n v="1"/>
    <n v="1"/>
    <n v="5"/>
    <n v="27.375"/>
    <n v="2.9185401862234706"/>
    <n v="4.5018007202881152E-4"/>
    <n v="93.407377206877399"/>
    <n v="1.5360781661740432E-3"/>
    <s v="VTU3-20"/>
    <n v="0"/>
    <x v="3"/>
    <s v="Mar 12, 2018 @ 19:06"/>
    <s v="Mar 12, 2018 @ 18:59"/>
    <s v="mcoalson@hanson-inc.com"/>
  </r>
  <r>
    <n v="485"/>
    <s v="PH"/>
    <s v="Phone"/>
    <x v="2"/>
    <n v="5"/>
    <n v="1"/>
    <n v="1"/>
    <n v="5"/>
    <n v="27.375"/>
    <n v="2.9185401862234706"/>
    <n v="4.5018007202881152E-4"/>
    <n v="93.407377206877399"/>
    <n v="1.5360781661740432E-3"/>
    <s v="VTU3-20"/>
    <n v="0"/>
    <x v="3"/>
    <s v="Mar 12, 2018 @ 19:09"/>
    <s v="Mar 12, 2018 @ 19:02"/>
    <s v="mcoalson@hanson-inc.com"/>
  </r>
  <r>
    <n v="486"/>
    <s v="PH"/>
    <s v="Phone"/>
    <x v="2"/>
    <n v="5"/>
    <n v="1"/>
    <n v="1"/>
    <n v="5"/>
    <n v="27.375"/>
    <n v="2.9185401862234706"/>
    <n v="4.5018007202881152E-4"/>
    <n v="93.407377206877399"/>
    <n v="1.5360781661740432E-3"/>
    <s v="VTU3-20"/>
    <n v="0"/>
    <x v="3"/>
    <s v="Mar 12, 2018 @ 19:09"/>
    <s v="Mar 12, 2018 @ 19:03"/>
    <s v="mcoalson@hanson-inc.com"/>
  </r>
  <r>
    <n v="490"/>
    <s v="PH"/>
    <s v="Phone"/>
    <x v="2"/>
    <n v="5"/>
    <n v="1"/>
    <n v="1"/>
    <n v="5"/>
    <n v="27.375"/>
    <n v="2.9185401862234706"/>
    <n v="4.5018007202881152E-4"/>
    <n v="93.407377206877399"/>
    <n v="1.5360781661740432E-3"/>
    <s v="VTU3-20"/>
    <n v="0"/>
    <x v="3"/>
    <s v="Mar 12, 2018 @ 19:10"/>
    <s v="Mar 12, 2018 @ 19:04"/>
    <s v="mcoalson@hanson-inc.com"/>
  </r>
  <r>
    <n v="500"/>
    <s v="PH"/>
    <s v="Phone"/>
    <x v="2"/>
    <n v="5"/>
    <n v="1"/>
    <n v="1"/>
    <n v="5"/>
    <n v="27.375"/>
    <n v="2.9185401862234706"/>
    <n v="4.5018007202881152E-4"/>
    <n v="93.407377206877399"/>
    <n v="1.5360781661740432E-3"/>
    <s v="VTU3-20"/>
    <n v="0"/>
    <x v="3"/>
    <s v="Mar 12, 2018 @ 19:11"/>
    <s v="Mar 12, 2018 @ 19:05"/>
    <s v="mcoalson@hanson-inc.com"/>
  </r>
  <r>
    <n v="512"/>
    <s v="PH"/>
    <s v="Phone"/>
    <x v="2"/>
    <n v="5"/>
    <n v="1"/>
    <n v="1"/>
    <n v="5"/>
    <n v="27.375"/>
    <n v="2.9185401862234706"/>
    <n v="4.5018007202881152E-4"/>
    <n v="93.407377206877399"/>
    <n v="1.5360781661740432E-3"/>
    <s v="VTU3-20"/>
    <n v="0"/>
    <x v="3"/>
    <s v="Mar 12, 2018 @ 19:12"/>
    <s v="Mar 12, 2018 @ 19:06"/>
    <s v="mcoalson@hanson-inc.com"/>
  </r>
  <r>
    <n v="528"/>
    <s v="PH"/>
    <s v="Phone"/>
    <x v="2"/>
    <n v="5"/>
    <n v="1"/>
    <n v="1"/>
    <n v="5"/>
    <n v="27.375"/>
    <n v="2.9185401862234706"/>
    <n v="4.5018007202881152E-4"/>
    <n v="93.407377206877399"/>
    <n v="1.5360781661740432E-3"/>
    <s v="VTU3-20"/>
    <n v="0"/>
    <x v="3"/>
    <s v="Mar 12, 2018 @ 19:14"/>
    <s v="Mar 12, 2018 @ 19:08"/>
    <s v="mcoalson@hanson-inc.com"/>
  </r>
  <r>
    <n v="544"/>
    <s v="PH"/>
    <s v="Phone"/>
    <x v="2"/>
    <n v="5"/>
    <n v="1"/>
    <n v="1"/>
    <n v="5"/>
    <n v="27.375"/>
    <n v="2.9185401862234706"/>
    <n v="4.5018007202881152E-4"/>
    <n v="93.407377206877399"/>
    <n v="1.5360781661740432E-3"/>
    <s v="VTU3-20"/>
    <n v="0"/>
    <x v="3"/>
    <s v="Mar 12, 2018 @ 19:15"/>
    <s v="Mar 12, 2018 @ 19:09"/>
    <s v="mcoalson@hanson-inc.com"/>
  </r>
  <r>
    <n v="552"/>
    <s v="PH"/>
    <s v="Phone"/>
    <x v="2"/>
    <n v="5"/>
    <n v="1"/>
    <n v="1"/>
    <n v="5"/>
    <n v="27.375"/>
    <n v="2.9185401862234706"/>
    <n v="4.5018007202881152E-4"/>
    <n v="93.407377206877399"/>
    <n v="1.5360781661740432E-3"/>
    <s v="VTU3-20"/>
    <n v="0"/>
    <x v="3"/>
    <s v="Mar 12, 2018 @ 19:17"/>
    <s v="Mar 12, 2018 @ 19:11"/>
    <s v="mcoalson@hanson-inc.com"/>
  </r>
  <r>
    <n v="565"/>
    <s v="PH"/>
    <s v="Phone"/>
    <x v="2"/>
    <n v="5"/>
    <n v="1"/>
    <n v="1"/>
    <n v="5"/>
    <n v="27.375"/>
    <n v="2.9185401862234706"/>
    <n v="4.5018007202881152E-4"/>
    <n v="93.407377206877399"/>
    <n v="1.5360781661740432E-3"/>
    <s v="VTU3-20"/>
    <n v="0"/>
    <x v="3"/>
    <s v="Mar 12, 2018 @ 19:19"/>
    <s v="Mar 12, 2018 @ 19:13"/>
    <s v="mcoalson@hanson-inc.com"/>
  </r>
  <r>
    <n v="580"/>
    <s v="PH"/>
    <s v="Phone"/>
    <x v="2"/>
    <n v="5"/>
    <n v="1"/>
    <n v="1"/>
    <n v="5"/>
    <n v="27.375"/>
    <n v="2.9185401862234706"/>
    <n v="4.5018007202881152E-4"/>
    <n v="93.407377206877399"/>
    <n v="1.5360781661740432E-3"/>
    <s v="VTU3-20"/>
    <n v="0"/>
    <x v="3"/>
    <s v="Mar 12, 2018 @ 19:21"/>
    <s v="Mar 12, 2018 @ 19:15"/>
    <s v="mcoalson@hanson-inc.com"/>
  </r>
  <r>
    <n v="601"/>
    <s v="PH"/>
    <s v="Phone"/>
    <x v="2"/>
    <n v="5"/>
    <n v="1"/>
    <n v="1"/>
    <n v="5"/>
    <n v="27.375"/>
    <n v="2.9185401862234706"/>
    <n v="4.5018007202881152E-4"/>
    <n v="93.407377206877399"/>
    <n v="1.5360781661740432E-3"/>
    <s v="VTU3-20"/>
    <n v="0"/>
    <x v="3"/>
    <s v="Mar 12, 2018 @ 19:22"/>
    <s v="Mar 12, 2018 @ 19:16"/>
    <s v="mcoalson@hanson-inc.com"/>
  </r>
  <r>
    <n v="609"/>
    <s v="PH"/>
    <s v="Phone"/>
    <x v="2"/>
    <n v="5"/>
    <n v="1"/>
    <n v="1"/>
    <n v="5"/>
    <n v="27.375"/>
    <n v="2.9185401862234706"/>
    <n v="4.5018007202881152E-4"/>
    <n v="93.407377206877399"/>
    <n v="1.5360781661740432E-3"/>
    <s v="VTU3-20"/>
    <n v="0"/>
    <x v="3"/>
    <s v="Mar 12, 2018 @ 19:23"/>
    <s v="Mar 12, 2018 @ 19:17"/>
    <s v="mcoalson@hanson-inc.com"/>
  </r>
  <r>
    <n v="622"/>
    <s v="PH"/>
    <s v="Phone"/>
    <x v="2"/>
    <n v="5"/>
    <n v="1"/>
    <n v="1"/>
    <n v="5"/>
    <n v="27.375"/>
    <n v="2.9185401862234706"/>
    <n v="4.5018007202881152E-4"/>
    <n v="93.407377206877399"/>
    <n v="1.5360781661740432E-3"/>
    <s v="VTU3-20"/>
    <n v="0"/>
    <x v="3"/>
    <s v="Mar 12, 2018 @ 19:28"/>
    <s v="Mar 12, 2018 @ 19:22"/>
    <s v="mcoalson@hanson-inc.com"/>
  </r>
  <r>
    <n v="1044"/>
    <s v="P"/>
    <s v="Plumbing"/>
    <x v="114"/>
    <n v="370"/>
    <n v="1"/>
    <n v="0.75"/>
    <n v="370"/>
    <n v="1519.3125"/>
    <n v="161.97898033540261"/>
    <n v="2.4984993997599039E-2"/>
    <n v="5184.1094349816958"/>
    <n v="8.5252338222659402E-2"/>
    <s v="1st Floor"/>
    <n v="1"/>
    <x v="3"/>
    <s v="Mar 14, 2018 @ 16:13"/>
    <s v="Mar 14, 2018 @ 16:13"/>
    <s v="nboyd@hanson-inc.com"/>
  </r>
  <r>
    <n v="728"/>
    <s v="P"/>
    <s v="Plumbing"/>
    <x v="115"/>
    <n v="8000"/>
    <n v="1"/>
    <n v="0.1"/>
    <n v="8000"/>
    <n v="4380"/>
    <n v="466.96642979575529"/>
    <n v="7.202881152460984E-2"/>
    <n v="14945.180353100384"/>
    <n v="0.24577250658784694"/>
    <s v="2nd Floor"/>
    <n v="1"/>
    <x v="8"/>
    <s v="Mar 14, 2018 @ 13:48"/>
    <s v="Mar 14, 2018 @ 13:49"/>
    <s v="nboyd@hanson-inc.com"/>
  </r>
  <r>
    <n v="947"/>
    <s v="PR"/>
    <s v="Printer"/>
    <x v="2"/>
    <n v="100"/>
    <n v="1"/>
    <n v="0.1"/>
    <n v="100"/>
    <n v="54.75"/>
    <n v="5.8370803724469411"/>
    <n v="9.0036014405762304E-4"/>
    <n v="186.8147544137548"/>
    <n v="3.0721563323480865E-3"/>
    <s v="1st Floor"/>
    <n v="2"/>
    <x v="3"/>
    <s v="Mar 14, 2018 @ 15:51"/>
    <s v="Mar 14, 2018 @ 15:51"/>
    <s v="mcoalson@hanson-inc.com"/>
  </r>
  <r>
    <n v="953"/>
    <s v="PR"/>
    <s v="Printer"/>
    <x v="116"/>
    <n v="100"/>
    <n v="1"/>
    <n v="0.1"/>
    <n v="100"/>
    <n v="54.75"/>
    <n v="5.8370803724469411"/>
    <n v="9.0036014405762304E-4"/>
    <n v="186.8147544137548"/>
    <n v="3.0721563323480865E-3"/>
    <s v="1st Floor"/>
    <n v="0"/>
    <x v="3"/>
    <s v="Mar 14, 2018 @ 15:52"/>
    <s v="Mar 14, 2018 @ 15:52"/>
    <s v="mcoalson@hanson-inc.com"/>
  </r>
  <r>
    <n v="963"/>
    <s v="PR"/>
    <s v="Printer"/>
    <x v="117"/>
    <n v="100"/>
    <n v="1"/>
    <n v="0.1"/>
    <n v="100"/>
    <n v="54.75"/>
    <n v="5.8370803724469411"/>
    <n v="9.0036014405762304E-4"/>
    <n v="186.8147544137548"/>
    <n v="3.0721563323480865E-3"/>
    <s v="1st Floor"/>
    <n v="1"/>
    <x v="3"/>
    <s v="Mar 14, 2018 @ 15:59"/>
    <s v="Mar 14, 2018 @ 15:54"/>
    <s v="mcoalson@hanson-inc.com"/>
  </r>
  <r>
    <n v="971"/>
    <s v="PR"/>
    <s v="Printer"/>
    <x v="2"/>
    <n v="100"/>
    <n v="1"/>
    <n v="0.1"/>
    <n v="100"/>
    <n v="54.75"/>
    <n v="5.8370803724469411"/>
    <n v="9.0036014405762304E-4"/>
    <n v="186.8147544137548"/>
    <n v="3.0721563323480865E-3"/>
    <s v="1st Floor"/>
    <n v="0"/>
    <x v="3"/>
    <s v="Mar 14, 2018 @ 15:54"/>
    <s v="Mar 14, 2018 @ 15:54"/>
    <s v="mcoalson@hanson-inc.com"/>
  </r>
  <r>
    <n v="987"/>
    <s v="PR"/>
    <s v="Printer"/>
    <x v="2"/>
    <n v="100"/>
    <n v="1"/>
    <n v="0.1"/>
    <n v="100"/>
    <n v="54.75"/>
    <n v="5.8370803724469411"/>
    <n v="9.0036014405762304E-4"/>
    <n v="186.8147544137548"/>
    <n v="3.0721563323480865E-3"/>
    <s v="1st Floor"/>
    <n v="0"/>
    <x v="3"/>
    <s v="Mar 14, 2018 @ 15:57"/>
    <s v="Mar 14, 2018 @ 15:57"/>
    <s v="mcoalson@hanson-inc.com"/>
  </r>
  <r>
    <n v="1025"/>
    <s v="PR"/>
    <s v="Printer"/>
    <x v="116"/>
    <n v="100"/>
    <n v="1"/>
    <n v="0.1"/>
    <n v="100"/>
    <n v="54.75"/>
    <n v="5.8370803724469411"/>
    <n v="9.0036014405762304E-4"/>
    <n v="186.8147544137548"/>
    <n v="3.0721563323480865E-3"/>
    <s v="1st Floor"/>
    <n v="1"/>
    <x v="3"/>
    <s v="Mar 14, 2018 @ 16:10"/>
    <s v="Mar 14, 2018 @ 16:05"/>
    <s v="mcoalson@hanson-inc.com"/>
  </r>
  <r>
    <n v="1028"/>
    <s v="PR"/>
    <s v="Printer"/>
    <x v="2"/>
    <n v="100"/>
    <n v="1"/>
    <n v="0.1"/>
    <n v="100"/>
    <n v="54.75"/>
    <n v="5.8370803724469411"/>
    <n v="9.0036014405762304E-4"/>
    <n v="186.8147544137548"/>
    <n v="3.0721563323480865E-3"/>
    <s v="1st Floor"/>
    <n v="0"/>
    <x v="3"/>
    <s v="Mar 14, 2018 @ 16:04"/>
    <s v="Mar 14, 2018 @ 16:04"/>
    <s v="nboyd@hanson-inc.com"/>
  </r>
  <r>
    <n v="1037"/>
    <s v="PR"/>
    <s v="Printer"/>
    <x v="116"/>
    <n v="100"/>
    <n v="1"/>
    <n v="0.1"/>
    <n v="100"/>
    <n v="54.75"/>
    <n v="5.8370803724469411"/>
    <n v="9.0036014405762304E-4"/>
    <n v="186.8147544137548"/>
    <n v="3.0721563323480865E-3"/>
    <s v="1st Floor"/>
    <n v="0"/>
    <x v="3"/>
    <s v="Mar 14, 2018 @ 16:12"/>
    <s v="Mar 14, 2018 @ 16:06"/>
    <s v="mcoalson@hanson-inc.com"/>
  </r>
  <r>
    <n v="1057"/>
    <s v="PR"/>
    <s v="Printer"/>
    <x v="19"/>
    <n v="100"/>
    <n v="1"/>
    <n v="0.1"/>
    <n v="100"/>
    <n v="54.75"/>
    <n v="5.8370803724469411"/>
    <n v="9.0036014405762304E-4"/>
    <n v="186.8147544137548"/>
    <n v="3.0721563323480865E-3"/>
    <s v="1st Floor"/>
    <n v="0"/>
    <x v="3"/>
    <s v="Mar 14, 2018 @ 16:27"/>
    <s v="Mar 14, 2018 @ 16:21"/>
    <s v="mcoalson@hanson-inc.com"/>
  </r>
  <r>
    <n v="1058"/>
    <s v="PR"/>
    <s v="Printer"/>
    <x v="118"/>
    <n v="100"/>
    <n v="1"/>
    <n v="0.1"/>
    <n v="100"/>
    <n v="54.75"/>
    <n v="5.8370803724469411"/>
    <n v="9.0036014405762304E-4"/>
    <n v="186.8147544137548"/>
    <n v="3.0721563323480865E-3"/>
    <s v="1st Floor"/>
    <n v="1"/>
    <x v="3"/>
    <s v="Mar 14, 2018 @ 16:28"/>
    <s v="Mar 14, 2018 @ 16:22"/>
    <s v="mcoalson@hanson-inc.com"/>
  </r>
  <r>
    <n v="1061"/>
    <s v="PR"/>
    <s v="Printer"/>
    <x v="119"/>
    <n v="700"/>
    <n v="1"/>
    <n v="0.1"/>
    <n v="700"/>
    <n v="383.25"/>
    <n v="40.859562607128588"/>
    <n v="6.3025210084033615E-3"/>
    <n v="1307.7032808962836"/>
    <n v="2.1505094326436606E-2"/>
    <s v="1st Floor"/>
    <n v="1"/>
    <x v="3"/>
    <s v="Mar 14, 2018 @ 16:29"/>
    <s v="Mar 14, 2018 @ 16:23"/>
    <s v="mcoalson@hanson-inc.com"/>
  </r>
  <r>
    <n v="1068"/>
    <s v="PR"/>
    <s v="Printer"/>
    <x v="2"/>
    <n v="100"/>
    <n v="1"/>
    <n v="0.1"/>
    <n v="100"/>
    <n v="54.75"/>
    <n v="5.8370803724469411"/>
    <n v="9.0036014405762304E-4"/>
    <n v="186.8147544137548"/>
    <n v="3.0721563323480865E-3"/>
    <s v="1st Floor"/>
    <n v="0"/>
    <x v="3"/>
    <s v="Mar 14, 2018 @ 16:24"/>
    <s v="Mar 14, 2018 @ 16:25"/>
    <s v="mcoalson@hanson-inc.com"/>
  </r>
  <r>
    <n v="1081"/>
    <s v="PR"/>
    <s v="Printer"/>
    <x v="2"/>
    <n v="100"/>
    <n v="1"/>
    <n v="0.1"/>
    <n v="100"/>
    <n v="54.75"/>
    <n v="5.8370803724469411"/>
    <n v="9.0036014405762304E-4"/>
    <n v="186.8147544137548"/>
    <n v="3.0721563323480865E-3"/>
    <s v="1st Floor"/>
    <n v="0"/>
    <x v="3"/>
    <s v="Mar 14, 2018 @ 16:27"/>
    <s v="Mar 14, 2018 @ 16:27"/>
    <s v="nboyd@hanson-inc.com"/>
  </r>
  <r>
    <n v="1082"/>
    <s v="PR"/>
    <s v="Printer"/>
    <x v="120"/>
    <n v="100"/>
    <n v="1"/>
    <n v="0.1"/>
    <n v="100"/>
    <n v="54.75"/>
    <n v="5.8370803724469411"/>
    <n v="9.0036014405762304E-4"/>
    <n v="186.8147544137548"/>
    <n v="3.0721563323480865E-3"/>
    <s v="1st Floor"/>
    <n v="1"/>
    <x v="3"/>
    <s v="Mar 14, 2018 @ 16:34"/>
    <s v="Mar 14, 2018 @ 16:29"/>
    <s v="mcoalson@hanson-inc.com"/>
  </r>
  <r>
    <n v="1092"/>
    <s v="PR"/>
    <s v="Printer"/>
    <x v="121"/>
    <n v="100"/>
    <n v="1"/>
    <n v="0.1"/>
    <n v="100"/>
    <n v="54.75"/>
    <n v="5.8370803724469411"/>
    <n v="9.0036014405762304E-4"/>
    <n v="186.8147544137548"/>
    <n v="3.0721563323480865E-3"/>
    <s v="1st Floor"/>
    <n v="0"/>
    <x v="3"/>
    <s v="Mar 14, 2018 @ 16:30"/>
    <s v="Mar 14, 2018 @ 16:30"/>
    <s v="mcoalson@hanson-inc.com"/>
  </r>
  <r>
    <n v="657"/>
    <s v="PR"/>
    <s v="Printer"/>
    <x v="2"/>
    <n v="100"/>
    <n v="1"/>
    <n v="0.1"/>
    <n v="100"/>
    <n v="54.75"/>
    <n v="5.8370803724469411"/>
    <n v="9.0036014405762304E-4"/>
    <n v="186.8147544137548"/>
    <n v="3.0721563323480865E-3"/>
    <s v="2nd Floor"/>
    <n v="0"/>
    <x v="3"/>
    <s v="Mar 14, 2018 @ 13:18"/>
    <s v="Mar 14, 2018 @ 13:18"/>
    <s v="nboyd@hanson-inc.com"/>
  </r>
  <r>
    <n v="664"/>
    <s v="PR"/>
    <s v="Printer"/>
    <x v="122"/>
    <n v="700"/>
    <n v="1"/>
    <n v="0.1"/>
    <n v="700"/>
    <n v="383.25"/>
    <n v="40.859562607128588"/>
    <n v="6.3025210084033615E-3"/>
    <n v="1307.7032808962836"/>
    <n v="2.1505094326436606E-2"/>
    <s v="2nd Floor"/>
    <n v="1"/>
    <x v="3"/>
    <s v="Mar 14, 2018 @ 13:27"/>
    <s v="Mar 14, 2018 @ 13:22"/>
    <s v="mcoalson@hanson-inc.com"/>
  </r>
  <r>
    <n v="666"/>
    <s v="PR"/>
    <s v="Printer"/>
    <x v="2"/>
    <n v="100"/>
    <n v="1"/>
    <n v="0.1"/>
    <n v="100"/>
    <n v="54.75"/>
    <n v="5.8370803724469411"/>
    <n v="9.0036014405762304E-4"/>
    <n v="186.8147544137548"/>
    <n v="3.0721563323480865E-3"/>
    <s v="2nd Floor"/>
    <n v="0"/>
    <x v="3"/>
    <s v="Mar 14, 2018 @ 13:21"/>
    <s v="Mar 14, 2018 @ 13:21"/>
    <s v="nboyd@hanson-inc.com"/>
  </r>
  <r>
    <n v="668"/>
    <s v="PR"/>
    <s v="Printer"/>
    <x v="117"/>
    <n v="100"/>
    <n v="1"/>
    <n v="0.1"/>
    <n v="100"/>
    <n v="54.75"/>
    <n v="5.8370803724469411"/>
    <n v="9.0036014405762304E-4"/>
    <n v="186.8147544137548"/>
    <n v="3.0721563323480865E-3"/>
    <s v="2nd Floor"/>
    <n v="1"/>
    <x v="3"/>
    <s v="Mar 14, 2018 @ 13:29"/>
    <s v="Mar 14, 2018 @ 13:23"/>
    <s v="mcoalson@hanson-inc.com"/>
  </r>
  <r>
    <n v="685"/>
    <s v="PR"/>
    <s v="Printer"/>
    <x v="123"/>
    <n v="100"/>
    <n v="1"/>
    <n v="0.1"/>
    <n v="100"/>
    <n v="54.75"/>
    <n v="5.8370803724469411"/>
    <n v="9.0036014405762304E-4"/>
    <n v="186.8147544137548"/>
    <n v="3.0721563323480865E-3"/>
    <s v="2nd Floor"/>
    <n v="0"/>
    <x v="3"/>
    <s v="Mar 14, 2018 @ 13:26"/>
    <s v="Mar 14, 2018 @ 13:26"/>
    <s v="mcoalson@hanson-inc.com"/>
  </r>
  <r>
    <n v="694"/>
    <s v="PR"/>
    <s v="Printer"/>
    <x v="2"/>
    <n v="100"/>
    <n v="1"/>
    <n v="0.1"/>
    <n v="100"/>
    <n v="54.75"/>
    <n v="5.8370803724469411"/>
    <n v="9.0036014405762304E-4"/>
    <n v="186.8147544137548"/>
    <n v="3.0721563323480865E-3"/>
    <s v="2nd Floor"/>
    <n v="0"/>
    <x v="3"/>
    <s v="Mar 14, 2018 @ 13:27"/>
    <s v="Mar 14, 2018 @ 13:27"/>
    <s v="nboyd@hanson-inc.com"/>
  </r>
  <r>
    <n v="778"/>
    <s v="PR"/>
    <s v="Printer"/>
    <x v="19"/>
    <n v="100"/>
    <n v="1"/>
    <n v="0.1"/>
    <n v="100"/>
    <n v="54.75"/>
    <n v="5.8370803724469411"/>
    <n v="9.0036014405762304E-4"/>
    <n v="186.8147544137548"/>
    <n v="3.0721563323480865E-3"/>
    <s v="2nd Floor"/>
    <n v="0"/>
    <x v="3"/>
    <s v="Mar 14, 2018 @ 14:19"/>
    <s v="Mar 14, 2018 @ 14:19"/>
    <s v="mcoalson@hanson-inc.com"/>
  </r>
  <r>
    <n v="783"/>
    <s v="PR"/>
    <s v="Printer"/>
    <x v="124"/>
    <n v="100"/>
    <n v="1"/>
    <n v="0.1"/>
    <n v="100"/>
    <n v="54.75"/>
    <n v="5.8370803724469411"/>
    <n v="9.0036014405762304E-4"/>
    <n v="186.8147544137548"/>
    <n v="3.0721563323480865E-3"/>
    <s v="2nd Floor"/>
    <n v="0"/>
    <x v="3"/>
    <s v="Mar 14, 2018 @ 14:22"/>
    <s v="Mar 14, 2018 @ 14:22"/>
    <s v="mcoalson@hanson-inc.com"/>
  </r>
  <r>
    <n v="850"/>
    <s v="PR"/>
    <s v="Printer"/>
    <x v="2"/>
    <n v="100"/>
    <n v="1"/>
    <n v="0.1"/>
    <n v="100"/>
    <n v="54.75"/>
    <n v="5.8370803724469411"/>
    <n v="9.0036014405762304E-4"/>
    <n v="186.8147544137548"/>
    <n v="3.0721563323480865E-3"/>
    <s v="2nd Floor"/>
    <n v="0"/>
    <x v="3"/>
    <s v="Mar 14, 2018 @ 14:55"/>
    <s v="Mar 14, 2018 @ 14:55"/>
    <s v="mcoalson@hanson-inc.com"/>
  </r>
  <r>
    <n v="863"/>
    <s v="PR"/>
    <s v="Printer"/>
    <x v="2"/>
    <n v="100"/>
    <n v="1"/>
    <n v="0.1"/>
    <n v="100"/>
    <n v="54.75"/>
    <n v="5.8370803724469411"/>
    <n v="9.0036014405762304E-4"/>
    <n v="186.8147544137548"/>
    <n v="3.0721563323480865E-3"/>
    <s v="2nd Floor"/>
    <n v="0"/>
    <x v="3"/>
    <s v="Mar 14, 2018 @ 14:57"/>
    <s v="Mar 14, 2018 @ 14:57"/>
    <s v="nboyd@hanson-inc.com"/>
  </r>
  <r>
    <n v="872"/>
    <s v="PR"/>
    <s v="Printer"/>
    <x v="116"/>
    <n v="100"/>
    <n v="1"/>
    <n v="0.1"/>
    <n v="100"/>
    <n v="54.75"/>
    <n v="5.8370803724469411"/>
    <n v="9.0036014405762304E-4"/>
    <n v="186.8147544137548"/>
    <n v="3.0721563323480865E-3"/>
    <s v="2nd Floor"/>
    <n v="1"/>
    <x v="3"/>
    <s v="Mar 14, 2018 @ 15:05"/>
    <s v="Mar 14, 2018 @ 14:59"/>
    <s v="mcoalson@hanson-inc.com"/>
  </r>
  <r>
    <n v="26"/>
    <s v="PR"/>
    <s v="Printer"/>
    <x v="2"/>
    <n v="100"/>
    <n v="1"/>
    <n v="0.1"/>
    <n v="100"/>
    <n v="54.75"/>
    <n v="5.8370803724469411"/>
    <n v="9.0036014405762304E-4"/>
    <n v="186.8147544137548"/>
    <n v="3.0721563323480865E-3"/>
    <s v="VTU3-20"/>
    <n v="0"/>
    <x v="3"/>
    <s v="Mar 12, 2018 @ 14:06"/>
    <s v="Mar 12, 2018 @ 14:06"/>
    <s v="nboyd@hanson-inc.com"/>
  </r>
  <r>
    <n v="31"/>
    <s v="PR"/>
    <s v="Printer"/>
    <x v="2"/>
    <n v="100"/>
    <n v="1"/>
    <n v="0.1"/>
    <n v="100"/>
    <n v="54.75"/>
    <n v="5.8370803724469411"/>
    <n v="9.0036014405762304E-4"/>
    <n v="186.8147544137548"/>
    <n v="3.0721563323480865E-3"/>
    <s v="VTU3-20"/>
    <n v="0"/>
    <x v="3"/>
    <s v="Mar 12, 2018 @ 14:08"/>
    <s v="Mar 12, 2018 @ 14:08"/>
    <s v="nboyd@hanson-inc.com"/>
  </r>
  <r>
    <n v="35"/>
    <s v="PR"/>
    <s v="Printer"/>
    <x v="2"/>
    <n v="100"/>
    <n v="1"/>
    <n v="0.1"/>
    <n v="100"/>
    <n v="54.75"/>
    <n v="5.8370803724469411"/>
    <n v="9.0036014405762304E-4"/>
    <n v="186.8147544137548"/>
    <n v="3.0721563323480865E-3"/>
    <s v="VTU3-20"/>
    <n v="0"/>
    <x v="3"/>
    <s v="Mar 12, 2018 @ 14:15"/>
    <s v="Mar 12, 2018 @ 14:09"/>
    <s v="mcoalson@hanson-inc.com"/>
  </r>
  <r>
    <n v="45"/>
    <s v="PR"/>
    <s v="Printer"/>
    <x v="2"/>
    <n v="100"/>
    <n v="1"/>
    <n v="0.1"/>
    <n v="100"/>
    <n v="54.75"/>
    <n v="5.8370803724469411"/>
    <n v="9.0036014405762304E-4"/>
    <n v="186.8147544137548"/>
    <n v="3.0721563323480865E-3"/>
    <s v="VTU3-20"/>
    <n v="0"/>
    <x v="3"/>
    <s v="Mar 12, 2018 @ 14:11"/>
    <s v="Mar 12, 2018 @ 14:11"/>
    <s v="nboyd@hanson-inc.com"/>
  </r>
  <r>
    <n v="48"/>
    <s v="PR"/>
    <s v="Printer"/>
    <x v="123"/>
    <n v="100"/>
    <n v="1"/>
    <n v="0.1"/>
    <n v="100"/>
    <n v="54.75"/>
    <n v="5.8370803724469411"/>
    <n v="9.0036014405762304E-4"/>
    <n v="186.8147544137548"/>
    <n v="3.0721563323480865E-3"/>
    <s v="VTU3-20"/>
    <n v="0"/>
    <x v="3"/>
    <s v="Mar 12, 2018 @ 14:18"/>
    <s v="Mar 12, 2018 @ 14:11"/>
    <s v="mcoalson@hanson-inc.com"/>
  </r>
  <r>
    <n v="53"/>
    <s v="PR"/>
    <s v="Printer"/>
    <x v="2"/>
    <n v="100"/>
    <n v="1"/>
    <n v="0.1"/>
    <n v="100"/>
    <n v="54.75"/>
    <n v="5.8370803724469411"/>
    <n v="9.0036014405762304E-4"/>
    <n v="186.8147544137548"/>
    <n v="3.0721563323480865E-3"/>
    <s v="VTU3-20"/>
    <n v="0"/>
    <x v="3"/>
    <s v="Mar 12, 2018 @ 14:12"/>
    <s v="Mar 12, 2018 @ 14:12"/>
    <s v="nboyd@hanson-inc.com"/>
  </r>
  <r>
    <n v="55"/>
    <s v="PR"/>
    <s v="Printer"/>
    <x v="19"/>
    <n v="100"/>
    <n v="1"/>
    <n v="0.1"/>
    <n v="100"/>
    <n v="54.75"/>
    <n v="5.8370803724469411"/>
    <n v="9.0036014405762304E-4"/>
    <n v="186.8147544137548"/>
    <n v="3.0721563323480865E-3"/>
    <s v="VTU3-20"/>
    <n v="0"/>
    <x v="3"/>
    <s v="Mar 12, 2018 @ 14:19"/>
    <s v="Mar 12, 2018 @ 14:13"/>
    <s v="mcoalson@hanson-inc.com"/>
  </r>
  <r>
    <n v="62"/>
    <s v="PR"/>
    <s v="Printer"/>
    <x v="2"/>
    <n v="100"/>
    <n v="1"/>
    <n v="0.1"/>
    <n v="100"/>
    <n v="54.75"/>
    <n v="5.8370803724469411"/>
    <n v="9.0036014405762304E-4"/>
    <n v="186.8147544137548"/>
    <n v="3.0721563323480865E-3"/>
    <s v="VTU3-20"/>
    <n v="0"/>
    <x v="3"/>
    <s v="Mar 12, 2018 @ 14:19"/>
    <s v="Mar 12, 2018 @ 14:19"/>
    <s v="nboyd@hanson-inc.com"/>
  </r>
  <r>
    <n v="74"/>
    <s v="PR"/>
    <s v="Printer"/>
    <x v="119"/>
    <n v="700"/>
    <n v="1"/>
    <n v="0.1"/>
    <n v="700"/>
    <n v="383.25"/>
    <n v="40.859562607128588"/>
    <n v="6.3025210084033615E-3"/>
    <n v="1307.7032808962836"/>
    <n v="2.1505094326436606E-2"/>
    <s v="VTU3-20"/>
    <n v="0"/>
    <x v="3"/>
    <s v="Mar 12, 2018 @ 14:28"/>
    <s v="Mar 12, 2018 @ 14:22"/>
    <s v="mcoalson@hanson-inc.com"/>
  </r>
  <r>
    <n v="79"/>
    <s v="PR"/>
    <s v="Printer"/>
    <x v="2"/>
    <n v="100"/>
    <n v="1"/>
    <n v="0.1"/>
    <n v="100"/>
    <n v="54.75"/>
    <n v="5.8370803724469411"/>
    <n v="9.0036014405762304E-4"/>
    <n v="186.8147544137548"/>
    <n v="3.0721563323480865E-3"/>
    <s v="VTU3-20"/>
    <n v="0"/>
    <x v="3"/>
    <s v="Mar 12, 2018 @ 14:24"/>
    <s v="Mar 12, 2018 @ 14:24"/>
    <s v="nboyd@hanson-inc.com"/>
  </r>
  <r>
    <n v="89"/>
    <s v="PR"/>
    <s v="Printer"/>
    <x v="19"/>
    <n v="100"/>
    <n v="1"/>
    <n v="0.1"/>
    <n v="100"/>
    <n v="54.75"/>
    <n v="5.8370803724469411"/>
    <n v="9.0036014405762304E-4"/>
    <n v="186.8147544137548"/>
    <n v="3.0721563323480865E-3"/>
    <s v="VTU3-20"/>
    <n v="0"/>
    <x v="3"/>
    <s v="Mar 12, 2018 @ 14:33"/>
    <s v="Mar 12, 2018 @ 14:27"/>
    <s v="mcoalson@hanson-inc.com"/>
  </r>
  <r>
    <n v="92"/>
    <s v="PR"/>
    <s v="Printer"/>
    <x v="123"/>
    <n v="100"/>
    <n v="1"/>
    <n v="0.1"/>
    <n v="100"/>
    <n v="54.75"/>
    <n v="5.8370803724469411"/>
    <n v="9.0036014405762304E-4"/>
    <n v="186.8147544137548"/>
    <n v="3.0721563323480865E-3"/>
    <s v="VTU3-20"/>
    <n v="0"/>
    <x v="3"/>
    <s v="Mar 12, 2018 @ 14:34"/>
    <s v="Mar 12, 2018 @ 14:28"/>
    <s v="mcoalson@hanson-inc.com"/>
  </r>
  <r>
    <n v="119"/>
    <s v="PR"/>
    <s v="Printer"/>
    <x v="2"/>
    <n v="100"/>
    <n v="1"/>
    <n v="0.1"/>
    <n v="100"/>
    <n v="54.75"/>
    <n v="5.8370803724469411"/>
    <n v="9.0036014405762304E-4"/>
    <n v="186.8147544137548"/>
    <n v="3.0721563323480865E-3"/>
    <s v="VTU3-20"/>
    <n v="0"/>
    <x v="3"/>
    <s v="Mar 12, 2018 @ 14:32"/>
    <s v="Mar 12, 2018 @ 14:32"/>
    <s v="nboyd@hanson-inc.com"/>
  </r>
  <r>
    <n v="120"/>
    <s v="PR"/>
    <s v="Printer"/>
    <x v="2"/>
    <n v="100"/>
    <n v="1"/>
    <n v="0.1"/>
    <n v="100"/>
    <n v="54.75"/>
    <n v="5.8370803724469411"/>
    <n v="9.0036014405762304E-4"/>
    <n v="186.8147544137548"/>
    <n v="3.0721563323480865E-3"/>
    <s v="VTU3-20"/>
    <n v="0"/>
    <x v="3"/>
    <s v="Mar 12, 2018 @ 14:38"/>
    <s v="Mar 12, 2018 @ 14:32"/>
    <s v="mcoalson@hanson-inc.com"/>
  </r>
  <r>
    <n v="130"/>
    <s v="PR"/>
    <s v="Printer"/>
    <x v="2"/>
    <n v="100"/>
    <n v="1"/>
    <n v="0.1"/>
    <n v="100"/>
    <n v="54.75"/>
    <n v="5.8370803724469411"/>
    <n v="9.0036014405762304E-4"/>
    <n v="186.8147544137548"/>
    <n v="3.0721563323480865E-3"/>
    <s v="VTU3-20"/>
    <n v="0"/>
    <x v="3"/>
    <s v="Mar 12, 2018 @ 14:34"/>
    <s v="Mar 12, 2018 @ 14:34"/>
    <s v="nboyd@hanson-inc.com"/>
  </r>
  <r>
    <n v="136"/>
    <s v="PR"/>
    <s v="Printer"/>
    <x v="19"/>
    <n v="100"/>
    <n v="1"/>
    <n v="0.1"/>
    <n v="100"/>
    <n v="54.75"/>
    <n v="5.8370803724469411"/>
    <n v="9.0036014405762304E-4"/>
    <n v="186.8147544137548"/>
    <n v="3.0721563323480865E-3"/>
    <s v="VTU3-20"/>
    <n v="0"/>
    <x v="3"/>
    <s v="Mar 12, 2018 @ 14:41"/>
    <s v="Mar 12, 2018 @ 14:35"/>
    <s v="mcoalson@hanson-inc.com"/>
  </r>
  <r>
    <n v="138"/>
    <s v="PR"/>
    <s v="Printer"/>
    <x v="2"/>
    <n v="100"/>
    <n v="1"/>
    <n v="0.1"/>
    <n v="100"/>
    <n v="54.75"/>
    <n v="5.8370803724469411"/>
    <n v="9.0036014405762304E-4"/>
    <n v="186.8147544137548"/>
    <n v="3.0721563323480865E-3"/>
    <s v="VTU3-20"/>
    <n v="0"/>
    <x v="3"/>
    <s v="Mar 12, 2018 @ 14:35"/>
    <s v="Mar 12, 2018 @ 14:35"/>
    <s v="nboyd@hanson-inc.com"/>
  </r>
  <r>
    <n v="146"/>
    <s v="PR"/>
    <s v="Printer"/>
    <x v="19"/>
    <n v="100"/>
    <n v="1"/>
    <n v="0.1"/>
    <n v="100"/>
    <n v="54.75"/>
    <n v="5.8370803724469411"/>
    <n v="9.0036014405762304E-4"/>
    <n v="186.8147544137548"/>
    <n v="3.0721563323480865E-3"/>
    <s v="VTU3-20"/>
    <n v="0"/>
    <x v="3"/>
    <s v="Mar 12, 2018 @ 14:43"/>
    <s v="Mar 12, 2018 @ 14:36"/>
    <s v="mcoalson@hanson-inc.com"/>
  </r>
  <r>
    <n v="155"/>
    <s v="PR"/>
    <s v="Printer"/>
    <x v="19"/>
    <n v="100"/>
    <n v="1"/>
    <n v="0.1"/>
    <n v="100"/>
    <n v="54.75"/>
    <n v="5.8370803724469411"/>
    <n v="9.0036014405762304E-4"/>
    <n v="186.8147544137548"/>
    <n v="3.0721563323480865E-3"/>
    <s v="VTU3-20"/>
    <n v="0"/>
    <x v="3"/>
    <s v="Mar 12, 2018 @ 14:44"/>
    <s v="Mar 12, 2018 @ 14:38"/>
    <s v="mcoalson@hanson-inc.com"/>
  </r>
  <r>
    <n v="174"/>
    <s v="PR"/>
    <s v="Printer"/>
    <x v="19"/>
    <n v="100"/>
    <n v="1"/>
    <n v="0.1"/>
    <n v="100"/>
    <n v="54.75"/>
    <n v="5.8370803724469411"/>
    <n v="9.0036014405762304E-4"/>
    <n v="186.8147544137548"/>
    <n v="3.0721563323480865E-3"/>
    <s v="VTU3-20"/>
    <n v="0"/>
    <x v="3"/>
    <s v="Mar 12, 2018 @ 14:48"/>
    <s v="Mar 12, 2018 @ 14:42"/>
    <s v="mcoalson@hanson-inc.com"/>
  </r>
  <r>
    <n v="179"/>
    <s v="PR"/>
    <s v="Printer"/>
    <x v="19"/>
    <n v="100"/>
    <n v="1"/>
    <n v="0.1"/>
    <n v="100"/>
    <n v="54.75"/>
    <n v="5.8370803724469411"/>
    <n v="9.0036014405762304E-4"/>
    <n v="186.8147544137548"/>
    <n v="3.0721563323480865E-3"/>
    <s v="VTU3-20"/>
    <n v="0"/>
    <x v="3"/>
    <s v="Mar 12, 2018 @ 14:50"/>
    <s v="Mar 12, 2018 @ 14:43"/>
    <s v="mcoalson@hanson-inc.com"/>
  </r>
  <r>
    <n v="185"/>
    <s v="PR"/>
    <s v="Printer"/>
    <x v="19"/>
    <n v="100"/>
    <n v="1"/>
    <n v="0.1"/>
    <n v="100"/>
    <n v="54.75"/>
    <n v="5.8370803724469411"/>
    <n v="9.0036014405762304E-4"/>
    <n v="186.8147544137548"/>
    <n v="3.0721563323480865E-3"/>
    <s v="VTU3-20"/>
    <n v="0"/>
    <x v="3"/>
    <s v="Mar 12, 2018 @ 14:51"/>
    <s v="Mar 12, 2018 @ 14:45"/>
    <s v="mcoalson@hanson-inc.com"/>
  </r>
  <r>
    <n v="196"/>
    <s v="PR"/>
    <s v="Printer"/>
    <x v="19"/>
    <n v="100"/>
    <n v="1"/>
    <n v="0.1"/>
    <n v="100"/>
    <n v="54.75"/>
    <n v="5.8370803724469411"/>
    <n v="9.0036014405762304E-4"/>
    <n v="186.8147544137548"/>
    <n v="3.0721563323480865E-3"/>
    <s v="VTU3-20"/>
    <n v="0"/>
    <x v="3"/>
    <s v="Mar 12, 2018 @ 14:53"/>
    <s v="Mar 12, 2018 @ 14:47"/>
    <s v="mcoalson@hanson-inc.com"/>
  </r>
  <r>
    <n v="209"/>
    <s v="PR"/>
    <s v="Printer"/>
    <x v="2"/>
    <n v="100"/>
    <n v="1"/>
    <n v="0.1"/>
    <n v="100"/>
    <n v="54.75"/>
    <n v="5.8370803724469411"/>
    <n v="9.0036014405762304E-4"/>
    <n v="186.8147544137548"/>
    <n v="3.0721563323480865E-3"/>
    <s v="VTU3-20"/>
    <n v="0"/>
    <x v="3"/>
    <s v="Mar 12, 2018 @ 14:49"/>
    <s v="Mar 12, 2018 @ 14:49"/>
    <s v="nboyd@hanson-inc.com"/>
  </r>
  <r>
    <n v="219"/>
    <s v="PR"/>
    <s v="Printer"/>
    <x v="19"/>
    <n v="100"/>
    <n v="1"/>
    <n v="0.1"/>
    <n v="100"/>
    <n v="54.75"/>
    <n v="5.8370803724469411"/>
    <n v="9.0036014405762304E-4"/>
    <n v="186.8147544137548"/>
    <n v="3.0721563323480865E-3"/>
    <s v="VTU3-20"/>
    <n v="0"/>
    <x v="3"/>
    <s v="Mar 12, 2018 @ 14:57"/>
    <s v="Mar 12, 2018 @ 14:51"/>
    <s v="mcoalson@hanson-inc.com"/>
  </r>
  <r>
    <n v="224"/>
    <s v="PR"/>
    <s v="Printer"/>
    <x v="2"/>
    <n v="100"/>
    <n v="1"/>
    <n v="0.1"/>
    <n v="100"/>
    <n v="54.75"/>
    <n v="5.8370803724469411"/>
    <n v="9.0036014405762304E-4"/>
    <n v="186.8147544137548"/>
    <n v="3.0721563323480865E-3"/>
    <s v="VTU3-20"/>
    <n v="0"/>
    <x v="3"/>
    <s v="Mar 12, 2018 @ 14:52"/>
    <s v="Mar 12, 2018 @ 14:52"/>
    <s v="nboyd@hanson-inc.com"/>
  </r>
  <r>
    <n v="237"/>
    <s v="PR"/>
    <s v="Printer"/>
    <x v="19"/>
    <n v="100"/>
    <n v="1"/>
    <n v="0.1"/>
    <n v="100"/>
    <n v="54.75"/>
    <n v="5.8370803724469411"/>
    <n v="9.0036014405762304E-4"/>
    <n v="186.8147544137548"/>
    <n v="3.0721563323480865E-3"/>
    <s v="VTU3-20"/>
    <n v="0"/>
    <x v="3"/>
    <s v="Mar 12, 2018 @ 15:00"/>
    <s v="Mar 12, 2018 @ 14:54"/>
    <s v="mcoalson@hanson-inc.com"/>
  </r>
  <r>
    <n v="251"/>
    <s v="PR"/>
    <s v="Printer"/>
    <x v="2"/>
    <n v="100"/>
    <n v="1"/>
    <n v="0.1"/>
    <n v="100"/>
    <n v="54.75"/>
    <n v="5.8370803724469411"/>
    <n v="9.0036014405762304E-4"/>
    <n v="186.8147544137548"/>
    <n v="3.0721563323480865E-3"/>
    <s v="VTU3-20"/>
    <n v="0"/>
    <x v="3"/>
    <s v="Mar 12, 2018 @ 15:06"/>
    <s v="Mar 12, 2018 @ 15:06"/>
    <s v="nboyd@hanson-inc.com"/>
  </r>
  <r>
    <n v="267"/>
    <s v="PR"/>
    <s v="Printer"/>
    <x v="123"/>
    <n v="100"/>
    <n v="1"/>
    <n v="0.1"/>
    <n v="100"/>
    <n v="54.75"/>
    <n v="5.8370803724469411"/>
    <n v="9.0036014405762304E-4"/>
    <n v="186.8147544137548"/>
    <n v="3.0721563323480865E-3"/>
    <s v="VTU3-20"/>
    <n v="0"/>
    <x v="3"/>
    <s v="Mar 12, 2018 @ 15:20"/>
    <s v="Mar 12, 2018 @ 15:14"/>
    <s v="mcoalson@hanson-inc.com"/>
  </r>
  <r>
    <n v="275"/>
    <s v="PR"/>
    <s v="Printer"/>
    <x v="2"/>
    <n v="100"/>
    <n v="1"/>
    <n v="0.1"/>
    <n v="100"/>
    <n v="54.75"/>
    <n v="5.8370803724469411"/>
    <n v="9.0036014405762304E-4"/>
    <n v="186.8147544137548"/>
    <n v="3.0721563323480865E-3"/>
    <s v="VTU3-20"/>
    <n v="0"/>
    <x v="3"/>
    <s v="Mar 12, 2018 @ 15:15"/>
    <s v="Mar 12, 2018 @ 15:15"/>
    <s v="nboyd@hanson-inc.com"/>
  </r>
  <r>
    <n v="285"/>
    <s v="PR"/>
    <s v="Printer"/>
    <x v="19"/>
    <n v="100"/>
    <n v="1"/>
    <n v="0.1"/>
    <n v="100"/>
    <n v="54.75"/>
    <n v="5.8370803724469411"/>
    <n v="9.0036014405762304E-4"/>
    <n v="186.8147544137548"/>
    <n v="3.0721563323480865E-3"/>
    <s v="VTU3-20"/>
    <n v="0"/>
    <x v="3"/>
    <s v="Mar 12, 2018 @ 15:25"/>
    <s v="Mar 12, 2018 @ 18:28"/>
    <s v="mcoalson@hanson-inc.com"/>
  </r>
  <r>
    <n v="294"/>
    <s v="PR"/>
    <s v="Printer"/>
    <x v="19"/>
    <n v="100"/>
    <n v="1"/>
    <n v="0.1"/>
    <n v="100"/>
    <n v="54.75"/>
    <n v="5.8370803724469411"/>
    <n v="9.0036014405762304E-4"/>
    <n v="186.8147544137548"/>
    <n v="3.0721563323480865E-3"/>
    <s v="VTU3-20"/>
    <n v="0"/>
    <x v="3"/>
    <s v="Mar 12, 2018 @ 15:26"/>
    <s v="Mar 12, 2018 @ 18:28"/>
    <s v="mcoalson@hanson-inc.com"/>
  </r>
  <r>
    <n v="309"/>
    <s v="PR"/>
    <s v="Printer"/>
    <x v="2"/>
    <n v="100"/>
    <n v="1"/>
    <n v="0.1"/>
    <n v="100"/>
    <n v="54.75"/>
    <n v="5.8370803724469411"/>
    <n v="9.0036014405762304E-4"/>
    <n v="186.8147544137548"/>
    <n v="3.0721563323480865E-3"/>
    <s v="VTU3-20"/>
    <n v="2"/>
    <x v="3"/>
    <s v="Mar 12, 2018 @ 15:33"/>
    <s v="Mar 12, 2018 @ 18:29"/>
    <s v="mcoalson@hanson-inc.com"/>
  </r>
  <r>
    <n v="331"/>
    <s v="PR"/>
    <s v="Printer"/>
    <x v="123"/>
    <n v="100"/>
    <n v="1"/>
    <n v="0.1"/>
    <n v="100"/>
    <n v="54.75"/>
    <n v="5.8370803724469411"/>
    <n v="9.0036014405762304E-4"/>
    <n v="186.8147544137548"/>
    <n v="3.0721563323480865E-3"/>
    <s v="VTU3-20"/>
    <n v="0"/>
    <x v="3"/>
    <s v="Mar 12, 2018 @ 15:44"/>
    <s v="Mar 12, 2018 @ 18:29"/>
    <s v="mcoalson@hanson-inc.com"/>
  </r>
  <r>
    <n v="382"/>
    <s v="PR"/>
    <s v="Printer"/>
    <x v="2"/>
    <n v="100"/>
    <n v="1"/>
    <n v="0.1"/>
    <n v="100"/>
    <n v="54.75"/>
    <n v="5.8370803724469411"/>
    <n v="9.0036014405762304E-4"/>
    <n v="186.8147544137548"/>
    <n v="3.0721563323480865E-3"/>
    <s v="VTU3-20"/>
    <n v="0"/>
    <x v="3"/>
    <s v="Mar 12, 2018 @ 16:00"/>
    <s v="Mar 12, 2018 @ 18:31"/>
    <s v="mcoalson@hanson-inc.com"/>
  </r>
  <r>
    <n v="410"/>
    <s v="PR"/>
    <s v="Printer"/>
    <x v="19"/>
    <n v="100"/>
    <n v="1"/>
    <n v="0.1"/>
    <n v="100"/>
    <n v="54.75"/>
    <n v="5.8370803724469411"/>
    <n v="9.0036014405762304E-4"/>
    <n v="186.8147544137548"/>
    <n v="3.0721563323480865E-3"/>
    <s v="VTU3-20"/>
    <n v="0"/>
    <x v="3"/>
    <s v="Mar 12, 2018 @ 18:44"/>
    <s v="Mar 12, 2018 @ 18:41"/>
    <s v="mcoalson@hanson-inc.com"/>
  </r>
  <r>
    <n v="415"/>
    <s v="PR"/>
    <s v="Printer"/>
    <x v="2"/>
    <n v="100"/>
    <n v="1"/>
    <n v="0.1"/>
    <n v="100"/>
    <n v="54.75"/>
    <n v="5.8370803724469411"/>
    <n v="9.0036014405762304E-4"/>
    <n v="186.8147544137548"/>
    <n v="3.0721563323480865E-3"/>
    <s v="VTU3-20"/>
    <n v="0"/>
    <x v="3"/>
    <s v="Mar 12, 2018 @ 18:40"/>
    <s v="Mar 12, 2018 @ 18:40"/>
    <s v="nboyd@hanson-inc.com"/>
  </r>
  <r>
    <n v="416"/>
    <s v="PR"/>
    <s v="Printer"/>
    <x v="2"/>
    <n v="100"/>
    <n v="1"/>
    <n v="0.1"/>
    <n v="100"/>
    <n v="54.75"/>
    <n v="5.8370803724469411"/>
    <n v="9.0036014405762304E-4"/>
    <n v="186.8147544137548"/>
    <n v="3.0721563323480865E-3"/>
    <s v="VTU3-20"/>
    <n v="0"/>
    <x v="3"/>
    <s v="Mar 12, 2018 @ 18:40"/>
    <s v="Mar 12, 2018 @ 18:40"/>
    <s v="nboyd@hanson-inc.com"/>
  </r>
  <r>
    <n v="423"/>
    <s v="PR"/>
    <s v="Printer"/>
    <x v="123"/>
    <n v="100"/>
    <n v="1"/>
    <n v="0.1"/>
    <n v="100"/>
    <n v="54.75"/>
    <n v="5.8370803724469411"/>
    <n v="9.0036014405762304E-4"/>
    <n v="186.8147544137548"/>
    <n v="3.0721563323480865E-3"/>
    <s v="VTU3-20"/>
    <n v="0"/>
    <x v="3"/>
    <s v="Mar 12, 2018 @ 18:47"/>
    <s v="Mar 12, 2018 @ 18:41"/>
    <s v="mcoalson@hanson-inc.com"/>
  </r>
  <r>
    <n v="449"/>
    <s v="PR"/>
    <s v="Printer"/>
    <x v="2"/>
    <n v="100"/>
    <n v="1"/>
    <n v="0.1"/>
    <n v="100"/>
    <n v="54.75"/>
    <n v="5.8370803724469411"/>
    <n v="9.0036014405762304E-4"/>
    <n v="186.8147544137548"/>
    <n v="3.0721563323480865E-3"/>
    <s v="VTU3-20"/>
    <n v="0"/>
    <x v="3"/>
    <s v="Mar 12, 2018 @ 18:56"/>
    <s v="Mar 12, 2018 @ 18:56"/>
    <s v="nboyd@hanson-inc.com"/>
  </r>
  <r>
    <n v="451"/>
    <s v="PR"/>
    <s v="Printer"/>
    <x v="2"/>
    <n v="100"/>
    <n v="1"/>
    <n v="0.1"/>
    <n v="100"/>
    <n v="54.75"/>
    <n v="5.8370803724469411"/>
    <n v="9.0036014405762304E-4"/>
    <n v="186.8147544137548"/>
    <n v="3.0721563323480865E-3"/>
    <s v="VTU3-20"/>
    <n v="0"/>
    <x v="3"/>
    <s v="Mar 12, 2018 @ 18:56"/>
    <s v="Mar 12, 2018 @ 18:56"/>
    <s v="nboyd@hanson-inc.com"/>
  </r>
  <r>
    <n v="453"/>
    <s v="PR"/>
    <s v="Printer"/>
    <x v="2"/>
    <n v="100"/>
    <n v="1"/>
    <n v="0.1"/>
    <n v="100"/>
    <n v="54.75"/>
    <n v="5.8370803724469411"/>
    <n v="9.0036014405762304E-4"/>
    <n v="186.8147544137548"/>
    <n v="3.0721563323480865E-3"/>
    <s v="VTU3-20"/>
    <n v="0"/>
    <x v="3"/>
    <s v="Mar 12, 2018 @ 18:56"/>
    <s v="Mar 12, 2018 @ 18:56"/>
    <s v="nboyd@hanson-inc.com"/>
  </r>
  <r>
    <n v="455"/>
    <s v="PR"/>
    <s v="Printer"/>
    <x v="2"/>
    <n v="100"/>
    <n v="1"/>
    <n v="0.1"/>
    <n v="100"/>
    <n v="54.75"/>
    <n v="5.8370803724469411"/>
    <n v="9.0036014405762304E-4"/>
    <n v="186.8147544137548"/>
    <n v="3.0721563323480865E-3"/>
    <s v="VTU3-20"/>
    <n v="0"/>
    <x v="3"/>
    <s v="Mar 12, 2018 @ 19:04"/>
    <s v="Mar 12, 2018 @ 18:57"/>
    <s v="mcoalson@hanson-inc.com"/>
  </r>
  <r>
    <n v="456"/>
    <s v="PR"/>
    <s v="Printer"/>
    <x v="2"/>
    <n v="100"/>
    <n v="1"/>
    <n v="0.1"/>
    <n v="100"/>
    <n v="54.75"/>
    <n v="5.8370803724469411"/>
    <n v="9.0036014405762304E-4"/>
    <n v="186.8147544137548"/>
    <n v="3.0721563323480865E-3"/>
    <s v="VTU3-20"/>
    <n v="0"/>
    <x v="3"/>
    <s v="Mar 12, 2018 @ 19:04"/>
    <s v="Mar 12, 2018 @ 18:57"/>
    <s v="mcoalson@hanson-inc.com"/>
  </r>
  <r>
    <n v="472"/>
    <s v="PR"/>
    <s v="Printer"/>
    <x v="123"/>
    <n v="100"/>
    <n v="1"/>
    <n v="0.1"/>
    <n v="100"/>
    <n v="54.75"/>
    <n v="5.8370803724469411"/>
    <n v="9.0036014405762304E-4"/>
    <n v="186.8147544137548"/>
    <n v="3.0721563323480865E-3"/>
    <s v="VTU3-20"/>
    <n v="0"/>
    <x v="3"/>
    <s v="Mar 12, 2018 @ 19:07"/>
    <s v="Mar 12, 2018 @ 19:01"/>
    <s v="mcoalson@hanson-inc.com"/>
  </r>
  <r>
    <n v="478"/>
    <s v="PR"/>
    <s v="Printer"/>
    <x v="123"/>
    <n v="100"/>
    <n v="1"/>
    <n v="0.1"/>
    <n v="100"/>
    <n v="54.75"/>
    <n v="5.8370803724469411"/>
    <n v="9.0036014405762304E-4"/>
    <n v="186.8147544137548"/>
    <n v="3.0721563323480865E-3"/>
    <s v="VTU3-20"/>
    <n v="0"/>
    <x v="3"/>
    <s v="Mar 12, 2018 @ 19:08"/>
    <s v="Mar 12, 2018 @ 19:02"/>
    <s v="mcoalson@hanson-inc.com"/>
  </r>
  <r>
    <n v="487"/>
    <s v="PR"/>
    <s v="Printer"/>
    <x v="2"/>
    <n v="100"/>
    <n v="1"/>
    <n v="0.1"/>
    <n v="100"/>
    <n v="54.75"/>
    <n v="5.8370803724469411"/>
    <n v="9.0036014405762304E-4"/>
    <n v="186.8147544137548"/>
    <n v="3.0721563323480865E-3"/>
    <s v="VTU3-20"/>
    <n v="0"/>
    <x v="3"/>
    <s v="Mar 12, 2018 @ 19:03"/>
    <s v="Mar 12, 2018 @ 19:03"/>
    <s v="nboyd@hanson-inc.com"/>
  </r>
  <r>
    <n v="494"/>
    <s v="PR"/>
    <s v="Printer"/>
    <x v="123"/>
    <n v="100"/>
    <n v="1"/>
    <n v="0.1"/>
    <n v="100"/>
    <n v="54.75"/>
    <n v="5.8370803724469411"/>
    <n v="9.0036014405762304E-4"/>
    <n v="186.8147544137548"/>
    <n v="3.0721563323480865E-3"/>
    <s v="VTU3-20"/>
    <n v="0"/>
    <x v="3"/>
    <s v="Mar 12, 2018 @ 19:10"/>
    <s v="Mar 12, 2018 @ 19:04"/>
    <s v="mcoalson@hanson-inc.com"/>
  </r>
  <r>
    <n v="504"/>
    <s v="PR"/>
    <s v="Printer"/>
    <x v="123"/>
    <n v="100"/>
    <n v="1"/>
    <n v="0.1"/>
    <n v="100"/>
    <n v="54.75"/>
    <n v="5.8370803724469411"/>
    <n v="9.0036014405762304E-4"/>
    <n v="186.8147544137548"/>
    <n v="3.0721563323480865E-3"/>
    <s v="VTU3-20"/>
    <n v="0"/>
    <x v="3"/>
    <s v="Mar 12, 2018 @ 19:11"/>
    <s v="Mar 12, 2018 @ 19:05"/>
    <s v="mcoalson@hanson-inc.com"/>
  </r>
  <r>
    <n v="516"/>
    <s v="PR"/>
    <s v="Printer"/>
    <x v="123"/>
    <n v="100"/>
    <n v="1"/>
    <n v="0.1"/>
    <n v="100"/>
    <n v="54.75"/>
    <n v="5.8370803724469411"/>
    <n v="9.0036014405762304E-4"/>
    <n v="186.8147544137548"/>
    <n v="3.0721563323480865E-3"/>
    <s v="VTU3-20"/>
    <n v="0"/>
    <x v="3"/>
    <s v="Mar 12, 2018 @ 19:12"/>
    <s v="Mar 12, 2018 @ 19:06"/>
    <s v="mcoalson@hanson-inc.com"/>
  </r>
  <r>
    <n v="524"/>
    <s v="PR"/>
    <s v="Printer"/>
    <x v="123"/>
    <n v="100"/>
    <n v="1"/>
    <n v="0.1"/>
    <n v="100"/>
    <n v="54.75"/>
    <n v="5.8370803724469411"/>
    <n v="9.0036014405762304E-4"/>
    <n v="186.8147544137548"/>
    <n v="3.0721563323480865E-3"/>
    <s v="VTU3-20"/>
    <n v="0"/>
    <x v="3"/>
    <s v="Mar 12, 2018 @ 19:14"/>
    <s v="Mar 12, 2018 @ 19:08"/>
    <s v="mcoalson@hanson-inc.com"/>
  </r>
  <r>
    <n v="540"/>
    <s v="PR"/>
    <s v="Printer"/>
    <x v="123"/>
    <n v="100"/>
    <n v="1"/>
    <n v="0.1"/>
    <n v="100"/>
    <n v="54.75"/>
    <n v="5.8370803724469411"/>
    <n v="9.0036014405762304E-4"/>
    <n v="186.8147544137548"/>
    <n v="3.0721563323480865E-3"/>
    <s v="VTU3-20"/>
    <n v="0"/>
    <x v="3"/>
    <s v="Mar 12, 2018 @ 19:15"/>
    <s v="Mar 12, 2018 @ 19:09"/>
    <s v="mcoalson@hanson-inc.com"/>
  </r>
  <r>
    <n v="556"/>
    <s v="PR"/>
    <s v="Printer"/>
    <x v="123"/>
    <n v="100"/>
    <n v="1"/>
    <n v="0.1"/>
    <n v="100"/>
    <n v="54.75"/>
    <n v="5.8370803724469411"/>
    <n v="9.0036014405762304E-4"/>
    <n v="186.8147544137548"/>
    <n v="3.0721563323480865E-3"/>
    <s v="VTU3-20"/>
    <n v="0"/>
    <x v="3"/>
    <s v="Mar 12, 2018 @ 19:17"/>
    <s v="Mar 12, 2018 @ 19:11"/>
    <s v="mcoalson@hanson-inc.com"/>
  </r>
  <r>
    <n v="571"/>
    <s v="PR"/>
    <s v="Printer"/>
    <x v="2"/>
    <n v="100"/>
    <n v="1"/>
    <n v="0.1"/>
    <n v="100"/>
    <n v="54.75"/>
    <n v="5.8370803724469411"/>
    <n v="9.0036014405762304E-4"/>
    <n v="186.8147544137548"/>
    <n v="3.0721563323480865E-3"/>
    <s v="VTU3-20"/>
    <n v="0"/>
    <x v="3"/>
    <s v="Mar 12, 2018 @ 19:13"/>
    <s v="Mar 12, 2018 @ 19:13"/>
    <s v="nboyd@hanson-inc.com"/>
  </r>
  <r>
    <n v="584"/>
    <s v="PR"/>
    <s v="Printer"/>
    <x v="123"/>
    <n v="100"/>
    <n v="1"/>
    <n v="0.1"/>
    <n v="100"/>
    <n v="54.75"/>
    <n v="5.8370803724469411"/>
    <n v="9.0036014405762304E-4"/>
    <n v="186.8147544137548"/>
    <n v="3.0721563323480865E-3"/>
    <s v="VTU3-20"/>
    <n v="0"/>
    <x v="3"/>
    <s v="Mar 12, 2018 @ 19:21"/>
    <s v="Mar 12, 2018 @ 19:15"/>
    <s v="mcoalson@hanson-inc.com"/>
  </r>
  <r>
    <n v="596"/>
    <s v="PR"/>
    <s v="Printer"/>
    <x v="123"/>
    <n v="100"/>
    <n v="1"/>
    <n v="0.1"/>
    <n v="100"/>
    <n v="54.75"/>
    <n v="5.8370803724469411"/>
    <n v="9.0036014405762304E-4"/>
    <n v="186.8147544137548"/>
    <n v="3.0721563323480865E-3"/>
    <s v="VTU3-20"/>
    <n v="0"/>
    <x v="3"/>
    <s v="Mar 12, 2018 @ 19:22"/>
    <s v="Mar 12, 2018 @ 19:16"/>
    <s v="mcoalson@hanson-inc.com"/>
  </r>
  <r>
    <n v="605"/>
    <s v="PR"/>
    <s v="Printer"/>
    <x v="123"/>
    <n v="100"/>
    <n v="1"/>
    <n v="0.1"/>
    <n v="100"/>
    <n v="54.75"/>
    <n v="5.8370803724469411"/>
    <n v="9.0036014405762304E-4"/>
    <n v="186.8147544137548"/>
    <n v="3.0721563323480865E-3"/>
    <s v="VTU3-20"/>
    <n v="0"/>
    <x v="3"/>
    <s v="Mar 12, 2018 @ 19:23"/>
    <s v="Mar 12, 2018 @ 19:17"/>
    <s v="mcoalson@hanson-inc.com"/>
  </r>
  <r>
    <n v="613"/>
    <s v="PR"/>
    <s v="Printer"/>
    <x v="2"/>
    <n v="100"/>
    <n v="1"/>
    <n v="0.1"/>
    <n v="100"/>
    <n v="54.75"/>
    <n v="5.8370803724469411"/>
    <n v="9.0036014405762304E-4"/>
    <n v="186.8147544137548"/>
    <n v="3.0721563323480865E-3"/>
    <s v="VTU3-20"/>
    <n v="0"/>
    <x v="3"/>
    <s v="Mar 12, 2018 @ 19:18"/>
    <s v="Mar 12, 2018 @ 19:18"/>
    <s v="nboyd@hanson-inc.com"/>
  </r>
  <r>
    <n v="625"/>
    <s v="PR"/>
    <s v="Printer"/>
    <x v="2"/>
    <n v="100"/>
    <n v="1"/>
    <n v="0.1"/>
    <n v="100"/>
    <n v="54.75"/>
    <n v="5.8370803724469411"/>
    <n v="9.0036014405762304E-4"/>
    <n v="186.8147544137548"/>
    <n v="3.0721563323480865E-3"/>
    <s v="VTU3-20"/>
    <n v="0"/>
    <x v="3"/>
    <s v="Mar 12, 2018 @ 19:29"/>
    <s v="Mar 12, 2018 @ 19:23"/>
    <s v="mcoalson@hanson-inc.com"/>
  </r>
  <r>
    <n v="1096"/>
    <s v="P"/>
    <s v="Pump"/>
    <x v="125"/>
    <n v="11185.5"/>
    <n v="1"/>
    <n v="0.5"/>
    <n v="11185.5"/>
    <n v="30620.306250000001"/>
    <n v="3264.5331253002628"/>
    <n v="0.5035489195678271"/>
    <n v="104480.82177475272"/>
    <n v="1.7181802327739764"/>
    <s v="1st Floor"/>
    <n v="2"/>
    <x v="9"/>
    <s v="Mar 14, 2018 @ 17:39"/>
    <s v="Mar 14, 2018 @ 17:53"/>
    <s v="mcoalson@hanson-inc.com"/>
  </r>
  <r>
    <n v="1097"/>
    <s v="P"/>
    <s v="Pump"/>
    <x v="2"/>
    <n v="11185.5"/>
    <n v="1"/>
    <n v="0.5"/>
    <n v="11185.5"/>
    <n v="30620.306250000001"/>
    <n v="3264.5331253002628"/>
    <n v="0.5035489195678271"/>
    <n v="104480.82177475272"/>
    <n v="1.7181802327739764"/>
    <s v="1st Floor"/>
    <n v="1"/>
    <x v="9"/>
    <s v="Mar 14, 2018 @ 17:46"/>
    <s v="Mar 14, 2018 @ 17:40"/>
    <s v="mcoalson@hanson-inc.com"/>
  </r>
  <r>
    <n v="935"/>
    <s v="RE"/>
    <s v="Refrigerator"/>
    <x v="2"/>
    <n v="408"/>
    <n v="1"/>
    <n v="0.75"/>
    <n v="408"/>
    <n v="1675.35"/>
    <n v="178.61465939687639"/>
    <n v="2.7551020408163263E-2"/>
    <n v="5716.5314850608975"/>
    <n v="9.4007983769851464E-2"/>
    <s v="1st Floor"/>
    <n v="0"/>
    <x v="3"/>
    <s v="Mar 14, 2018 @ 15:46"/>
    <s v="Mar 14, 2018 @ 15:46"/>
    <s v="mcoalson@hanson-inc.com"/>
  </r>
  <r>
    <n v="945"/>
    <s v="RE"/>
    <s v="Refrigerator"/>
    <x v="126"/>
    <n v="100"/>
    <n v="1"/>
    <n v="0.75"/>
    <n v="100"/>
    <n v="410.625"/>
    <n v="43.778102793352055"/>
    <n v="6.7527010804321729E-3"/>
    <n v="1401.1106581031611"/>
    <n v="2.3041172492610652E-2"/>
    <s v="1st Floor"/>
    <n v="0"/>
    <x v="3"/>
    <s v="Mar 14, 2018 @ 15:50"/>
    <s v="Mar 14, 2018 @ 15:51"/>
    <s v="mcoalson@hanson-inc.com"/>
  </r>
  <r>
    <n v="1089"/>
    <s v="RE"/>
    <s v="Refrigerator"/>
    <x v="2"/>
    <n v="408"/>
    <n v="1"/>
    <n v="0.75"/>
    <n v="408"/>
    <n v="1675.35"/>
    <n v="178.61465939687639"/>
    <n v="2.7551020408163263E-2"/>
    <n v="5716.5314850608975"/>
    <n v="9.4007983769851464E-2"/>
    <s v="1st Floor"/>
    <n v="1"/>
    <x v="3"/>
    <s v="Mar 14, 2018 @ 16:34"/>
    <s v="Mar 14, 2018 @ 16:29"/>
    <s v="mcoalson@hanson-inc.com"/>
  </r>
  <r>
    <n v="692"/>
    <s v="RE"/>
    <s v="Refrigerator"/>
    <x v="126"/>
    <n v="100"/>
    <n v="1"/>
    <n v="0.75"/>
    <n v="100"/>
    <n v="410.625"/>
    <n v="43.778102793352055"/>
    <n v="6.7527010804321729E-3"/>
    <n v="1401.1106581031611"/>
    <n v="2.3041172492610652E-2"/>
    <s v="2nd Floor"/>
    <n v="0"/>
    <x v="3"/>
    <s v="Mar 14, 2018 @ 13:27"/>
    <s v="Mar 14, 2018 @ 13:27"/>
    <s v="mcoalson@hanson-inc.com"/>
  </r>
  <r>
    <n v="711"/>
    <s v="RE"/>
    <s v="Refrigerator"/>
    <x v="2"/>
    <n v="408"/>
    <n v="1"/>
    <n v="0.75"/>
    <n v="408"/>
    <n v="1675.35"/>
    <n v="178.61465939687639"/>
    <n v="2.7551020408163263E-2"/>
    <n v="5716.5314850608975"/>
    <n v="9.4007983769851464E-2"/>
    <s v="2nd Floor"/>
    <n v="0"/>
    <x v="3"/>
    <s v="Mar 14, 2018 @ 13:34"/>
    <s v="Mar 14, 2018 @ 13:34"/>
    <s v="nboyd@hanson-inc.com"/>
  </r>
  <r>
    <n v="870"/>
    <s v="RE"/>
    <s v="Refrigerator"/>
    <x v="2"/>
    <n v="408"/>
    <n v="1"/>
    <n v="0.75"/>
    <n v="408"/>
    <n v="1675.35"/>
    <n v="178.61465939687639"/>
    <n v="2.7551020408163263E-2"/>
    <n v="5716.5314850608975"/>
    <n v="9.4007983769851464E-2"/>
    <s v="2nd Floor"/>
    <n v="1"/>
    <x v="3"/>
    <s v="Mar 14, 2018 @ 15:05"/>
    <s v="Mar 14, 2018 @ 14:58"/>
    <s v="mcoalson@hanson-inc.com"/>
  </r>
  <r>
    <n v="82"/>
    <s v="RE"/>
    <s v="Refrigerator"/>
    <x v="126"/>
    <n v="100"/>
    <n v="1"/>
    <n v="0.75"/>
    <n v="100"/>
    <n v="410.625"/>
    <n v="43.778102793352055"/>
    <n v="6.7527010804321729E-3"/>
    <n v="1401.1106581031611"/>
    <n v="2.3041172492610652E-2"/>
    <s v="VTU3-20"/>
    <n v="0"/>
    <x v="3"/>
    <s v="Mar 12, 2018 @ 14:31"/>
    <s v="Mar 12, 2018 @ 14:24"/>
    <s v="mcoalson@hanson-inc.com"/>
  </r>
  <r>
    <n v="101"/>
    <s v="RE"/>
    <s v="Refrigerator"/>
    <x v="126"/>
    <n v="100"/>
    <n v="1"/>
    <n v="0.75"/>
    <n v="100"/>
    <n v="410.625"/>
    <n v="43.778102793352055"/>
    <n v="6.7527010804321729E-3"/>
    <n v="1401.1106581031611"/>
    <n v="2.3041172492610652E-2"/>
    <s v="VTU3-20"/>
    <n v="0"/>
    <x v="3"/>
    <s v="Mar 12, 2018 @ 14:35"/>
    <s v="Mar 12, 2018 @ 14:29"/>
    <s v="mcoalson@hanson-inc.com"/>
  </r>
  <r>
    <n v="305"/>
    <s v="RE"/>
    <s v="Refrigerator"/>
    <x v="119"/>
    <n v="408"/>
    <n v="1"/>
    <n v="0.75"/>
    <n v="408"/>
    <n v="1675.35"/>
    <n v="178.61465939687639"/>
    <n v="2.7551020408163263E-2"/>
    <n v="5716.5314850608975"/>
    <n v="9.4007983769851464E-2"/>
    <s v="VTU3-20"/>
    <n v="0"/>
    <x v="3"/>
    <s v="Mar 12, 2018 @ 15:33"/>
    <s v="Mar 12, 2018 @ 18:28"/>
    <s v="mcoalson@hanson-inc.com"/>
  </r>
  <r>
    <n v="381"/>
    <s v="RE"/>
    <s v="Refrigerator"/>
    <x v="126"/>
    <n v="100"/>
    <n v="1"/>
    <n v="0.75"/>
    <n v="100"/>
    <n v="410.625"/>
    <n v="43.778102793352055"/>
    <n v="6.7527010804321729E-3"/>
    <n v="1401.1106581031611"/>
    <n v="2.3041172492610652E-2"/>
    <s v="VTU3-20"/>
    <n v="0"/>
    <x v="3"/>
    <s v="Mar 12, 2018 @ 16:00"/>
    <s v="Mar 12, 2018 @ 18:31"/>
    <s v="mcoalson@hanson-inc.com"/>
  </r>
  <r>
    <n v="400"/>
    <s v="RE"/>
    <s v="Refrigerator"/>
    <x v="2"/>
    <n v="408"/>
    <n v="1"/>
    <n v="0.75"/>
    <n v="408"/>
    <n v="1675.35"/>
    <n v="178.61465939687639"/>
    <n v="2.7551020408163263E-2"/>
    <n v="5716.5314850608975"/>
    <n v="9.4007983769851464E-2"/>
    <s v="VTU3-20"/>
    <n v="0"/>
    <x v="3"/>
    <s v="Mar 12, 2018 @ 18:36"/>
    <s v="Mar 12, 2018 @ 18:36"/>
    <s v="nboyd@hanson-inc.com"/>
  </r>
  <r>
    <n v="426"/>
    <s v="RE"/>
    <s v="Refrigerator"/>
    <x v="126"/>
    <n v="100"/>
    <n v="1"/>
    <n v="0.75"/>
    <n v="100"/>
    <n v="410.625"/>
    <n v="43.778102793352055"/>
    <n v="6.7527010804321729E-3"/>
    <n v="1401.1106581031611"/>
    <n v="2.3041172492610652E-2"/>
    <s v="VTU3-20"/>
    <n v="0"/>
    <x v="3"/>
    <s v="Mar 12, 2018 @ 18:48"/>
    <s v="Mar 12, 2018 @ 18:42"/>
    <s v="mcoalson@hanson-inc.com"/>
  </r>
  <r>
    <n v="444"/>
    <s v="RE"/>
    <s v="Refrigerator"/>
    <x v="126"/>
    <n v="100"/>
    <n v="1"/>
    <n v="0.75"/>
    <n v="100"/>
    <n v="410.625"/>
    <n v="43.778102793352055"/>
    <n v="6.7527010804321729E-3"/>
    <n v="1401.1106581031611"/>
    <n v="2.3041172492610652E-2"/>
    <s v="VTU3-20"/>
    <n v="0"/>
    <x v="3"/>
    <s v="Mar 12, 2018 @ 19:01"/>
    <s v="Mar 12, 2018 @ 18:55"/>
    <s v="mcoalson@hanson-inc.com"/>
  </r>
  <r>
    <n v="518"/>
    <s v="RE"/>
    <s v="Refrigerator"/>
    <x v="2"/>
    <n v="408"/>
    <n v="1"/>
    <n v="0.75"/>
    <n v="408"/>
    <n v="1675.35"/>
    <n v="178.61465939687639"/>
    <n v="2.7551020408163263E-2"/>
    <n v="5716.5314850608975"/>
    <n v="9.4007983769851464E-2"/>
    <s v="VTU3-20"/>
    <n v="0"/>
    <x v="3"/>
    <s v="Mar 12, 2018 @ 19:13"/>
    <s v="Mar 12, 2018 @ 19:06"/>
    <s v="mcoalson@hanson-inc.com"/>
  </r>
  <r>
    <n v="521"/>
    <s v="RE"/>
    <s v="Refrigerator"/>
    <x v="2"/>
    <n v="408"/>
    <n v="1"/>
    <n v="0.75"/>
    <n v="408"/>
    <n v="1675.35"/>
    <n v="178.61465939687639"/>
    <n v="2.7551020408163263E-2"/>
    <n v="5716.5314850608975"/>
    <n v="9.4007983769851464E-2"/>
    <s v="VTU3-20"/>
    <n v="0"/>
    <x v="3"/>
    <s v="Mar 12, 2018 @ 19:14"/>
    <s v="Mar 12, 2018 @ 19:08"/>
    <s v="mcoalson@hanson-inc.com"/>
  </r>
  <r>
    <n v="558"/>
    <s v="RE"/>
    <s v="Refrigerator"/>
    <x v="2"/>
    <n v="408"/>
    <n v="1"/>
    <n v="0.75"/>
    <n v="408"/>
    <n v="1675.35"/>
    <n v="178.61465939687639"/>
    <n v="2.7551020408163263E-2"/>
    <n v="5716.5314850608975"/>
    <n v="9.4007983769851464E-2"/>
    <s v="VTU3-20"/>
    <n v="0"/>
    <x v="3"/>
    <s v="Mar 12, 2018 @ 19:18"/>
    <s v="Mar 12, 2018 @ 19:12"/>
    <s v="mcoalson@hanson-inc.com"/>
  </r>
  <r>
    <n v="594"/>
    <s v="RE"/>
    <s v="Refrigerator"/>
    <x v="2"/>
    <n v="408"/>
    <n v="1"/>
    <n v="0.75"/>
    <n v="408"/>
    <n v="1675.35"/>
    <n v="178.61465939687639"/>
    <n v="2.7551020408163263E-2"/>
    <n v="5716.5314850608975"/>
    <n v="9.4007983769851464E-2"/>
    <s v="VTU3-20"/>
    <n v="0"/>
    <x v="3"/>
    <s v="Mar 12, 2018 @ 19:22"/>
    <s v="Mar 12, 2018 @ 19:16"/>
    <s v="mcoalson@hanson-inc.com"/>
  </r>
  <r>
    <n v="950"/>
    <s v="SH"/>
    <s v="Shredder"/>
    <x v="2"/>
    <n v="265"/>
    <n v="1"/>
    <n v="0.1"/>
    <n v="265"/>
    <n v="145.08750000000001"/>
    <n v="15.468262986984394"/>
    <n v="2.3859543817527011E-3"/>
    <n v="495.05909919645023"/>
    <n v="8.1412142807224305E-3"/>
    <s v="1st Floor"/>
    <n v="1"/>
    <x v="3"/>
    <s v="Mar 14, 2018 @ 15:51"/>
    <s v="Mar 14, 2018 @ 15:51"/>
    <s v="mcoalson@hanson-inc.com"/>
  </r>
  <r>
    <n v="1056"/>
    <s v="SH"/>
    <s v="Shredder"/>
    <x v="2"/>
    <n v="265"/>
    <n v="1"/>
    <n v="0.1"/>
    <n v="265"/>
    <n v="145.08750000000001"/>
    <n v="15.468262986984394"/>
    <n v="2.3859543817527011E-3"/>
    <n v="495.05909919645023"/>
    <n v="8.1412142807224305E-3"/>
    <s v="1st Floor"/>
    <n v="0"/>
    <x v="3"/>
    <s v="Mar 14, 2018 @ 16:27"/>
    <s v="Mar 14, 2018 @ 16:21"/>
    <s v="mcoalson@hanson-inc.com"/>
  </r>
  <r>
    <n v="1071"/>
    <s v="SH"/>
    <s v="Shredder"/>
    <x v="2"/>
    <n v="265"/>
    <n v="1"/>
    <n v="0.1"/>
    <n v="265"/>
    <n v="145.08750000000001"/>
    <n v="15.468262986984394"/>
    <n v="2.3859543817527011E-3"/>
    <n v="495.05909919645023"/>
    <n v="8.1412142807224305E-3"/>
    <s v="1st Floor"/>
    <n v="0"/>
    <x v="3"/>
    <s v="Mar 14, 2018 @ 16:25"/>
    <s v="Mar 14, 2018 @ 16:25"/>
    <s v="mcoalson@hanson-inc.com"/>
  </r>
  <r>
    <n v="712"/>
    <s v="SH"/>
    <s v="Shredder"/>
    <x v="2"/>
    <n v="265"/>
    <n v="1"/>
    <n v="0.1"/>
    <n v="265"/>
    <n v="145.08750000000001"/>
    <n v="15.468262986984394"/>
    <n v="2.3859543817527011E-3"/>
    <n v="495.05909919645023"/>
    <n v="8.1412142807224305E-3"/>
    <s v="2nd Floor"/>
    <n v="0"/>
    <x v="3"/>
    <s v="Mar 14, 2018 @ 13:34"/>
    <s v="Mar 14, 2018 @ 13:34"/>
    <s v="nboyd@hanson-inc.com"/>
  </r>
  <r>
    <n v="771"/>
    <s v="SH"/>
    <s v="Shredder"/>
    <x v="2"/>
    <n v="265"/>
    <n v="1"/>
    <n v="0.1"/>
    <n v="265"/>
    <n v="145.08750000000001"/>
    <n v="15.468262986984394"/>
    <n v="2.3859543817527011E-3"/>
    <n v="495.05909919645023"/>
    <n v="8.1412142807224305E-3"/>
    <s v="2nd Floor"/>
    <n v="0"/>
    <x v="3"/>
    <s v="Mar 14, 2018 @ 14:24"/>
    <s v="Mar 14, 2018 @ 14:18"/>
    <s v="mcoalson@hanson-inc.com"/>
  </r>
  <r>
    <n v="876"/>
    <s v="SH"/>
    <s v="Shredder"/>
    <x v="2"/>
    <n v="265"/>
    <n v="1"/>
    <n v="0.1"/>
    <n v="265"/>
    <n v="145.08750000000001"/>
    <n v="15.468262986984394"/>
    <n v="2.3859543817527011E-3"/>
    <n v="495.05909919645023"/>
    <n v="8.1412142807224305E-3"/>
    <s v="2nd Floor"/>
    <n v="0"/>
    <x v="3"/>
    <s v="Mar 14, 2018 @ 14:59"/>
    <s v="Mar 14, 2018 @ 14:59"/>
    <s v="nboyd@hanson-inc.com"/>
  </r>
  <r>
    <n v="80"/>
    <s v="SH"/>
    <s v="Shredder"/>
    <x v="2"/>
    <n v="265"/>
    <n v="1"/>
    <n v="0.1"/>
    <n v="265"/>
    <n v="145.08750000000001"/>
    <n v="15.468262986984394"/>
    <n v="2.3859543817527011E-3"/>
    <n v="495.05909919645023"/>
    <n v="8.1412142807224305E-3"/>
    <s v="VTU3-20"/>
    <n v="0"/>
    <x v="3"/>
    <s v="Mar 12, 2018 @ 14:30"/>
    <s v="Mar 12, 2018 @ 14:24"/>
    <s v="mcoalson@hanson-inc.com"/>
  </r>
  <r>
    <n v="302"/>
    <s v="SH"/>
    <s v="Shredder"/>
    <x v="119"/>
    <n v="265"/>
    <n v="1"/>
    <n v="0.1"/>
    <n v="265"/>
    <n v="145.08750000000001"/>
    <n v="15.468262986984394"/>
    <n v="2.3859543817527011E-3"/>
    <n v="495.05909919645023"/>
    <n v="8.1412142807224305E-3"/>
    <s v="VTU3-20"/>
    <n v="1"/>
    <x v="3"/>
    <s v="Mar 12, 2018 @ 15:32"/>
    <s v="Mar 12, 2018 @ 18:28"/>
    <s v="mcoalson@hanson-inc.com"/>
  </r>
  <r>
    <n v="379"/>
    <s v="SH"/>
    <s v="Shredder"/>
    <x v="119"/>
    <n v="265"/>
    <n v="1"/>
    <n v="0.1"/>
    <n v="265"/>
    <n v="145.08750000000001"/>
    <n v="15.468262986984394"/>
    <n v="2.3859543817527011E-3"/>
    <n v="495.05909919645023"/>
    <n v="8.1412142807224305E-3"/>
    <s v="VTU3-20"/>
    <n v="1"/>
    <x v="3"/>
    <s v="Mar 12, 2018 @ 15:58"/>
    <s v="Mar 12, 2018 @ 18:31"/>
    <s v="mcoalson@hanson-inc.com"/>
  </r>
  <r>
    <n v="411"/>
    <s v="SH"/>
    <s v="Shredder"/>
    <x v="2"/>
    <n v="265"/>
    <n v="1"/>
    <n v="0.1"/>
    <n v="265"/>
    <n v="145.08750000000001"/>
    <n v="15.468262986984394"/>
    <n v="2.3859543817527011E-3"/>
    <n v="495.05909919645023"/>
    <n v="8.1412142807224305E-3"/>
    <s v="VTU3-20"/>
    <n v="0"/>
    <x v="3"/>
    <s v="Mar 12, 2018 @ 18:39"/>
    <s v="Mar 12, 2018 @ 18:39"/>
    <s v="nboyd@hanson-inc.com"/>
  </r>
  <r>
    <n v="647"/>
    <s v="TV"/>
    <s v="Television"/>
    <x v="127"/>
    <n v="175"/>
    <n v="1"/>
    <n v="0.25"/>
    <n v="175"/>
    <n v="239.53125"/>
    <n v="25.537226629455365"/>
    <n v="3.9390756302521007E-3"/>
    <n v="817.31455056017728"/>
    <n v="1.344068395402288E-2"/>
    <s v="1st Floor"/>
    <n v="1"/>
    <x v="3"/>
    <s v="Mar 14, 2018 @ 12:44"/>
    <s v="Mar 14, 2018 @ 12:42"/>
    <s v="mcoalson@hanson-inc.com"/>
  </r>
  <r>
    <n v="837"/>
    <s v="TV"/>
    <s v="Television"/>
    <x v="2"/>
    <n v="175"/>
    <n v="1"/>
    <n v="0.25"/>
    <n v="175"/>
    <n v="239.53125"/>
    <n v="25.537226629455365"/>
    <n v="3.9390756302521007E-3"/>
    <n v="817.31455056017728"/>
    <n v="1.344068395402288E-2"/>
    <s v="2nd Floor"/>
    <n v="1"/>
    <x v="3"/>
    <s v="Mar 14, 2018 @ 14:59"/>
    <s v="Mar 14, 2018 @ 14:53"/>
    <s v="mcoalson@hanson-inc.com"/>
  </r>
  <r>
    <n v="784"/>
    <s v="TY"/>
    <s v="Typical Office"/>
    <x v="2"/>
    <n v="237"/>
    <n v="1"/>
    <n v="1"/>
    <n v="237"/>
    <n v="1297.575"/>
    <n v="138.33880482699252"/>
    <n v="2.1338535414165666E-2"/>
    <n v="4427.5096796059888"/>
    <n v="7.2810105076649659E-2"/>
    <s v="2nd Floor"/>
    <n v="0"/>
    <x v="3"/>
    <s v="Mar 14, 2018 @ 14:37"/>
    <s v="Mar 14, 2018 @ 14:31"/>
    <s v="mcoalson@hanson-inc.com"/>
  </r>
  <r>
    <n v="785"/>
    <s v="TY"/>
    <s v="Typical Office"/>
    <x v="2"/>
    <n v="237"/>
    <n v="1"/>
    <n v="1"/>
    <n v="237"/>
    <n v="1297.575"/>
    <n v="138.33880482699252"/>
    <n v="2.1338535414165666E-2"/>
    <n v="4427.5096796059888"/>
    <n v="7.2810105076649659E-2"/>
    <s v="2nd Floor"/>
    <n v="0"/>
    <x v="3"/>
    <s v="Mar 14, 2018 @ 14:37"/>
    <s v="Mar 14, 2018 @ 14:31"/>
    <s v="mcoalson@hanson-inc.com"/>
  </r>
  <r>
    <n v="786"/>
    <s v="TY"/>
    <s v="Typical Office"/>
    <x v="2"/>
    <n v="237"/>
    <n v="1"/>
    <n v="1"/>
    <n v="237"/>
    <n v="1297.575"/>
    <n v="138.33880482699252"/>
    <n v="2.1338535414165666E-2"/>
    <n v="4427.5096796059888"/>
    <n v="7.2810105076649659E-2"/>
    <s v="2nd Floor"/>
    <n v="0"/>
    <x v="3"/>
    <s v="Mar 14, 2018 @ 14:37"/>
    <s v="Mar 14, 2018 @ 14:31"/>
    <s v="mcoalson@hanson-inc.com"/>
  </r>
  <r>
    <n v="1090"/>
    <s v="WH"/>
    <s v="Water Heater"/>
    <x v="128"/>
    <n v="370"/>
    <n v="1"/>
    <n v="0.75"/>
    <n v="370"/>
    <n v="1519.3125"/>
    <n v="161.97898033540261"/>
    <n v="2.4984993997599039E-2"/>
    <n v="5184.1094349816958"/>
    <n v="8.5252338222659402E-2"/>
    <s v="1st Floor"/>
    <n v="1"/>
    <x v="3"/>
    <s v="Mar 14, 2018 @ 16:35"/>
    <s v="Mar 14, 2018 @ 16:29"/>
    <s v="mcoalson@hanson-inc.com"/>
  </r>
  <r>
    <n v="761"/>
    <s v="WH"/>
    <s v="Water Heater"/>
    <x v="129"/>
    <n v="370"/>
    <n v="1"/>
    <n v="0.75"/>
    <n v="370"/>
    <n v="1519.3125"/>
    <n v="161.97898033540261"/>
    <n v="2.4984993997599039E-2"/>
    <n v="5184.1094349816958"/>
    <n v="8.5252338222659402E-2"/>
    <s v="2nd Floor"/>
    <n v="1"/>
    <x v="3"/>
    <s v="Mar 14, 2018 @ 14:14"/>
    <s v="Mar 14, 2018 @ 14:16"/>
    <s v="nboyd@hanson-inc.com"/>
  </r>
  <r>
    <m/>
    <s v="VAV"/>
    <m/>
    <x v="2"/>
    <n v="5000"/>
    <n v="1"/>
    <n v="0.02"/>
    <n v="5000"/>
    <n v="547.5"/>
    <n v="58.370803724469411"/>
    <n v="9.00360144057623E-3"/>
    <n v="1868.147544137548"/>
    <n v="3.0721563323480867E-2"/>
    <m/>
    <m/>
    <x v="1"/>
    <m/>
    <m/>
    <m/>
  </r>
  <r>
    <m/>
    <s v="VAV"/>
    <m/>
    <x v="2"/>
    <n v="1000"/>
    <n v="1"/>
    <n v="0.02"/>
    <n v="1000"/>
    <n v="109.5"/>
    <n v="11.674160744893882"/>
    <n v="1.8007202881152461E-3"/>
    <n v="373.6295088275096"/>
    <n v="6.144312664696173E-3"/>
    <m/>
    <m/>
    <x v="1"/>
    <m/>
    <m/>
    <m/>
  </r>
  <r>
    <m/>
    <s v="VAV"/>
    <m/>
    <x v="2"/>
    <n v="6000"/>
    <n v="1"/>
    <n v="0.02"/>
    <n v="6000"/>
    <n v="657"/>
    <n v="70.044964469363293"/>
    <n v="1.0804321728691477E-2"/>
    <n v="2241.7770529650575"/>
    <n v="3.686587598817704E-2"/>
    <m/>
    <m/>
    <x v="1"/>
    <m/>
    <m/>
    <m/>
  </r>
  <r>
    <m/>
    <s v="VAV"/>
    <m/>
    <x v="2"/>
    <n v="19000"/>
    <n v="1"/>
    <n v="0.02"/>
    <n v="19000"/>
    <n v="2080.5"/>
    <n v="221.80905415298375"/>
    <n v="3.4213685474189674E-2"/>
    <n v="7098.960667722683"/>
    <n v="0.1167419406292273"/>
    <m/>
    <m/>
    <x v="1"/>
    <m/>
    <m/>
    <m/>
  </r>
  <r>
    <m/>
    <s v="VAV"/>
    <m/>
    <x v="2"/>
    <n v="11000"/>
    <n v="1"/>
    <n v="0.02"/>
    <n v="11000"/>
    <n v="1204.5"/>
    <n v="128.41576819383269"/>
    <n v="1.9807923169267706E-2"/>
    <n v="4109.9245971026057"/>
    <n v="6.7587439311657907E-2"/>
    <m/>
    <m/>
    <x v="1"/>
    <m/>
    <m/>
    <m/>
  </r>
  <r>
    <m/>
    <s v="VAV"/>
    <m/>
    <x v="2"/>
    <n v="11000"/>
    <n v="1"/>
    <n v="0.02"/>
    <n v="11000"/>
    <n v="1204.5"/>
    <n v="128.41576819383269"/>
    <n v="1.9807923169267706E-2"/>
    <n v="4109.9245971026057"/>
    <n v="6.7587439311657907E-2"/>
    <m/>
    <m/>
    <x v="1"/>
    <m/>
    <m/>
    <m/>
  </r>
  <r>
    <m/>
    <s v="VAV"/>
    <m/>
    <x v="2"/>
    <n v="3000"/>
    <n v="1"/>
    <n v="0.02"/>
    <n v="3000"/>
    <n v="328.5"/>
    <n v="35.022482234681647"/>
    <n v="5.4021608643457387E-3"/>
    <n v="1120.8885264825287"/>
    <n v="1.843293799408852E-2"/>
    <m/>
    <m/>
    <x v="1"/>
    <m/>
    <m/>
    <m/>
  </r>
  <r>
    <m/>
    <s v="VAV"/>
    <m/>
    <x v="2"/>
    <n v="1000"/>
    <n v="1"/>
    <n v="0.02"/>
    <n v="1000"/>
    <n v="109.5"/>
    <n v="11.674160744893882"/>
    <n v="1.8007202881152461E-3"/>
    <n v="373.6295088275096"/>
    <n v="6.144312664696173E-3"/>
    <m/>
    <m/>
    <x v="1"/>
    <m/>
    <m/>
    <m/>
  </r>
  <r>
    <m/>
    <s v="VAV"/>
    <m/>
    <x v="2"/>
    <n v="2000"/>
    <n v="1"/>
    <n v="0.02"/>
    <n v="2000"/>
    <n v="219"/>
    <n v="23.348321489787764"/>
    <n v="3.6014405762304922E-3"/>
    <n v="747.25901765501919"/>
    <n v="1.2288625329392346E-2"/>
    <m/>
    <m/>
    <x v="1"/>
    <m/>
    <m/>
    <m/>
  </r>
  <r>
    <m/>
    <s v="VAV"/>
    <m/>
    <x v="2"/>
    <n v="1000"/>
    <n v="1"/>
    <n v="0.02"/>
    <n v="1000"/>
    <n v="109.5"/>
    <n v="11.674160744893882"/>
    <n v="1.8007202881152461E-3"/>
    <n v="373.6295088275096"/>
    <n v="6.144312664696173E-3"/>
    <m/>
    <m/>
    <x v="1"/>
    <m/>
    <m/>
    <m/>
  </r>
  <r>
    <m/>
    <s v="VAV"/>
    <m/>
    <x v="2"/>
    <n v="7000"/>
    <n v="1"/>
    <n v="0.02"/>
    <n v="7000"/>
    <n v="766.5"/>
    <n v="81.719125214257176"/>
    <n v="1.2605042016806723E-2"/>
    <n v="2615.4065617925671"/>
    <n v="4.3010188652873212E-2"/>
    <m/>
    <m/>
    <x v="1"/>
    <m/>
    <m/>
    <m/>
  </r>
  <r>
    <m/>
    <s v="VAV"/>
    <m/>
    <x v="2"/>
    <n v="4000"/>
    <n v="1"/>
    <n v="0.02"/>
    <n v="4000"/>
    <n v="438"/>
    <n v="46.696642979575529"/>
    <n v="7.2028811524609843E-3"/>
    <n v="1494.5180353100384"/>
    <n v="2.4577250658784692E-2"/>
    <m/>
    <m/>
    <x v="1"/>
    <m/>
    <m/>
    <m/>
  </r>
  <r>
    <m/>
    <s v="VAV"/>
    <m/>
    <x v="2"/>
    <n v="3000"/>
    <n v="1"/>
    <n v="0.02"/>
    <n v="3000"/>
    <n v="328.5"/>
    <n v="35.022482234681647"/>
    <n v="5.4021608643457387E-3"/>
    <n v="1120.8885264825287"/>
    <n v="1.843293799408852E-2"/>
    <m/>
    <m/>
    <x v="1"/>
    <m/>
    <m/>
    <m/>
  </r>
  <r>
    <m/>
    <s v="VAV"/>
    <m/>
    <x v="2"/>
    <n v="2000"/>
    <n v="1"/>
    <n v="0.02"/>
    <n v="2000"/>
    <n v="219"/>
    <n v="23.348321489787764"/>
    <n v="3.6014405762304922E-3"/>
    <n v="747.25901765501919"/>
    <n v="1.2288625329392346E-2"/>
    <m/>
    <m/>
    <x v="1"/>
    <m/>
    <m/>
    <m/>
  </r>
  <r>
    <m/>
    <s v="VAV"/>
    <m/>
    <x v="2"/>
    <n v="2000"/>
    <n v="1"/>
    <n v="0.02"/>
    <n v="2000"/>
    <n v="219"/>
    <n v="23.348321489787764"/>
    <n v="3.6014405762304922E-3"/>
    <n v="747.25901765501919"/>
    <n v="1.2288625329392346E-2"/>
    <m/>
    <m/>
    <x v="1"/>
    <m/>
    <m/>
    <m/>
  </r>
  <r>
    <m/>
    <s v="VAV"/>
    <m/>
    <x v="2"/>
    <n v="5000"/>
    <n v="1"/>
    <n v="0.02"/>
    <n v="5000"/>
    <n v="547.5"/>
    <n v="58.370803724469411"/>
    <n v="9.00360144057623E-3"/>
    <n v="1868.147544137548"/>
    <n v="3.0721563323480867E-2"/>
    <m/>
    <m/>
    <x v="1"/>
    <m/>
    <m/>
    <m/>
  </r>
  <r>
    <m/>
    <s v="VAV"/>
    <m/>
    <x v="2"/>
    <n v="2500"/>
    <n v="1"/>
    <n v="0.02"/>
    <n v="2500"/>
    <n v="273.75"/>
    <n v="29.185401862234706"/>
    <n v="4.501800720288115E-3"/>
    <n v="934.07377206877402"/>
    <n v="1.5360781661740434E-2"/>
    <m/>
    <m/>
    <x v="1"/>
    <m/>
    <m/>
    <m/>
  </r>
  <r>
    <m/>
    <s v="VAV"/>
    <m/>
    <x v="2"/>
    <n v="6000"/>
    <n v="1"/>
    <n v="0.02"/>
    <n v="6000"/>
    <n v="657"/>
    <n v="70.044964469363293"/>
    <n v="1.0804321728691477E-2"/>
    <n v="2241.7770529650575"/>
    <n v="3.686587598817704E-2"/>
    <m/>
    <m/>
    <x v="1"/>
    <m/>
    <m/>
    <m/>
  </r>
  <r>
    <m/>
    <s v="VAV"/>
    <m/>
    <x v="2"/>
    <n v="6000"/>
    <n v="1"/>
    <n v="0.02"/>
    <n v="6000"/>
    <n v="657"/>
    <n v="70.044964469363293"/>
    <n v="1.0804321728691477E-2"/>
    <n v="2241.7770529650575"/>
    <n v="3.686587598817704E-2"/>
    <m/>
    <m/>
    <x v="1"/>
    <m/>
    <m/>
    <m/>
  </r>
  <r>
    <m/>
    <s v="VAV"/>
    <m/>
    <x v="2"/>
    <n v="5000"/>
    <n v="1"/>
    <n v="0.02"/>
    <n v="5000"/>
    <n v="547.5"/>
    <n v="58.370803724469411"/>
    <n v="9.00360144057623E-3"/>
    <n v="1868.147544137548"/>
    <n v="3.0721563323480867E-2"/>
    <m/>
    <m/>
    <x v="1"/>
    <m/>
    <m/>
    <m/>
  </r>
  <r>
    <m/>
    <s v="VAV"/>
    <m/>
    <x v="2"/>
    <n v="2500"/>
    <n v="1"/>
    <n v="0.02"/>
    <n v="2500"/>
    <n v="273.75"/>
    <n v="29.185401862234706"/>
    <n v="4.501800720288115E-3"/>
    <n v="934.07377206877402"/>
    <n v="1.5360781661740434E-2"/>
    <m/>
    <m/>
    <x v="1"/>
    <m/>
    <m/>
    <m/>
  </r>
  <r>
    <m/>
    <s v="VAV"/>
    <m/>
    <x v="2"/>
    <n v="7000"/>
    <n v="1"/>
    <n v="0.02"/>
    <n v="7000"/>
    <n v="766.5"/>
    <n v="81.719125214257176"/>
    <n v="1.2605042016806723E-2"/>
    <n v="2615.4065617925671"/>
    <n v="4.3010188652873212E-2"/>
    <m/>
    <m/>
    <x v="1"/>
    <m/>
    <m/>
    <m/>
  </r>
  <r>
    <m/>
    <s v="VAV"/>
    <m/>
    <x v="2"/>
    <n v="1500"/>
    <n v="1"/>
    <n v="0.02"/>
    <n v="1500"/>
    <n v="164.25"/>
    <n v="17.511241117340823"/>
    <n v="2.7010804321728693E-3"/>
    <n v="560.44426324126437"/>
    <n v="9.2164689970442599E-3"/>
    <m/>
    <m/>
    <x v="1"/>
    <m/>
    <m/>
    <m/>
  </r>
  <r>
    <m/>
    <s v="VAV"/>
    <m/>
    <x v="2"/>
    <n v="4000"/>
    <n v="1"/>
    <n v="0.02"/>
    <n v="4000"/>
    <n v="438"/>
    <n v="46.696642979575529"/>
    <n v="7.2028811524609843E-3"/>
    <n v="1494.5180353100384"/>
    <n v="2.4577250658784692E-2"/>
    <m/>
    <m/>
    <x v="1"/>
    <m/>
    <m/>
    <m/>
  </r>
  <r>
    <m/>
    <s v="VAV"/>
    <m/>
    <x v="2"/>
    <n v="1500"/>
    <n v="1"/>
    <n v="0.02"/>
    <n v="1500"/>
    <n v="164.25"/>
    <n v="17.511241117340823"/>
    <n v="2.7010804321728693E-3"/>
    <n v="560.44426324126437"/>
    <n v="9.2164689970442599E-3"/>
    <m/>
    <m/>
    <x v="1"/>
    <m/>
    <m/>
    <m/>
  </r>
  <r>
    <m/>
    <s v="VAV"/>
    <m/>
    <x v="2"/>
    <n v="1500"/>
    <n v="1"/>
    <n v="0.02"/>
    <n v="1500"/>
    <n v="164.25"/>
    <n v="17.511241117340823"/>
    <n v="2.7010804321728693E-3"/>
    <n v="560.44426324126437"/>
    <n v="9.2164689970442599E-3"/>
    <m/>
    <m/>
    <x v="1"/>
    <m/>
    <m/>
    <m/>
  </r>
  <r>
    <m/>
    <s v="VAV"/>
    <m/>
    <x v="2"/>
    <n v="2500"/>
    <n v="1"/>
    <n v="0.02"/>
    <n v="2500"/>
    <n v="273.75"/>
    <n v="29.185401862234706"/>
    <n v="4.501800720288115E-3"/>
    <n v="934.07377206877402"/>
    <n v="1.5360781661740434E-2"/>
    <m/>
    <m/>
    <x v="1"/>
    <m/>
    <m/>
    <m/>
  </r>
  <r>
    <m/>
    <s v="VAV"/>
    <m/>
    <x v="2"/>
    <n v="1000"/>
    <n v="1"/>
    <n v="0.02"/>
    <n v="1000"/>
    <n v="109.5"/>
    <n v="11.674160744893882"/>
    <n v="1.8007202881152461E-3"/>
    <n v="373.6295088275096"/>
    <n v="6.144312664696173E-3"/>
    <m/>
    <m/>
    <x v="1"/>
    <m/>
    <m/>
    <m/>
  </r>
  <r>
    <m/>
    <s v="VAV"/>
    <m/>
    <x v="2"/>
    <n v="1000"/>
    <n v="1"/>
    <n v="0.02"/>
    <n v="1000"/>
    <n v="109.5"/>
    <n v="11.674160744893882"/>
    <n v="1.8007202881152461E-3"/>
    <n v="373.6295088275096"/>
    <n v="6.144312664696173E-3"/>
    <m/>
    <m/>
    <x v="1"/>
    <m/>
    <m/>
    <m/>
  </r>
  <r>
    <m/>
    <s v="VAV"/>
    <m/>
    <x v="2"/>
    <n v="2000"/>
    <n v="1"/>
    <n v="0.02"/>
    <n v="2000"/>
    <n v="219"/>
    <n v="23.348321489787764"/>
    <n v="3.6014405762304922E-3"/>
    <n v="747.25901765501919"/>
    <n v="1.2288625329392346E-2"/>
    <m/>
    <m/>
    <x v="1"/>
    <m/>
    <m/>
    <m/>
  </r>
  <r>
    <m/>
    <s v="VAV"/>
    <m/>
    <x v="2"/>
    <n v="1000"/>
    <n v="1"/>
    <n v="0.02"/>
    <n v="1000"/>
    <n v="109.5"/>
    <n v="11.674160744893882"/>
    <n v="1.8007202881152461E-3"/>
    <n v="373.6295088275096"/>
    <n v="6.144312664696173E-3"/>
    <m/>
    <m/>
    <x v="1"/>
    <m/>
    <m/>
    <m/>
  </r>
  <r>
    <m/>
    <s v="VAV"/>
    <m/>
    <x v="2"/>
    <n v="2000"/>
    <n v="1"/>
    <n v="0.02"/>
    <n v="2000"/>
    <n v="219"/>
    <n v="23.348321489787764"/>
    <n v="3.6014405762304922E-3"/>
    <n v="747.25901765501919"/>
    <n v="1.2288625329392346E-2"/>
    <m/>
    <m/>
    <x v="1"/>
    <m/>
    <m/>
    <m/>
  </r>
  <r>
    <m/>
    <s v="VAV"/>
    <m/>
    <x v="2"/>
    <n v="2000"/>
    <n v="1"/>
    <n v="0.02"/>
    <n v="2000"/>
    <n v="219"/>
    <n v="23.348321489787764"/>
    <n v="3.6014405762304922E-3"/>
    <n v="747.25901765501919"/>
    <n v="1.2288625329392346E-2"/>
    <m/>
    <m/>
    <x v="1"/>
    <m/>
    <m/>
    <m/>
  </r>
  <r>
    <m/>
    <s v="VAV"/>
    <m/>
    <x v="2"/>
    <n v="3000"/>
    <n v="1"/>
    <n v="0.02"/>
    <n v="3000"/>
    <n v="328.5"/>
    <n v="35.022482234681647"/>
    <n v="5.4021608643457387E-3"/>
    <n v="1120.8885264825287"/>
    <n v="1.843293799408852E-2"/>
    <m/>
    <m/>
    <x v="1"/>
    <m/>
    <m/>
    <m/>
  </r>
  <r>
    <m/>
    <s v="VAV"/>
    <m/>
    <x v="2"/>
    <n v="7000"/>
    <n v="1"/>
    <n v="0.02"/>
    <n v="7000"/>
    <n v="766.5"/>
    <n v="81.719125214257176"/>
    <n v="1.2605042016806723E-2"/>
    <n v="2615.4065617925671"/>
    <n v="4.3010188652873212E-2"/>
    <m/>
    <m/>
    <x v="1"/>
    <m/>
    <m/>
    <m/>
  </r>
  <r>
    <m/>
    <s v="VAV"/>
    <m/>
    <x v="2"/>
    <n v="3000"/>
    <n v="1"/>
    <n v="0.02"/>
    <n v="3000"/>
    <n v="328.5"/>
    <n v="35.022482234681647"/>
    <n v="5.4021608643457387E-3"/>
    <n v="1120.8885264825287"/>
    <n v="1.843293799408852E-2"/>
    <m/>
    <m/>
    <x v="1"/>
    <m/>
    <m/>
    <m/>
  </r>
  <r>
    <m/>
    <s v="VAV"/>
    <m/>
    <x v="2"/>
    <n v="2000"/>
    <n v="1"/>
    <n v="0.02"/>
    <n v="2000"/>
    <n v="219"/>
    <n v="23.348321489787764"/>
    <n v="3.6014405762304922E-3"/>
    <n v="747.25901765501919"/>
    <n v="1.2288625329392346E-2"/>
    <m/>
    <m/>
    <x v="1"/>
    <m/>
    <m/>
    <m/>
  </r>
  <r>
    <m/>
    <s v="VAV"/>
    <m/>
    <x v="2"/>
    <n v="4000"/>
    <n v="1"/>
    <n v="0.02"/>
    <n v="4000"/>
    <n v="438"/>
    <n v="46.696642979575529"/>
    <n v="7.2028811524609843E-3"/>
    <n v="1494.5180353100384"/>
    <n v="2.4577250658784692E-2"/>
    <m/>
    <m/>
    <x v="1"/>
    <m/>
    <m/>
    <m/>
  </r>
  <r>
    <m/>
    <s v="VAV"/>
    <m/>
    <x v="2"/>
    <n v="1500"/>
    <n v="1"/>
    <n v="0.02"/>
    <n v="1500"/>
    <n v="164.25"/>
    <n v="17.511241117340823"/>
    <n v="2.7010804321728693E-3"/>
    <n v="560.44426324126437"/>
    <n v="9.2164689970442599E-3"/>
    <m/>
    <m/>
    <x v="1"/>
    <m/>
    <m/>
    <m/>
  </r>
  <r>
    <m/>
    <s v="VAV"/>
    <m/>
    <x v="2"/>
    <n v="3000"/>
    <n v="1"/>
    <n v="0.02"/>
    <n v="3000"/>
    <n v="328.5"/>
    <n v="35.022482234681647"/>
    <n v="5.4021608643457387E-3"/>
    <n v="1120.8885264825287"/>
    <n v="1.843293799408852E-2"/>
    <m/>
    <m/>
    <x v="1"/>
    <m/>
    <m/>
    <m/>
  </r>
  <r>
    <m/>
    <s v="VAV"/>
    <m/>
    <x v="2"/>
    <n v="2000"/>
    <n v="1"/>
    <n v="0.02"/>
    <n v="2000"/>
    <n v="219"/>
    <n v="23.348321489787764"/>
    <n v="3.6014405762304922E-3"/>
    <n v="747.25901765501919"/>
    <n v="1.2288625329392346E-2"/>
    <m/>
    <m/>
    <x v="1"/>
    <m/>
    <m/>
    <m/>
  </r>
  <r>
    <m/>
    <s v="VAV"/>
    <m/>
    <x v="2"/>
    <n v="2000"/>
    <n v="1"/>
    <n v="0.02"/>
    <n v="2000"/>
    <n v="219"/>
    <n v="23.348321489787764"/>
    <n v="3.6014405762304922E-3"/>
    <n v="747.25901765501919"/>
    <n v="1.2288625329392346E-2"/>
    <m/>
    <m/>
    <x v="1"/>
    <m/>
    <m/>
    <m/>
  </r>
  <r>
    <m/>
    <s v="VAV"/>
    <m/>
    <x v="2"/>
    <n v="3000"/>
    <n v="1"/>
    <n v="0.02"/>
    <n v="3000"/>
    <n v="328.5"/>
    <n v="35.022482234681647"/>
    <n v="5.4021608643457387E-3"/>
    <n v="1120.8885264825287"/>
    <n v="1.843293799408852E-2"/>
    <m/>
    <m/>
    <x v="1"/>
    <m/>
    <m/>
    <m/>
  </r>
  <r>
    <m/>
    <s v="VAV"/>
    <m/>
    <x v="2"/>
    <n v="1000"/>
    <n v="1"/>
    <n v="0.02"/>
    <n v="1000"/>
    <n v="109.5"/>
    <n v="11.674160744893882"/>
    <n v="1.8007202881152461E-3"/>
    <n v="373.6295088275096"/>
    <n v="6.144312664696173E-3"/>
    <m/>
    <m/>
    <x v="1"/>
    <m/>
    <m/>
    <m/>
  </r>
  <r>
    <m/>
    <s v="VAV"/>
    <m/>
    <x v="2"/>
    <n v="3000"/>
    <n v="1"/>
    <n v="0.02"/>
    <n v="3000"/>
    <n v="328.5"/>
    <n v="35.022482234681647"/>
    <n v="5.4021608643457387E-3"/>
    <n v="1120.8885264825287"/>
    <n v="1.843293799408852E-2"/>
    <m/>
    <m/>
    <x v="1"/>
    <m/>
    <m/>
    <m/>
  </r>
  <r>
    <m/>
    <s v="VAV"/>
    <m/>
    <x v="2"/>
    <n v="5000"/>
    <n v="1"/>
    <n v="0.02"/>
    <n v="5000"/>
    <n v="547.5"/>
    <n v="58.370803724469411"/>
    <n v="9.00360144057623E-3"/>
    <n v="1868.147544137548"/>
    <n v="3.0721563323480867E-2"/>
    <m/>
    <m/>
    <x v="1"/>
    <m/>
    <m/>
    <m/>
  </r>
  <r>
    <m/>
    <s v="VAV"/>
    <m/>
    <x v="2"/>
    <n v="3000"/>
    <n v="1"/>
    <n v="0.02"/>
    <n v="3000"/>
    <n v="328.5"/>
    <n v="35.022482234681647"/>
    <n v="5.4021608643457387E-3"/>
    <n v="1120.8885264825287"/>
    <n v="1.843293799408852E-2"/>
    <m/>
    <m/>
    <x v="1"/>
    <m/>
    <m/>
    <m/>
  </r>
  <r>
    <m/>
    <s v="VAV"/>
    <m/>
    <x v="2"/>
    <n v="0"/>
    <n v="1"/>
    <n v="0.02"/>
    <n v="0"/>
    <n v="0"/>
    <n v="0"/>
    <n v="0"/>
    <n v="0"/>
    <n v="0"/>
    <m/>
    <m/>
    <x v="1"/>
    <m/>
    <m/>
    <m/>
  </r>
  <r>
    <m/>
    <s v="VAV"/>
    <m/>
    <x v="2"/>
    <n v="3000"/>
    <n v="1"/>
    <n v="0.02"/>
    <n v="3000"/>
    <n v="328.5"/>
    <n v="35.022482234681647"/>
    <n v="5.4021608643457387E-3"/>
    <n v="1120.8885264825287"/>
    <n v="1.843293799408852E-2"/>
    <m/>
    <m/>
    <x v="1"/>
    <m/>
    <m/>
    <m/>
  </r>
  <r>
    <m/>
    <s v="VAV"/>
    <m/>
    <x v="2"/>
    <n v="4000"/>
    <n v="1"/>
    <n v="0.02"/>
    <n v="4000"/>
    <n v="438"/>
    <n v="46.696642979575529"/>
    <n v="7.2028811524609843E-3"/>
    <n v="1494.5180353100384"/>
    <n v="2.4577250658784692E-2"/>
    <m/>
    <m/>
    <x v="1"/>
    <m/>
    <m/>
    <m/>
  </r>
  <r>
    <m/>
    <s v="VAV"/>
    <m/>
    <x v="2"/>
    <n v="1500"/>
    <n v="1"/>
    <n v="0.02"/>
    <n v="1500"/>
    <n v="164.25"/>
    <n v="17.511241117340823"/>
    <n v="2.7010804321728693E-3"/>
    <n v="560.44426324126437"/>
    <n v="9.2164689970442599E-3"/>
    <m/>
    <m/>
    <x v="1"/>
    <m/>
    <m/>
    <m/>
  </r>
  <r>
    <m/>
    <s v="VAV"/>
    <m/>
    <x v="2"/>
    <n v="2000"/>
    <n v="1"/>
    <n v="0.02"/>
    <n v="2000"/>
    <n v="219"/>
    <n v="23.348321489787764"/>
    <n v="3.6014405762304922E-3"/>
    <n v="747.25901765501919"/>
    <n v="1.2288625329392346E-2"/>
    <m/>
    <m/>
    <x v="1"/>
    <m/>
    <m/>
    <m/>
  </r>
  <r>
    <m/>
    <s v="VAV"/>
    <m/>
    <x v="2"/>
    <n v="1500"/>
    <n v="1"/>
    <n v="0.02"/>
    <n v="1500"/>
    <n v="164.25"/>
    <n v="17.511241117340823"/>
    <n v="2.7010804321728693E-3"/>
    <n v="560.44426324126437"/>
    <n v="9.2164689970442599E-3"/>
    <m/>
    <m/>
    <x v="1"/>
    <m/>
    <m/>
    <m/>
  </r>
  <r>
    <m/>
    <s v="VAV"/>
    <m/>
    <x v="2"/>
    <n v="4000"/>
    <n v="1"/>
    <n v="0.02"/>
    <n v="4000"/>
    <n v="438"/>
    <n v="46.696642979575529"/>
    <n v="7.2028811524609843E-3"/>
    <n v="1494.5180353100384"/>
    <n v="2.4577250658784692E-2"/>
    <m/>
    <m/>
    <x v="1"/>
    <m/>
    <m/>
    <m/>
  </r>
  <r>
    <m/>
    <s v="VAV"/>
    <m/>
    <x v="2"/>
    <n v="4000"/>
    <n v="1"/>
    <n v="0.02"/>
    <n v="4000"/>
    <n v="438"/>
    <n v="46.696642979575529"/>
    <n v="7.2028811524609843E-3"/>
    <n v="1494.5180353100384"/>
    <n v="2.4577250658784692E-2"/>
    <m/>
    <m/>
    <x v="1"/>
    <m/>
    <m/>
    <m/>
  </r>
  <r>
    <m/>
    <s v="VAV"/>
    <m/>
    <x v="2"/>
    <n v="2000"/>
    <n v="1"/>
    <n v="0.02"/>
    <n v="2000"/>
    <n v="219"/>
    <n v="23.348321489787764"/>
    <n v="3.6014405762304922E-3"/>
    <n v="747.25901765501919"/>
    <n v="1.2288625329392346E-2"/>
    <m/>
    <m/>
    <x v="1"/>
    <m/>
    <m/>
    <m/>
  </r>
  <r>
    <m/>
    <s v="VAV"/>
    <m/>
    <x v="2"/>
    <n v="1500"/>
    <n v="1"/>
    <n v="0.02"/>
    <n v="1500"/>
    <n v="164.25"/>
    <n v="17.511241117340823"/>
    <n v="2.7010804321728693E-3"/>
    <n v="560.44426324126437"/>
    <n v="9.2164689970442599E-3"/>
    <m/>
    <m/>
    <x v="1"/>
    <m/>
    <m/>
    <m/>
  </r>
  <r>
    <m/>
    <s v="VAV"/>
    <m/>
    <x v="2"/>
    <n v="1500"/>
    <n v="1"/>
    <n v="0.02"/>
    <n v="1500"/>
    <n v="164.25"/>
    <n v="17.511241117340823"/>
    <n v="2.7010804321728693E-3"/>
    <n v="560.44426324126437"/>
    <n v="9.2164689970442599E-3"/>
    <m/>
    <m/>
    <x v="1"/>
    <m/>
    <m/>
    <m/>
  </r>
  <r>
    <m/>
    <s v="VAV"/>
    <m/>
    <x v="2"/>
    <n v="4000"/>
    <n v="1"/>
    <n v="0.02"/>
    <n v="4000"/>
    <n v="438"/>
    <n v="46.696642979575529"/>
    <n v="7.2028811524609843E-3"/>
    <n v="1494.5180353100384"/>
    <n v="2.4577250658784692E-2"/>
    <m/>
    <m/>
    <x v="1"/>
    <m/>
    <m/>
    <m/>
  </r>
  <r>
    <m/>
    <s v="VAV"/>
    <m/>
    <x v="2"/>
    <n v="3000"/>
    <n v="1"/>
    <n v="0.02"/>
    <n v="3000"/>
    <n v="328.5"/>
    <n v="35.022482234681647"/>
    <n v="5.4021608643457387E-3"/>
    <n v="1120.8885264825287"/>
    <n v="1.843293799408852E-2"/>
    <m/>
    <m/>
    <x v="1"/>
    <m/>
    <m/>
    <m/>
  </r>
  <r>
    <m/>
    <s v="VAV"/>
    <m/>
    <x v="2"/>
    <n v="1000"/>
    <n v="1"/>
    <n v="0.02"/>
    <n v="1000"/>
    <n v="109.5"/>
    <n v="11.674160744893882"/>
    <n v="1.8007202881152461E-3"/>
    <n v="373.6295088275096"/>
    <n v="6.144312664696173E-3"/>
    <m/>
    <m/>
    <x v="1"/>
    <m/>
    <m/>
    <m/>
  </r>
  <r>
    <m/>
    <s v="VAV"/>
    <m/>
    <x v="2"/>
    <n v="1500"/>
    <n v="1"/>
    <n v="0.02"/>
    <n v="1500"/>
    <n v="164.25"/>
    <n v="17.511241117340823"/>
    <n v="2.7010804321728693E-3"/>
    <n v="560.44426324126437"/>
    <n v="9.2164689970442599E-3"/>
    <m/>
    <m/>
    <x v="1"/>
    <m/>
    <m/>
    <m/>
  </r>
  <r>
    <m/>
    <s v="VAV"/>
    <m/>
    <x v="2"/>
    <n v="4000"/>
    <n v="1"/>
    <n v="0.02"/>
    <n v="4000"/>
    <n v="438"/>
    <n v="46.696642979575529"/>
    <n v="7.2028811524609843E-3"/>
    <n v="1494.5180353100384"/>
    <n v="2.4577250658784692E-2"/>
    <m/>
    <m/>
    <x v="1"/>
    <m/>
    <m/>
    <m/>
  </r>
  <r>
    <m/>
    <s v="VAV"/>
    <m/>
    <x v="2"/>
    <n v="1500"/>
    <n v="1"/>
    <n v="0.02"/>
    <n v="1500"/>
    <n v="164.25"/>
    <n v="17.511241117340823"/>
    <n v="2.7010804321728693E-3"/>
    <n v="560.44426324126437"/>
    <n v="9.2164689970442599E-3"/>
    <m/>
    <m/>
    <x v="1"/>
    <m/>
    <m/>
    <m/>
  </r>
  <r>
    <m/>
    <s v="VAV"/>
    <m/>
    <x v="2"/>
    <n v="5000"/>
    <n v="1"/>
    <n v="0.02"/>
    <n v="5000"/>
    <n v="547.5"/>
    <n v="58.370803724469411"/>
    <n v="9.00360144057623E-3"/>
    <n v="1868.147544137548"/>
    <n v="3.0721563323480867E-2"/>
    <m/>
    <m/>
    <x v="1"/>
    <m/>
    <m/>
    <m/>
  </r>
  <r>
    <m/>
    <s v="VAV"/>
    <m/>
    <x v="2"/>
    <n v="4000"/>
    <n v="1"/>
    <n v="0.02"/>
    <n v="4000"/>
    <n v="438"/>
    <n v="46.696642979575529"/>
    <n v="7.2028811524609843E-3"/>
    <n v="1494.5180353100384"/>
    <n v="2.4577250658784692E-2"/>
    <m/>
    <m/>
    <x v="1"/>
    <m/>
    <m/>
    <m/>
  </r>
  <r>
    <m/>
    <s v="VAV"/>
    <m/>
    <x v="2"/>
    <n v="4000"/>
    <n v="1"/>
    <n v="0.02"/>
    <n v="4000"/>
    <n v="438"/>
    <n v="46.696642979575529"/>
    <n v="7.2028811524609843E-3"/>
    <n v="1494.5180353100384"/>
    <n v="2.4577250658784692E-2"/>
    <m/>
    <m/>
    <x v="1"/>
    <m/>
    <m/>
    <m/>
  </r>
  <r>
    <m/>
    <s v="VAV"/>
    <m/>
    <x v="2"/>
    <n v="2000"/>
    <n v="1"/>
    <n v="0.02"/>
    <n v="2000"/>
    <n v="219"/>
    <n v="23.348321489787764"/>
    <n v="3.6014405762304922E-3"/>
    <n v="747.25901765501919"/>
    <n v="1.2288625329392346E-2"/>
    <m/>
    <m/>
    <x v="1"/>
    <m/>
    <m/>
    <m/>
  </r>
  <r>
    <m/>
    <s v="VAV"/>
    <m/>
    <x v="2"/>
    <n v="6000"/>
    <n v="1"/>
    <n v="0.02"/>
    <n v="6000"/>
    <n v="657"/>
    <n v="70.044964469363293"/>
    <n v="1.0804321728691477E-2"/>
    <n v="2241.7770529650575"/>
    <n v="3.686587598817704E-2"/>
    <m/>
    <m/>
    <x v="1"/>
    <m/>
    <m/>
    <m/>
  </r>
  <r>
    <m/>
    <s v="VAV"/>
    <m/>
    <x v="2"/>
    <n v="3000"/>
    <n v="1"/>
    <n v="0.02"/>
    <n v="3000"/>
    <n v="328.5"/>
    <n v="35.022482234681647"/>
    <n v="5.4021608643457387E-3"/>
    <n v="1120.8885264825287"/>
    <n v="1.843293799408852E-2"/>
    <m/>
    <m/>
    <x v="1"/>
    <m/>
    <m/>
    <m/>
  </r>
  <r>
    <m/>
    <s v="VAV"/>
    <m/>
    <x v="2"/>
    <n v="2000"/>
    <n v="1"/>
    <n v="0.02"/>
    <n v="2000"/>
    <n v="219"/>
    <n v="23.348321489787764"/>
    <n v="3.6014405762304922E-3"/>
    <n v="747.25901765501919"/>
    <n v="1.2288625329392346E-2"/>
    <m/>
    <m/>
    <x v="1"/>
    <m/>
    <m/>
    <m/>
  </r>
  <r>
    <m/>
    <s v="VAV"/>
    <m/>
    <x v="2"/>
    <n v="2000"/>
    <n v="1"/>
    <n v="0.02"/>
    <n v="2000"/>
    <n v="219"/>
    <n v="23.348321489787764"/>
    <n v="3.6014405762304922E-3"/>
    <n v="747.25901765501919"/>
    <n v="1.2288625329392346E-2"/>
    <m/>
    <m/>
    <x v="1"/>
    <m/>
    <m/>
    <m/>
  </r>
  <r>
    <m/>
    <s v="VAV"/>
    <m/>
    <x v="2"/>
    <n v="4000"/>
    <n v="1"/>
    <n v="0.02"/>
    <n v="4000"/>
    <n v="438"/>
    <n v="46.696642979575529"/>
    <n v="7.2028811524609843E-3"/>
    <n v="1494.5180353100384"/>
    <n v="2.4577250658784692E-2"/>
    <m/>
    <m/>
    <x v="1"/>
    <m/>
    <m/>
    <m/>
  </r>
  <r>
    <m/>
    <s v="VAV"/>
    <m/>
    <x v="2"/>
    <n v="3000"/>
    <n v="1"/>
    <n v="0.02"/>
    <n v="3000"/>
    <n v="328.5"/>
    <n v="35.022482234681647"/>
    <n v="5.4021608643457387E-3"/>
    <n v="1120.8885264825287"/>
    <n v="1.843293799408852E-2"/>
    <m/>
    <m/>
    <x v="1"/>
    <m/>
    <m/>
    <m/>
  </r>
  <r>
    <m/>
    <s v="VAV"/>
    <m/>
    <x v="2"/>
    <n v="2500"/>
    <n v="1"/>
    <n v="0.02"/>
    <n v="2500"/>
    <n v="273.75"/>
    <n v="29.185401862234706"/>
    <n v="4.501800720288115E-3"/>
    <n v="934.07377206877402"/>
    <n v="1.5360781661740434E-2"/>
    <m/>
    <m/>
    <x v="1"/>
    <m/>
    <m/>
    <m/>
  </r>
  <r>
    <m/>
    <s v="VAV"/>
    <m/>
    <x v="2"/>
    <n v="2500"/>
    <n v="1"/>
    <n v="0.02"/>
    <n v="2500"/>
    <n v="273.75"/>
    <n v="29.185401862234706"/>
    <n v="4.501800720288115E-3"/>
    <n v="934.07377206877402"/>
    <n v="1.5360781661740434E-2"/>
    <m/>
    <m/>
    <x v="1"/>
    <m/>
    <m/>
    <m/>
  </r>
  <r>
    <m/>
    <s v="VAV"/>
    <m/>
    <x v="2"/>
    <n v="2000"/>
    <n v="1"/>
    <n v="0.02"/>
    <n v="2000"/>
    <n v="219"/>
    <n v="23.348321489787764"/>
    <n v="3.6014405762304922E-3"/>
    <n v="747.25901765501919"/>
    <n v="1.2288625329392346E-2"/>
    <m/>
    <m/>
    <x v="1"/>
    <m/>
    <m/>
    <m/>
  </r>
  <r>
    <m/>
    <s v="VAV"/>
    <m/>
    <x v="2"/>
    <n v="2000"/>
    <n v="1"/>
    <n v="0.02"/>
    <n v="2000"/>
    <n v="219"/>
    <n v="23.348321489787764"/>
    <n v="3.6014405762304922E-3"/>
    <n v="747.25901765501919"/>
    <n v="1.2288625329392346E-2"/>
    <m/>
    <m/>
    <x v="1"/>
    <m/>
    <m/>
    <m/>
  </r>
  <r>
    <m/>
    <s v="VAV"/>
    <m/>
    <x v="2"/>
    <n v="3000"/>
    <n v="1"/>
    <n v="0.02"/>
    <n v="3000"/>
    <n v="328.5"/>
    <n v="35.022482234681647"/>
    <n v="5.4021608643457387E-3"/>
    <n v="1120.8885264825287"/>
    <n v="1.843293799408852E-2"/>
    <m/>
    <m/>
    <x v="1"/>
    <m/>
    <m/>
    <m/>
  </r>
  <r>
    <m/>
    <s v="VAV"/>
    <m/>
    <x v="2"/>
    <n v="2000"/>
    <n v="1"/>
    <n v="0.02"/>
    <n v="2000"/>
    <n v="219"/>
    <n v="23.348321489787764"/>
    <n v="3.6014405762304922E-3"/>
    <n v="747.25901765501919"/>
    <n v="1.2288625329392346E-2"/>
    <m/>
    <m/>
    <x v="1"/>
    <m/>
    <m/>
    <m/>
  </r>
  <r>
    <m/>
    <s v="VAV"/>
    <m/>
    <x v="2"/>
    <n v="2000"/>
    <n v="1"/>
    <n v="0.02"/>
    <n v="2000"/>
    <n v="219"/>
    <n v="23.348321489787764"/>
    <n v="3.6014405762304922E-3"/>
    <n v="747.25901765501919"/>
    <n v="1.2288625329392346E-2"/>
    <m/>
    <m/>
    <x v="1"/>
    <m/>
    <m/>
    <m/>
  </r>
  <r>
    <m/>
    <s v="VAV"/>
    <m/>
    <x v="2"/>
    <n v="2000"/>
    <n v="1"/>
    <n v="0.02"/>
    <n v="2000"/>
    <n v="219"/>
    <n v="23.348321489787764"/>
    <n v="3.6014405762304922E-3"/>
    <n v="747.25901765501919"/>
    <n v="1.2288625329392346E-2"/>
    <m/>
    <m/>
    <x v="1"/>
    <m/>
    <m/>
    <m/>
  </r>
  <r>
    <m/>
    <s v="VAV"/>
    <m/>
    <x v="2"/>
    <n v="2000"/>
    <n v="1"/>
    <n v="0.02"/>
    <n v="2000"/>
    <n v="219"/>
    <n v="23.348321489787764"/>
    <n v="3.6014405762304922E-3"/>
    <n v="747.25901765501919"/>
    <n v="1.2288625329392346E-2"/>
    <m/>
    <m/>
    <x v="1"/>
    <m/>
    <m/>
    <m/>
  </r>
  <r>
    <m/>
    <s v="VAV"/>
    <m/>
    <x v="2"/>
    <n v="2000"/>
    <n v="1"/>
    <n v="0.02"/>
    <n v="2000"/>
    <n v="219"/>
    <n v="23.348321489787764"/>
    <n v="3.6014405762304922E-3"/>
    <n v="747.25901765501919"/>
    <n v="1.2288625329392346E-2"/>
    <m/>
    <m/>
    <x v="1"/>
    <m/>
    <m/>
    <m/>
  </r>
  <r>
    <m/>
    <s v="VAV"/>
    <m/>
    <x v="2"/>
    <n v="2500"/>
    <n v="1"/>
    <n v="0.02"/>
    <n v="2500"/>
    <n v="273.75"/>
    <n v="29.185401862234706"/>
    <n v="4.501800720288115E-3"/>
    <n v="934.07377206877402"/>
    <n v="1.5360781661740434E-2"/>
    <m/>
    <m/>
    <x v="1"/>
    <m/>
    <m/>
    <m/>
  </r>
  <r>
    <m/>
    <s v="VAV"/>
    <m/>
    <x v="2"/>
    <n v="4000"/>
    <n v="1"/>
    <n v="0.02"/>
    <n v="4000"/>
    <n v="438"/>
    <n v="46.696642979575529"/>
    <n v="7.2028811524609843E-3"/>
    <n v="1494.5180353100384"/>
    <n v="2.4577250658784692E-2"/>
    <m/>
    <m/>
    <x v="1"/>
    <m/>
    <m/>
    <m/>
  </r>
  <r>
    <m/>
    <s v="VAV"/>
    <m/>
    <x v="2"/>
    <n v="4000"/>
    <n v="1"/>
    <n v="0.02"/>
    <n v="4000"/>
    <n v="438"/>
    <n v="46.696642979575529"/>
    <n v="7.2028811524609843E-3"/>
    <n v="1494.5180353100384"/>
    <n v="2.4577250658784692E-2"/>
    <m/>
    <m/>
    <x v="1"/>
    <m/>
    <m/>
    <m/>
  </r>
  <r>
    <n v="313"/>
    <s v="WH"/>
    <s v="Water Heater"/>
    <x v="130"/>
    <n v="4000"/>
    <n v="1"/>
    <n v="0.75"/>
    <n v="4000"/>
    <n v="16425"/>
    <n v="1751.1241117340824"/>
    <n v="0.27010804321728693"/>
    <n v="56044.426324126442"/>
    <n v="0.92164689970442604"/>
    <s v="VTU3-20"/>
    <n v="1"/>
    <x v="8"/>
    <s v="Mar 12, 2018 @ 15:37"/>
    <s v="Mar 12, 2018 @ 18:29"/>
    <s v="mcoalson@hanson-inc.com"/>
  </r>
  <r>
    <n v="1051"/>
    <s v="T8"/>
    <s v="Light Fixture"/>
    <x v="131"/>
    <n v="24"/>
    <n v="2"/>
    <n v="1"/>
    <n v="48"/>
    <n v="262.8"/>
    <n v="28.017985787745317"/>
    <n v="4.3217286914765908E-3"/>
    <n v="896.71082118602305"/>
    <n v="1.4746350395270816E-2"/>
    <s v="1st Floor"/>
    <n v="0"/>
    <x v="4"/>
    <s v="Mar 14, 2018 @ 16:17"/>
    <s v="Mar 14, 2018 @ 16:17"/>
    <s v="mcoalson@hanson-inc.com"/>
  </r>
  <r>
    <n v="1095"/>
    <s v="T8"/>
    <s v="Light Fixture"/>
    <x v="131"/>
    <n v="24"/>
    <n v="2"/>
    <n v="1"/>
    <n v="48"/>
    <n v="262.8"/>
    <n v="28.017985787745317"/>
    <n v="4.3217286914765908E-3"/>
    <n v="896.71082118602305"/>
    <n v="1.4746350395270816E-2"/>
    <s v="1st Floor"/>
    <n v="0"/>
    <x v="4"/>
    <s v="Mar 14, 2018 @ 17:44"/>
    <s v="Mar 14, 2018 @ 17:39"/>
    <s v="mcoalson@hanson-inc.com"/>
  </r>
  <r>
    <n v="750"/>
    <s v="T8"/>
    <s v="Light Fixture"/>
    <x v="131"/>
    <n v="24"/>
    <n v="2"/>
    <n v="1"/>
    <n v="48"/>
    <n v="262.8"/>
    <n v="28.017985787745317"/>
    <n v="4.3217286914765908E-3"/>
    <n v="896.71082118602305"/>
    <n v="1.4746350395270816E-2"/>
    <s v="2nd Floor"/>
    <n v="0"/>
    <x v="4"/>
    <s v="Mar 14, 2018 @ 14:15"/>
    <s v="Mar 14, 2018 @ 14:14"/>
    <s v="mcoalson@hanson-inc.com"/>
  </r>
  <r>
    <n v="414"/>
    <s v="T8"/>
    <s v="Light Fixture"/>
    <x v="132"/>
    <n v="12"/>
    <n v="2"/>
    <n v="1"/>
    <n v="24"/>
    <n v="131.4"/>
    <n v="14.008992893872659"/>
    <n v="2.1608643457382954E-3"/>
    <n v="448.35541059301153"/>
    <n v="7.3731751976354081E-3"/>
    <s v="VTU3-20"/>
    <n v="0"/>
    <x v="4"/>
    <s v="Mar 12, 2018 @ 18:46"/>
    <s v="Mar 12, 2018 @ 18:40"/>
    <s v="mcoalson@hanson-inc.com"/>
  </r>
  <r>
    <n v="741"/>
    <s v="LF"/>
    <s v="Lighting Fixture"/>
    <x v="133"/>
    <n v="100"/>
    <n v="2"/>
    <n v="1"/>
    <n v="200"/>
    <n v="1095"/>
    <n v="116.74160744893882"/>
    <n v="1.800720288115246E-2"/>
    <n v="3736.2950882750961"/>
    <n v="6.1443126646961735E-2"/>
    <s v="2nd Floor"/>
    <n v="1"/>
    <x v="4"/>
    <s v="Mar 14, 2018 @ 13:59"/>
    <s v="Mar 14, 2018 @ 14:01"/>
    <s v="nboyd@hanson-inc.com"/>
  </r>
  <r>
    <n v="1066"/>
    <s v="T8"/>
    <s v="Light Fixture"/>
    <x v="134"/>
    <n v="36"/>
    <n v="2"/>
    <n v="1"/>
    <n v="72"/>
    <n v="394.2"/>
    <n v="42.026978681617976"/>
    <n v="6.4825930372148857E-3"/>
    <n v="1345.0662317790345"/>
    <n v="2.2119525592906222E-2"/>
    <s v="1st Floor"/>
    <n v="0"/>
    <x v="4"/>
    <s v="Mar 14, 2018 @ 16:24"/>
    <s v="Mar 14, 2018 @ 16:24"/>
    <s v="mcoalson@hanson-inc.com"/>
  </r>
  <r>
    <n v="208"/>
    <s v="T8"/>
    <s v="Light Fixture"/>
    <x v="135"/>
    <n v="12"/>
    <n v="2"/>
    <n v="1"/>
    <n v="24"/>
    <n v="131.4"/>
    <n v="14.008992893872659"/>
    <n v="2.1608643457382954E-3"/>
    <n v="448.35541059301153"/>
    <n v="7.3731751976354081E-3"/>
    <s v="VTU3-20"/>
    <n v="0"/>
    <x v="4"/>
    <s v="Mar 12, 2018 @ 14:55"/>
    <s v="Mar 12, 2018 @ 14:49"/>
    <s v="mcoalson@hanson-inc.com"/>
  </r>
  <r>
    <n v="65"/>
    <s v="T8"/>
    <s v="Light Fixture"/>
    <x v="136"/>
    <n v="24"/>
    <n v="2"/>
    <n v="1"/>
    <n v="48"/>
    <n v="262.8"/>
    <n v="28.017985787745317"/>
    <n v="4.3217286914765908E-3"/>
    <n v="896.71082118602305"/>
    <n v="1.4746350395270816E-2"/>
    <s v="VTU3-20"/>
    <n v="0"/>
    <x v="4"/>
    <s v="Mar 12, 2018 @ 14:26"/>
    <s v="Mar 12, 2018 @ 14:20"/>
    <s v="mcoalson@hanson-inc.com"/>
  </r>
  <r>
    <n v="107"/>
    <s v="T8"/>
    <s v="Light Fixture"/>
    <x v="136"/>
    <n v="24"/>
    <n v="2"/>
    <n v="1"/>
    <n v="48"/>
    <n v="262.8"/>
    <n v="28.017985787745317"/>
    <n v="4.3217286914765908E-3"/>
    <n v="896.71082118602305"/>
    <n v="1.4746350395270816E-2"/>
    <s v="VTU3-20"/>
    <n v="0"/>
    <x v="4"/>
    <s v="Mar 12, 2018 @ 14:37"/>
    <s v="Mar 12, 2018 @ 14:30"/>
    <s v="mcoalson@hanson-inc.com"/>
  </r>
  <r>
    <n v="125"/>
    <s v="LF"/>
    <s v="Lighting Fixture"/>
    <x v="137"/>
    <n v="60"/>
    <n v="2"/>
    <n v="1"/>
    <n v="120"/>
    <n v="657"/>
    <n v="70.044964469363293"/>
    <n v="1.0804321728691477E-2"/>
    <n v="2241.7770529650575"/>
    <n v="3.686587598817704E-2"/>
    <s v="VTU3-20"/>
    <n v="0"/>
    <x v="4"/>
    <s v="Mar 12, 2018 @ 14:39"/>
    <s v="Mar 12, 2018 @ 14:33"/>
    <s v="mcoalson@hanson-inc.com"/>
  </r>
  <r>
    <n v="200"/>
    <s v="LF"/>
    <s v="Lighting Fixture"/>
    <x v="137"/>
    <n v="60"/>
    <n v="2"/>
    <n v="1"/>
    <n v="120"/>
    <n v="657"/>
    <n v="70.044964469363293"/>
    <n v="1.0804321728691477E-2"/>
    <n v="2241.7770529650575"/>
    <n v="3.686587598817704E-2"/>
    <s v="VTU3-20"/>
    <n v="0"/>
    <x v="4"/>
    <s v="Mar 12, 2018 @ 14:54"/>
    <s v="Mar 12, 2018 @ 14:47"/>
    <s v="mcoalson@hanson-inc.com"/>
  </r>
  <r>
    <n v="25"/>
    <s v="LF"/>
    <s v="Lighting Fixture"/>
    <x v="138"/>
    <n v="75"/>
    <n v="2"/>
    <n v="1"/>
    <n v="150"/>
    <n v="821.25"/>
    <n v="87.55620558670411"/>
    <n v="1.3505402160864346E-2"/>
    <n v="2802.2213162063222"/>
    <n v="4.6082344985221305E-2"/>
    <s v="VTU3-20"/>
    <n v="0"/>
    <x v="4"/>
    <s v="Mar 12, 2018 @ 14:12"/>
    <s v="Mar 12, 2018 @ 14:06"/>
    <s v="mcoalson@hanson-inc.com"/>
  </r>
  <r>
    <n v="109"/>
    <s v="T8"/>
    <s v="Light Fixture"/>
    <x v="136"/>
    <n v="24"/>
    <n v="2"/>
    <n v="1"/>
    <n v="48"/>
    <n v="262.8"/>
    <n v="28.017985787745317"/>
    <n v="4.3217286914765908E-3"/>
    <n v="896.71082118602305"/>
    <n v="1.4746350395270816E-2"/>
    <s v="VTU3-20"/>
    <n v="0"/>
    <x v="4"/>
    <s v="Mar 12, 2018 @ 14:37"/>
    <s v="Mar 12, 2018 @ 14:31"/>
    <s v="mcoalson@hanson-inc.com"/>
  </r>
  <r>
    <n v="110"/>
    <s v="T8"/>
    <s v="Light Fixture"/>
    <x v="136"/>
    <n v="24"/>
    <n v="2"/>
    <n v="1"/>
    <n v="48"/>
    <n v="262.8"/>
    <n v="28.017985787745317"/>
    <n v="4.3217286914765908E-3"/>
    <n v="896.71082118602305"/>
    <n v="1.4746350395270816E-2"/>
    <s v="VTU3-20"/>
    <n v="0"/>
    <x v="4"/>
    <s v="Mar 12, 2018 @ 14:37"/>
    <s v="Mar 12, 2018 @ 14:31"/>
    <s v="mcoalson@hanson-inc.com"/>
  </r>
  <r>
    <n v="128"/>
    <s v="T8"/>
    <s v="Light Fixture"/>
    <x v="136"/>
    <n v="24"/>
    <n v="2"/>
    <n v="1"/>
    <n v="48"/>
    <n v="262.8"/>
    <n v="28.017985787745317"/>
    <n v="4.3217286914765908E-3"/>
    <n v="896.71082118602305"/>
    <n v="1.4746350395270816E-2"/>
    <s v="VTU3-20"/>
    <n v="0"/>
    <x v="4"/>
    <s v="Mar 12, 2018 @ 14:40"/>
    <s v="Mar 12, 2018 @ 14:34"/>
    <s v="mcoalson@hanson-inc.com"/>
  </r>
  <r>
    <n v="150"/>
    <s v="T8"/>
    <s v="Light Fixture"/>
    <x v="136"/>
    <n v="24"/>
    <n v="2"/>
    <n v="1"/>
    <n v="48"/>
    <n v="262.8"/>
    <n v="28.017985787745317"/>
    <n v="4.3217286914765908E-3"/>
    <n v="896.71082118602305"/>
    <n v="1.4746350395270816E-2"/>
    <s v="VTU3-20"/>
    <n v="0"/>
    <x v="4"/>
    <s v="Mar 12, 2018 @ 14:43"/>
    <s v="Mar 12, 2018 @ 14:37"/>
    <s v="mcoalson@hanson-inc.com"/>
  </r>
  <r>
    <n v="153"/>
    <s v="T8"/>
    <s v="Light Fixture"/>
    <x v="136"/>
    <n v="24"/>
    <n v="2"/>
    <n v="1"/>
    <n v="48"/>
    <n v="262.8"/>
    <n v="28.017985787745317"/>
    <n v="4.3217286914765908E-3"/>
    <n v="896.71082118602305"/>
    <n v="1.4746350395270816E-2"/>
    <s v="VTU3-20"/>
    <n v="0"/>
    <x v="4"/>
    <s v="Mar 12, 2018 @ 14:44"/>
    <s v="Mar 12, 2018 @ 14:37"/>
    <s v="mcoalson@hanson-inc.com"/>
  </r>
  <r>
    <n v="203"/>
    <s v="T8"/>
    <s v="Light Fixture"/>
    <x v="136"/>
    <n v="24"/>
    <n v="2"/>
    <n v="1"/>
    <n v="48"/>
    <n v="262.8"/>
    <n v="28.017985787745317"/>
    <n v="4.3217286914765908E-3"/>
    <n v="896.71082118602305"/>
    <n v="1.4746350395270816E-2"/>
    <s v="VTU3-20"/>
    <n v="0"/>
    <x v="4"/>
    <s v="Mar 12, 2018 @ 14:55"/>
    <s v="Mar 12, 2018 @ 14:48"/>
    <s v="mcoalson@hanson-inc.com"/>
  </r>
  <r>
    <n v="205"/>
    <s v="T8"/>
    <s v="Light Fixture"/>
    <x v="136"/>
    <n v="24"/>
    <n v="2"/>
    <n v="1"/>
    <n v="48"/>
    <n v="262.8"/>
    <n v="28.017985787745317"/>
    <n v="4.3217286914765908E-3"/>
    <n v="896.71082118602305"/>
    <n v="1.4746350395270816E-2"/>
    <s v="VTU3-20"/>
    <n v="0"/>
    <x v="4"/>
    <s v="Mar 12, 2018 @ 14:55"/>
    <s v="Mar 12, 2018 @ 14:48"/>
    <s v="mcoalson@hanson-inc.com"/>
  </r>
  <r>
    <n v="206"/>
    <s v="T8"/>
    <s v="Light Fixture"/>
    <x v="136"/>
    <n v="24"/>
    <n v="2"/>
    <n v="1"/>
    <n v="48"/>
    <n v="262.8"/>
    <n v="28.017985787745317"/>
    <n v="4.3217286914765908E-3"/>
    <n v="896.71082118602305"/>
    <n v="1.4746350395270816E-2"/>
    <s v="VTU3-20"/>
    <n v="0"/>
    <x v="4"/>
    <s v="Mar 12, 2018 @ 14:55"/>
    <s v="Mar 12, 2018 @ 14:48"/>
    <s v="mcoalson@hanson-inc.com"/>
  </r>
  <r>
    <n v="207"/>
    <s v="T8"/>
    <s v="Light Fixture"/>
    <x v="136"/>
    <n v="24"/>
    <n v="2"/>
    <n v="1"/>
    <n v="48"/>
    <n v="262.8"/>
    <n v="28.017985787745317"/>
    <n v="4.3217286914765908E-3"/>
    <n v="896.71082118602305"/>
    <n v="1.4746350395270816E-2"/>
    <s v="VTU3-20"/>
    <n v="0"/>
    <x v="4"/>
    <s v="Mar 12, 2018 @ 14:55"/>
    <s v="Mar 12, 2018 @ 14:48"/>
    <s v="mcoalson@hanson-inc.com"/>
  </r>
  <r>
    <n v="213"/>
    <s v="T8"/>
    <s v="Light Fixture"/>
    <x v="136"/>
    <n v="24"/>
    <n v="2"/>
    <n v="1"/>
    <n v="48"/>
    <n v="262.8"/>
    <n v="28.017985787745317"/>
    <n v="4.3217286914765908E-3"/>
    <n v="896.71082118602305"/>
    <n v="1.4746350395270816E-2"/>
    <s v="VTU3-20"/>
    <n v="0"/>
    <x v="4"/>
    <s v="Mar 12, 2018 @ 14:56"/>
    <s v="Mar 12, 2018 @ 14:52"/>
    <s v="mcoalson@hanson-inc.com"/>
  </r>
  <r>
    <n v="990"/>
    <s v="T8"/>
    <s v="Light Fixture"/>
    <x v="139"/>
    <n v="36"/>
    <n v="2"/>
    <n v="1"/>
    <n v="72"/>
    <n v="394.2"/>
    <n v="42.026978681617976"/>
    <n v="6.4825930372148857E-3"/>
    <n v="1345.0662317790345"/>
    <n v="2.2119525592906222E-2"/>
    <s v="1st Floor"/>
    <n v="0"/>
    <x v="4"/>
    <s v="Mar 14, 2018 @ 15:58"/>
    <s v="Mar 14, 2018 @ 15:59"/>
    <s v="mcoalson@hanson-inc.com"/>
  </r>
  <r>
    <n v="999"/>
    <s v="T8"/>
    <s v="Light Fixture"/>
    <x v="139"/>
    <n v="36"/>
    <n v="2"/>
    <n v="1"/>
    <n v="72"/>
    <n v="394.2"/>
    <n v="42.026978681617976"/>
    <n v="6.4825930372148857E-3"/>
    <n v="1345.0662317790345"/>
    <n v="2.2119525592906222E-2"/>
    <s v="1st Floor"/>
    <n v="0"/>
    <x v="4"/>
    <s v="Mar 14, 2018 @ 16:04"/>
    <s v="Mar 14, 2018 @ 16:00"/>
    <s v="mcoalson@hanson-inc.com"/>
  </r>
  <r>
    <n v="1003"/>
    <s v="T8"/>
    <s v="Light Fixture"/>
    <x v="139"/>
    <n v="36"/>
    <n v="2"/>
    <n v="1"/>
    <n v="72"/>
    <n v="394.2"/>
    <n v="42.026978681617976"/>
    <n v="6.4825930372148857E-3"/>
    <n v="1345.0662317790345"/>
    <n v="2.2119525592906222E-2"/>
    <s v="1st Floor"/>
    <n v="0"/>
    <x v="4"/>
    <s v="Mar 14, 2018 @ 16:01"/>
    <s v="Mar 14, 2018 @ 16:01"/>
    <s v="mcoalson@hanson-inc.com"/>
  </r>
  <r>
    <n v="1026"/>
    <s v="T8"/>
    <s v="Light Fixture"/>
    <x v="139"/>
    <n v="36"/>
    <n v="2"/>
    <n v="1"/>
    <n v="72"/>
    <n v="394.2"/>
    <n v="42.026978681617976"/>
    <n v="6.4825930372148857E-3"/>
    <n v="1345.0662317790345"/>
    <n v="2.2119525592906222E-2"/>
    <s v="1st Floor"/>
    <n v="0"/>
    <x v="4"/>
    <s v="Mar 14, 2018 @ 16:04"/>
    <s v="Mar 14, 2018 @ 16:04"/>
    <s v="mcoalson@hanson-inc.com"/>
  </r>
  <r>
    <n v="1042"/>
    <s v="T8"/>
    <s v="Light Fixture"/>
    <x v="139"/>
    <n v="36"/>
    <n v="2"/>
    <n v="1"/>
    <n v="72"/>
    <n v="394.2"/>
    <n v="42.026978681617976"/>
    <n v="6.4825930372148857E-3"/>
    <n v="1345.0662317790345"/>
    <n v="2.2119525592906222E-2"/>
    <s v="1st Floor"/>
    <n v="0"/>
    <x v="4"/>
    <s v="Mar 14, 2018 @ 16:07"/>
    <s v="Mar 14, 2018 @ 16:07"/>
    <s v="mcoalson@hanson-inc.com"/>
  </r>
  <r>
    <n v="1078"/>
    <s v="T8"/>
    <s v="Light Fixture"/>
    <x v="139"/>
    <n v="36"/>
    <n v="2"/>
    <n v="1"/>
    <n v="72"/>
    <n v="394.2"/>
    <n v="42.026978681617976"/>
    <n v="6.4825930372148857E-3"/>
    <n v="1345.0662317790345"/>
    <n v="2.2119525592906222E-2"/>
    <s v="1st Floor"/>
    <n v="0"/>
    <x v="4"/>
    <s v="Mar 14, 2018 @ 16:26"/>
    <s v="Mar 14, 2018 @ 16:27"/>
    <s v="mcoalson@hanson-inc.com"/>
  </r>
  <r>
    <n v="639"/>
    <s v="T8"/>
    <s v="Light Fixture"/>
    <x v="139"/>
    <n v="36"/>
    <n v="2"/>
    <n v="1"/>
    <n v="72"/>
    <n v="394.2"/>
    <n v="42.026978681617976"/>
    <n v="6.4825930372148857E-3"/>
    <n v="1345.0662317790345"/>
    <n v="2.2119525592906222E-2"/>
    <s v="2nd Floor"/>
    <n v="0"/>
    <x v="4"/>
    <s v="Mar 12, 2018 @ 19:51"/>
    <s v="Mar 12, 2018 @ 19:45"/>
    <s v="mcoalson@hanson-inc.com"/>
  </r>
  <r>
    <n v="643"/>
    <s v="T8"/>
    <s v="Light Fixture"/>
    <x v="139"/>
    <n v="36"/>
    <n v="2"/>
    <n v="1"/>
    <n v="72"/>
    <n v="394.2"/>
    <n v="42.026978681617976"/>
    <n v="6.4825930372148857E-3"/>
    <n v="1345.0662317790345"/>
    <n v="2.2119525592906222E-2"/>
    <s v="2nd Floor"/>
    <n v="0"/>
    <x v="4"/>
    <s v="Mar 12, 2018 @ 19:55"/>
    <s v="Mar 12, 2018 @ 19:49"/>
    <s v="mcoalson@hanson-inc.com"/>
  </r>
  <r>
    <n v="677"/>
    <s v="T8"/>
    <s v="Light Fixture"/>
    <x v="139"/>
    <n v="36"/>
    <n v="2"/>
    <n v="1"/>
    <n v="72"/>
    <n v="394.2"/>
    <n v="42.026978681617976"/>
    <n v="6.4825930372148857E-3"/>
    <n v="1345.0662317790345"/>
    <n v="2.2119525592906222E-2"/>
    <s v="2nd Floor"/>
    <n v="0"/>
    <x v="4"/>
    <s v="Mar 14, 2018 @ 13:24"/>
    <s v="Mar 14, 2018 @ 13:24"/>
    <s v="mcoalson@hanson-inc.com"/>
  </r>
  <r>
    <n v="701"/>
    <s v="T8"/>
    <s v="Light Fixture"/>
    <x v="139"/>
    <n v="36"/>
    <n v="2"/>
    <n v="1"/>
    <n v="72"/>
    <n v="394.2"/>
    <n v="42.026978681617976"/>
    <n v="6.4825930372148857E-3"/>
    <n v="1345.0662317790345"/>
    <n v="2.2119525592906222E-2"/>
    <s v="2nd Floor"/>
    <n v="0"/>
    <x v="4"/>
    <s v="Mar 14, 2018 @ 13:29"/>
    <s v="Mar 14, 2018 @ 13:32"/>
    <s v="mcoalson@hanson-inc.com"/>
  </r>
  <r>
    <n v="746"/>
    <s v="T8"/>
    <s v="Light Fixture"/>
    <x v="139"/>
    <n v="36"/>
    <n v="2"/>
    <n v="1"/>
    <n v="72"/>
    <n v="394.2"/>
    <n v="42.026978681617976"/>
    <n v="6.4825930372148857E-3"/>
    <n v="1345.0662317790345"/>
    <n v="2.2119525592906222E-2"/>
    <s v="2nd Floor"/>
    <n v="0"/>
    <x v="4"/>
    <s v="Mar 14, 2018 @ 14:05"/>
    <s v="Mar 14, 2018 @ 14:06"/>
    <s v="mcoalson@hanson-inc.com"/>
  </r>
  <r>
    <n v="755"/>
    <s v="T8"/>
    <s v="Light Fixture"/>
    <x v="139"/>
    <n v="36"/>
    <n v="2"/>
    <n v="1"/>
    <n v="72"/>
    <n v="394.2"/>
    <n v="42.026978681617976"/>
    <n v="6.4825930372148857E-3"/>
    <n v="1345.0662317790345"/>
    <n v="2.2119525592906222E-2"/>
    <s v="2nd Floor"/>
    <n v="0"/>
    <x v="4"/>
    <s v="Mar 14, 2018 @ 14:13"/>
    <s v="Mar 14, 2018 @ 14:14"/>
    <s v="mcoalson@hanson-inc.com"/>
  </r>
  <r>
    <n v="826"/>
    <s v="T8"/>
    <s v="Light Fixture"/>
    <x v="139"/>
    <n v="36"/>
    <n v="2"/>
    <n v="1"/>
    <n v="72"/>
    <n v="394.2"/>
    <n v="42.026978681617976"/>
    <n v="6.4825930372148857E-3"/>
    <n v="1345.0662317790345"/>
    <n v="2.2119525592906222E-2"/>
    <s v="2nd Floor"/>
    <n v="0"/>
    <x v="4"/>
    <s v="Mar 14, 2018 @ 14:56"/>
    <s v="Mar 14, 2018 @ 14:50"/>
    <s v="mcoalson@hanson-inc.com"/>
  </r>
  <r>
    <n v="827"/>
    <s v="T8"/>
    <s v="Light Fixture"/>
    <x v="139"/>
    <n v="36"/>
    <n v="2"/>
    <n v="1"/>
    <n v="72"/>
    <n v="394.2"/>
    <n v="42.026978681617976"/>
    <n v="6.4825930372148857E-3"/>
    <n v="1345.0662317790345"/>
    <n v="2.2119525592906222E-2"/>
    <s v="2nd Floor"/>
    <n v="0"/>
    <x v="4"/>
    <s v="Mar 14, 2018 @ 14:56"/>
    <s v="Mar 14, 2018 @ 14:50"/>
    <s v="mcoalson@hanson-inc.com"/>
  </r>
  <r>
    <n v="828"/>
    <s v="T8"/>
    <s v="Light Fixture"/>
    <x v="139"/>
    <n v="36"/>
    <n v="2"/>
    <n v="1"/>
    <n v="72"/>
    <n v="394.2"/>
    <n v="42.026978681617976"/>
    <n v="6.4825930372148857E-3"/>
    <n v="1345.0662317790345"/>
    <n v="2.2119525592906222E-2"/>
    <s v="2nd Floor"/>
    <n v="0"/>
    <x v="4"/>
    <s v="Mar 14, 2018 @ 14:56"/>
    <s v="Mar 14, 2018 @ 14:50"/>
    <s v="mcoalson@hanson-inc.com"/>
  </r>
  <r>
    <n v="829"/>
    <s v="T8"/>
    <s v="Light Fixture"/>
    <x v="139"/>
    <n v="36"/>
    <n v="2"/>
    <n v="1"/>
    <n v="72"/>
    <n v="394.2"/>
    <n v="42.026978681617976"/>
    <n v="6.4825930372148857E-3"/>
    <n v="1345.0662317790345"/>
    <n v="2.2119525592906222E-2"/>
    <s v="2nd Floor"/>
    <n v="0"/>
    <x v="4"/>
    <s v="Mar 14, 2018 @ 14:57"/>
    <s v="Mar 14, 2018 @ 14:50"/>
    <s v="mcoalson@hanson-inc.com"/>
  </r>
  <r>
    <n v="832"/>
    <s v="T8"/>
    <s v="Light Fixture"/>
    <x v="139"/>
    <n v="36"/>
    <n v="2"/>
    <n v="1"/>
    <n v="72"/>
    <n v="394.2"/>
    <n v="42.026978681617976"/>
    <n v="6.4825930372148857E-3"/>
    <n v="1345.0662317790345"/>
    <n v="2.2119525592906222E-2"/>
    <s v="2nd Floor"/>
    <n v="0"/>
    <x v="4"/>
    <s v="Mar 14, 2018 @ 14:57"/>
    <s v="Mar 14, 2018 @ 14:51"/>
    <s v="mcoalson@hanson-inc.com"/>
  </r>
  <r>
    <n v="833"/>
    <s v="T8"/>
    <s v="Light Fixture"/>
    <x v="139"/>
    <n v="36"/>
    <n v="2"/>
    <n v="1"/>
    <n v="72"/>
    <n v="394.2"/>
    <n v="42.026978681617976"/>
    <n v="6.4825930372148857E-3"/>
    <n v="1345.0662317790345"/>
    <n v="2.2119525592906222E-2"/>
    <s v="2nd Floor"/>
    <n v="0"/>
    <x v="4"/>
    <s v="Mar 14, 2018 @ 14:57"/>
    <s v="Mar 14, 2018 @ 14:51"/>
    <s v="mcoalson@hanson-inc.com"/>
  </r>
  <r>
    <n v="834"/>
    <s v="T8"/>
    <s v="Light Fixture"/>
    <x v="139"/>
    <n v="36"/>
    <n v="2"/>
    <n v="1"/>
    <n v="72"/>
    <n v="394.2"/>
    <n v="42.026978681617976"/>
    <n v="6.4825930372148857E-3"/>
    <n v="1345.0662317790345"/>
    <n v="2.2119525592906222E-2"/>
    <s v="2nd Floor"/>
    <n v="0"/>
    <x v="4"/>
    <s v="Mar 14, 2018 @ 14:57"/>
    <s v="Mar 14, 2018 @ 14:51"/>
    <s v="mcoalson@hanson-inc.com"/>
  </r>
  <r>
    <n v="835"/>
    <s v="T8"/>
    <s v="Light Fixture"/>
    <x v="139"/>
    <n v="36"/>
    <n v="2"/>
    <n v="1"/>
    <n v="72"/>
    <n v="394.2"/>
    <n v="42.026978681617976"/>
    <n v="6.4825930372148857E-3"/>
    <n v="1345.0662317790345"/>
    <n v="2.2119525592906222E-2"/>
    <s v="2nd Floor"/>
    <n v="0"/>
    <x v="4"/>
    <s v="Mar 14, 2018 @ 14:57"/>
    <s v="Mar 14, 2018 @ 14:51"/>
    <s v="mcoalson@hanson-inc.com"/>
  </r>
  <r>
    <n v="840"/>
    <s v="T8"/>
    <s v="Light Fixture"/>
    <x v="139"/>
    <n v="36"/>
    <n v="2"/>
    <n v="1"/>
    <n v="72"/>
    <n v="394.2"/>
    <n v="42.026978681617976"/>
    <n v="6.4825930372148857E-3"/>
    <n v="1345.0662317790345"/>
    <n v="2.2119525592906222E-2"/>
    <s v="2nd Floor"/>
    <n v="0"/>
    <x v="4"/>
    <s v="Mar 14, 2018 @ 14:53"/>
    <s v="Mar 14, 2018 @ 14:53"/>
    <s v="mcoalson@hanson-inc.com"/>
  </r>
  <r>
    <n v="855"/>
    <s v="T8"/>
    <s v="Light Fixture"/>
    <x v="139"/>
    <n v="36"/>
    <n v="2"/>
    <n v="1"/>
    <n v="72"/>
    <n v="394.2"/>
    <n v="42.026978681617976"/>
    <n v="6.4825930372148857E-3"/>
    <n v="1345.0662317790345"/>
    <n v="2.2119525592906222E-2"/>
    <s v="2nd Floor"/>
    <n v="0"/>
    <x v="4"/>
    <s v="Mar 14, 2018 @ 15:02"/>
    <s v="Mar 14, 2018 @ 14:56"/>
    <s v="mcoalson@hanson-inc.com"/>
  </r>
  <r>
    <n v="865"/>
    <s v="T8"/>
    <s v="Light Fixture"/>
    <x v="139"/>
    <n v="36"/>
    <n v="2"/>
    <n v="1"/>
    <n v="72"/>
    <n v="394.2"/>
    <n v="42.026978681617976"/>
    <n v="6.4825930372148857E-3"/>
    <n v="1345.0662317790345"/>
    <n v="2.2119525592906222E-2"/>
    <s v="2nd Floor"/>
    <n v="0"/>
    <x v="4"/>
    <s v="Mar 14, 2018 @ 15:04"/>
    <s v="Mar 14, 2018 @ 14:58"/>
    <s v="mcoalson@hanson-inc.com"/>
  </r>
  <r>
    <n v="32"/>
    <s v="T8"/>
    <s v="Light Fixture"/>
    <x v="139"/>
    <n v="36"/>
    <n v="2"/>
    <n v="1"/>
    <n v="72"/>
    <n v="394.2"/>
    <n v="42.026978681617976"/>
    <n v="6.4825930372148857E-3"/>
    <n v="1345.0662317790345"/>
    <n v="2.2119525592906222E-2"/>
    <s v="VTU3-20"/>
    <n v="0"/>
    <x v="4"/>
    <s v="Mar 12, 2018 @ 14:14"/>
    <s v="Mar 12, 2018 @ 14:08"/>
    <s v="mcoalson@hanson-inc.com"/>
  </r>
  <r>
    <n v="44"/>
    <s v="T8"/>
    <s v="Light Fixture"/>
    <x v="139"/>
    <n v="36"/>
    <n v="2"/>
    <n v="1"/>
    <n v="72"/>
    <n v="394.2"/>
    <n v="42.026978681617976"/>
    <n v="6.4825930372148857E-3"/>
    <n v="1345.0662317790345"/>
    <n v="2.2119525592906222E-2"/>
    <s v="VTU3-20"/>
    <n v="0"/>
    <x v="4"/>
    <s v="Mar 12, 2018 @ 14:17"/>
    <s v="Mar 12, 2018 @ 14:11"/>
    <s v="mcoalson@hanson-inc.com"/>
  </r>
  <r>
    <n v="263"/>
    <s v="T8"/>
    <s v="Light Fixture"/>
    <x v="139"/>
    <n v="36"/>
    <n v="2"/>
    <n v="1"/>
    <n v="72"/>
    <n v="394.2"/>
    <n v="42.026978681617976"/>
    <n v="6.4825930372148857E-3"/>
    <n v="1345.0662317790345"/>
    <n v="2.2119525592906222E-2"/>
    <s v="VTU3-20"/>
    <n v="0"/>
    <x v="4"/>
    <s v="Mar 12, 2018 @ 15:19"/>
    <s v="Mar 12, 2018 @ 15:13"/>
    <s v="mcoalson@hanson-inc.com"/>
  </r>
  <r>
    <n v="276"/>
    <s v="T8"/>
    <s v="Light Fixture"/>
    <x v="139"/>
    <n v="36"/>
    <n v="2"/>
    <n v="1"/>
    <n v="72"/>
    <n v="394.2"/>
    <n v="42.026978681617976"/>
    <n v="6.4825930372148857E-3"/>
    <n v="1345.0662317790345"/>
    <n v="2.2119525592906222E-2"/>
    <s v="VTU3-20"/>
    <n v="0"/>
    <x v="4"/>
    <s v="Mar 12, 2018 @ 15:22"/>
    <s v="Mar 12, 2018 @ 15:16"/>
    <s v="mcoalson@hanson-inc.com"/>
  </r>
  <r>
    <n v="288"/>
    <s v="T8"/>
    <s v="Light Fixture"/>
    <x v="139"/>
    <n v="36"/>
    <n v="2"/>
    <n v="1"/>
    <n v="72"/>
    <n v="394.2"/>
    <n v="42.026978681617976"/>
    <n v="6.4825930372148857E-3"/>
    <n v="1345.0662317790345"/>
    <n v="2.2119525592906222E-2"/>
    <s v="VTU3-20"/>
    <n v="0"/>
    <x v="4"/>
    <s v="Mar 12, 2018 @ 15:25"/>
    <s v="Mar 12, 2018 @ 18:28"/>
    <s v="mcoalson@hanson-inc.com"/>
  </r>
  <r>
    <n v="1011"/>
    <s v="T8"/>
    <s v="Light Fixture"/>
    <x v="140"/>
    <n v="36"/>
    <n v="2"/>
    <n v="1"/>
    <n v="72"/>
    <n v="394.2"/>
    <n v="42.026978681617976"/>
    <n v="6.4825930372148857E-3"/>
    <n v="1345.0662317790345"/>
    <n v="2.2119525592906222E-2"/>
    <s v="1st Floor"/>
    <n v="0"/>
    <x v="4"/>
    <s v="Mar 14, 2018 @ 16:09"/>
    <s v="Mar 14, 2018 @ 16:03"/>
    <s v="mcoalson@hanson-inc.com"/>
  </r>
  <r>
    <n v="1040"/>
    <s v="T8"/>
    <s v="Light Fixture"/>
    <x v="140"/>
    <n v="36"/>
    <n v="2"/>
    <n v="1"/>
    <n v="72"/>
    <n v="394.2"/>
    <n v="42.026978681617976"/>
    <n v="6.4825930372148857E-3"/>
    <n v="1345.0662317790345"/>
    <n v="2.2119525592906222E-2"/>
    <s v="1st Floor"/>
    <n v="0"/>
    <x v="4"/>
    <s v="Mar 14, 2018 @ 16:12"/>
    <s v="Mar 14, 2018 @ 16:06"/>
    <s v="mcoalson@hanson-inc.com"/>
  </r>
  <r>
    <n v="315"/>
    <s v="T8"/>
    <s v="Light Fixture"/>
    <x v="140"/>
    <n v="36"/>
    <n v="2"/>
    <n v="1"/>
    <n v="72"/>
    <n v="394.2"/>
    <n v="42.026978681617976"/>
    <n v="6.4825930372148857E-3"/>
    <n v="1345.0662317790345"/>
    <n v="2.2119525592906222E-2"/>
    <s v="VTU3-20"/>
    <n v="0"/>
    <x v="4"/>
    <s v="Mar 12, 2018 @ 15:39"/>
    <s v="Mar 12, 2018 @ 18:29"/>
    <s v="mcoalson@hanson-inc.com"/>
  </r>
  <r>
    <n v="318"/>
    <s v="T8"/>
    <s v="Light Fixture"/>
    <x v="140"/>
    <n v="36"/>
    <n v="2"/>
    <n v="1"/>
    <n v="72"/>
    <n v="394.2"/>
    <n v="42.026978681617976"/>
    <n v="6.4825930372148857E-3"/>
    <n v="1345.0662317790345"/>
    <n v="2.2119525592906222E-2"/>
    <s v="VTU3-20"/>
    <n v="0"/>
    <x v="4"/>
    <s v="Mar 12, 2018 @ 15:40"/>
    <s v="Mar 12, 2018 @ 18:29"/>
    <s v="mcoalson@hanson-inc.com"/>
  </r>
  <r>
    <n v="321"/>
    <s v="T8"/>
    <s v="Light Fixture"/>
    <x v="140"/>
    <n v="36"/>
    <n v="2"/>
    <n v="1"/>
    <n v="72"/>
    <n v="394.2"/>
    <n v="42.026978681617976"/>
    <n v="6.4825930372148857E-3"/>
    <n v="1345.0662317790345"/>
    <n v="2.2119525592906222E-2"/>
    <s v="VTU3-20"/>
    <n v="0"/>
    <x v="4"/>
    <s v="Mar 12, 2018 @ 15:42"/>
    <s v="Mar 12, 2018 @ 18:29"/>
    <s v="mcoalson@hanson-inc.com"/>
  </r>
  <r>
    <n v="326"/>
    <s v="T8"/>
    <s v="Light Fixture"/>
    <x v="140"/>
    <n v="36"/>
    <n v="2"/>
    <n v="1"/>
    <n v="72"/>
    <n v="394.2"/>
    <n v="42.026978681617976"/>
    <n v="6.4825930372148857E-3"/>
    <n v="1345.0662317790345"/>
    <n v="2.2119525592906222E-2"/>
    <s v="VTU3-20"/>
    <n v="0"/>
    <x v="4"/>
    <s v="Mar 12, 2018 @ 15:43"/>
    <s v="Mar 12, 2018 @ 18:29"/>
    <s v="mcoalson@hanson-inc.com"/>
  </r>
  <r>
    <n v="337"/>
    <s v="T8"/>
    <s v="Light Fixture"/>
    <x v="140"/>
    <n v="36"/>
    <n v="2"/>
    <n v="1"/>
    <n v="72"/>
    <n v="394.2"/>
    <n v="42.026978681617976"/>
    <n v="6.4825930372148857E-3"/>
    <n v="1345.0662317790345"/>
    <n v="2.2119525592906222E-2"/>
    <s v="VTU3-20"/>
    <n v="0"/>
    <x v="4"/>
    <s v="Mar 12, 2018 @ 15:46"/>
    <s v="Mar 12, 2018 @ 18:29"/>
    <s v="mcoalson@hanson-inc.com"/>
  </r>
  <r>
    <n v="338"/>
    <s v="T8"/>
    <s v="Light Fixture"/>
    <x v="140"/>
    <n v="36"/>
    <n v="2"/>
    <n v="1"/>
    <n v="72"/>
    <n v="394.2"/>
    <n v="42.026978681617976"/>
    <n v="6.4825930372148857E-3"/>
    <n v="1345.0662317790345"/>
    <n v="2.2119525592906222E-2"/>
    <s v="VTU3-20"/>
    <n v="0"/>
    <x v="4"/>
    <s v="Mar 12, 2018 @ 15:47"/>
    <s v="Mar 12, 2018 @ 18:29"/>
    <s v="mcoalson@hanson-inc.com"/>
  </r>
  <r>
    <n v="353"/>
    <s v="T8"/>
    <s v="Light Fixture"/>
    <x v="140"/>
    <n v="36"/>
    <n v="2"/>
    <n v="1"/>
    <n v="72"/>
    <n v="394.2"/>
    <n v="42.026978681617976"/>
    <n v="6.4825930372148857E-3"/>
    <n v="1345.0662317790345"/>
    <n v="2.2119525592906222E-2"/>
    <s v="VTU3-20"/>
    <n v="0"/>
    <x v="4"/>
    <s v="Mar 12, 2018 @ 15:51"/>
    <s v="Mar 12, 2018 @ 18:30"/>
    <s v="mcoalson@hanson-inc.com"/>
  </r>
  <r>
    <n v="360"/>
    <s v="T8"/>
    <s v="Light Fixture"/>
    <x v="140"/>
    <n v="36"/>
    <n v="2"/>
    <n v="1"/>
    <n v="72"/>
    <n v="394.2"/>
    <n v="42.026978681617976"/>
    <n v="6.4825930372148857E-3"/>
    <n v="1345.0662317790345"/>
    <n v="2.2119525592906222E-2"/>
    <s v="VTU3-20"/>
    <n v="0"/>
    <x v="4"/>
    <s v="Mar 12, 2018 @ 15:53"/>
    <s v="Mar 12, 2018 @ 18:30"/>
    <s v="mcoalson@hanson-inc.com"/>
  </r>
  <r>
    <n v="363"/>
    <s v="T8"/>
    <s v="Light Fixture"/>
    <x v="140"/>
    <n v="36"/>
    <n v="2"/>
    <n v="1"/>
    <n v="72"/>
    <n v="394.2"/>
    <n v="42.026978681617976"/>
    <n v="6.4825930372148857E-3"/>
    <n v="1345.0662317790345"/>
    <n v="2.2119525592906222E-2"/>
    <s v="VTU3-20"/>
    <n v="0"/>
    <x v="4"/>
    <s v="Mar 12, 2018 @ 15:54"/>
    <s v="Mar 12, 2018 @ 18:30"/>
    <s v="mcoalson@hanson-inc.com"/>
  </r>
  <r>
    <n v="365"/>
    <s v="T8"/>
    <s v="Light Fixture"/>
    <x v="140"/>
    <n v="36"/>
    <n v="2"/>
    <n v="1"/>
    <n v="72"/>
    <n v="394.2"/>
    <n v="42.026978681617976"/>
    <n v="6.4825930372148857E-3"/>
    <n v="1345.0662317790345"/>
    <n v="2.2119525592906222E-2"/>
    <s v="VTU3-20"/>
    <n v="0"/>
    <x v="4"/>
    <s v="Mar 12, 2018 @ 15:55"/>
    <s v="Mar 12, 2018 @ 18:30"/>
    <s v="mcoalson@hanson-inc.com"/>
  </r>
  <r>
    <n v="384"/>
    <s v="T8"/>
    <s v="Light Fixture"/>
    <x v="140"/>
    <n v="36"/>
    <n v="2"/>
    <n v="1"/>
    <n v="72"/>
    <n v="394.2"/>
    <n v="42.026978681617976"/>
    <n v="6.4825930372148857E-3"/>
    <n v="1345.0662317790345"/>
    <n v="2.2119525592906222E-2"/>
    <s v="VTU3-20"/>
    <n v="0"/>
    <x v="4"/>
    <s v="Mar 12, 2018 @ 18:39"/>
    <s v="Mar 12, 2018 @ 18:33"/>
    <s v="mcoalson@hanson-inc.com"/>
  </r>
  <r>
    <n v="393"/>
    <s v="T8"/>
    <s v="Light Fixture"/>
    <x v="140"/>
    <n v="36"/>
    <n v="2"/>
    <n v="1"/>
    <n v="72"/>
    <n v="394.2"/>
    <n v="42.026978681617976"/>
    <n v="6.4825930372148857E-3"/>
    <n v="1345.0662317790345"/>
    <n v="2.2119525592906222E-2"/>
    <s v="VTU3-20"/>
    <n v="0"/>
    <x v="4"/>
    <s v="Mar 12, 2018 @ 18:42"/>
    <s v="Mar 12, 2018 @ 18:35"/>
    <s v="mcoalson@hanson-inc.com"/>
  </r>
  <r>
    <n v="395"/>
    <s v="T8"/>
    <s v="Light Fixture"/>
    <x v="140"/>
    <n v="36"/>
    <n v="2"/>
    <n v="1"/>
    <n v="72"/>
    <n v="394.2"/>
    <n v="42.026978681617976"/>
    <n v="6.4825930372148857E-3"/>
    <n v="1345.0662317790345"/>
    <n v="2.2119525592906222E-2"/>
    <s v="VTU3-20"/>
    <n v="0"/>
    <x v="4"/>
    <s v="Mar 12, 2018 @ 18:42"/>
    <s v="Mar 12, 2018 @ 18:36"/>
    <s v="mcoalson@hanson-inc.com"/>
  </r>
  <r>
    <n v="466"/>
    <s v="T8"/>
    <s v="Light Fixture"/>
    <x v="140"/>
    <n v="36"/>
    <n v="2"/>
    <n v="1"/>
    <n v="72"/>
    <n v="394.2"/>
    <n v="42.026978681617976"/>
    <n v="6.4825930372148857E-3"/>
    <n v="1345.0662317790345"/>
    <n v="2.2119525592906222E-2"/>
    <s v="VTU3-20"/>
    <n v="0"/>
    <x v="4"/>
    <s v="Mar 12, 2018 @ 19:06"/>
    <s v="Mar 12, 2018 @ 19:00"/>
    <s v="mcoalson@hanson-inc.com"/>
  </r>
  <r>
    <n v="471"/>
    <s v="T8"/>
    <s v="Light Fixture"/>
    <x v="140"/>
    <n v="36"/>
    <n v="2"/>
    <n v="1"/>
    <n v="72"/>
    <n v="394.2"/>
    <n v="42.026978681617976"/>
    <n v="6.4825930372148857E-3"/>
    <n v="1345.0662317790345"/>
    <n v="2.2119525592906222E-2"/>
    <s v="VTU3-20"/>
    <n v="0"/>
    <x v="4"/>
    <s v="Mar 12, 2018 @ 19:07"/>
    <s v="Mar 12, 2018 @ 19:00"/>
    <s v="mcoalson@hanson-inc.com"/>
  </r>
  <r>
    <n v="479"/>
    <s v="T8"/>
    <s v="Light Fixture"/>
    <x v="140"/>
    <n v="36"/>
    <n v="2"/>
    <n v="1"/>
    <n v="72"/>
    <n v="394.2"/>
    <n v="42.026978681617976"/>
    <n v="6.4825930372148857E-3"/>
    <n v="1345.0662317790345"/>
    <n v="2.2119525592906222E-2"/>
    <s v="VTU3-20"/>
    <n v="0"/>
    <x v="4"/>
    <s v="Mar 12, 2018 @ 19:09"/>
    <s v="Mar 12, 2018 @ 19:02"/>
    <s v="mcoalson@hanson-inc.com"/>
  </r>
  <r>
    <n v="493"/>
    <s v="T8"/>
    <s v="Light Fixture"/>
    <x v="140"/>
    <n v="36"/>
    <n v="2"/>
    <n v="1"/>
    <n v="72"/>
    <n v="394.2"/>
    <n v="42.026978681617976"/>
    <n v="6.4825930372148857E-3"/>
    <n v="1345.0662317790345"/>
    <n v="2.2119525592906222E-2"/>
    <s v="VTU3-20"/>
    <n v="0"/>
    <x v="4"/>
    <s v="Mar 12, 2018 @ 19:10"/>
    <s v="Mar 12, 2018 @ 19:04"/>
    <s v="mcoalson@hanson-inc.com"/>
  </r>
  <r>
    <n v="503"/>
    <s v="T8"/>
    <s v="Light Fixture"/>
    <x v="140"/>
    <n v="36"/>
    <n v="2"/>
    <n v="1"/>
    <n v="72"/>
    <n v="394.2"/>
    <n v="42.026978681617976"/>
    <n v="6.4825930372148857E-3"/>
    <n v="1345.0662317790345"/>
    <n v="2.2119525592906222E-2"/>
    <s v="VTU3-20"/>
    <n v="0"/>
    <x v="4"/>
    <s v="Mar 12, 2018 @ 19:11"/>
    <s v="Mar 12, 2018 @ 19:05"/>
    <s v="mcoalson@hanson-inc.com"/>
  </r>
  <r>
    <n v="515"/>
    <s v="T8"/>
    <s v="Light Fixture"/>
    <x v="140"/>
    <n v="36"/>
    <n v="2"/>
    <n v="1"/>
    <n v="72"/>
    <n v="394.2"/>
    <n v="42.026978681617976"/>
    <n v="6.4825930372148857E-3"/>
    <n v="1345.0662317790345"/>
    <n v="2.2119525592906222E-2"/>
    <s v="VTU3-20"/>
    <n v="0"/>
    <x v="4"/>
    <s v="Mar 12, 2018 @ 19:12"/>
    <s v="Mar 12, 2018 @ 19:06"/>
    <s v="mcoalson@hanson-inc.com"/>
  </r>
  <r>
    <n v="525"/>
    <s v="T8"/>
    <s v="Light Fixture"/>
    <x v="140"/>
    <n v="36"/>
    <n v="2"/>
    <n v="1"/>
    <n v="72"/>
    <n v="394.2"/>
    <n v="42.026978681617976"/>
    <n v="6.4825930372148857E-3"/>
    <n v="1345.0662317790345"/>
    <n v="2.2119525592906222E-2"/>
    <s v="VTU3-20"/>
    <n v="0"/>
    <x v="4"/>
    <s v="Mar 12, 2018 @ 19:14"/>
    <s v="Mar 12, 2018 @ 19:08"/>
    <s v="mcoalson@hanson-inc.com"/>
  </r>
  <r>
    <n v="541"/>
    <s v="T8"/>
    <s v="Light Fixture"/>
    <x v="140"/>
    <n v="36"/>
    <n v="2"/>
    <n v="1"/>
    <n v="72"/>
    <n v="394.2"/>
    <n v="42.026978681617976"/>
    <n v="6.4825930372148857E-3"/>
    <n v="1345.0662317790345"/>
    <n v="2.2119525592906222E-2"/>
    <s v="VTU3-20"/>
    <n v="0"/>
    <x v="4"/>
    <s v="Mar 12, 2018 @ 19:15"/>
    <s v="Mar 12, 2018 @ 19:09"/>
    <s v="mcoalson@hanson-inc.com"/>
  </r>
  <r>
    <n v="555"/>
    <s v="T8"/>
    <s v="Light Fixture"/>
    <x v="140"/>
    <n v="36"/>
    <n v="2"/>
    <n v="1"/>
    <n v="72"/>
    <n v="394.2"/>
    <n v="42.026978681617976"/>
    <n v="6.4825930372148857E-3"/>
    <n v="1345.0662317790345"/>
    <n v="2.2119525592906222E-2"/>
    <s v="VTU3-20"/>
    <n v="0"/>
    <x v="4"/>
    <s v="Mar 12, 2018 @ 19:17"/>
    <s v="Mar 12, 2018 @ 19:11"/>
    <s v="mcoalson@hanson-inc.com"/>
  </r>
  <r>
    <n v="568"/>
    <s v="T8"/>
    <s v="Light Fixture"/>
    <x v="140"/>
    <n v="36"/>
    <n v="2"/>
    <n v="1"/>
    <n v="72"/>
    <n v="394.2"/>
    <n v="42.026978681617976"/>
    <n v="6.4825930372148857E-3"/>
    <n v="1345.0662317790345"/>
    <n v="2.2119525592906222E-2"/>
    <s v="VTU3-20"/>
    <n v="0"/>
    <x v="4"/>
    <s v="Mar 12, 2018 @ 19:19"/>
    <s v="Mar 12, 2018 @ 19:13"/>
    <s v="mcoalson@hanson-inc.com"/>
  </r>
  <r>
    <n v="583"/>
    <s v="T8"/>
    <s v="Light Fixture"/>
    <x v="140"/>
    <n v="36"/>
    <n v="2"/>
    <n v="1"/>
    <n v="72"/>
    <n v="394.2"/>
    <n v="42.026978681617976"/>
    <n v="6.4825930372148857E-3"/>
    <n v="1345.0662317790345"/>
    <n v="2.2119525592906222E-2"/>
    <s v="VTU3-20"/>
    <n v="0"/>
    <x v="4"/>
    <s v="Mar 12, 2018 @ 19:21"/>
    <s v="Mar 12, 2018 @ 19:15"/>
    <s v="mcoalson@hanson-inc.com"/>
  </r>
  <r>
    <n v="598"/>
    <s v="T8"/>
    <s v="Light Fixture"/>
    <x v="140"/>
    <n v="36"/>
    <n v="2"/>
    <n v="1"/>
    <n v="72"/>
    <n v="394.2"/>
    <n v="42.026978681617976"/>
    <n v="6.4825930372148857E-3"/>
    <n v="1345.0662317790345"/>
    <n v="2.2119525592906222E-2"/>
    <s v="VTU3-20"/>
    <n v="0"/>
    <x v="4"/>
    <s v="Mar 12, 2018 @ 19:22"/>
    <s v="Mar 12, 2018 @ 19:16"/>
    <s v="mcoalson@hanson-inc.com"/>
  </r>
  <r>
    <n v="606"/>
    <s v="T8"/>
    <s v="Light Fixture"/>
    <x v="140"/>
    <n v="36"/>
    <n v="2"/>
    <n v="1"/>
    <n v="72"/>
    <n v="394.2"/>
    <n v="42.026978681617976"/>
    <n v="6.4825930372148857E-3"/>
    <n v="1345.0662317790345"/>
    <n v="2.2119525592906222E-2"/>
    <s v="VTU3-20"/>
    <n v="0"/>
    <x v="4"/>
    <s v="Mar 12, 2018 @ 19:23"/>
    <s v="Mar 12, 2018 @ 19:17"/>
    <s v="mcoalson@hanson-inc.com"/>
  </r>
  <r>
    <n v="620"/>
    <s v="T8"/>
    <s v="Light Fixture"/>
    <x v="140"/>
    <n v="36"/>
    <n v="2"/>
    <n v="1"/>
    <n v="72"/>
    <n v="394.2"/>
    <n v="42.026978681617976"/>
    <n v="6.4825930372148857E-3"/>
    <n v="1345.0662317790345"/>
    <n v="2.2119525592906222E-2"/>
    <s v="VTU3-20"/>
    <n v="0"/>
    <x v="4"/>
    <s v="Mar 12, 2018 @ 19:28"/>
    <s v="Mar 12, 2018 @ 19:21"/>
    <s v="mcoalson@hanson-inc.com"/>
  </r>
  <r>
    <n v="225"/>
    <s v="T8"/>
    <s v="Light Fixture"/>
    <x v="141"/>
    <n v="60"/>
    <n v="2"/>
    <n v="1"/>
    <n v="120"/>
    <n v="657"/>
    <n v="70.044964469363293"/>
    <n v="1.0804321728691477E-2"/>
    <n v="2241.7770529650575"/>
    <n v="3.686587598817704E-2"/>
    <s v="VTU3-20"/>
    <n v="0"/>
    <x v="4"/>
    <s v="Mar 12, 2018 @ 14:58"/>
    <s v="Mar 12, 2018 @ 14:52"/>
    <s v="mcoalson@hanson-inc.com"/>
  </r>
  <r>
    <n v="943"/>
    <s v="T8"/>
    <s v="Light Fixture"/>
    <x v="142"/>
    <n v="36"/>
    <n v="2"/>
    <n v="1"/>
    <n v="72"/>
    <n v="394.2"/>
    <n v="42.026978681617976"/>
    <n v="6.4825930372148857E-3"/>
    <n v="1345.0662317790345"/>
    <n v="2.2119525592906222E-2"/>
    <s v="1st Floor"/>
    <n v="0"/>
    <x v="4"/>
    <s v="Mar 14, 2018 @ 15:50"/>
    <s v="Mar 14, 2018 @ 15:50"/>
    <s v="nboyd@hanson-inc.com"/>
  </r>
  <r>
    <n v="959"/>
    <s v="T8"/>
    <s v="Light Fixture"/>
    <x v="142"/>
    <n v="36"/>
    <n v="2"/>
    <n v="1"/>
    <n v="72"/>
    <n v="394.2"/>
    <n v="42.026978681617976"/>
    <n v="6.4825930372148857E-3"/>
    <n v="1345.0662317790345"/>
    <n v="2.2119525592906222E-2"/>
    <s v="1st Floor"/>
    <n v="0"/>
    <x v="4"/>
    <s v="Mar 14, 2018 @ 15:52"/>
    <s v="Mar 14, 2018 @ 15:53"/>
    <s v="nboyd@hanson-inc.com"/>
  </r>
  <r>
    <n v="991"/>
    <s v="T8"/>
    <s v="Light Fixture"/>
    <x v="142"/>
    <n v="36"/>
    <n v="2"/>
    <n v="1"/>
    <n v="72"/>
    <n v="394.2"/>
    <n v="42.026978681617976"/>
    <n v="6.4825930372148857E-3"/>
    <n v="1345.0662317790345"/>
    <n v="2.2119525592906222E-2"/>
    <s v="1st Floor"/>
    <n v="0"/>
    <x v="4"/>
    <s v="Mar 14, 2018 @ 15:58"/>
    <s v="Mar 14, 2018 @ 15:59"/>
    <s v="nboyd@hanson-inc.com"/>
  </r>
  <r>
    <n v="1075"/>
    <s v="T8"/>
    <s v="Light Fixture"/>
    <x v="142"/>
    <n v="36"/>
    <n v="2"/>
    <n v="1"/>
    <n v="72"/>
    <n v="394.2"/>
    <n v="42.026978681617976"/>
    <n v="6.4825930372148857E-3"/>
    <n v="1345.0662317790345"/>
    <n v="2.2119525592906222E-2"/>
    <s v="1st Floor"/>
    <n v="0"/>
    <x v="4"/>
    <s v="Mar 14, 2018 @ 16:26"/>
    <s v="Mar 14, 2018 @ 16:26"/>
    <s v="nboyd@hanson-inc.com"/>
  </r>
  <r>
    <n v="646"/>
    <s v="T8"/>
    <s v="Light Fixture"/>
    <x v="142"/>
    <n v="36"/>
    <n v="2"/>
    <n v="1"/>
    <n v="72"/>
    <n v="394.2"/>
    <n v="42.026978681617976"/>
    <n v="6.4825930372148857E-3"/>
    <n v="1345.0662317790345"/>
    <n v="2.2119525592906222E-2"/>
    <s v="2nd Floor"/>
    <n v="0"/>
    <x v="4"/>
    <s v="Mar 12, 2018 @ 19:49"/>
    <s v="Mar 12, 2018 @ 19:49"/>
    <s v="nboyd@hanson-inc.com"/>
  </r>
  <r>
    <n v="659"/>
    <s v="T8"/>
    <s v="Light Fixture"/>
    <x v="142"/>
    <n v="36"/>
    <n v="2"/>
    <n v="1"/>
    <n v="72"/>
    <n v="394.2"/>
    <n v="42.026978681617976"/>
    <n v="6.4825930372148857E-3"/>
    <n v="1345.0662317790345"/>
    <n v="2.2119525592906222E-2"/>
    <s v="2nd Floor"/>
    <n v="0"/>
    <x v="4"/>
    <s v="Mar 14, 2018 @ 13:19"/>
    <s v="Mar 14, 2018 @ 13:19"/>
    <s v="nboyd@hanson-inc.com"/>
  </r>
  <r>
    <n v="661"/>
    <s v="T8"/>
    <s v="Light Fixture"/>
    <x v="142"/>
    <n v="36"/>
    <n v="2"/>
    <n v="1"/>
    <n v="72"/>
    <n v="394.2"/>
    <n v="42.026978681617976"/>
    <n v="6.4825930372148857E-3"/>
    <n v="1345.0662317790345"/>
    <n v="2.2119525592906222E-2"/>
    <s v="2nd Floor"/>
    <n v="0"/>
    <x v="4"/>
    <s v="Mar 14, 2018 @ 13:20"/>
    <s v="Mar 14, 2018 @ 13:20"/>
    <s v="nboyd@hanson-inc.com"/>
  </r>
  <r>
    <n v="697"/>
    <s v="T8"/>
    <s v="Light Fixture"/>
    <x v="142"/>
    <n v="36"/>
    <n v="2"/>
    <n v="1"/>
    <n v="72"/>
    <n v="394.2"/>
    <n v="42.026978681617976"/>
    <n v="6.4825930372148857E-3"/>
    <n v="1345.0662317790345"/>
    <n v="2.2119525592906222E-2"/>
    <s v="2nd Floor"/>
    <n v="0"/>
    <x v="4"/>
    <s v="Mar 14, 2018 @ 13:28"/>
    <s v="Mar 14, 2018 @ 13:28"/>
    <s v="nboyd@hanson-inc.com"/>
  </r>
  <r>
    <n v="706"/>
    <s v="T8"/>
    <s v="Light Fixture"/>
    <x v="142"/>
    <n v="36"/>
    <n v="2"/>
    <n v="1"/>
    <n v="72"/>
    <n v="394.2"/>
    <n v="42.026978681617976"/>
    <n v="6.4825930372148857E-3"/>
    <n v="1345.0662317790345"/>
    <n v="2.2119525592906222E-2"/>
    <s v="2nd Floor"/>
    <n v="0"/>
    <x v="4"/>
    <s v="Mar 14, 2018 @ 13:31"/>
    <s v="Mar 14, 2018 @ 13:31"/>
    <s v="nboyd@hanson-inc.com"/>
  </r>
  <r>
    <n v="787"/>
    <s v="T8"/>
    <s v="Light Fixture"/>
    <x v="142"/>
    <n v="36"/>
    <n v="2"/>
    <n v="1"/>
    <n v="72"/>
    <n v="394.2"/>
    <n v="42.026978681617976"/>
    <n v="6.4825930372148857E-3"/>
    <n v="1345.0662317790345"/>
    <n v="2.2119525592906222E-2"/>
    <s v="2nd Floor"/>
    <n v="0"/>
    <x v="4"/>
    <s v="Mar 14, 2018 @ 14:31"/>
    <s v="Mar 14, 2018 @ 14:32"/>
    <s v="nboyd@hanson-inc.com"/>
  </r>
  <r>
    <n v="839"/>
    <s v="T8"/>
    <s v="Light Fixture"/>
    <x v="142"/>
    <n v="36"/>
    <n v="2"/>
    <n v="1"/>
    <n v="72"/>
    <n v="394.2"/>
    <n v="42.026978681617976"/>
    <n v="6.4825930372148857E-3"/>
    <n v="1345.0662317790345"/>
    <n v="2.2119525592906222E-2"/>
    <s v="2nd Floor"/>
    <n v="0"/>
    <x v="4"/>
    <s v="Mar 14, 2018 @ 14:53"/>
    <s v="Mar 14, 2018 @ 14:53"/>
    <s v="nboyd@hanson-inc.com"/>
  </r>
  <r>
    <n v="18"/>
    <s v="T8"/>
    <s v="Light Fixture"/>
    <x v="142"/>
    <n v="36"/>
    <n v="2"/>
    <n v="1"/>
    <n v="72"/>
    <n v="394.2"/>
    <n v="42.026978681617976"/>
    <n v="6.4825930372148857E-3"/>
    <n v="1345.0662317790345"/>
    <n v="2.2119525592906222E-2"/>
    <s v="VTU3-20"/>
    <n v="0"/>
    <x v="4"/>
    <s v="Mar 12, 2018 @ 14:03"/>
    <s v="Mar 12, 2018 @ 14:03"/>
    <s v="nboyd@hanson-inc.com"/>
  </r>
  <r>
    <n v="29"/>
    <s v="T8"/>
    <s v="Light Fixture"/>
    <x v="142"/>
    <n v="36"/>
    <n v="2"/>
    <n v="1"/>
    <n v="72"/>
    <n v="394.2"/>
    <n v="42.026978681617976"/>
    <n v="6.4825930372148857E-3"/>
    <n v="1345.0662317790345"/>
    <n v="2.2119525592906222E-2"/>
    <s v="VTU3-20"/>
    <n v="0"/>
    <x v="4"/>
    <s v="Mar 12, 2018 @ 14:07"/>
    <s v="Mar 12, 2018 @ 14:07"/>
    <s v="nboyd@hanson-inc.com"/>
  </r>
  <r>
    <n v="41"/>
    <s v="T8"/>
    <s v="Light Fixture"/>
    <x v="142"/>
    <n v="36"/>
    <n v="2"/>
    <n v="1"/>
    <n v="72"/>
    <n v="394.2"/>
    <n v="42.026978681617976"/>
    <n v="6.4825930372148857E-3"/>
    <n v="1345.0662317790345"/>
    <n v="2.2119525592906222E-2"/>
    <s v="VTU3-20"/>
    <n v="0"/>
    <x v="4"/>
    <s v="Mar 12, 2018 @ 14:09"/>
    <s v="Mar 12, 2018 @ 14:10"/>
    <s v="nboyd@hanson-inc.com"/>
  </r>
  <r>
    <n v="51"/>
    <s v="T8"/>
    <s v="Light Fixture"/>
    <x v="142"/>
    <n v="36"/>
    <n v="2"/>
    <n v="1"/>
    <n v="72"/>
    <n v="394.2"/>
    <n v="42.026978681617976"/>
    <n v="6.4825930372148857E-3"/>
    <n v="1345.0662317790345"/>
    <n v="2.2119525592906222E-2"/>
    <s v="VTU3-20"/>
    <n v="0"/>
    <x v="4"/>
    <s v="Mar 12, 2018 @ 14:12"/>
    <s v="Mar 12, 2018 @ 14:12"/>
    <s v="nboyd@hanson-inc.com"/>
  </r>
  <r>
    <n v="61"/>
    <s v="T8"/>
    <s v="Light Fixture"/>
    <x v="142"/>
    <n v="36"/>
    <n v="2"/>
    <n v="1"/>
    <n v="72"/>
    <n v="394.2"/>
    <n v="42.026978681617976"/>
    <n v="6.4825930372148857E-3"/>
    <n v="1345.0662317790345"/>
    <n v="2.2119525592906222E-2"/>
    <s v="VTU3-20"/>
    <n v="0"/>
    <x v="4"/>
    <s v="Mar 12, 2018 @ 14:18"/>
    <s v="Mar 12, 2018 @ 14:18"/>
    <s v="nboyd@hanson-inc.com"/>
  </r>
  <r>
    <n v="69"/>
    <s v="T8"/>
    <s v="Light Fixture"/>
    <x v="142"/>
    <n v="36"/>
    <n v="2"/>
    <n v="1"/>
    <n v="72"/>
    <n v="394.2"/>
    <n v="42.026978681617976"/>
    <n v="6.4825930372148857E-3"/>
    <n v="1345.0662317790345"/>
    <n v="2.2119525592906222E-2"/>
    <s v="VTU3-20"/>
    <n v="0"/>
    <x v="4"/>
    <s v="Mar 12, 2018 @ 14:21"/>
    <s v="Mar 12, 2018 @ 14:21"/>
    <s v="nboyd@hanson-inc.com"/>
  </r>
  <r>
    <n v="75"/>
    <s v="T8"/>
    <s v="Light Fixture"/>
    <x v="142"/>
    <n v="36"/>
    <n v="2"/>
    <n v="1"/>
    <n v="72"/>
    <n v="394.2"/>
    <n v="42.026978681617976"/>
    <n v="6.4825930372148857E-3"/>
    <n v="1345.0662317790345"/>
    <n v="2.2119525592906222E-2"/>
    <s v="VTU3-20"/>
    <n v="0"/>
    <x v="4"/>
    <s v="Mar 12, 2018 @ 14:22"/>
    <s v="Mar 12, 2018 @ 14:22"/>
    <s v="nboyd@hanson-inc.com"/>
  </r>
  <r>
    <n v="90"/>
    <s v="T8"/>
    <s v="Light Fixture"/>
    <x v="142"/>
    <n v="36"/>
    <n v="2"/>
    <n v="1"/>
    <n v="72"/>
    <n v="394.2"/>
    <n v="42.026978681617976"/>
    <n v="6.4825930372148857E-3"/>
    <n v="1345.0662317790345"/>
    <n v="2.2119525592906222E-2"/>
    <s v="VTU3-20"/>
    <n v="0"/>
    <x v="4"/>
    <s v="Mar 12, 2018 @ 14:27"/>
    <s v="Mar 12, 2018 @ 14:27"/>
    <s v="nboyd@hanson-inc.com"/>
  </r>
  <r>
    <n v="97"/>
    <s v="T8"/>
    <s v="Light Fixture"/>
    <x v="142"/>
    <n v="36"/>
    <n v="2"/>
    <n v="1"/>
    <n v="72"/>
    <n v="394.2"/>
    <n v="42.026978681617976"/>
    <n v="6.4825930372148857E-3"/>
    <n v="1345.0662317790345"/>
    <n v="2.2119525592906222E-2"/>
    <s v="VTU3-20"/>
    <n v="0"/>
    <x v="4"/>
    <s v="Mar 12, 2018 @ 14:28"/>
    <s v="Mar 12, 2018 @ 14:28"/>
    <s v="nboyd@hanson-inc.com"/>
  </r>
  <r>
    <n v="105"/>
    <s v="T8"/>
    <s v="Light Fixture"/>
    <x v="142"/>
    <n v="36"/>
    <n v="2"/>
    <n v="1"/>
    <n v="72"/>
    <n v="394.2"/>
    <n v="42.026978681617976"/>
    <n v="6.4825930372148857E-3"/>
    <n v="1345.0662317790345"/>
    <n v="2.2119525592906222E-2"/>
    <s v="VTU3-20"/>
    <n v="0"/>
    <x v="4"/>
    <s v="Mar 12, 2018 @ 14:30"/>
    <s v="Mar 12, 2018 @ 14:30"/>
    <s v="nboyd@hanson-inc.com"/>
  </r>
  <r>
    <n v="117"/>
    <s v="T8"/>
    <s v="Light Fixture"/>
    <x v="142"/>
    <n v="36"/>
    <n v="2"/>
    <n v="1"/>
    <n v="72"/>
    <n v="394.2"/>
    <n v="42.026978681617976"/>
    <n v="6.4825930372148857E-3"/>
    <n v="1345.0662317790345"/>
    <n v="2.2119525592906222E-2"/>
    <s v="VTU3-20"/>
    <n v="0"/>
    <x v="4"/>
    <s v="Mar 12, 2018 @ 14:31"/>
    <s v="Mar 12, 2018 @ 14:31"/>
    <s v="nboyd@hanson-inc.com"/>
  </r>
  <r>
    <n v="137"/>
    <s v="T8"/>
    <s v="Light Fixture"/>
    <x v="142"/>
    <n v="36"/>
    <n v="2"/>
    <n v="1"/>
    <n v="72"/>
    <n v="394.2"/>
    <n v="42.026978681617976"/>
    <n v="6.4825930372148857E-3"/>
    <n v="1345.0662317790345"/>
    <n v="2.2119525592906222E-2"/>
    <s v="VTU3-20"/>
    <n v="0"/>
    <x v="4"/>
    <s v="Mar 12, 2018 @ 14:35"/>
    <s v="Mar 12, 2018 @ 14:35"/>
    <s v="nboyd@hanson-inc.com"/>
  </r>
  <r>
    <n v="147"/>
    <s v="T8"/>
    <s v="Light Fixture"/>
    <x v="142"/>
    <n v="36"/>
    <n v="2"/>
    <n v="1"/>
    <n v="72"/>
    <n v="394.2"/>
    <n v="42.026978681617976"/>
    <n v="6.4825930372148857E-3"/>
    <n v="1345.0662317790345"/>
    <n v="2.2119525592906222E-2"/>
    <s v="VTU3-20"/>
    <n v="0"/>
    <x v="4"/>
    <s v="Mar 12, 2018 @ 14:36"/>
    <s v="Mar 12, 2018 @ 14:37"/>
    <s v="nboyd@hanson-inc.com"/>
  </r>
  <r>
    <n v="173"/>
    <s v="T8"/>
    <s v="Light Fixture"/>
    <x v="142"/>
    <n v="36"/>
    <n v="2"/>
    <n v="1"/>
    <n v="72"/>
    <n v="394.2"/>
    <n v="42.026978681617976"/>
    <n v="6.4825930372148857E-3"/>
    <n v="1345.0662317790345"/>
    <n v="2.2119525592906222E-2"/>
    <s v="VTU3-20"/>
    <n v="0"/>
    <x v="4"/>
    <s v="Mar 12, 2018 @ 14:42"/>
    <s v="Mar 12, 2018 @ 14:42"/>
    <s v="nboyd@hanson-inc.com"/>
  </r>
  <r>
    <n v="192"/>
    <s v="T8"/>
    <s v="Light Fixture"/>
    <x v="142"/>
    <n v="36"/>
    <n v="2"/>
    <n v="1"/>
    <n v="72"/>
    <n v="394.2"/>
    <n v="42.026978681617976"/>
    <n v="6.4825930372148857E-3"/>
    <n v="1345.0662317790345"/>
    <n v="2.2119525592906222E-2"/>
    <s v="VTU3-20"/>
    <n v="0"/>
    <x v="4"/>
    <s v="Mar 12, 2018 @ 14:46"/>
    <s v="Mar 12, 2018 @ 14:46"/>
    <s v="nboyd@hanson-inc.com"/>
  </r>
  <r>
    <n v="204"/>
    <s v="T8"/>
    <s v="Light Fixture"/>
    <x v="142"/>
    <n v="36"/>
    <n v="2"/>
    <n v="1"/>
    <n v="72"/>
    <n v="394.2"/>
    <n v="42.026978681617976"/>
    <n v="6.4825930372148857E-3"/>
    <n v="1345.0662317790345"/>
    <n v="2.2119525592906222E-2"/>
    <s v="VTU3-20"/>
    <n v="0"/>
    <x v="4"/>
    <s v="Mar 12, 2018 @ 14:48"/>
    <s v="Mar 12, 2018 @ 14:48"/>
    <s v="nboyd@hanson-inc.com"/>
  </r>
  <r>
    <n v="218"/>
    <s v="T8"/>
    <s v="Light Fixture"/>
    <x v="142"/>
    <n v="36"/>
    <n v="2"/>
    <n v="1"/>
    <n v="72"/>
    <n v="394.2"/>
    <n v="42.026978681617976"/>
    <n v="6.4825930372148857E-3"/>
    <n v="1345.0662317790345"/>
    <n v="2.2119525592906222E-2"/>
    <s v="VTU3-20"/>
    <n v="0"/>
    <x v="4"/>
    <s v="Mar 12, 2018 @ 14:50"/>
    <s v="Mar 12, 2018 @ 14:51"/>
    <s v="nboyd@hanson-inc.com"/>
  </r>
  <r>
    <n v="431"/>
    <s v="T8"/>
    <s v="Light Fixture"/>
    <x v="142"/>
    <n v="36"/>
    <n v="2"/>
    <n v="1"/>
    <n v="72"/>
    <n v="394.2"/>
    <n v="42.026978681617976"/>
    <n v="6.4825930372148857E-3"/>
    <n v="1345.0662317790345"/>
    <n v="2.2119525592906222E-2"/>
    <s v="VTU3-20"/>
    <n v="0"/>
    <x v="4"/>
    <s v="Mar 12, 2018 @ 18:43"/>
    <s v="Mar 12, 2018 @ 18:43"/>
    <s v="nboyd@hanson-inc.com"/>
  </r>
  <r>
    <n v="443"/>
    <s v="T8"/>
    <s v="Light Fixture"/>
    <x v="142"/>
    <n v="36"/>
    <n v="2"/>
    <n v="1"/>
    <n v="72"/>
    <n v="394.2"/>
    <n v="42.026978681617976"/>
    <n v="6.4825930372148857E-3"/>
    <n v="1345.0662317790345"/>
    <n v="2.2119525592906222E-2"/>
    <s v="VTU3-20"/>
    <n v="0"/>
    <x v="4"/>
    <s v="Mar 12, 2018 @ 18:54"/>
    <s v="Mar 12, 2018 @ 18:55"/>
    <s v="nboyd@hanson-inc.com"/>
  </r>
  <r>
    <n v="467"/>
    <s v="T8"/>
    <s v="Light Fixture"/>
    <x v="142"/>
    <n v="36"/>
    <n v="2"/>
    <n v="1"/>
    <n v="72"/>
    <n v="394.2"/>
    <n v="42.026978681617976"/>
    <n v="6.4825930372148857E-3"/>
    <n v="1345.0662317790345"/>
    <n v="2.2119525592906222E-2"/>
    <s v="VTU3-20"/>
    <n v="0"/>
    <x v="4"/>
    <s v="Mar 12, 2018 @ 19:00"/>
    <s v="Mar 12, 2018 @ 19:00"/>
    <s v="nboyd@hanson-inc.com"/>
  </r>
  <r>
    <n v="1060"/>
    <s v="RM"/>
    <s v="Room"/>
    <x v="143"/>
    <m/>
    <m/>
    <m/>
    <n v="0"/>
    <n v="0"/>
    <n v="0"/>
    <n v="0"/>
    <n v="0"/>
    <n v="0"/>
    <s v="1st Floor"/>
    <n v="0"/>
    <x v="2"/>
    <s v="Mar 14, 2018 @ 16:23"/>
    <s v="Mar 14, 2018 @ 16:23"/>
    <s v="nboyd@hanson-inc.com"/>
  </r>
  <r>
    <n v="1067"/>
    <s v="RM"/>
    <s v="Room"/>
    <x v="144"/>
    <m/>
    <m/>
    <m/>
    <n v="0"/>
    <n v="0"/>
    <n v="0"/>
    <n v="0"/>
    <n v="0"/>
    <n v="0"/>
    <s v="1st Floor"/>
    <n v="0"/>
    <x v="2"/>
    <s v="Mar 14, 2018 @ 16:24"/>
    <s v="Mar 14, 2018 @ 16:28"/>
    <s v="nboyd@hanson-inc.com"/>
  </r>
  <r>
    <n v="476"/>
    <s v="T8"/>
    <s v="Light Fixture"/>
    <x v="142"/>
    <n v="36"/>
    <n v="2"/>
    <n v="1"/>
    <n v="72"/>
    <n v="394.2"/>
    <n v="42.026978681617976"/>
    <n v="6.4825930372148857E-3"/>
    <n v="1345.0662317790345"/>
    <n v="2.2119525592906222E-2"/>
    <s v="VTU3-20"/>
    <n v="0"/>
    <x v="4"/>
    <s v="Mar 12, 2018 @ 19:02"/>
    <s v="Mar 12, 2018 @ 19:02"/>
    <s v="nboyd@hanson-inc.com"/>
  </r>
  <r>
    <n v="498"/>
    <s v="T8"/>
    <s v="Light Fixture"/>
    <x v="142"/>
    <n v="36"/>
    <n v="2"/>
    <n v="1"/>
    <n v="72"/>
    <n v="394.2"/>
    <n v="42.026978681617976"/>
    <n v="6.4825930372148857E-3"/>
    <n v="1345.0662317790345"/>
    <n v="2.2119525592906222E-2"/>
    <s v="VTU3-20"/>
    <n v="0"/>
    <x v="4"/>
    <s v="Mar 12, 2018 @ 19:05"/>
    <s v="Mar 12, 2018 @ 19:05"/>
    <s v="nboyd@hanson-inc.com"/>
  </r>
  <r>
    <n v="523"/>
    <s v="T8"/>
    <s v="Light Fixture"/>
    <x v="142"/>
    <n v="36"/>
    <n v="2"/>
    <n v="1"/>
    <n v="72"/>
    <n v="394.2"/>
    <n v="42.026978681617976"/>
    <n v="6.4825930372148857E-3"/>
    <n v="1345.0662317790345"/>
    <n v="2.2119525592906222E-2"/>
    <s v="VTU3-20"/>
    <n v="0"/>
    <x v="4"/>
    <s v="Mar 12, 2018 @ 19:08"/>
    <s v="Mar 12, 2018 @ 19:08"/>
    <s v="nboyd@hanson-inc.com"/>
  </r>
  <r>
    <n v="545"/>
    <s v="T8"/>
    <s v="Light Fixture"/>
    <x v="142"/>
    <n v="36"/>
    <n v="2"/>
    <n v="1"/>
    <n v="72"/>
    <n v="394.2"/>
    <n v="42.026978681617976"/>
    <n v="6.4825930372148857E-3"/>
    <n v="1345.0662317790345"/>
    <n v="2.2119525592906222E-2"/>
    <s v="VTU3-20"/>
    <n v="0"/>
    <x v="4"/>
    <s v="Mar 12, 2018 @ 19:09"/>
    <s v="Mar 12, 2018 @ 19:09"/>
    <s v="nboyd@hanson-inc.com"/>
  </r>
  <r>
    <n v="564"/>
    <s v="T8"/>
    <s v="Light Fixture"/>
    <x v="142"/>
    <n v="36"/>
    <n v="2"/>
    <n v="1"/>
    <n v="72"/>
    <n v="394.2"/>
    <n v="42.026978681617976"/>
    <n v="6.4825930372148857E-3"/>
    <n v="1345.0662317790345"/>
    <n v="2.2119525592906222E-2"/>
    <s v="VTU3-20"/>
    <n v="0"/>
    <x v="4"/>
    <s v="Mar 12, 2018 @ 19:13"/>
    <s v="Mar 12, 2018 @ 19:13"/>
    <s v="nboyd@hanson-inc.com"/>
  </r>
  <r>
    <n v="612"/>
    <s v="T8"/>
    <s v="Light Fixture"/>
    <x v="142"/>
    <n v="36"/>
    <n v="2"/>
    <n v="1"/>
    <n v="72"/>
    <n v="394.2"/>
    <n v="42.026978681617976"/>
    <n v="6.4825930372148857E-3"/>
    <n v="1345.0662317790345"/>
    <n v="2.2119525592906222E-2"/>
    <s v="VTU3-20"/>
    <n v="0"/>
    <x v="4"/>
    <s v="Mar 12, 2018 @ 19:17"/>
    <s v="Mar 12, 2018 @ 19:18"/>
    <s v="nboyd@hanson-inc.com"/>
  </r>
  <r>
    <n v="162"/>
    <s v="T8"/>
    <s v="Light Fixture"/>
    <x v="145"/>
    <n v="36"/>
    <n v="2"/>
    <n v="1"/>
    <n v="72"/>
    <n v="394.2"/>
    <n v="42.026978681617976"/>
    <n v="6.4825930372148857E-3"/>
    <n v="1345.0662317790345"/>
    <n v="2.2119525592906222E-2"/>
    <s v="VTU3-20"/>
    <n v="0"/>
    <x v="4"/>
    <s v="Mar 12, 2018 @ 14:39"/>
    <s v="Mar 12, 2018 @ 14:39"/>
    <s v="nboyd@hanson-inc.com"/>
  </r>
  <r>
    <n v="16"/>
    <s v="LF"/>
    <s v="Lighting Fixture"/>
    <x v="146"/>
    <n v="24"/>
    <n v="2"/>
    <n v="1"/>
    <n v="48"/>
    <n v="262.8"/>
    <n v="28.017985787745317"/>
    <n v="4.3217286914765908E-3"/>
    <n v="896.71082118602305"/>
    <n v="1.4746350395270816E-2"/>
    <s v="M401"/>
    <n v="0"/>
    <x v="4"/>
    <s v="Mar 12, 2018 @ 13:55"/>
    <s v="Mar 12, 2018 @ 13:56"/>
    <s v="nboyd@hanson-inc.com"/>
  </r>
  <r>
    <n v="946"/>
    <s v="LF"/>
    <s v="Lighting Fixture"/>
    <x v="147"/>
    <n v="25"/>
    <n v="2"/>
    <n v="1"/>
    <n v="50"/>
    <n v="273.75"/>
    <n v="29.185401862234706"/>
    <n v="4.501800720288115E-3"/>
    <n v="934.07377206877402"/>
    <n v="1.5360781661740434E-2"/>
    <s v="1st Floor"/>
    <n v="0"/>
    <x v="4"/>
    <s v="Mar 14, 2018 @ 15:51"/>
    <s v="Mar 14, 2018 @ 15:51"/>
    <s v="nboyd@hanson-inc.com"/>
  </r>
  <r>
    <n v="725"/>
    <s v="T8"/>
    <s v="Light Fixture"/>
    <x v="148"/>
    <n v="24"/>
    <n v="2"/>
    <n v="1"/>
    <n v="48"/>
    <n v="262.8"/>
    <n v="28.017985787745317"/>
    <n v="4.3217286914765908E-3"/>
    <n v="896.71082118602305"/>
    <n v="1.4746350395270816E-2"/>
    <s v="2nd Floor"/>
    <n v="0"/>
    <x v="4"/>
    <s v="Mar 14, 2018 @ 13:47"/>
    <s v="Mar 14, 2018 @ 13:47"/>
    <s v="nboyd@hanson-inc.com"/>
  </r>
  <r>
    <n v="17"/>
    <s v="T8"/>
    <s v="Light Fixture"/>
    <x v="149"/>
    <n v="36"/>
    <n v="2"/>
    <n v="1"/>
    <n v="72"/>
    <n v="394.2"/>
    <n v="42.026978681617976"/>
    <n v="6.4825930372148857E-3"/>
    <n v="1345.0662317790345"/>
    <n v="2.2119525592906222E-2"/>
    <s v="VTU3-20"/>
    <n v="0"/>
    <x v="4"/>
    <s v="Mar 12, 2018 @ 14:09"/>
    <s v="Mar 12, 2018 @ 14:03"/>
    <s v="mcoalson@hanson-inc.com"/>
  </r>
  <r>
    <n v="1054"/>
    <s v="MS"/>
    <s v="Miscellaneous"/>
    <x v="150"/>
    <n v="250"/>
    <n v="2"/>
    <n v="0.75"/>
    <n v="500"/>
    <n v="2053.125"/>
    <n v="218.8905139667603"/>
    <n v="3.3763505402160866E-2"/>
    <n v="7005.5532905158052"/>
    <n v="0.11520586246305325"/>
    <s v="1st Floor"/>
    <n v="3"/>
    <x v="3"/>
    <s v="Mar 14, 2018 @ 16:20"/>
    <s v="Mar 14, 2018 @ 16:21"/>
    <s v="mcoalson@hanson-inc.com"/>
  </r>
  <r>
    <n v="1001"/>
    <s v="M"/>
    <s v="Monitor"/>
    <x v="151"/>
    <n v="21"/>
    <n v="2"/>
    <n v="1"/>
    <n v="42"/>
    <n v="229.95"/>
    <n v="24.515737564277149"/>
    <n v="3.7815126050420168E-3"/>
    <n v="784.62196853777016"/>
    <n v="1.2903056595861963E-2"/>
    <s v="1st Floor"/>
    <n v="0"/>
    <x v="3"/>
    <s v="Mar 14, 2018 @ 16:07"/>
    <s v="Mar 14, 2018 @ 16:00"/>
    <s v="mcoalson@hanson-inc.com"/>
  </r>
  <r>
    <n v="1015"/>
    <s v="M"/>
    <s v="Monitor"/>
    <x v="20"/>
    <n v="21"/>
    <n v="2"/>
    <n v="1"/>
    <n v="42"/>
    <n v="229.95"/>
    <n v="24.515737564277149"/>
    <n v="3.7815126050420168E-3"/>
    <n v="784.62196853777016"/>
    <n v="1.2903056595861963E-2"/>
    <s v="1st Floor"/>
    <n v="0"/>
    <x v="3"/>
    <s v="Mar 14, 2018 @ 16:10"/>
    <s v="Mar 14, 2018 @ 16:03"/>
    <s v="mcoalson@hanson-inc.com"/>
  </r>
  <r>
    <n v="1035"/>
    <s v="M"/>
    <s v="Monitor"/>
    <x v="20"/>
    <n v="21"/>
    <n v="2"/>
    <n v="1"/>
    <n v="42"/>
    <n v="229.95"/>
    <n v="24.515737564277149"/>
    <n v="3.7815126050420168E-3"/>
    <n v="784.62196853777016"/>
    <n v="1.2903056595861963E-2"/>
    <s v="1st Floor"/>
    <n v="0"/>
    <x v="3"/>
    <s v="Mar 14, 2018 @ 16:12"/>
    <s v="Mar 14, 2018 @ 16:06"/>
    <s v="mcoalson@hanson-inc.com"/>
  </r>
  <r>
    <n v="973"/>
    <s v="TV"/>
    <s v="Television"/>
    <x v="20"/>
    <n v="175"/>
    <n v="2"/>
    <n v="0.25"/>
    <n v="350"/>
    <n v="479.0625"/>
    <n v="51.074453258910729"/>
    <n v="7.8781512605042014E-3"/>
    <n v="1634.6291011203546"/>
    <n v="2.688136790804576E-2"/>
    <s v="1st Floor"/>
    <n v="2"/>
    <x v="3"/>
    <s v="Mar 14, 2018 @ 16:01"/>
    <s v="Mar 14, 2018 @ 16:00"/>
    <s v="mcoalson@hanson-inc.com"/>
  </r>
  <r>
    <n v="1052"/>
    <s v="MS"/>
    <s v="Miscellaneous"/>
    <x v="152"/>
    <n v="1000"/>
    <n v="3"/>
    <n v="0.75"/>
    <n v="3000"/>
    <n v="12318.75"/>
    <n v="1313.3430838005618"/>
    <n v="0.20258103241296518"/>
    <n v="42033.319743094835"/>
    <n v="0.69123517477831953"/>
    <s v="1st Floor"/>
    <n v="4"/>
    <x v="3"/>
    <s v="Mar 14, 2018 @ 16:18"/>
    <s v="Mar 14, 2018 @ 16:20"/>
    <s v="mcoalson@hanson-inc.com"/>
  </r>
  <r>
    <n v="699"/>
    <s v="T8"/>
    <s v="Light Fixture"/>
    <x v="153"/>
    <n v="36"/>
    <n v="3"/>
    <n v="1"/>
    <n v="108"/>
    <n v="591.29999999999995"/>
    <n v="63.040468022426957"/>
    <n v="9.7238895558223286E-3"/>
    <n v="2017.5993476685519"/>
    <n v="3.3179288389359338E-2"/>
    <s v="2nd Floor"/>
    <n v="0"/>
    <x v="4"/>
    <s v="Mar 14, 2018 @ 13:35"/>
    <s v="Mar 14, 2018 @ 13:29"/>
    <s v="mcoalson@hanson-inc.com"/>
  </r>
  <r>
    <n v="727"/>
    <s v="T8"/>
    <s v="Light Fixture"/>
    <x v="153"/>
    <n v="36"/>
    <n v="3"/>
    <n v="1"/>
    <n v="108"/>
    <n v="591.29999999999995"/>
    <n v="63.040468022426957"/>
    <n v="9.7238895558223286E-3"/>
    <n v="2017.5993476685519"/>
    <n v="3.3179288389359338E-2"/>
    <s v="2nd Floor"/>
    <n v="0"/>
    <x v="4"/>
    <s v="Mar 14, 2018 @ 13:48"/>
    <s v="Mar 14, 2018 @ 13:49"/>
    <s v="mcoalson@hanson-inc.com"/>
  </r>
  <r>
    <n v="926"/>
    <s v="VF"/>
    <s v="VFD"/>
    <x v="2"/>
    <m/>
    <m/>
    <m/>
    <n v="0"/>
    <n v="0"/>
    <n v="0"/>
    <n v="0"/>
    <n v="0"/>
    <n v="0"/>
    <s v="1st Floor"/>
    <n v="2"/>
    <x v="2"/>
    <s v="Mar 14, 2018 @ 15:32"/>
    <s v="Mar 14, 2018 @ 15:32"/>
    <s v="nboyd@hanson-inc.com"/>
  </r>
  <r>
    <n v="652"/>
    <s v="VF"/>
    <s v="VFD"/>
    <x v="2"/>
    <m/>
    <m/>
    <m/>
    <n v="0"/>
    <n v="0"/>
    <n v="0"/>
    <n v="0"/>
    <n v="0"/>
    <n v="0"/>
    <s v="2nd Floor"/>
    <n v="1"/>
    <x v="2"/>
    <s v="Mar 14, 2018 @ 13:09"/>
    <s v="Mar 14, 2018 @ 13:10"/>
    <s v="nboyd@hanson-inc.com"/>
  </r>
  <r>
    <n v="12"/>
    <s v="VF"/>
    <s v="VFD"/>
    <x v="154"/>
    <m/>
    <m/>
    <m/>
    <n v="0"/>
    <n v="0"/>
    <n v="0"/>
    <n v="0"/>
    <n v="0"/>
    <n v="0"/>
    <s v="M401"/>
    <n v="2"/>
    <x v="2"/>
    <s v="Mar 12, 2018 @ 13:47"/>
    <s v="Mar 12, 2018 @ 13:47"/>
    <s v="nboyd@hanson-inc.com"/>
  </r>
  <r>
    <n v="57"/>
    <s v="T8"/>
    <s v="Light Fixture"/>
    <x v="153"/>
    <n v="36"/>
    <n v="3"/>
    <n v="1"/>
    <n v="108"/>
    <n v="591.29999999999995"/>
    <n v="63.040468022426957"/>
    <n v="9.7238895558223286E-3"/>
    <n v="2017.5993476685519"/>
    <n v="3.3179288389359338E-2"/>
    <s v="VTU3-20"/>
    <n v="0"/>
    <x v="4"/>
    <s v="Mar 12, 2018 @ 14:19"/>
    <s v="Mar 12, 2018 @ 14:13"/>
    <s v="mcoalson@hanson-inc.com"/>
  </r>
  <r>
    <n v="289"/>
    <s v="T8"/>
    <s v="Light Fixture"/>
    <x v="153"/>
    <n v="36"/>
    <n v="3"/>
    <n v="1"/>
    <n v="108"/>
    <n v="591.29999999999995"/>
    <n v="63.040468022426957"/>
    <n v="9.7238895558223286E-3"/>
    <n v="2017.5993476685519"/>
    <n v="3.3179288389359338E-2"/>
    <s v="VTU3-20"/>
    <n v="0"/>
    <x v="4"/>
    <s v="Mar 12, 2018 @ 15:26"/>
    <s v="Mar 12, 2018 @ 18:28"/>
    <s v="mcoalson@hanson-inc.com"/>
  </r>
  <r>
    <n v="300"/>
    <s v="T8"/>
    <s v="Light Fixture"/>
    <x v="153"/>
    <n v="36"/>
    <n v="3"/>
    <n v="1"/>
    <n v="108"/>
    <n v="591.29999999999995"/>
    <n v="63.040468022426957"/>
    <n v="9.7238895558223286E-3"/>
    <n v="2017.5993476685519"/>
    <n v="3.3179288389359338E-2"/>
    <s v="VTU3-20"/>
    <n v="0"/>
    <x v="4"/>
    <s v="Mar 12, 2018 @ 15:31"/>
    <s v="Mar 12, 2018 @ 18:28"/>
    <s v="mcoalson@hanson-inc.com"/>
  </r>
  <r>
    <n v="965"/>
    <s v="T8"/>
    <s v="Light Fixture"/>
    <x v="155"/>
    <n v="36"/>
    <n v="3"/>
    <n v="1"/>
    <n v="108"/>
    <n v="591.29999999999995"/>
    <n v="63.040468022426957"/>
    <n v="9.7238895558223286E-3"/>
    <n v="2017.5993476685519"/>
    <n v="3.3179288389359338E-2"/>
    <s v="1st Floor"/>
    <n v="0"/>
    <x v="4"/>
    <s v="Mar 14, 2018 @ 15:53"/>
    <s v="Mar 14, 2018 @ 15:53"/>
    <s v="mcoalson@hanson-inc.com"/>
  </r>
  <r>
    <n v="452"/>
    <s v="T8"/>
    <s v="Light Fixture"/>
    <x v="155"/>
    <n v="36"/>
    <n v="3"/>
    <n v="1"/>
    <n v="108"/>
    <n v="591.29999999999995"/>
    <n v="63.040468022426957"/>
    <n v="9.7238895558223286E-3"/>
    <n v="2017.5993476685519"/>
    <n v="3.3179288389359338E-2"/>
    <s v="VTU3-20"/>
    <n v="0"/>
    <x v="4"/>
    <s v="Mar 12, 2018 @ 19:02"/>
    <s v="Mar 12, 2018 @ 18:56"/>
    <s v="mcoalson@hanson-inc.com"/>
  </r>
  <r>
    <n v="691"/>
    <s v="T8"/>
    <s v="Light Fixture"/>
    <x v="156"/>
    <n v="36"/>
    <n v="3"/>
    <n v="1"/>
    <n v="108"/>
    <n v="591.29999999999995"/>
    <n v="63.040468022426957"/>
    <n v="9.7238895558223286E-3"/>
    <n v="2017.5993476685519"/>
    <n v="3.3179288389359338E-2"/>
    <s v="2nd Floor"/>
    <n v="0"/>
    <x v="4"/>
    <s v="Mar 14, 2018 @ 13:27"/>
    <s v="Mar 14, 2018 @ 13:27"/>
    <s v="nboyd@hanson-inc.com"/>
  </r>
  <r>
    <n v="260"/>
    <s v="T8"/>
    <s v="Light Fixture"/>
    <x v="156"/>
    <n v="36"/>
    <n v="3"/>
    <n v="1"/>
    <n v="108"/>
    <n v="591.29999999999995"/>
    <n v="63.040468022426957"/>
    <n v="9.7238895558223286E-3"/>
    <n v="2017.5993476685519"/>
    <n v="3.3179288389359338E-2"/>
    <s v="VTU3-20"/>
    <n v="0"/>
    <x v="4"/>
    <s v="Mar 12, 2018 @ 15:10"/>
    <s v="Mar 12, 2018 @ 15:11"/>
    <s v="nboyd@hanson-inc.com"/>
  </r>
  <r>
    <n v="266"/>
    <s v="T8"/>
    <s v="Light Fixture"/>
    <x v="156"/>
    <n v="36"/>
    <n v="3"/>
    <n v="1"/>
    <n v="108"/>
    <n v="591.29999999999995"/>
    <n v="63.040468022426957"/>
    <n v="9.7238895558223286E-3"/>
    <n v="2017.5993476685519"/>
    <n v="3.3179288389359338E-2"/>
    <s v="VTU3-20"/>
    <n v="0"/>
    <x v="4"/>
    <s v="Mar 12, 2018 @ 15:13"/>
    <s v="Mar 12, 2018 @ 15:13"/>
    <s v="nboyd@hanson-inc.com"/>
  </r>
  <r>
    <n v="887"/>
    <s v="T8"/>
    <s v="Light Fixture"/>
    <x v="157"/>
    <n v="36"/>
    <n v="3"/>
    <n v="1.6"/>
    <n v="108"/>
    <n v="946.08000000000015"/>
    <n v="100.86474883588315"/>
    <n v="1.5558223289315729E-2"/>
    <n v="3228.1589562696836"/>
    <n v="5.3086861422974946E-2"/>
    <s v="1st Floor"/>
    <n v="0"/>
    <x v="4"/>
    <s v="Mar 14, 2018 @ 15:09"/>
    <s v="Mar 14, 2018 @ 15:10"/>
    <s v="nboyd@hanson-inc.com"/>
  </r>
  <r>
    <n v="651"/>
    <s v="T8"/>
    <s v="Light Fixture"/>
    <x v="158"/>
    <n v="24"/>
    <n v="4"/>
    <n v="1"/>
    <n v="96"/>
    <n v="525.6"/>
    <n v="56.035971575490635"/>
    <n v="8.6434573829531815E-3"/>
    <n v="1793.4216423720461"/>
    <n v="2.9492700790541632E-2"/>
    <s v="2nd Floor"/>
    <n v="0"/>
    <x v="4"/>
    <s v="Mar 14, 2018 @ 13:10"/>
    <s v="Mar 14, 2018 @ 13:06"/>
    <s v="mcoalson@hanson-inc.com"/>
  </r>
  <r>
    <n v="825"/>
    <s v="LF"/>
    <s v="Lighting Fixture"/>
    <x v="159"/>
    <n v="150"/>
    <n v="4"/>
    <n v="1"/>
    <n v="600"/>
    <n v="3285"/>
    <n v="350.22482234681644"/>
    <n v="5.4021608643457383E-2"/>
    <n v="11208.885264825289"/>
    <n v="0.18432937994088522"/>
    <s v="2nd Floor"/>
    <n v="1"/>
    <x v="4"/>
    <s v="Mar 14, 2018 @ 14:49"/>
    <s v="Mar 14, 2018 @ 14:50"/>
    <s v="nboyd@hanson-inc.com"/>
  </r>
  <r>
    <n v="961"/>
    <s v="T8"/>
    <s v="Light Fixture"/>
    <x v="160"/>
    <n v="36"/>
    <n v="4"/>
    <n v="1"/>
    <n v="144"/>
    <n v="788.4"/>
    <n v="84.053957363235952"/>
    <n v="1.2965186074429771E-2"/>
    <n v="2690.132463558069"/>
    <n v="4.4239051185812443E-2"/>
    <s v="1st Floor"/>
    <n v="0"/>
    <x v="4"/>
    <s v="Mar 14, 2018 @ 15:53"/>
    <s v="Mar 14, 2018 @ 15:53"/>
    <s v="mcoalson@hanson-inc.com"/>
  </r>
  <r>
    <n v="974"/>
    <s v="T8"/>
    <s v="Light Fixture"/>
    <x v="160"/>
    <n v="36"/>
    <n v="4"/>
    <n v="1"/>
    <n v="144"/>
    <n v="788.4"/>
    <n v="84.053957363235952"/>
    <n v="1.2965186074429771E-2"/>
    <n v="2690.132463558069"/>
    <n v="4.4239051185812443E-2"/>
    <s v="1st Floor"/>
    <n v="0"/>
    <x v="4"/>
    <s v="Mar 14, 2018 @ 15:55"/>
    <s v="Mar 14, 2018 @ 15:55"/>
    <s v="mcoalson@hanson-inc.com"/>
  </r>
  <r>
    <n v="656"/>
    <s v="T8"/>
    <s v="Light Fixture"/>
    <x v="160"/>
    <n v="36"/>
    <n v="4"/>
    <n v="1"/>
    <n v="144"/>
    <n v="788.4"/>
    <n v="84.053957363235952"/>
    <n v="1.2965186074429771E-2"/>
    <n v="2690.132463558069"/>
    <n v="4.4239051185812443E-2"/>
    <s v="2nd Floor"/>
    <n v="0"/>
    <x v="4"/>
    <s v="Mar 14, 2018 @ 13:25"/>
    <s v="Mar 14, 2018 @ 13:20"/>
    <s v="mcoalson@hanson-inc.com"/>
  </r>
  <r>
    <n v="673"/>
    <s v="T8"/>
    <s v="Light Fixture"/>
    <x v="160"/>
    <n v="36"/>
    <n v="4"/>
    <n v="1"/>
    <n v="144"/>
    <n v="788.4"/>
    <n v="84.053957363235952"/>
    <n v="1.2965186074429771E-2"/>
    <n v="2690.132463558069"/>
    <n v="4.4239051185812443E-2"/>
    <s v="2nd Floor"/>
    <n v="0"/>
    <x v="4"/>
    <s v="Mar 14, 2018 @ 13:30"/>
    <s v="Mar 14, 2018 @ 13:25"/>
    <s v="mcoalson@hanson-inc.com"/>
  </r>
  <r>
    <n v="686"/>
    <s v="T8"/>
    <s v="Light Fixture"/>
    <x v="160"/>
    <n v="36"/>
    <n v="4"/>
    <n v="1"/>
    <n v="144"/>
    <n v="788.4"/>
    <n v="84.053957363235952"/>
    <n v="1.2965186074429771E-2"/>
    <n v="2690.132463558069"/>
    <n v="4.4239051185812443E-2"/>
    <s v="2nd Floor"/>
    <n v="0"/>
    <x v="4"/>
    <s v="Mar 14, 2018 @ 13:32"/>
    <s v="Mar 14, 2018 @ 13:27"/>
    <s v="mcoalson@hanson-inc.com"/>
  </r>
  <r>
    <n v="245"/>
    <s v="T8"/>
    <s v="Light Fixture"/>
    <x v="160"/>
    <n v="36"/>
    <n v="4"/>
    <n v="1"/>
    <n v="144"/>
    <n v="788.4"/>
    <n v="84.053957363235952"/>
    <n v="1.2965186074429771E-2"/>
    <n v="2690.132463558069"/>
    <n v="4.4239051185812443E-2"/>
    <s v="VTU3-20"/>
    <n v="0"/>
    <x v="4"/>
    <s v="Mar 12, 2018 @ 15:09"/>
    <s v="Mar 12, 2018 @ 15:03"/>
    <s v="mcoalson@hanson-inc.com"/>
  </r>
  <r>
    <n v="370"/>
    <s v="T8"/>
    <s v="Light Fixture"/>
    <x v="160"/>
    <n v="36"/>
    <n v="4"/>
    <n v="1"/>
    <n v="144"/>
    <n v="788.4"/>
    <n v="84.053957363235952"/>
    <n v="1.2965186074429771E-2"/>
    <n v="2690.132463558069"/>
    <n v="4.4239051185812443E-2"/>
    <s v="VTU3-20"/>
    <n v="0"/>
    <x v="4"/>
    <s v="Mar 12, 2018 @ 15:56"/>
    <s v="Mar 12, 2018 @ 18:31"/>
    <s v="mcoalson@hanson-inc.com"/>
  </r>
  <r>
    <n v="912"/>
    <s v="T8"/>
    <s v="Light Fixture"/>
    <x v="161"/>
    <n v="36"/>
    <n v="4"/>
    <n v="1"/>
    <n v="144"/>
    <n v="788.4"/>
    <n v="84.053957363235952"/>
    <n v="1.2965186074429771E-2"/>
    <n v="2690.132463558069"/>
    <n v="4.4239051185812443E-2"/>
    <s v="1st Floor"/>
    <n v="0"/>
    <x v="4"/>
    <s v="Mar 14, 2018 @ 15:19"/>
    <s v="Mar 14, 2018 @ 15:19"/>
    <s v="nboyd@hanson-inc.com"/>
  </r>
  <r>
    <n v="1007"/>
    <s v="T8"/>
    <s v="Light Fixture"/>
    <x v="161"/>
    <n v="36"/>
    <n v="4"/>
    <n v="1"/>
    <n v="144"/>
    <n v="788.4"/>
    <n v="84.053957363235952"/>
    <n v="1.2965186074429771E-2"/>
    <n v="2690.132463558069"/>
    <n v="4.4239051185812443E-2"/>
    <s v="1st Floor"/>
    <n v="0"/>
    <x v="4"/>
    <s v="Mar 14, 2018 @ 16:02"/>
    <s v="Mar 14, 2018 @ 16:02"/>
    <s v="nboyd@hanson-inc.com"/>
  </r>
  <r>
    <n v="397"/>
    <s v="T8"/>
    <s v="Light Fixture"/>
    <x v="161"/>
    <n v="36"/>
    <n v="4"/>
    <n v="1"/>
    <n v="144"/>
    <n v="788.4"/>
    <n v="84.053957363235952"/>
    <n v="1.2965186074429771E-2"/>
    <n v="2690.132463558069"/>
    <n v="4.4239051185812443E-2"/>
    <s v="VTU3-20"/>
    <n v="0"/>
    <x v="4"/>
    <s v="Mar 12, 2018 @ 18:36"/>
    <s v="Mar 12, 2018 @ 18:36"/>
    <s v="nboyd@hanson-inc.com"/>
  </r>
  <r>
    <n v="434"/>
    <s v="T8"/>
    <s v="Light Fixture"/>
    <x v="162"/>
    <n v="36"/>
    <n v="4"/>
    <n v="1"/>
    <n v="144"/>
    <n v="788.4"/>
    <n v="84.053957363235952"/>
    <n v="1.2965186074429771E-2"/>
    <n v="2690.132463558069"/>
    <n v="4.4239051185812443E-2"/>
    <s v="VTU3-20"/>
    <n v="0"/>
    <x v="4"/>
    <s v="Mar 12, 2018 @ 18:45"/>
    <s v="Mar 12, 2018 @ 18:47"/>
    <s v="nboyd@hanson-inc.com"/>
  </r>
  <r>
    <n v="877"/>
    <s v="T8"/>
    <s v="Light Fixture"/>
    <x v="163"/>
    <n v="36"/>
    <n v="4"/>
    <n v="1"/>
    <n v="144"/>
    <n v="788.4"/>
    <n v="84.053957363235952"/>
    <n v="1.2965186074429771E-2"/>
    <n v="2690.132463558069"/>
    <n v="4.4239051185812443E-2"/>
    <s v="2nd Floor"/>
    <n v="0"/>
    <x v="4"/>
    <s v="Mar 14, 2018 @ 14:59"/>
    <s v="Mar 14, 2018 @ 15:02"/>
    <s v="nboyd@hanson-inc.com"/>
  </r>
  <r>
    <n v="243"/>
    <s v="T8"/>
    <s v="Light Fixture"/>
    <x v="164"/>
    <n v="12"/>
    <n v="4"/>
    <n v="1"/>
    <n v="48"/>
    <n v="262.8"/>
    <n v="28.017985787745317"/>
    <n v="4.3217286914765908E-3"/>
    <n v="896.71082118602305"/>
    <n v="1.4746350395270816E-2"/>
    <s v="VTU3-20"/>
    <n v="0"/>
    <x v="4"/>
    <s v="Mar 12, 2018 @ 15:01"/>
    <s v="Mar 12, 2018 @ 15:01"/>
    <s v="nboyd@hanson-inc.com"/>
  </r>
  <r>
    <n v="824"/>
    <s v="LF"/>
    <s v="Lighting Fixture"/>
    <x v="165"/>
    <n v="36"/>
    <n v="4"/>
    <n v="1"/>
    <n v="144"/>
    <n v="788.4"/>
    <n v="84.053957363235952"/>
    <n v="1.2965186074429771E-2"/>
    <n v="2690.132463558069"/>
    <n v="4.4239051185812443E-2"/>
    <s v="2nd Floor"/>
    <n v="0"/>
    <x v="4"/>
    <s v="Mar 14, 2018 @ 14:55"/>
    <s v="Mar 14, 2018 @ 14:49"/>
    <s v="mcoalson@hanson-inc.com"/>
  </r>
  <r>
    <n v="930"/>
    <s v="T8"/>
    <s v="Light Fixture"/>
    <x v="166"/>
    <n v="24"/>
    <n v="5"/>
    <n v="1"/>
    <n v="120"/>
    <n v="657"/>
    <n v="70.044964469363293"/>
    <n v="1.0804321728691477E-2"/>
    <n v="2241.7770529650575"/>
    <n v="3.686587598817704E-2"/>
    <s v="1st Floor"/>
    <n v="0"/>
    <x v="4"/>
    <s v="Mar 14, 2018 @ 15:44"/>
    <s v="Mar 14, 2018 @ 15:38"/>
    <s v="mcoalson@hanson-inc.com"/>
  </r>
  <r>
    <n v="1053"/>
    <s v="T8"/>
    <s v="Light Fixture"/>
    <x v="167"/>
    <n v="36"/>
    <n v="5"/>
    <n v="1"/>
    <n v="180"/>
    <n v="985.5"/>
    <n v="105.06744670404494"/>
    <n v="1.6206482593037214E-2"/>
    <n v="3362.6655794475864"/>
    <n v="5.5298813982265563E-2"/>
    <s v="1st Floor"/>
    <n v="0"/>
    <x v="4"/>
    <s v="Mar 14, 2018 @ 16:25"/>
    <s v="Mar 14, 2018 @ 16:22"/>
    <s v="mcoalson@hanson-inc.com"/>
  </r>
  <r>
    <n v="310"/>
    <s v="T8"/>
    <s v="Light Fixture"/>
    <x v="168"/>
    <n v="36"/>
    <n v="5"/>
    <n v="1"/>
    <n v="180"/>
    <n v="985.5"/>
    <n v="105.06744670404494"/>
    <n v="1.6206482593037214E-2"/>
    <n v="3362.6655794475864"/>
    <n v="5.5298813982265563E-2"/>
    <s v="VTU3-20"/>
    <n v="0"/>
    <x v="4"/>
    <s v="Mar 12, 2018 @ 15:34"/>
    <s v="Mar 12, 2018 @ 18:29"/>
    <s v="mcoalson@hanson-inc.com"/>
  </r>
  <r>
    <n v="446"/>
    <s v="T8"/>
    <s v="Light Fixture"/>
    <x v="169"/>
    <n v="36"/>
    <n v="5"/>
    <n v="1"/>
    <n v="180"/>
    <n v="985.5"/>
    <n v="105.06744670404494"/>
    <n v="1.6206482593037214E-2"/>
    <n v="3362.6655794475864"/>
    <n v="5.5298813982265563E-2"/>
    <s v="VTU3-20"/>
    <n v="0"/>
    <x v="4"/>
    <s v="Mar 12, 2018 @ 19:02"/>
    <s v="Mar 12, 2018 @ 18:55"/>
    <s v="mcoalson@hanson-inc.com"/>
  </r>
  <r>
    <n v="6"/>
    <s v="T8"/>
    <s v="Light Fixture"/>
    <x v="170"/>
    <n v="9"/>
    <n v="5"/>
    <n v="1"/>
    <n v="45"/>
    <n v="246.375"/>
    <n v="26.266861676011235"/>
    <n v="4.0516206482593036E-3"/>
    <n v="840.66639486189661"/>
    <n v="1.3824703495566391E-2"/>
    <s v="M401"/>
    <n v="0"/>
    <x v="4"/>
    <s v="Mar 12, 2018 @ 13:35"/>
    <s v="Mar 12, 2018 @ 13:57"/>
    <s v="nboyd@hanson-inc.com"/>
  </r>
  <r>
    <n v="441"/>
    <s v="T8"/>
    <s v="Light Fixture"/>
    <x v="169"/>
    <n v="36"/>
    <n v="5"/>
    <n v="1"/>
    <n v="180"/>
    <n v="985.5"/>
    <n v="105.06744670404494"/>
    <n v="1.6206482593037214E-2"/>
    <n v="3362.6655794475864"/>
    <n v="5.5298813982265563E-2"/>
    <s v="VTU3-20"/>
    <n v="0"/>
    <x v="4"/>
    <s v="Mar 12, 2018 @ 19:00"/>
    <s v="Mar 12, 2018 @ 18:54"/>
    <s v="mcoalson@hanson-inc.com"/>
  </r>
  <r>
    <n v="960"/>
    <s v="DT"/>
    <s v="Desktop"/>
    <x v="171"/>
    <n v="50"/>
    <n v="6"/>
    <n v="0.9"/>
    <n v="300"/>
    <n v="1478.25"/>
    <n v="157.60117005606742"/>
    <n v="2.4309723889555823E-2"/>
    <n v="5043.9983691713796"/>
    <n v="8.2948220973398337E-2"/>
    <s v="1st Floor"/>
    <n v="0"/>
    <x v="3"/>
    <s v="Mar 14, 2018 @ 15:59"/>
    <s v="Mar 14, 2018 @ 16:00"/>
    <s v="mcoalson@hanson-inc.com"/>
  </r>
  <r>
    <n v="435"/>
    <s v="T8"/>
    <s v="Light Fixture"/>
    <x v="172"/>
    <n v="36"/>
    <n v="6"/>
    <n v="1"/>
    <n v="216"/>
    <n v="1182.5999999999999"/>
    <n v="126.08093604485391"/>
    <n v="1.9447779111644657E-2"/>
    <n v="4035.1986953371038"/>
    <n v="6.6358576778718675E-2"/>
    <s v="VTU3-20"/>
    <n v="0"/>
    <x v="4"/>
    <s v="Mar 12, 2018 @ 18:46"/>
    <s v="Mar 12, 2018 @ 18:47"/>
    <s v="nboyd@hanson-inc.com"/>
  </r>
  <r>
    <n v="907"/>
    <s v="T8"/>
    <s v="Light Fixture"/>
    <x v="173"/>
    <n v="36"/>
    <n v="6"/>
    <n v="1"/>
    <n v="216"/>
    <n v="1182.5999999999999"/>
    <n v="126.08093604485391"/>
    <n v="1.9447779111644657E-2"/>
    <n v="4035.1986953371038"/>
    <n v="6.6358576778718675E-2"/>
    <s v="1st Floor"/>
    <n v="0"/>
    <x v="4"/>
    <s v="Mar 14, 2018 @ 15:19"/>
    <s v="Mar 14, 2018 @ 15:17"/>
    <s v="mcoalson@hanson-inc.com"/>
  </r>
  <r>
    <n v="425"/>
    <s v="T8"/>
    <s v="Light Fixture"/>
    <x v="174"/>
    <n v="36"/>
    <n v="6"/>
    <n v="1"/>
    <n v="216"/>
    <n v="1182.5999999999999"/>
    <n v="126.08093604485391"/>
    <n v="1.9447779111644657E-2"/>
    <n v="4035.1986953371038"/>
    <n v="6.6358576778718675E-2"/>
    <s v="VTU3-20"/>
    <n v="0"/>
    <x v="4"/>
    <s v="Mar 12, 2018 @ 18:48"/>
    <s v="Mar 12, 2018 @ 18:42"/>
    <s v="mcoalson@hanson-inc.com"/>
  </r>
  <r>
    <n v="853"/>
    <s v="T8"/>
    <s v="Light Fixture"/>
    <x v="175"/>
    <n v="36"/>
    <n v="6"/>
    <n v="1"/>
    <n v="216"/>
    <n v="1182.5999999999999"/>
    <n v="126.08093604485391"/>
    <n v="1.9447779111644657E-2"/>
    <n v="4035.1986953371038"/>
    <n v="6.6358576778718675E-2"/>
    <s v="2nd Floor"/>
    <n v="0"/>
    <x v="4"/>
    <s v="Mar 14, 2018 @ 14:56"/>
    <s v="Mar 14, 2018 @ 14:56"/>
    <s v="nboyd@hanson-inc.com"/>
  </r>
  <r>
    <n v="380"/>
    <s v="T8"/>
    <s v="Light Fixture"/>
    <x v="176"/>
    <n v="12"/>
    <n v="7"/>
    <n v="1"/>
    <n v="84"/>
    <n v="459.9"/>
    <n v="49.031475128554298"/>
    <n v="7.5630252100840336E-3"/>
    <n v="1569.2439370755403"/>
    <n v="2.5806113191723927E-2"/>
    <s v="VTU3-20"/>
    <n v="0"/>
    <x v="4"/>
    <s v="Mar 12, 2018 @ 15:59"/>
    <s v="Mar 12, 2018 @ 18:31"/>
    <s v="mcoalson@hanson-inc.com"/>
  </r>
  <r>
    <n v="246"/>
    <s v="T8"/>
    <s v="Light Fixture"/>
    <x v="177"/>
    <n v="36"/>
    <n v="7"/>
    <n v="1"/>
    <n v="252"/>
    <n v="1379.7"/>
    <n v="147.0944253856629"/>
    <n v="2.26890756302521E-2"/>
    <n v="4707.7318112266212"/>
    <n v="7.7418339575171788E-2"/>
    <s v="VTU3-20"/>
    <n v="0"/>
    <x v="4"/>
    <s v="Mar 12, 2018 @ 15:03"/>
    <s v="Mar 12, 2018 @ 15:03"/>
    <s v="nboyd@hanson-inc.com"/>
  </r>
  <r>
    <n v="941"/>
    <s v="T8"/>
    <s v="Light Fixture"/>
    <x v="178"/>
    <n v="36"/>
    <n v="7"/>
    <n v="1"/>
    <n v="252"/>
    <n v="1379.7"/>
    <n v="147.0944253856629"/>
    <n v="2.26890756302521E-2"/>
    <n v="4707.7318112266212"/>
    <n v="7.7418339575171788E-2"/>
    <s v="1st Floor"/>
    <n v="0"/>
    <x v="4"/>
    <s v="Mar 14, 2018 @ 15:48"/>
    <s v="Mar 14, 2018 @ 15:50"/>
    <s v="mcoalson@hanson-inc.com"/>
  </r>
  <r>
    <n v="1055"/>
    <s v="LF"/>
    <s v="Lighting Fixture"/>
    <x v="179"/>
    <n v="36"/>
    <n v="7"/>
    <n v="1"/>
    <n v="252"/>
    <n v="1379.7"/>
    <n v="147.0944253856629"/>
    <n v="2.26890756302521E-2"/>
    <n v="4707.7318112266212"/>
    <n v="7.7418339575171788E-2"/>
    <s v="1st Floor"/>
    <n v="0"/>
    <x v="4"/>
    <s v="Mar 14, 2018 @ 16:26"/>
    <s v="Mar 14, 2018 @ 16:20"/>
    <s v="mcoalson@hanson-inc.com"/>
  </r>
  <r>
    <n v="796"/>
    <s v="LF"/>
    <s v="Lighting Fixture"/>
    <x v="180"/>
    <n v="36"/>
    <n v="7"/>
    <n v="1"/>
    <n v="252"/>
    <n v="1379.7"/>
    <n v="147.0944253856629"/>
    <n v="2.26890756302521E-2"/>
    <n v="4707.7318112266212"/>
    <n v="7.7418339575171788E-2"/>
    <s v="2nd Floor"/>
    <n v="0"/>
    <x v="4"/>
    <s v="Mar 14, 2018 @ 14:39"/>
    <s v="Mar 14, 2018 @ 14:40"/>
    <s v="mcoalson@hanson-inc.com"/>
  </r>
  <r>
    <n v="626"/>
    <s v="LF"/>
    <s v="Lighting Fixture"/>
    <x v="180"/>
    <n v="36"/>
    <n v="7"/>
    <n v="1"/>
    <n v="252"/>
    <n v="1379.7"/>
    <n v="147.0944253856629"/>
    <n v="2.26890756302521E-2"/>
    <n v="4707.7318112266212"/>
    <n v="7.7418339575171788E-2"/>
    <s v="VTU3-20"/>
    <n v="0"/>
    <x v="4"/>
    <s v="Mar 12, 2018 @ 19:34"/>
    <s v="Mar 12, 2018 @ 19:28"/>
    <s v="mcoalson@hanson-inc.com"/>
  </r>
  <r>
    <n v="15"/>
    <s v="LF"/>
    <s v="Lighting Fixture"/>
    <x v="181"/>
    <n v="50"/>
    <n v="7"/>
    <n v="1"/>
    <n v="350"/>
    <n v="1916.25"/>
    <n v="204.29781303564292"/>
    <n v="3.1512605042016806E-2"/>
    <n v="6538.5164044814182"/>
    <n v="0.10752547163218304"/>
    <s v="M401"/>
    <n v="0"/>
    <x v="4"/>
    <s v="Mar 12, 2018 @ 13:54"/>
    <s v="Mar 12, 2018 @ 13:57"/>
    <s v="nboyd@hanson-inc.com"/>
  </r>
  <r>
    <n v="631"/>
    <s v="T8"/>
    <s v="Light Fixture"/>
    <x v="182"/>
    <n v="36"/>
    <n v="7"/>
    <n v="1.6"/>
    <n v="252"/>
    <n v="2207.5200000000004"/>
    <n v="235.35108061706069"/>
    <n v="3.6302521008403366E-2"/>
    <n v="7532.3708979625953"/>
    <n v="0.12386934332027488"/>
    <s v="2nd Floor"/>
    <n v="0"/>
    <x v="4"/>
    <s v="Mar 12, 2018 @ 19:38"/>
    <s v="Mar 12, 2018 @ 19:39"/>
    <s v="nboyd@hanson-inc.com"/>
  </r>
  <r>
    <n v="753"/>
    <s v="T8"/>
    <s v="Light Fixture"/>
    <x v="183"/>
    <n v="36"/>
    <n v="8"/>
    <n v="1"/>
    <n v="288"/>
    <n v="1576.8"/>
    <n v="168.1079147264719"/>
    <n v="2.5930372148859543E-2"/>
    <n v="5380.2649271161381"/>
    <n v="8.8478102371624887E-2"/>
    <s v="2nd Floor"/>
    <n v="0"/>
    <x v="4"/>
    <s v="Mar 14, 2018 @ 14:19"/>
    <s v="Mar 14, 2018 @ 14:13"/>
    <s v="mcoalson@hanson-inc.com"/>
  </r>
  <r>
    <n v="831"/>
    <s v="T8"/>
    <s v="Light Fixture"/>
    <x v="184"/>
    <n v="288"/>
    <n v="8"/>
    <n v="1"/>
    <n v="2304"/>
    <n v="12614.4"/>
    <n v="1344.8633178117752"/>
    <n v="0.20744297719087634"/>
    <n v="43042.119416929105"/>
    <n v="0.70782481897299909"/>
    <s v="2nd Floor"/>
    <n v="0"/>
    <x v="4"/>
    <s v="Mar 14, 2018 @ 14:50"/>
    <s v="Mar 14, 2018 @ 14:51"/>
    <s v="nboyd@hanson-inc.com"/>
  </r>
  <r>
    <n v="433"/>
    <s v="LF"/>
    <s v="Lighting Fixture"/>
    <x v="185"/>
    <n v="64"/>
    <n v="8"/>
    <n v="1"/>
    <n v="512"/>
    <n v="2803.2"/>
    <n v="298.85851506928333"/>
    <n v="4.6098439375750297E-2"/>
    <n v="9564.9154259842453"/>
    <n v="0.15729440421622204"/>
    <s v="VTU3-20"/>
    <n v="0"/>
    <x v="4"/>
    <s v="Mar 12, 2018 @ 18:50"/>
    <s v="Mar 12, 2018 @ 18:45"/>
    <s v="mcoalson@hanson-inc.com"/>
  </r>
  <r>
    <n v="630"/>
    <s v="LF"/>
    <s v="Lighting Fixture"/>
    <x v="186"/>
    <n v="150"/>
    <n v="8"/>
    <n v="1"/>
    <n v="1200"/>
    <n v="6570"/>
    <n v="700.44964469363288"/>
    <n v="0.10804321728691477"/>
    <n v="22417.770529650577"/>
    <n v="0.36865875988177044"/>
    <s v="2nd Floor"/>
    <n v="1"/>
    <x v="4"/>
    <s v="Mar 12, 2018 @ 19:37"/>
    <s v="Mar 14, 2018 @ 13:41"/>
    <s v="nboyd@hanson-inc.com"/>
  </r>
  <r>
    <n v="635"/>
    <s v="MS"/>
    <s v="Miscellaneous"/>
    <x v="187"/>
    <n v="175"/>
    <n v="8"/>
    <n v="0.25"/>
    <n v="1400"/>
    <n v="1916.25"/>
    <n v="204.29781303564292"/>
    <n v="3.1512605042016806E-2"/>
    <n v="6538.5164044814182"/>
    <n v="0.10752547163218304"/>
    <s v="2nd Floor"/>
    <n v="2"/>
    <x v="3"/>
    <s v="Mar 12, 2018 @ 19:47"/>
    <s v="Mar 12, 2018 @ 19:42"/>
    <s v="mcoalson@hanson-inc.com"/>
  </r>
  <r>
    <n v="648"/>
    <s v="TV"/>
    <s v="Television"/>
    <x v="188"/>
    <n v="175"/>
    <n v="8"/>
    <n v="0.25"/>
    <n v="1400"/>
    <n v="1916.25"/>
    <n v="204.29781303564292"/>
    <n v="3.1512605042016806E-2"/>
    <n v="6538.5164044814182"/>
    <n v="0.10752547163218304"/>
    <s v="2nd Floor"/>
    <n v="3"/>
    <x v="3"/>
    <s v="Mar 14, 2018 @ 12:56"/>
    <s v="Mar 14, 2018 @ 12:58"/>
    <s v="mcoalson@hanson-inc.com"/>
  </r>
  <r>
    <n v="627"/>
    <s v="T8"/>
    <s v="Light Fixture"/>
    <x v="189"/>
    <n v="36"/>
    <n v="9"/>
    <n v="1"/>
    <n v="324"/>
    <n v="1773.9"/>
    <n v="189.12140406728091"/>
    <n v="2.9171668667466989E-2"/>
    <n v="6052.7980430056559"/>
    <n v="9.9537865168078013E-2"/>
    <s v="VTU3-20"/>
    <n v="0"/>
    <x v="4"/>
    <s v="Mar 12, 2018 @ 19:35"/>
    <s v="Mar 12, 2018 @ 19:29"/>
    <s v="mcoalson@hanson-inc.com"/>
  </r>
  <r>
    <n v="723"/>
    <s v="T8"/>
    <s v="Light Fixture"/>
    <x v="190"/>
    <n v="36"/>
    <n v="10"/>
    <n v="1"/>
    <n v="360"/>
    <n v="1971"/>
    <n v="210.13489340808988"/>
    <n v="3.2412965186074429E-2"/>
    <n v="6725.3311588951728"/>
    <n v="0.11059762796453113"/>
    <s v="2nd Floor"/>
    <n v="0"/>
    <x v="4"/>
    <s v="Mar 14, 2018 @ 13:47"/>
    <s v="Mar 14, 2018 @ 13:47"/>
    <s v="mcoalson@hanson-inc.com"/>
  </r>
  <r>
    <n v="763"/>
    <s v="LF"/>
    <s v="Lighting Fixture"/>
    <x v="191"/>
    <n v="36"/>
    <n v="10"/>
    <n v="1"/>
    <n v="360"/>
    <n v="1971"/>
    <n v="210.13489340808988"/>
    <n v="3.2412965186074429E-2"/>
    <n v="6725.3311588951728"/>
    <n v="0.11059762796453113"/>
    <s v="2nd Floor"/>
    <n v="0"/>
    <x v="4"/>
    <s v="Mar 14, 2018 @ 14:21"/>
    <s v="Mar 14, 2018 @ 14:15"/>
    <s v="mcoalson@hanson-inc.com"/>
  </r>
  <r>
    <n v="247"/>
    <s v="LF"/>
    <s v="Lighting Fixture"/>
    <x v="192"/>
    <n v="64"/>
    <n v="10"/>
    <n v="1"/>
    <n v="640"/>
    <n v="3504"/>
    <n v="373.57314383660423"/>
    <n v="5.7623049219687875E-2"/>
    <n v="11956.144282480307"/>
    <n v="0.19661800527027753"/>
    <s v="VTU3-20"/>
    <n v="0"/>
    <x v="4"/>
    <s v="Mar 12, 2018 @ 15:05"/>
    <s v="Mar 12, 2018 @ 15:06"/>
    <s v="nboyd@hanson-inc.com"/>
  </r>
  <r>
    <n v="944"/>
    <s v="LF"/>
    <s v="Lighting Fixture"/>
    <x v="193"/>
    <n v="36"/>
    <n v="11"/>
    <n v="1"/>
    <n v="396"/>
    <n v="2168.1"/>
    <n v="231.14838274889885"/>
    <n v="3.5654261704681868E-2"/>
    <n v="7397.8642747846907"/>
    <n v="0.12165739076098424"/>
    <s v="1st Floor"/>
    <n v="0"/>
    <x v="4"/>
    <s v="Mar 14, 2018 @ 15:57"/>
    <s v="Mar 14, 2018 @ 15:51"/>
    <s v="mcoalson@hanson-inc.com"/>
  </r>
  <r>
    <n v="1046"/>
    <s v="LF"/>
    <s v="Lighting Fixture"/>
    <x v="193"/>
    <n v="36"/>
    <n v="11"/>
    <n v="1"/>
    <n v="396"/>
    <n v="2168.1"/>
    <n v="231.14838274889885"/>
    <n v="3.5654261704681868E-2"/>
    <n v="7397.8642747846907"/>
    <n v="0.12165739076098424"/>
    <s v="1st Floor"/>
    <n v="0"/>
    <x v="4"/>
    <s v="Mar 14, 2018 @ 16:20"/>
    <s v="Mar 14, 2018 @ 16:13"/>
    <s v="mcoalson@hanson-inc.com"/>
  </r>
  <r>
    <n v="729"/>
    <s v="LF"/>
    <s v="Lighting Fixture"/>
    <x v="194"/>
    <n v="36"/>
    <n v="11"/>
    <n v="1"/>
    <n v="396"/>
    <n v="2168.1"/>
    <n v="231.14838274889885"/>
    <n v="3.5654261704681868E-2"/>
    <n v="7397.8642747846907"/>
    <n v="0.12165739076098424"/>
    <s v="2nd Floor"/>
    <n v="0"/>
    <x v="4"/>
    <s v="Mar 14, 2018 @ 13:55"/>
    <s v="Mar 14, 2018 @ 13:49"/>
    <s v="mcoalson@hanson-inc.com"/>
  </r>
  <r>
    <n v="253"/>
    <s v="LF"/>
    <s v="Lighting Fixture"/>
    <x v="195"/>
    <n v="64"/>
    <n v="11"/>
    <n v="1"/>
    <n v="704"/>
    <n v="3854.4"/>
    <n v="410.93045822026465"/>
    <n v="6.3385354141656663E-2"/>
    <n v="13151.758710728338"/>
    <n v="0.2162798057973053"/>
    <s v="VTU3-20"/>
    <n v="0"/>
    <x v="4"/>
    <s v="Mar 12, 2018 @ 15:13"/>
    <s v="Mar 12, 2018 @ 15:10"/>
    <s v="mcoalson@hanson-inc.com"/>
  </r>
  <r>
    <n v="255"/>
    <s v="LF"/>
    <s v="Lighting Fixture"/>
    <x v="196"/>
    <n v="64"/>
    <n v="11"/>
    <n v="1"/>
    <n v="704"/>
    <n v="3854.4"/>
    <n v="410.93045822026465"/>
    <n v="6.3385354141656663E-2"/>
    <n v="13151.758710728338"/>
    <n v="0.2162798057973053"/>
    <s v="VTU3-20"/>
    <n v="0"/>
    <x v="4"/>
    <s v="Mar 12, 2018 @ 15:13"/>
    <s v="Mar 12, 2018 @ 15:11"/>
    <s v="mcoalson@hanson-inc.com"/>
  </r>
  <r>
    <n v="734"/>
    <s v="LF"/>
    <s v="Lighting Fixture"/>
    <x v="197"/>
    <n v="36"/>
    <n v="11"/>
    <n v="1"/>
    <n v="396"/>
    <n v="2168.1"/>
    <n v="231.14838274889885"/>
    <n v="3.5654261704681868E-2"/>
    <n v="7397.8642747846907"/>
    <n v="0.12165739076098424"/>
    <s v="2nd Floor"/>
    <n v="0"/>
    <x v="4"/>
    <s v="Mar 14, 2018 @ 13:55"/>
    <s v="Mar 14, 2018 @ 13:56"/>
    <s v="mcoalson@hanson-inc.com"/>
  </r>
  <r>
    <n v="792"/>
    <s v="LF"/>
    <s v="Lighting Fixture"/>
    <x v="197"/>
    <n v="36"/>
    <n v="11"/>
    <n v="1"/>
    <n v="396"/>
    <n v="2168.1"/>
    <n v="231.14838274889885"/>
    <n v="3.5654261704681868E-2"/>
    <n v="7397.8642747846907"/>
    <n v="0.12165739076098424"/>
    <s v="2nd Floor"/>
    <n v="0"/>
    <x v="4"/>
    <s v="Mar 14, 2018 @ 14:32"/>
    <s v="Mar 14, 2018 @ 14:32"/>
    <s v="mcoalson@hanson-inc.com"/>
  </r>
  <r>
    <n v="1045"/>
    <s v="LF"/>
    <s v="Lighting Fixture"/>
    <x v="198"/>
    <n v="36"/>
    <n v="11"/>
    <n v="1"/>
    <n v="396"/>
    <n v="2168.1"/>
    <n v="231.14838274889885"/>
    <n v="3.5654261704681868E-2"/>
    <n v="7397.8642747846907"/>
    <n v="0.12165739076098424"/>
    <s v="1st Floor"/>
    <n v="0"/>
    <x v="4"/>
    <s v="Mar 14, 2018 @ 16:13"/>
    <s v="Mar 14, 2018 @ 16:14"/>
    <s v="mcoalson@hanson-inc.com"/>
  </r>
  <r>
    <n v="722"/>
    <s v="LF"/>
    <s v="Lighting Fixture"/>
    <x v="199"/>
    <n v="36"/>
    <n v="11"/>
    <n v="1"/>
    <n v="396"/>
    <n v="2168.1"/>
    <n v="231.14838274889885"/>
    <n v="3.5654261704681868E-2"/>
    <n v="7397.8642747846907"/>
    <n v="0.12165739076098424"/>
    <s v="2nd Floor"/>
    <n v="0"/>
    <x v="4"/>
    <s v="Mar 14, 2018 @ 13:46"/>
    <s v="Mar 14, 2018 @ 13:47"/>
    <s v="nboyd@hanson-inc.com"/>
  </r>
  <r>
    <n v="976"/>
    <s v="LF"/>
    <s v="Lighting Fixture"/>
    <x v="200"/>
    <n v="36"/>
    <n v="12"/>
    <n v="1"/>
    <n v="432"/>
    <n v="2365.1999999999998"/>
    <n v="252.16187208970783"/>
    <n v="3.8895558223289314E-2"/>
    <n v="8070.3973906742076"/>
    <n v="0.13271715355743735"/>
    <s v="1st Floor"/>
    <n v="0"/>
    <x v="4"/>
    <s v="Mar 14, 2018 @ 15:55"/>
    <s v="Mar 14, 2018 @ 15:55"/>
    <s v="mcoalson@hanson-inc.com"/>
  </r>
  <r>
    <n v="851"/>
    <s v="T8"/>
    <s v="Light Fixture"/>
    <x v="201"/>
    <n v="13"/>
    <n v="13"/>
    <n v="1"/>
    <n v="169"/>
    <n v="925.27499999999998"/>
    <n v="98.646658294353301"/>
    <n v="1.5216086434573829E-2"/>
    <n v="3157.1693495924565"/>
    <n v="5.1919442016682672E-2"/>
    <s v="2nd Floor"/>
    <n v="0"/>
    <x v="4"/>
    <s v="Mar 14, 2018 @ 14:55"/>
    <s v="Mar 14, 2018 @ 14:56"/>
    <s v="mcoalson@hanson-inc.com"/>
  </r>
  <r>
    <n v="867"/>
    <s v="LF"/>
    <s v="Lighting Fixture"/>
    <x v="202"/>
    <n v="13"/>
    <n v="13"/>
    <n v="1"/>
    <n v="169"/>
    <n v="925.27499999999998"/>
    <n v="98.646658294353301"/>
    <n v="1.5216086434573829E-2"/>
    <n v="3157.1693495924565"/>
    <n v="5.1919442016682672E-2"/>
    <s v="2nd Floor"/>
    <n v="0"/>
    <x v="4"/>
    <s v="Mar 14, 2018 @ 14:58"/>
    <s v="Mar 14, 2018 @ 14:58"/>
    <s v="nboyd@hanson-inc.com"/>
  </r>
  <r>
    <n v="737"/>
    <s v="T8"/>
    <s v="Light Fixture"/>
    <x v="203"/>
    <n v="180"/>
    <n v="15"/>
    <n v="1"/>
    <n v="2700"/>
    <n v="14782.5"/>
    <n v="1576.0117005606739"/>
    <n v="0.24309723889555823"/>
    <n v="50439.983691713795"/>
    <n v="0.82948220973398334"/>
    <s v="2nd Floor"/>
    <n v="0"/>
    <x v="4"/>
    <s v="Mar 14, 2018 @ 14:03"/>
    <s v="Mar 14, 2018 @ 14:34"/>
    <s v="mcoalson@hanson-inc.com"/>
  </r>
  <r>
    <n v="823"/>
    <n v="12"/>
    <s v="T-12 Light Fixture"/>
    <x v="204"/>
    <n v="270"/>
    <n v="15"/>
    <n v="1"/>
    <n v="4050"/>
    <n v="22173.75"/>
    <n v="2364.0175508410111"/>
    <n v="0.36464585834333735"/>
    <n v="75659.975537570703"/>
    <n v="1.2442233146009751"/>
    <s v="2nd Floor"/>
    <n v="0"/>
    <x v="4"/>
    <s v="Mar 14, 2018 @ 14:54"/>
    <s v="Mar 14, 2018 @ 14:48"/>
    <s v="mcoalson@hanson-inc.com"/>
  </r>
  <r>
    <n v="891"/>
    <s v="T8"/>
    <s v="Light Fixture"/>
    <x v="205"/>
    <n v="36"/>
    <n v="15"/>
    <n v="1"/>
    <n v="540"/>
    <n v="2956.5"/>
    <n v="315.20234011213483"/>
    <n v="4.8619447779111646E-2"/>
    <n v="10087.996738342759"/>
    <n v="0.16589644194679667"/>
    <s v="1st Floor"/>
    <n v="0"/>
    <x v="4"/>
    <s v="Mar 14, 2018 @ 15:11"/>
    <s v="Mar 14, 2018 @ 15:11"/>
    <s v="nboyd@hanson-inc.com"/>
  </r>
  <r>
    <n v="934"/>
    <s v="T8"/>
    <s v="Light Fixture"/>
    <x v="206"/>
    <n v="36"/>
    <n v="16"/>
    <n v="1"/>
    <n v="576"/>
    <n v="3153.6"/>
    <n v="336.21582945294381"/>
    <n v="5.1860744297719086E-2"/>
    <n v="10760.529854232276"/>
    <n v="0.17695620474324977"/>
    <s v="1st Floor"/>
    <n v="0"/>
    <x v="4"/>
    <s v="Mar 14, 2018 @ 15:53"/>
    <s v="Mar 14, 2018 @ 15:47"/>
    <s v="mcoalson@hanson-inc.com"/>
  </r>
  <r>
    <n v="940"/>
    <s v="T8"/>
    <s v="Light Fixture"/>
    <x v="207"/>
    <n v="36"/>
    <n v="16"/>
    <n v="1"/>
    <n v="576"/>
    <n v="3153.6"/>
    <n v="336.21582945294381"/>
    <n v="5.1860744297719086E-2"/>
    <n v="10760.529854232276"/>
    <n v="0.17695620474324977"/>
    <s v="1st Floor"/>
    <n v="0"/>
    <x v="4"/>
    <s v="Mar 14, 2018 @ 15:54"/>
    <s v="Mar 14, 2018 @ 15:49"/>
    <s v="mcoalson@hanson-inc.com"/>
  </r>
  <r>
    <n v="717"/>
    <s v="LF"/>
    <s v="Lighting Fixture"/>
    <x v="208"/>
    <n v="36"/>
    <n v="16"/>
    <n v="1"/>
    <n v="576"/>
    <n v="3153.6"/>
    <n v="336.21582945294381"/>
    <n v="5.1860744297719086E-2"/>
    <n v="10760.529854232276"/>
    <n v="0.17695620474324977"/>
    <s v="2nd Floor"/>
    <n v="0"/>
    <x v="4"/>
    <s v="Mar 14, 2018 @ 13:47"/>
    <s v="Mar 14, 2018 @ 13:42"/>
    <s v="mcoalson@hanson-inc.com"/>
  </r>
  <r>
    <n v="252"/>
    <s v="LF"/>
    <s v="Lighting Fixture"/>
    <x v="209"/>
    <n v="64"/>
    <n v="16"/>
    <n v="1"/>
    <n v="1024"/>
    <n v="5606.4"/>
    <n v="597.71703013856666"/>
    <n v="9.2196878751500594E-2"/>
    <n v="19129.830851968491"/>
    <n v="0.31458880843244408"/>
    <s v="VTU3-20"/>
    <n v="0"/>
    <x v="4"/>
    <s v="Mar 12, 2018 @ 15:13"/>
    <s v="Mar 12, 2018 @ 15:09"/>
    <s v="mcoalson@hanson-inc.com"/>
  </r>
  <r>
    <n v="888"/>
    <s v="LF"/>
    <s v="Lighting Fixture"/>
    <x v="210"/>
    <n v="36"/>
    <n v="17"/>
    <n v="1"/>
    <n v="612"/>
    <n v="3350.7"/>
    <n v="357.22931879375278"/>
    <n v="5.5102040816326525E-2"/>
    <n v="11433.062970121795"/>
    <n v="0.18801596753970293"/>
    <s v="1st Floor"/>
    <n v="0"/>
    <x v="4"/>
    <s v="Mar 14, 2018 @ 15:10"/>
    <s v="Mar 14, 2018 @ 15:10"/>
    <s v="mcoalson@hanson-inc.com"/>
  </r>
  <r>
    <n v="636"/>
    <s v="LF"/>
    <s v="Lighting Fixture"/>
    <x v="211"/>
    <n v="24"/>
    <n v="20"/>
    <n v="1"/>
    <n v="480"/>
    <n v="2628"/>
    <n v="280.17985787745317"/>
    <n v="4.3217286914765909E-2"/>
    <n v="8967.1082118602299"/>
    <n v="0.14746350395270816"/>
    <s v="2nd Floor"/>
    <n v="1"/>
    <x v="4"/>
    <s v="Mar 12, 2018 @ 19:42"/>
    <s v="Mar 12, 2018 @ 19:43"/>
    <s v="nboyd@hanson-inc.com"/>
  </r>
  <r>
    <n v="240"/>
    <s v="T8"/>
    <s v="Light Fixture"/>
    <x v="212"/>
    <n v="36"/>
    <n v="22"/>
    <n v="1"/>
    <n v="792"/>
    <n v="4336.2"/>
    <n v="462.29676549779771"/>
    <n v="7.1308523409363736E-2"/>
    <n v="14795.728549569381"/>
    <n v="0.24331478152196848"/>
    <s v="VTU3-20"/>
    <n v="0"/>
    <x v="4"/>
    <s v="Mar 12, 2018 @ 15:04"/>
    <s v="Mar 12, 2018 @ 14:59"/>
    <s v="mcoalson@hanson-inc.com"/>
  </r>
  <r>
    <n v="803"/>
    <n v="12"/>
    <s v="T-12 Light Fixture"/>
    <x v="213"/>
    <n v="270"/>
    <n v="24"/>
    <n v="1"/>
    <n v="6480"/>
    <n v="35478"/>
    <n v="3782.4280813456176"/>
    <n v="0.58343337334933976"/>
    <n v="121055.96086011312"/>
    <n v="1.9907573033615602"/>
    <s v="2nd Floor"/>
    <n v="0"/>
    <x v="4"/>
    <s v="Mar 14, 2018 @ 14:47"/>
    <s v="Mar 14, 2018 @ 14:43"/>
    <s v="mcoalson@hanson-inc.com"/>
  </r>
  <r>
    <n v="890"/>
    <s v="T8"/>
    <s v="Light Fixture"/>
    <x v="214"/>
    <n v="36"/>
    <n v="25"/>
    <n v="1"/>
    <n v="900"/>
    <n v="4927.5"/>
    <n v="525.33723352022469"/>
    <n v="8.1032412965186068E-2"/>
    <n v="16813.327897237934"/>
    <n v="0.27649406991132786"/>
    <s v="1st Floor"/>
    <n v="0"/>
    <x v="4"/>
    <s v="Mar 14, 2018 @ 15:11"/>
    <s v="Mar 14, 2018 @ 15:11"/>
    <s v="mcoalson@hanson-inc.com"/>
  </r>
  <r>
    <n v="429"/>
    <s v="T8"/>
    <s v="Light Fixture"/>
    <x v="215"/>
    <n v="36"/>
    <n v="28"/>
    <n v="1"/>
    <n v="1008"/>
    <n v="5518.8"/>
    <n v="588.37770154265161"/>
    <n v="9.07563025210084E-2"/>
    <n v="18830.927244906485"/>
    <n v="0.30967335830068715"/>
    <s v="VTU3-20"/>
    <n v="0"/>
    <x v="4"/>
    <s v="Mar 12, 2018 @ 18:49"/>
    <s v="Mar 12, 2018 @ 18:44"/>
    <s v="mcoalson@hanson-inc.com"/>
  </r>
  <r>
    <n v="920"/>
    <s v="T8"/>
    <s v="Light Fixture"/>
    <x v="216"/>
    <n v="36"/>
    <n v="32"/>
    <n v="1"/>
    <n v="1152"/>
    <n v="6307.2"/>
    <n v="672.43165890588762"/>
    <n v="0.10372148859543817"/>
    <n v="21521.059708464552"/>
    <n v="0.35391240948649955"/>
    <s v="1st Floor"/>
    <n v="0"/>
    <x v="4"/>
    <s v="Mar 14, 2018 @ 15:24"/>
    <s v="Mar 14, 2018 @ 15:24"/>
    <s v="mcoalson@hanson-inc.com"/>
  </r>
  <r>
    <n v="726"/>
    <s v="LF"/>
    <s v="Lighting Fixture"/>
    <x v="217"/>
    <n v="36"/>
    <n v="34"/>
    <n v="1"/>
    <n v="1224"/>
    <n v="6701.4"/>
    <n v="714.45863758750556"/>
    <n v="0.11020408163265305"/>
    <n v="22866.12594024359"/>
    <n v="0.37603193507940585"/>
    <s v="2nd Floor"/>
    <n v="0"/>
    <x v="4"/>
    <s v="Mar 14, 2018 @ 13:54"/>
    <s v="Mar 14, 2018 @ 13:48"/>
    <s v="mcoalson@hanson-inc.com"/>
  </r>
  <r>
    <n v="892"/>
    <s v="LF"/>
    <s v="Lighting Fixture"/>
    <x v="218"/>
    <n v="36"/>
    <n v="40"/>
    <n v="1"/>
    <n v="1440"/>
    <n v="7884"/>
    <n v="840.53957363235952"/>
    <n v="0.12965186074429771"/>
    <n v="26901.324635580691"/>
    <n v="0.4423905118581245"/>
    <s v="1st Floor"/>
    <n v="0"/>
    <x v="4"/>
    <s v="Mar 14, 2018 @ 15:16"/>
    <s v="Mar 14, 2018 @ 15:17"/>
    <s v="mcoalson@hanson-inc.com"/>
  </r>
  <r>
    <n v="915"/>
    <s v="LF"/>
    <s v="Lighting Fixture"/>
    <x v="219"/>
    <n v="36"/>
    <n v="48"/>
    <n v="1"/>
    <n v="1728"/>
    <n v="9460.7999999999993"/>
    <n v="1008.6474883588313"/>
    <n v="0.15558223289315726"/>
    <n v="32281.58956269683"/>
    <n v="0.5308686142297494"/>
    <s v="1st Floor"/>
    <n v="0"/>
    <x v="4"/>
    <s v="Mar 14, 2018 @ 15:26"/>
    <s v="Mar 14, 2018 @ 15:23"/>
    <s v="mcoalson@hanson-inc.com"/>
  </r>
  <r>
    <n v="881"/>
    <s v="DT"/>
    <s v="Desktop"/>
    <x v="220"/>
    <n v="50"/>
    <n v="71"/>
    <n v="0.9"/>
    <n v="3550"/>
    <n v="17492.625"/>
    <n v="1864.9471789967977"/>
    <n v="0.28766506602641057"/>
    <n v="59687.314035194664"/>
    <n v="0.9815539481852138"/>
    <s v="1st Floor"/>
    <n v="0"/>
    <x v="3"/>
    <s v="Mar 14, 2018 @ 15:06"/>
    <s v="Mar 14, 2018 @ 15:07"/>
    <s v="mcoalson@hanson-inc.com"/>
  </r>
  <r>
    <n v="910"/>
    <s v="DT"/>
    <s v="Desktop"/>
    <x v="221"/>
    <n v="50"/>
    <n v="196"/>
    <n v="0.9"/>
    <n v="9800"/>
    <n v="48289.5"/>
    <n v="5148.3048884982018"/>
    <n v="0.79411764705882348"/>
    <n v="164770.61339293173"/>
    <n v="2.7096418851310125"/>
    <s v="1st Floor"/>
    <n v="2"/>
    <x v="3"/>
    <s v="Mar 14, 2018 @ 15:24"/>
    <s v="Mar 14, 2018 @ 15:19"/>
    <s v="mcoalson@hanson-inc.com"/>
  </r>
  <r>
    <n v="908"/>
    <s v="M"/>
    <s v="Monitor"/>
    <x v="222"/>
    <n v="21"/>
    <n v="196"/>
    <n v="1"/>
    <n v="4116"/>
    <n v="22535.1"/>
    <n v="2402.5422812991605"/>
    <n v="0.37058823529411761"/>
    <n v="76892.952916701484"/>
    <n v="1.2644995463944726"/>
    <s v="1st Floor"/>
    <n v="0"/>
    <x v="3"/>
    <s v="Mar 14, 2018 @ 15:22"/>
    <s v="Mar 14, 2018 @ 15:17"/>
    <s v="mcoalson@hanson-inc.com"/>
  </r>
  <r>
    <n v="952"/>
    <s v="M"/>
    <s v="Monitor"/>
    <x v="223"/>
    <n v="21"/>
    <n v="12"/>
    <n v="1"/>
    <n v="252"/>
    <n v="1379.7"/>
    <n v="147.0944253856629"/>
    <n v="2.26890756302521E-2"/>
    <n v="4707.7318112266212"/>
    <n v="7.7418339575171788E-2"/>
    <s v="1st Floor"/>
    <n v="0"/>
    <x v="3"/>
    <s v="Mar 14, 2018 @ 15:58"/>
    <s v="Mar 14, 2018 @ 15:52"/>
    <s v="mcoalson@hanson-inc.com"/>
  </r>
  <r>
    <n v="962"/>
    <s v="M"/>
    <s v="Monitor"/>
    <x v="224"/>
    <n v="21"/>
    <n v="3"/>
    <n v="1"/>
    <n v="63"/>
    <n v="344.92500000000001"/>
    <n v="36.773606346415725"/>
    <n v="5.672268907563025E-3"/>
    <n v="1176.9329528066553"/>
    <n v="1.9354584893792947E-2"/>
    <s v="1st Floor"/>
    <n v="0"/>
    <x v="3"/>
    <s v="Mar 14, 2018 @ 15:53"/>
    <s v="Mar 14, 2018 @ 15:53"/>
    <s v="nboyd@hanson-inc.com"/>
  </r>
  <r>
    <n v="978"/>
    <s v="M"/>
    <s v="Monitor"/>
    <x v="224"/>
    <n v="21"/>
    <n v="3"/>
    <n v="1"/>
    <n v="63"/>
    <n v="344.92500000000001"/>
    <n v="36.773606346415725"/>
    <n v="5.672268907563025E-3"/>
    <n v="1176.9329528066553"/>
    <n v="1.9354584893792947E-2"/>
    <s v="1st Floor"/>
    <n v="0"/>
    <x v="3"/>
    <s v="Mar 14, 2018 @ 15:56"/>
    <s v="Mar 14, 2018 @ 15:56"/>
    <s v="nboyd@hanson-inc.com"/>
  </r>
  <r>
    <n v="992"/>
    <s v="M"/>
    <s v="Monitor"/>
    <x v="224"/>
    <n v="21"/>
    <n v="3"/>
    <n v="1"/>
    <n v="63"/>
    <n v="344.92500000000001"/>
    <n v="36.773606346415725"/>
    <n v="5.672268907563025E-3"/>
    <n v="1176.9329528066553"/>
    <n v="1.9354584893792947E-2"/>
    <s v="1st Floor"/>
    <n v="0"/>
    <x v="3"/>
    <s v="Mar 14, 2018 @ 15:58"/>
    <s v="Mar 14, 2018 @ 15:59"/>
    <s v="nboyd@hanson-inc.com"/>
  </r>
  <r>
    <n v="1016"/>
    <s v="M"/>
    <s v="Monitor"/>
    <x v="224"/>
    <n v="21"/>
    <n v="3"/>
    <n v="1"/>
    <n v="63"/>
    <n v="344.92500000000001"/>
    <n v="36.773606346415725"/>
    <n v="5.672268907563025E-3"/>
    <n v="1176.9329528066553"/>
    <n v="1.9354584893792947E-2"/>
    <s v="1st Floor"/>
    <n v="0"/>
    <x v="3"/>
    <s v="Mar 14, 2018 @ 16:03"/>
    <s v="Mar 14, 2018 @ 16:03"/>
    <s v="nboyd@hanson-inc.com"/>
  </r>
  <r>
    <n v="882"/>
    <s v="M"/>
    <s v="Monitor"/>
    <x v="225"/>
    <n v="21"/>
    <n v="71"/>
    <n v="0.75"/>
    <n v="1491"/>
    <n v="6122.4187499999998"/>
    <n v="652.73151264887917"/>
    <n v="0.1006827731092437"/>
    <n v="20890.559912318131"/>
    <n v="0.34354388186482482"/>
    <s v="1st Floor"/>
    <n v="0"/>
    <x v="3"/>
    <s v="Mar 14, 2018 @ 15:07"/>
    <s v="Mar 14, 2018 @ 15:07"/>
    <s v="mcoalson@hanson-inc.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F12" firstHeaderRow="0" firstDataRow="1" firstDataCol="1"/>
  <pivotFields count="21">
    <pivotField showAll="0"/>
    <pivotField showAll="0"/>
    <pivotField showAll="0"/>
    <pivotField showAll="0"/>
    <pivotField showAll="0"/>
    <pivotField showAll="0"/>
    <pivotField showAll="0"/>
    <pivotField dataField="1" showAll="0" defaultSubtotal="0"/>
    <pivotField dataField="1" showAll="0" defaultSubtotal="0"/>
    <pivotField showAll="0" defaultSubtotal="0"/>
    <pivotField dataField="1" showAll="0" defaultSubtotal="0"/>
    <pivotField dataField="1" showAll="0" defaultSubtotal="0"/>
    <pivotField dataField="1" numFmtId="1" showAll="0" defaultSubtotal="0"/>
    <pivotField showAll="0"/>
    <pivotField showAll="0"/>
    <pivotField axis="axisRow" showAll="0">
      <items count="14">
        <item h="1" m="1" x="12"/>
        <item x="4"/>
        <item x="0"/>
        <item h="1" m="1" x="11"/>
        <item x="3"/>
        <item h="1" m="1" x="10"/>
        <item x="8"/>
        <item h="1" x="2"/>
        <item h="1" x="6"/>
        <item x="7"/>
        <item x="9"/>
        <item x="5"/>
        <item x="1"/>
        <item t="default"/>
      </items>
    </pivotField>
    <pivotField showAll="0"/>
    <pivotField showAll="0"/>
    <pivotField showAll="0"/>
    <pivotField dragToRow="0" dragToCol="0" dragToPage="0" showAll="0" defaultSubtotal="0"/>
    <pivotField dragToRow="0" dragToCol="0" dragToPage="0" showAll="0" defaultSubtotal="0"/>
  </pivotFields>
  <rowFields count="1">
    <field x="15"/>
  </rowFields>
  <rowItems count="9">
    <i>
      <x v="1"/>
    </i>
    <i>
      <x v="2"/>
    </i>
    <i>
      <x v="4"/>
    </i>
    <i>
      <x v="6"/>
    </i>
    <i>
      <x v="9"/>
    </i>
    <i>
      <x v="10"/>
    </i>
    <i>
      <x v="11"/>
    </i>
    <i>
      <x v="12"/>
    </i>
    <i t="grand">
      <x/>
    </i>
  </rowItems>
  <colFields count="1">
    <field x="-2"/>
  </colFields>
  <colItems count="5">
    <i>
      <x/>
    </i>
    <i i="1">
      <x v="1"/>
    </i>
    <i i="2">
      <x v="2"/>
    </i>
    <i i="3">
      <x v="3"/>
    </i>
    <i i="4">
      <x v="4"/>
    </i>
  </colItems>
  <dataFields count="5">
    <dataField name="Sum of kBtu/yr" fld="11" baseField="0" baseItem="0"/>
    <dataField name="Sum of kWh/yr" fld="8" baseField="15" baseItem="2"/>
    <dataField name="Sum of W/ft2" fld="10" baseField="0" baseItem="0"/>
    <dataField name="Sum of kBtu/ft2-yr" fld="12" baseField="0" baseItem="0"/>
    <dataField name="Sum of Demand Watt" fld="7" baseField="0" baseItem="0"/>
  </dataFields>
  <formats count="11">
    <format dxfId="71">
      <pivotArea collapsedLevelsAreSubtotals="1" fieldPosition="0">
        <references count="1">
          <reference field="15" count="0"/>
        </references>
      </pivotArea>
    </format>
    <format dxfId="70">
      <pivotArea collapsedLevelsAreSubtotals="1" fieldPosition="0">
        <references count="2">
          <reference field="4294967294" count="1" selected="0">
            <x v="2"/>
          </reference>
          <reference field="15" count="0"/>
        </references>
      </pivotArea>
    </format>
    <format dxfId="69">
      <pivotArea grandRow="1" outline="0" collapsedLevelsAreSubtotals="1" fieldPosition="0"/>
    </format>
    <format dxfId="68">
      <pivotArea field="15" grandRow="1" outline="0" collapsedLevelsAreSubtotals="1" axis="axisRow" fieldPosition="0">
        <references count="1">
          <reference field="4294967294" count="1" selected="0">
            <x v="2"/>
          </reference>
        </references>
      </pivotArea>
    </format>
    <format dxfId="67">
      <pivotArea field="15" grandRow="1" outline="0" collapsedLevelsAreSubtotals="1" axis="axisRow" fieldPosition="0">
        <references count="1">
          <reference field="4294967294" count="1" selected="0">
            <x v="3"/>
          </reference>
        </references>
      </pivotArea>
    </format>
    <format dxfId="66">
      <pivotArea type="all" dataOnly="0" outline="0" fieldPosition="0"/>
    </format>
    <format dxfId="65">
      <pivotArea outline="0" collapsedLevelsAreSubtotals="1" fieldPosition="0"/>
    </format>
    <format dxfId="64">
      <pivotArea field="15" type="button" dataOnly="0" labelOnly="1" outline="0" axis="axisRow" fieldPosition="0"/>
    </format>
    <format dxfId="63">
      <pivotArea dataOnly="0" labelOnly="1" fieldPosition="0">
        <references count="1">
          <reference field="15" count="0"/>
        </references>
      </pivotArea>
    </format>
    <format dxfId="62">
      <pivotArea dataOnly="0" labelOnly="1" grandRow="1" outline="0" fieldPosition="0"/>
    </format>
    <format dxfId="61">
      <pivotArea dataOnly="0" labelOnly="1" outline="0" fieldPosition="0">
        <references count="1">
          <reference field="4294967294" count="5">
            <x v="0"/>
            <x v="1"/>
            <x v="2"/>
            <x v="3"/>
            <x v="4"/>
          </reference>
        </references>
      </pivotArea>
    </format>
  </formats>
  <chartFormats count="5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6"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9">
      <pivotArea type="data" outline="0" fieldPosition="0">
        <references count="2">
          <reference field="4294967294" count="1" selected="0">
            <x v="0"/>
          </reference>
          <reference field="15" count="1" selected="0">
            <x v="0"/>
          </reference>
        </references>
      </pivotArea>
    </chartFormat>
    <chartFormat chart="6" format="10">
      <pivotArea type="data" outline="0" fieldPosition="0">
        <references count="2">
          <reference field="4294967294" count="1" selected="0">
            <x v="0"/>
          </reference>
          <reference field="15" count="1" selected="0">
            <x v="1"/>
          </reference>
        </references>
      </pivotArea>
    </chartFormat>
    <chartFormat chart="6" format="11">
      <pivotArea type="data" outline="0" fieldPosition="0">
        <references count="2">
          <reference field="4294967294" count="1" selected="0">
            <x v="0"/>
          </reference>
          <reference field="15" count="1" selected="0">
            <x v="2"/>
          </reference>
        </references>
      </pivotArea>
    </chartFormat>
    <chartFormat chart="6" format="12">
      <pivotArea type="data" outline="0" fieldPosition="0">
        <references count="2">
          <reference field="4294967294" count="1" selected="0">
            <x v="0"/>
          </reference>
          <reference field="15" count="1" selected="0">
            <x v="4"/>
          </reference>
        </references>
      </pivotArea>
    </chartFormat>
    <chartFormat chart="6" format="13">
      <pivotArea type="data" outline="0" fieldPosition="0">
        <references count="2">
          <reference field="4294967294" count="1" selected="0">
            <x v="2"/>
          </reference>
          <reference field="15" count="1" selected="0">
            <x v="0"/>
          </reference>
        </references>
      </pivotArea>
    </chartFormat>
    <chartFormat chart="6" format="14">
      <pivotArea type="data" outline="0" fieldPosition="0">
        <references count="2">
          <reference field="4294967294" count="1" selected="0">
            <x v="2"/>
          </reference>
          <reference field="15" count="1" selected="0">
            <x v="1"/>
          </reference>
        </references>
      </pivotArea>
    </chartFormat>
    <chartFormat chart="6" format="15">
      <pivotArea type="data" outline="0" fieldPosition="0">
        <references count="2">
          <reference field="4294967294" count="1" selected="0">
            <x v="2"/>
          </reference>
          <reference field="15" count="1" selected="0">
            <x v="2"/>
          </reference>
        </references>
      </pivotArea>
    </chartFormat>
    <chartFormat chart="6" format="16">
      <pivotArea type="data" outline="0" fieldPosition="0">
        <references count="2">
          <reference field="4294967294" count="1" selected="0">
            <x v="2"/>
          </reference>
          <reference field="15" count="1" selected="0">
            <x v="4"/>
          </reference>
        </references>
      </pivotArea>
    </chartFormat>
    <chartFormat chart="6" format="17">
      <pivotArea type="data" outline="0" fieldPosition="0">
        <references count="2">
          <reference field="4294967294" count="1" selected="0">
            <x v="3"/>
          </reference>
          <reference field="15" count="1" selected="0">
            <x v="0"/>
          </reference>
        </references>
      </pivotArea>
    </chartFormat>
    <chartFormat chart="6" format="18">
      <pivotArea type="data" outline="0" fieldPosition="0">
        <references count="2">
          <reference field="4294967294" count="1" selected="0">
            <x v="3"/>
          </reference>
          <reference field="15" count="1" selected="0">
            <x v="1"/>
          </reference>
        </references>
      </pivotArea>
    </chartFormat>
    <chartFormat chart="6" format="19">
      <pivotArea type="data" outline="0" fieldPosition="0">
        <references count="2">
          <reference field="4294967294" count="1" selected="0">
            <x v="3"/>
          </reference>
          <reference field="15" count="1" selected="0">
            <x v="2"/>
          </reference>
        </references>
      </pivotArea>
    </chartFormat>
    <chartFormat chart="6" format="20">
      <pivotArea type="data" outline="0" fieldPosition="0">
        <references count="2">
          <reference field="4294967294" count="1" selected="0">
            <x v="3"/>
          </reference>
          <reference field="15" count="1" selected="0">
            <x v="4"/>
          </reference>
        </references>
      </pivotArea>
    </chartFormat>
    <chartFormat chart="6" format="21">
      <pivotArea type="data" outline="0" fieldPosition="0">
        <references count="2">
          <reference field="4294967294" count="1" selected="0">
            <x v="4"/>
          </reference>
          <reference field="15" count="1" selected="0">
            <x v="0"/>
          </reference>
        </references>
      </pivotArea>
    </chartFormat>
    <chartFormat chart="6" format="22">
      <pivotArea type="data" outline="0" fieldPosition="0">
        <references count="2">
          <reference field="4294967294" count="1" selected="0">
            <x v="4"/>
          </reference>
          <reference field="15" count="1" selected="0">
            <x v="1"/>
          </reference>
        </references>
      </pivotArea>
    </chartFormat>
    <chartFormat chart="6" format="23">
      <pivotArea type="data" outline="0" fieldPosition="0">
        <references count="2">
          <reference field="4294967294" count="1" selected="0">
            <x v="4"/>
          </reference>
          <reference field="15" count="1" selected="0">
            <x v="2"/>
          </reference>
        </references>
      </pivotArea>
    </chartFormat>
    <chartFormat chart="6" format="24">
      <pivotArea type="data" outline="0" fieldPosition="0">
        <references count="2">
          <reference field="4294967294" count="1" selected="0">
            <x v="4"/>
          </reference>
          <reference field="15" count="1" selected="0">
            <x v="4"/>
          </reference>
        </references>
      </pivotArea>
    </chartFormat>
    <chartFormat chart="6" format="26">
      <pivotArea type="data" outline="0" fieldPosition="0">
        <references count="2">
          <reference field="4294967294" count="1" selected="0">
            <x v="0"/>
          </reference>
          <reference field="15" count="1" selected="0">
            <x v="6"/>
          </reference>
        </references>
      </pivotArea>
    </chartFormat>
    <chartFormat chart="6" format="27">
      <pivotArea type="data" outline="0" fieldPosition="0">
        <references count="2">
          <reference field="4294967294" count="1" selected="0">
            <x v="2"/>
          </reference>
          <reference field="15" count="1" selected="0">
            <x v="6"/>
          </reference>
        </references>
      </pivotArea>
    </chartFormat>
    <chartFormat chart="6" format="28">
      <pivotArea type="data" outline="0" fieldPosition="0">
        <references count="2">
          <reference field="4294967294" count="1" selected="0">
            <x v="3"/>
          </reference>
          <reference field="15" count="1" selected="0">
            <x v="6"/>
          </reference>
        </references>
      </pivotArea>
    </chartFormat>
    <chartFormat chart="6" format="29">
      <pivotArea type="data" outline="0" fieldPosition="0">
        <references count="2">
          <reference field="4294967294" count="1" selected="0">
            <x v="4"/>
          </reference>
          <reference field="15" count="1" selected="0">
            <x v="6"/>
          </reference>
        </references>
      </pivotArea>
    </chartFormat>
    <chartFormat chart="6" format="30" series="1">
      <pivotArea type="data" outline="0" fieldPosition="0">
        <references count="1">
          <reference field="4294967294" count="1" selected="0">
            <x v="1"/>
          </reference>
        </references>
      </pivotArea>
    </chartFormat>
    <chartFormat chart="6" format="31">
      <pivotArea type="data" outline="0" fieldPosition="0">
        <references count="2">
          <reference field="4294967294" count="1" selected="0">
            <x v="0"/>
          </reference>
          <reference field="15" count="1" selected="0">
            <x v="11"/>
          </reference>
        </references>
      </pivotArea>
    </chartFormat>
    <chartFormat chart="6" format="32">
      <pivotArea type="data" outline="0" fieldPosition="0">
        <references count="2">
          <reference field="4294967294" count="1" selected="0">
            <x v="0"/>
          </reference>
          <reference field="15" count="1" selected="0">
            <x v="9"/>
          </reference>
        </references>
      </pivotArea>
    </chartFormat>
    <chartFormat chart="6" format="33">
      <pivotArea type="data" outline="0" fieldPosition="0">
        <references count="2">
          <reference field="4294967294" count="1" selected="0">
            <x v="0"/>
          </reference>
          <reference field="15" count="1" selected="0">
            <x v="10"/>
          </reference>
        </references>
      </pivotArea>
    </chartFormat>
    <chartFormat chart="6" format="34">
      <pivotArea type="data" outline="0" fieldPosition="0">
        <references count="2">
          <reference field="4294967294" count="1" selected="0">
            <x v="0"/>
          </reference>
          <reference field="15" count="1" selected="0">
            <x v="12"/>
          </reference>
        </references>
      </pivotArea>
    </chartFormat>
    <chartFormat chart="6" format="35">
      <pivotArea type="data" outline="0" fieldPosition="0">
        <references count="2">
          <reference field="4294967294" count="1" selected="0">
            <x v="1"/>
          </reference>
          <reference field="15" count="1" selected="0">
            <x v="1"/>
          </reference>
        </references>
      </pivotArea>
    </chartFormat>
    <chartFormat chart="6" format="36">
      <pivotArea type="data" outline="0" fieldPosition="0">
        <references count="2">
          <reference field="4294967294" count="1" selected="0">
            <x v="1"/>
          </reference>
          <reference field="15" count="1" selected="0">
            <x v="2"/>
          </reference>
        </references>
      </pivotArea>
    </chartFormat>
    <chartFormat chart="6" format="37">
      <pivotArea type="data" outline="0" fieldPosition="0">
        <references count="2">
          <reference field="4294967294" count="1" selected="0">
            <x v="1"/>
          </reference>
          <reference field="15" count="1" selected="0">
            <x v="4"/>
          </reference>
        </references>
      </pivotArea>
    </chartFormat>
    <chartFormat chart="6" format="38">
      <pivotArea type="data" outline="0" fieldPosition="0">
        <references count="2">
          <reference field="4294967294" count="1" selected="0">
            <x v="1"/>
          </reference>
          <reference field="15" count="1" selected="0">
            <x v="6"/>
          </reference>
        </references>
      </pivotArea>
    </chartFormat>
    <chartFormat chart="6" format="39">
      <pivotArea type="data" outline="0" fieldPosition="0">
        <references count="2">
          <reference field="4294967294" count="1" selected="0">
            <x v="1"/>
          </reference>
          <reference field="15" count="1" selected="0">
            <x v="9"/>
          </reference>
        </references>
      </pivotArea>
    </chartFormat>
    <chartFormat chart="6" format="40">
      <pivotArea type="data" outline="0" fieldPosition="0">
        <references count="2">
          <reference field="4294967294" count="1" selected="0">
            <x v="1"/>
          </reference>
          <reference field="15" count="1" selected="0">
            <x v="10"/>
          </reference>
        </references>
      </pivotArea>
    </chartFormat>
    <chartFormat chart="6" format="41">
      <pivotArea type="data" outline="0" fieldPosition="0">
        <references count="2">
          <reference field="4294967294" count="1" selected="0">
            <x v="1"/>
          </reference>
          <reference field="15" count="1" selected="0">
            <x v="11"/>
          </reference>
        </references>
      </pivotArea>
    </chartFormat>
    <chartFormat chart="6" format="42">
      <pivotArea type="data" outline="0" fieldPosition="0">
        <references count="2">
          <reference field="4294967294" count="1" selected="0">
            <x v="1"/>
          </reference>
          <reference field="15" count="1" selected="0">
            <x v="12"/>
          </reference>
        </references>
      </pivotArea>
    </chartFormat>
    <chartFormat chart="6" format="43">
      <pivotArea type="data" outline="0" fieldPosition="0">
        <references count="2">
          <reference field="4294967294" count="1" selected="0">
            <x v="2"/>
          </reference>
          <reference field="15" count="1" selected="0">
            <x v="9"/>
          </reference>
        </references>
      </pivotArea>
    </chartFormat>
    <chartFormat chart="6" format="44">
      <pivotArea type="data" outline="0" fieldPosition="0">
        <references count="2">
          <reference field="4294967294" count="1" selected="0">
            <x v="2"/>
          </reference>
          <reference field="15" count="1" selected="0">
            <x v="10"/>
          </reference>
        </references>
      </pivotArea>
    </chartFormat>
    <chartFormat chart="6" format="45">
      <pivotArea type="data" outline="0" fieldPosition="0">
        <references count="2">
          <reference field="4294967294" count="1" selected="0">
            <x v="2"/>
          </reference>
          <reference field="15" count="1" selected="0">
            <x v="11"/>
          </reference>
        </references>
      </pivotArea>
    </chartFormat>
    <chartFormat chart="6" format="46">
      <pivotArea type="data" outline="0" fieldPosition="0">
        <references count="2">
          <reference field="4294967294" count="1" selected="0">
            <x v="2"/>
          </reference>
          <reference field="15" count="1" selected="0">
            <x v="12"/>
          </reference>
        </references>
      </pivotArea>
    </chartFormat>
    <chartFormat chart="6" format="47">
      <pivotArea type="data" outline="0" fieldPosition="0">
        <references count="2">
          <reference field="4294967294" count="1" selected="0">
            <x v="3"/>
          </reference>
          <reference field="15" count="1" selected="0">
            <x v="9"/>
          </reference>
        </references>
      </pivotArea>
    </chartFormat>
    <chartFormat chart="6" format="48">
      <pivotArea type="data" outline="0" fieldPosition="0">
        <references count="2">
          <reference field="4294967294" count="1" selected="0">
            <x v="3"/>
          </reference>
          <reference field="15" count="1" selected="0">
            <x v="10"/>
          </reference>
        </references>
      </pivotArea>
    </chartFormat>
    <chartFormat chart="6" format="49">
      <pivotArea type="data" outline="0" fieldPosition="0">
        <references count="2">
          <reference field="4294967294" count="1" selected="0">
            <x v="3"/>
          </reference>
          <reference field="15" count="1" selected="0">
            <x v="11"/>
          </reference>
        </references>
      </pivotArea>
    </chartFormat>
    <chartFormat chart="6" format="50">
      <pivotArea type="data" outline="0" fieldPosition="0">
        <references count="2">
          <reference field="4294967294" count="1" selected="0">
            <x v="3"/>
          </reference>
          <reference field="15" count="1" selected="0">
            <x v="12"/>
          </reference>
        </references>
      </pivotArea>
    </chartFormat>
    <chartFormat chart="6" format="51">
      <pivotArea type="data" outline="0" fieldPosition="0">
        <references count="2">
          <reference field="4294967294" count="1" selected="0">
            <x v="4"/>
          </reference>
          <reference field="15" count="1" selected="0">
            <x v="9"/>
          </reference>
        </references>
      </pivotArea>
    </chartFormat>
    <chartFormat chart="6" format="52">
      <pivotArea type="data" outline="0" fieldPosition="0">
        <references count="2">
          <reference field="4294967294" count="1" selected="0">
            <x v="4"/>
          </reference>
          <reference field="15" count="1" selected="0">
            <x v="10"/>
          </reference>
        </references>
      </pivotArea>
    </chartFormat>
    <chartFormat chart="6" format="53">
      <pivotArea type="data" outline="0" fieldPosition="0">
        <references count="2">
          <reference field="4294967294" count="1" selected="0">
            <x v="4"/>
          </reference>
          <reference field="15" count="1" selected="0">
            <x v="11"/>
          </reference>
        </references>
      </pivotArea>
    </chartFormat>
    <chartFormat chart="6" format="54">
      <pivotArea type="data" outline="0" fieldPosition="0">
        <references count="2">
          <reference field="4294967294" count="1" selected="0">
            <x v="4"/>
          </reference>
          <reference field="15"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116" firstHeaderRow="0" firstDataRow="1" firstDataCol="1"/>
  <pivotFields count="21">
    <pivotField showAll="0"/>
    <pivotField showAll="0"/>
    <pivotField showAll="0"/>
    <pivotField axis="axisRow" showAll="0" sortType="ascending">
      <items count="254">
        <item m="1" x="234"/>
        <item m="1" x="227"/>
        <item m="1" x="246"/>
        <item m="1" x="231"/>
        <item x="224"/>
        <item m="1" x="244"/>
        <item m="1" x="229"/>
        <item m="1" x="230"/>
        <item m="1" x="251"/>
        <item m="1" x="247"/>
        <item m="1" x="248"/>
        <item m="1" x="235"/>
        <item m="1" x="239"/>
        <item m="1" x="236"/>
        <item m="1" x="245"/>
        <item m="1" x="226"/>
        <item m="1" x="238"/>
        <item m="1" x="237"/>
        <item m="1" x="243"/>
        <item m="1" x="232"/>
        <item m="1" x="228"/>
        <item m="1" x="241"/>
        <item m="1" x="250"/>
        <item m="1" x="242"/>
        <item m="1" x="233"/>
        <item m="1" x="252"/>
        <item m="1" x="249"/>
        <item m="1" x="240"/>
        <item x="0"/>
        <item x="4"/>
        <item x="21"/>
        <item x="22"/>
        <item x="23"/>
        <item x="33"/>
        <item x="34"/>
        <item x="35"/>
        <item x="36"/>
        <item x="37"/>
        <item x="190"/>
        <item x="191"/>
        <item x="192"/>
        <item x="38"/>
        <item x="193"/>
        <item x="194"/>
        <item x="195"/>
        <item x="196"/>
        <item x="197"/>
        <item x="198"/>
        <item x="199"/>
        <item x="144"/>
        <item x="143"/>
        <item x="200"/>
        <item x="223"/>
        <item x="100"/>
        <item x="29"/>
        <item x="201"/>
        <item x="39"/>
        <item x="202"/>
        <item x="40"/>
        <item x="203"/>
        <item x="204"/>
        <item x="205"/>
        <item x="99"/>
        <item x="41"/>
        <item x="206"/>
        <item x="207"/>
        <item x="208"/>
        <item x="209"/>
        <item x="210"/>
        <item x="221"/>
        <item x="222"/>
        <item x="131"/>
        <item x="132"/>
        <item x="133"/>
        <item x="134"/>
        <item x="135"/>
        <item x="136"/>
        <item x="139"/>
        <item x="140"/>
        <item x="141"/>
        <item x="142"/>
        <item x="145"/>
        <item x="146"/>
        <item x="147"/>
        <item x="148"/>
        <item x="149"/>
        <item x="151"/>
        <item x="20"/>
        <item x="42"/>
        <item x="150"/>
        <item x="83"/>
        <item x="43"/>
        <item x="44"/>
        <item x="211"/>
        <item x="101"/>
        <item x="212"/>
        <item x="213"/>
        <item x="30"/>
        <item x="214"/>
        <item x="45"/>
        <item x="215"/>
        <item x="153"/>
        <item x="155"/>
        <item x="156"/>
        <item x="157"/>
        <item x="152"/>
        <item x="216"/>
        <item x="217"/>
        <item x="130"/>
        <item x="158"/>
        <item x="159"/>
        <item x="160"/>
        <item x="161"/>
        <item x="162"/>
        <item x="163"/>
        <item x="164"/>
        <item x="165"/>
        <item x="46"/>
        <item x="218"/>
        <item x="127"/>
        <item x="219"/>
        <item x="47"/>
        <item x="166"/>
        <item x="167"/>
        <item x="168"/>
        <item x="169"/>
        <item x="170"/>
        <item x="48"/>
        <item x="172"/>
        <item x="173"/>
        <item x="174"/>
        <item x="175"/>
        <item x="171"/>
        <item x="49"/>
        <item x="50"/>
        <item x="176"/>
        <item x="177"/>
        <item x="178"/>
        <item x="182"/>
        <item x="179"/>
        <item x="180"/>
        <item x="181"/>
        <item x="225"/>
        <item x="220"/>
        <item x="51"/>
        <item x="183"/>
        <item x="184"/>
        <item x="185"/>
        <item x="82"/>
        <item x="188"/>
        <item x="187"/>
        <item x="186"/>
        <item x="115"/>
        <item x="189"/>
        <item x="52"/>
        <item x="154"/>
        <item x="94"/>
        <item x="25"/>
        <item x="32"/>
        <item x="53"/>
        <item x="125"/>
        <item x="108"/>
        <item x="102"/>
        <item x="69"/>
        <item x="64"/>
        <item x="81"/>
        <item x="54"/>
        <item x="55"/>
        <item x="56"/>
        <item x="137"/>
        <item x="57"/>
        <item x="58"/>
        <item x="93"/>
        <item x="98"/>
        <item x="95"/>
        <item x="114"/>
        <item x="60"/>
        <item x="8"/>
        <item x="5"/>
        <item x="105"/>
        <item x="111"/>
        <item x="120"/>
        <item x="3"/>
        <item x="17"/>
        <item x="28"/>
        <item x="78"/>
        <item x="65"/>
        <item x="26"/>
        <item x="18"/>
        <item x="75"/>
        <item x="72"/>
        <item x="1"/>
        <item x="59"/>
        <item x="119"/>
        <item x="122"/>
        <item x="88"/>
        <item x="117"/>
        <item x="97"/>
        <item x="123"/>
        <item x="121"/>
        <item x="126"/>
        <item x="96"/>
        <item x="14"/>
        <item x="10"/>
        <item x="84"/>
        <item x="80"/>
        <item x="138"/>
        <item x="76"/>
        <item x="27"/>
        <item x="31"/>
        <item x="124"/>
        <item x="63"/>
        <item x="70"/>
        <item x="118"/>
        <item x="66"/>
        <item x="16"/>
        <item x="90"/>
        <item x="19"/>
        <item x="116"/>
        <item x="74"/>
        <item x="87"/>
        <item x="77"/>
        <item x="86"/>
        <item x="85"/>
        <item x="91"/>
        <item x="112"/>
        <item x="113"/>
        <item x="109"/>
        <item x="107"/>
        <item x="110"/>
        <item x="106"/>
        <item x="61"/>
        <item x="62"/>
        <item x="73"/>
        <item x="79"/>
        <item x="89"/>
        <item x="9"/>
        <item x="15"/>
        <item x="13"/>
        <item x="11"/>
        <item x="6"/>
        <item x="7"/>
        <item x="12"/>
        <item x="67"/>
        <item x="92"/>
        <item x="104"/>
        <item x="103"/>
        <item x="128"/>
        <item x="68"/>
        <item x="129"/>
        <item x="71"/>
        <item x="24"/>
        <item x="2"/>
        <item t="default"/>
      </items>
    </pivotField>
    <pivotField dataField="1" showAll="0"/>
    <pivotField dataField="1" showAll="0"/>
    <pivotField showAll="0"/>
    <pivotField dataField="1" showAll="0"/>
    <pivotField dataField="1" showAll="0"/>
    <pivotField showAll="0"/>
    <pivotField showAll="0"/>
    <pivotField numFmtId="164" showAll="0"/>
    <pivotField numFmtId="1" showAll="0"/>
    <pivotField showAll="0"/>
    <pivotField showAll="0"/>
    <pivotField axis="axisRow" showAll="0" sortType="ascending">
      <items count="14">
        <item h="1" m="1" x="12"/>
        <item h="1" x="8"/>
        <item h="1" x="5"/>
        <item h="1" x="7"/>
        <item h="1" x="6"/>
        <item h="1" x="1"/>
        <item x="4"/>
        <item h="1" x="0"/>
        <item h="1" m="1" x="11"/>
        <item h="1" x="3"/>
        <item h="1" x="9"/>
        <item h="1" x="2"/>
        <item h="1" m="1" x="10"/>
        <item t="default"/>
      </items>
    </pivotField>
    <pivotField showAll="0"/>
    <pivotField showAll="0"/>
    <pivotField showAll="0"/>
    <pivotField dragToRow="0" dragToCol="0" dragToPage="0" showAll="0" defaultSubtotal="0"/>
    <pivotField dragToRow="0" dragToCol="0" dragToPage="0" showAll="0" defaultSubtotal="0"/>
  </pivotFields>
  <rowFields count="2">
    <field x="15"/>
    <field x="3"/>
  </rowFields>
  <rowItems count="113">
    <i>
      <x v="6"/>
    </i>
    <i r="1">
      <x v="30"/>
    </i>
    <i r="1">
      <x v="31"/>
    </i>
    <i r="1">
      <x v="32"/>
    </i>
    <i r="1">
      <x v="33"/>
    </i>
    <i r="1">
      <x v="34"/>
    </i>
    <i r="1">
      <x v="35"/>
    </i>
    <i r="1">
      <x v="36"/>
    </i>
    <i r="1">
      <x v="37"/>
    </i>
    <i r="1">
      <x v="38"/>
    </i>
    <i r="1">
      <x v="39"/>
    </i>
    <i r="1">
      <x v="40"/>
    </i>
    <i r="1">
      <x v="41"/>
    </i>
    <i r="1">
      <x v="42"/>
    </i>
    <i r="1">
      <x v="43"/>
    </i>
    <i r="1">
      <x v="44"/>
    </i>
    <i r="1">
      <x v="45"/>
    </i>
    <i r="1">
      <x v="46"/>
    </i>
    <i r="1">
      <x v="47"/>
    </i>
    <i r="1">
      <x v="48"/>
    </i>
    <i r="1">
      <x v="51"/>
    </i>
    <i r="1">
      <x v="55"/>
    </i>
    <i r="1">
      <x v="56"/>
    </i>
    <i r="1">
      <x v="57"/>
    </i>
    <i r="1">
      <x v="58"/>
    </i>
    <i r="1">
      <x v="59"/>
    </i>
    <i r="1">
      <x v="60"/>
    </i>
    <i r="1">
      <x v="61"/>
    </i>
    <i r="1">
      <x v="63"/>
    </i>
    <i r="1">
      <x v="64"/>
    </i>
    <i r="1">
      <x v="65"/>
    </i>
    <i r="1">
      <x v="66"/>
    </i>
    <i r="1">
      <x v="67"/>
    </i>
    <i r="1">
      <x v="68"/>
    </i>
    <i r="1">
      <x v="71"/>
    </i>
    <i r="1">
      <x v="72"/>
    </i>
    <i r="1">
      <x v="73"/>
    </i>
    <i r="1">
      <x v="74"/>
    </i>
    <i r="1">
      <x v="75"/>
    </i>
    <i r="1">
      <x v="76"/>
    </i>
    <i r="1">
      <x v="77"/>
    </i>
    <i r="1">
      <x v="78"/>
    </i>
    <i r="1">
      <x v="79"/>
    </i>
    <i r="1">
      <x v="80"/>
    </i>
    <i r="1">
      <x v="81"/>
    </i>
    <i r="1">
      <x v="82"/>
    </i>
    <i r="1">
      <x v="83"/>
    </i>
    <i r="1">
      <x v="84"/>
    </i>
    <i r="1">
      <x v="85"/>
    </i>
    <i r="1">
      <x v="88"/>
    </i>
    <i r="1">
      <x v="91"/>
    </i>
    <i r="1">
      <x v="92"/>
    </i>
    <i r="1">
      <x v="93"/>
    </i>
    <i r="1">
      <x v="95"/>
    </i>
    <i r="1">
      <x v="96"/>
    </i>
    <i r="1">
      <x v="98"/>
    </i>
    <i r="1">
      <x v="99"/>
    </i>
    <i r="1">
      <x v="100"/>
    </i>
    <i r="1">
      <x v="101"/>
    </i>
    <i r="1">
      <x v="102"/>
    </i>
    <i r="1">
      <x v="103"/>
    </i>
    <i r="1">
      <x v="104"/>
    </i>
    <i r="1">
      <x v="106"/>
    </i>
    <i r="1">
      <x v="107"/>
    </i>
    <i r="1">
      <x v="109"/>
    </i>
    <i r="1">
      <x v="110"/>
    </i>
    <i r="1">
      <x v="111"/>
    </i>
    <i r="1">
      <x v="112"/>
    </i>
    <i r="1">
      <x v="113"/>
    </i>
    <i r="1">
      <x v="114"/>
    </i>
    <i r="1">
      <x v="115"/>
    </i>
    <i r="1">
      <x v="116"/>
    </i>
    <i r="1">
      <x v="117"/>
    </i>
    <i r="1">
      <x v="118"/>
    </i>
    <i r="1">
      <x v="120"/>
    </i>
    <i r="1">
      <x v="121"/>
    </i>
    <i r="1">
      <x v="122"/>
    </i>
    <i r="1">
      <x v="123"/>
    </i>
    <i r="1">
      <x v="124"/>
    </i>
    <i r="1">
      <x v="125"/>
    </i>
    <i r="1">
      <x v="126"/>
    </i>
    <i r="1">
      <x v="127"/>
    </i>
    <i r="1">
      <x v="128"/>
    </i>
    <i r="1">
      <x v="129"/>
    </i>
    <i r="1">
      <x v="130"/>
    </i>
    <i r="1">
      <x v="131"/>
    </i>
    <i r="1">
      <x v="133"/>
    </i>
    <i r="1">
      <x v="134"/>
    </i>
    <i r="1">
      <x v="135"/>
    </i>
    <i r="1">
      <x v="136"/>
    </i>
    <i r="1">
      <x v="137"/>
    </i>
    <i r="1">
      <x v="138"/>
    </i>
    <i r="1">
      <x v="139"/>
    </i>
    <i r="1">
      <x v="140"/>
    </i>
    <i r="1">
      <x v="141"/>
    </i>
    <i r="1">
      <x v="144"/>
    </i>
    <i r="1">
      <x v="145"/>
    </i>
    <i r="1">
      <x v="146"/>
    </i>
    <i r="1">
      <x v="147"/>
    </i>
    <i r="1">
      <x v="151"/>
    </i>
    <i r="1">
      <x v="153"/>
    </i>
    <i r="1">
      <x v="154"/>
    </i>
    <i r="1">
      <x v="159"/>
    </i>
    <i r="1">
      <x v="166"/>
    </i>
    <i r="1">
      <x v="167"/>
    </i>
    <i r="1">
      <x v="168"/>
    </i>
    <i r="1">
      <x v="169"/>
    </i>
    <i r="1">
      <x v="170"/>
    </i>
    <i r="1">
      <x v="171"/>
    </i>
    <i r="1">
      <x v="192"/>
    </i>
    <i r="1">
      <x v="206"/>
    </i>
    <i r="1">
      <x v="252"/>
    </i>
    <i t="grand">
      <x/>
    </i>
  </rowItems>
  <colFields count="1">
    <field x="-2"/>
  </colFields>
  <colItems count="4">
    <i>
      <x/>
    </i>
    <i i="1">
      <x v="1"/>
    </i>
    <i i="2">
      <x v="2"/>
    </i>
    <i i="3">
      <x v="3"/>
    </i>
  </colItems>
  <dataFields count="4">
    <dataField name="Sum of Equipment Count" fld="5" baseField="15" baseItem="6"/>
    <dataField name="Sum of Demand Watt" fld="7" baseField="0" baseItem="0" numFmtId="164"/>
    <dataField name="Sum of Spec Wattage" fld="4" baseField="2" baseItem="7"/>
    <dataField name="Sum of kWh/yr" fld="8" baseField="0" baseItem="0" numFmtId="164"/>
  </dataFields>
  <formats count="2">
    <format dxfId="51">
      <pivotArea outline="0" collapsedLevelsAreSubtotals="1" fieldPosition="0">
        <references count="1">
          <reference field="4294967294" count="1" selected="0">
            <x v="3"/>
          </reference>
        </references>
      </pivotArea>
    </format>
    <format dxfId="5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L12:N61" firstHeaderRow="0" firstDataRow="1" firstDataCol="1"/>
  <pivotFields count="7">
    <pivotField numFmtId="14" showAll="0"/>
    <pivotField axis="axisRow" numFmtId="14" showAll="0">
      <items count="49">
        <item x="47"/>
        <item x="46"/>
        <item x="45"/>
        <item x="44"/>
        <item x="43"/>
        <item x="42"/>
        <item x="41"/>
        <item x="40"/>
        <item x="38"/>
        <item x="39"/>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dataField="1" numFmtId="44" showAll="0"/>
    <pivotField showAll="0"/>
    <pivotField numFmtId="43" showAll="0"/>
    <pivotField numFmtId="44"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um of Usage (Required)" fld="2" baseField="0" baseItem="0"/>
    <dataField name="Sum of Cost (Optional)"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Q15:S64" firstHeaderRow="0" firstDataRow="1" firstDataCol="1"/>
  <pivotFields count="7">
    <pivotField numFmtId="14" showAll="0"/>
    <pivotField axis="axisRow" numFmtId="14" showAll="0">
      <items count="49">
        <item x="47"/>
        <item x="46"/>
        <item x="45"/>
        <item x="44"/>
        <item x="43"/>
        <item x="42"/>
        <item x="41"/>
        <item x="40"/>
        <item x="39"/>
        <item x="38"/>
        <item x="37"/>
        <item x="36"/>
        <item x="35"/>
        <item x="34"/>
        <item x="33"/>
        <item x="31"/>
        <item x="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dataField="1" numFmtId="44" showAll="0"/>
    <pivotField showAll="0"/>
    <pivotField numFmtId="1" showAll="0"/>
    <pivotField numFmtId="44"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um of Usage (Required)" fld="2" baseField="0" baseItem="0"/>
    <dataField name="Sum of Cost (Optional)"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M4:P10" totalsRowShown="0" headerRowDxfId="60" dataDxfId="58" headerRowBorderDxfId="59" tableBorderDxfId="57" totalsRowBorderDxfId="56">
  <autoFilter ref="M4:P10" xr:uid="{00000000-0009-0000-0100-000008000000}"/>
  <tableColumns count="4">
    <tableColumn id="1" xr3:uid="{00000000-0010-0000-0000-000001000000}" name="Load Source" dataDxfId="55"/>
    <tableColumn id="2" xr3:uid="{00000000-0010-0000-0000-000002000000}" name="CEP kWh" dataDxfId="54" dataCellStyle="Comma">
      <calculatedColumnFormula>Table8[[#This Row],[CHW kBtu]]/3.412142</calculatedColumnFormula>
    </tableColumn>
    <tableColumn id="3" xr3:uid="{00000000-0010-0000-0000-000003000000}" name="CHW kBtu" dataDxfId="53" dataCellStyle="Comma"/>
    <tableColumn id="4" xr3:uid="{00000000-0010-0000-0000-000004000000}" name="% of Total CHW Load" dataDxfId="52"/>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2:E17" totalsRowCount="1">
  <autoFilter ref="A2:E16" xr:uid="{00000000-0009-0000-0100-000004000000}"/>
  <sortState xmlns:xlrd2="http://schemas.microsoft.com/office/spreadsheetml/2017/richdata2" ref="A3:E16">
    <sortCondition ref="A2:A16"/>
  </sortState>
  <tableColumns count="5">
    <tableColumn id="1" xr3:uid="{00000000-0010-0000-0100-000001000000}" name="kVA (est. to nearest ± 2kVA)" dataCellStyle="Input"/>
    <tableColumn id="2" xr3:uid="{00000000-0010-0000-0100-000002000000}" name="Quantity" totalsRowFunction="sum" dataCellStyle="Input"/>
    <tableColumn id="3" xr3:uid="{00000000-0010-0000-0100-000003000000}" name="Avg. Impedance " dataDxfId="49">
      <calculatedColumnFormula>AVERAGE($L$3:$L$1000)</calculatedColumnFormula>
    </tableColumn>
    <tableColumn id="4" xr3:uid="{00000000-0010-0000-0100-000004000000}" name="Summed kVA" totalsRowFunction="sum" dataDxfId="48" totalsRowDxfId="47">
      <calculatedColumnFormula>Table4[[#This Row],[kVA (est. to nearest ± 2kVA)]]*Table4[[#This Row],[Quantity]]</calculatedColumnFormula>
    </tableColumn>
    <tableColumn id="5" xr3:uid="{00000000-0010-0000-0100-000005000000}" name="Parasitic Loss" totalsRowFunction="sum">
      <calculatedColumnFormula>(A3*C3)*B3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PlanGrid" displayName="PlanGrid" ref="A1:S1174" totalsRowCount="1">
  <autoFilter ref="A1:S1173" xr:uid="{00000000-0009-0000-0100-000001000000}">
    <filterColumn colId="5">
      <customFilters>
        <customFilter operator="notEqual" val=" "/>
      </customFilters>
    </filterColumn>
  </autoFilter>
  <sortState xmlns:xlrd2="http://schemas.microsoft.com/office/spreadsheetml/2017/richdata2" ref="A118:S1164">
    <sortCondition ref="H1:H1173"/>
  </sortState>
  <tableColumns count="19">
    <tableColumn id="1" xr3:uid="{00000000-0010-0000-0200-000001000000}" name="Issue #"/>
    <tableColumn id="2" xr3:uid="{00000000-0010-0000-0200-000002000000}" name="Stamp"/>
    <tableColumn id="3" xr3:uid="{00000000-0010-0000-0200-000003000000}" name="Title"/>
    <tableColumn id="4" xr3:uid="{00000000-0010-0000-0200-000004000000}" name="Description"/>
    <tableColumn id="5" xr3:uid="{00000000-0010-0000-0200-000005000000}" name="Spec Wattage" dataDxfId="46" totalsRowDxfId="45">
      <calculatedColumnFormula>VLOOKUP(PlanGrid[[#This Row],[Title]],'Spec Wattages'!$A$1:$C$973,2,FALSE)</calculatedColumnFormula>
    </tableColumn>
    <tableColumn id="13" xr3:uid="{00000000-0010-0000-0200-00000D000000}" name="Equipment Count" totalsRowFunction="sum" dataDxfId="44" totalsRowDxfId="43"/>
    <tableColumn id="14" xr3:uid="{00000000-0010-0000-0200-00000E000000}" name="Utilization %" dataDxfId="42" totalsRowDxfId="41"/>
    <tableColumn id="15" xr3:uid="{00000000-0010-0000-0200-00000F000000}" name="Demand Watt" totalsRowFunction="sum" dataDxfId="40" totalsRowDxfId="39">
      <calculatedColumnFormula>PlanGrid[[#This Row],[Spec Wattage]]*PlanGrid[[#This Row],[Equipment Count]]</calculatedColumnFormula>
    </tableColumn>
    <tableColumn id="17" xr3:uid="{00000000-0010-0000-0200-000011000000}" name="kWh/yr" totalsRowFunction="sum" dataDxfId="38" totalsRowDxfId="37">
      <calculatedColumnFormula>((PlanGrid[[#This Row],[Demand Watt]]*PlanGrid[[#This Row],[Utilization %]]*'Schedule-Building Info'!$N$16)/1000)</calculatedColumnFormula>
    </tableColumn>
    <tableColumn id="20" xr3:uid="{00000000-0010-0000-0200-000014000000}" name="Annual Elec $" totalsRowFunction="sum" dataDxfId="36" totalsRowDxfId="35" dataCellStyle="Comma">
      <calculatedColumnFormula>PlanGrid[[#This Row],[kWh/yr]]*' Elec Utility (kWh)'!$M$7</calculatedColumnFormula>
    </tableColumn>
    <tableColumn id="18" xr3:uid="{00000000-0010-0000-0200-000012000000}" name="W/ft2" totalsRowFunction="custom" dataDxfId="34" totalsRowDxfId="33">
      <calculatedColumnFormula>PlanGrid[[#This Row],[kWh/yr]]/'Schedule-Building Info'!$B$6</calculatedColumnFormula>
      <totalsRowFormula>SUBTOTAL(109,K4:K301)</totalsRowFormula>
    </tableColumn>
    <tableColumn id="19" xr3:uid="{00000000-0010-0000-0200-000013000000}" name="kBtu/yr" totalsRowFunction="sum" dataDxfId="32" totalsRowDxfId="31" dataCellStyle="Comma">
      <calculatedColumnFormula>CONVERT(PlanGrid[[#This Row],[kWh/yr]],"Wh","BTU")</calculatedColumnFormula>
    </tableColumn>
    <tableColumn id="16" xr3:uid="{00000000-0010-0000-0200-000010000000}" name="kBtu/ft2-yr" totalsRowFunction="sum" dataDxfId="30" totalsRowDxfId="29">
      <calculatedColumnFormula>PlanGrid[[#This Row],[kBtu/yr]]/'Schedule-Building Info'!$B$6</calculatedColumnFormula>
    </tableColumn>
    <tableColumn id="6" xr3:uid="{00000000-0010-0000-0200-000006000000}" name="Sheet"/>
    <tableColumn id="7" xr3:uid="{00000000-0010-0000-0200-000007000000}" name="# Photos"/>
    <tableColumn id="9" xr3:uid="{00000000-0010-0000-0200-000009000000}" name="Archived" dataDxfId="28">
      <calculatedColumnFormula>VLOOKUP(PlanGrid[[#This Row],[Title]],'Spec Wattages'!$A$1:$C$973,3,FALSE)</calculatedColumnFormula>
    </tableColumn>
    <tableColumn id="10" xr3:uid="{00000000-0010-0000-0200-00000A000000}" name="Date"/>
    <tableColumn id="11" xr3:uid="{00000000-0010-0000-0200-00000B000000}" name="Last Updated"/>
    <tableColumn id="12" xr3:uid="{00000000-0010-0000-0200-00000C000000}" name="Created B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Electric27" displayName="Electric27" ref="B1:I50" totalsRowShown="0">
  <autoFilter ref="B1:I50" xr:uid="{00000000-0009-0000-0100-000002000000}"/>
  <sortState xmlns:xlrd2="http://schemas.microsoft.com/office/spreadsheetml/2017/richdata2" ref="B2:I49">
    <sortCondition ref="B1:B49"/>
  </sortState>
  <tableColumns count="8">
    <tableColumn id="1" xr3:uid="{00000000-0010-0000-0300-000001000000}" name="Start Date (Required)" dataDxfId="27" dataCellStyle="Comma"/>
    <tableColumn id="2" xr3:uid="{00000000-0010-0000-0300-000002000000}" name="End Date (Required)" dataDxfId="26" dataCellStyle="Comma"/>
    <tableColumn id="3" xr3:uid="{00000000-0010-0000-0300-000003000000}" name="Usage (Required)" dataDxfId="25" dataCellStyle="Comma"/>
    <tableColumn id="4" xr3:uid="{00000000-0010-0000-0300-000004000000}" name="Cost (Optional)" dataDxfId="24" dataCellStyle="Currency"/>
    <tableColumn id="5" xr3:uid="{00000000-0010-0000-0300-000005000000}" name="Estimation (Required)"/>
    <tableColumn id="6" xr3:uid="{00000000-0010-0000-0300-000006000000}" name="Avg Use/Day kWh" dataDxfId="23" dataCellStyle="Comma"/>
    <tableColumn id="7" xr3:uid="{00000000-0010-0000-0300-000007000000}" name="Unit Cost" dataDxfId="22" dataCellStyle="Currency"/>
    <tableColumn id="8" xr3:uid="{00000000-0010-0000-0300-000008000000}" name="kBtu/Mnth" dataDxfId="21" dataCellStyle="Comma">
      <calculatedColumnFormula>CONVERT(Electric27[[#This Row],[Usage (Required)]],"kWh","BTU")/1000</calculatedColumnFormula>
    </tableColumn>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AHU1B_CHW" displayName="AHU1B_CHW" ref="D2:O55" totalsRowShown="0">
  <autoFilter ref="D2:O55" xr:uid="{00000000-0009-0000-0100-000003000000}"/>
  <sortState xmlns:xlrd2="http://schemas.microsoft.com/office/spreadsheetml/2017/richdata2" ref="D3:O50">
    <sortCondition descending="1" ref="D2:D50"/>
  </sortState>
  <tableColumns count="12">
    <tableColumn id="1" xr3:uid="{00000000-0010-0000-0400-000001000000}" name="Start Date (Required)" dataDxfId="20"/>
    <tableColumn id="2" xr3:uid="{00000000-0010-0000-0400-000002000000}" name="End Date (Required)" dataDxfId="19"/>
    <tableColumn id="3" xr3:uid="{00000000-0010-0000-0400-000003000000}" name="Usage (Required)" dataDxfId="18" dataCellStyle="Comma"/>
    <tableColumn id="4" xr3:uid="{00000000-0010-0000-0400-000004000000}" name="Cost (Optional)" dataDxfId="17" dataCellStyle="Currency"/>
    <tableColumn id="5" xr3:uid="{00000000-0010-0000-0400-000005000000}" name="Estimation (Required)"/>
    <tableColumn id="6" xr3:uid="{00000000-0010-0000-0400-000006000000}" name="Use/Day" dataDxfId="16" dataCellStyle="Comma"/>
    <tableColumn id="7" xr3:uid="{00000000-0010-0000-0400-000007000000}" name="Unit Cost" dataDxfId="15" dataCellStyle="Currency"/>
    <tableColumn id="8" xr3:uid="{00000000-0010-0000-0400-000008000000}" name="Demand kWh/mnth" dataDxfId="14" dataCellStyle="Comma">
      <calculatedColumnFormula>AHU1B_CHW[[#This Row],[Usage (Required)]]*3.51685</calculatedColumnFormula>
    </tableColumn>
    <tableColumn id="9" xr3:uid="{00000000-0010-0000-0400-000009000000}" name="(kBtu/h)/mnth" dataDxfId="13" dataCellStyle="Comma">
      <calculatedColumnFormula>AHU1B_CHW[[#This Row],[Usage (Required)]]*12000</calculatedColumnFormula>
    </tableColumn>
    <tableColumn id="10" xr3:uid="{00000000-0010-0000-0400-00000A000000}" name="Billing Period" dataDxfId="12" dataCellStyle="Comma">
      <calculatedColumnFormula>AHU1B_CHW[[#This Row],[End Date (Required)]]-AHU1B_CHW[[#This Row],[Start Date (Required)]]</calculatedColumnFormula>
    </tableColumn>
    <tableColumn id="11" xr3:uid="{00000000-0010-0000-0400-00000B000000}" name="kW Demand" dataDxfId="11" dataCellStyle="Comma">
      <calculatedColumnFormula>AHU1B_CHW[[#This Row],[Demand kWh/mnth]]/(AHU1B_CHW[[#This Row],[Billing Period]]*24)</calculatedColumnFormula>
    </tableColumn>
    <tableColumn id="12" xr3:uid="{00000000-0010-0000-0400-00000C000000}" name="kBtu" dataDxfId="10" dataCellStyle="Comma">
      <calculatedColumnFormula>AHU1B_CHW[[#This Row],[(kBtu/h)/mnth]]/(AHU1B_CHW[[#This Row],[Billing Period]]*24)</calculatedColumnFormula>
    </tableColumn>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5:E22" totalsRowCount="1">
  <autoFilter ref="A5:E21" xr:uid="{00000000-0009-0000-0100-000006000000}">
    <filterColumn colId="4">
      <colorFilter dxfId="3"/>
    </filterColumn>
  </autoFilter>
  <tableColumns count="5">
    <tableColumn id="1" xr3:uid="{00000000-0010-0000-0500-000001000000}" name="VTU"/>
    <tableColumn id="2" xr3:uid="{00000000-0010-0000-0500-000002000000}" name="Room #" dataDxfId="2"/>
    <tableColumn id="3" xr3:uid="{00000000-0010-0000-0500-000003000000}" name="Design CFM"/>
    <tableColumn id="4" xr3:uid="{00000000-0010-0000-0500-000004000000}" name="Tested CFM"/>
    <tableColumn id="5" xr3:uid="{00000000-0010-0000-0500-000005000000}" name="% Diff" totalsRowFunction="custom" dataDxfId="1" totalsRowDxfId="0" dataCellStyle="Percent">
      <calculatedColumnFormula>D6/C6</calculatedColumnFormula>
      <totalsRowFormula>SUBTOTAL(103,E6:E20)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 displayName="Table1" ref="A1:C978" totalsRowShown="0">
  <autoFilter ref="A1:C978" xr:uid="{00000000-0009-0000-0100-000007000000}"/>
  <sortState xmlns:xlrd2="http://schemas.microsoft.com/office/spreadsheetml/2017/richdata2" ref="A2:C968">
    <sortCondition ref="A1:A973"/>
  </sortState>
  <tableColumns count="3">
    <tableColumn id="1" xr3:uid="{00000000-0010-0000-0600-000001000000}" name="Title"/>
    <tableColumn id="2" xr3:uid="{00000000-0010-0000-0600-000002000000}" name="Spec Wattage"/>
    <tableColumn id="3" xr3:uid="{00000000-0010-0000-0600-000003000000}" name="Archiv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rexelusa.com/usr/Root-Category/Lighting%2C-Lighting-Controls/Emergency-Lighting-%26-Signs/Lighting-%26-Signs/Exit-Signs/Hubbell-Dual-Lite-CERRC-Exit-Sign%2C-LED%2C-Remote-Capacity%2C-White%2C-Red-Letters%2C-120-277V/p/497470?prevPageNumber=1" TargetMode="Externa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pivotTable" Target="../pivotTables/pivotTable3.xm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ivotTable" Target="../pivotTables/pivotTable4.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O62"/>
  <sheetViews>
    <sheetView zoomScaleNormal="100" workbookViewId="0">
      <pane ySplit="2" topLeftCell="A3" activePane="bottomLeft" state="frozen"/>
      <selection pane="bottomLeft" activeCell="E15" sqref="E15"/>
    </sheetView>
  </sheetViews>
  <sheetFormatPr defaultColWidth="9.140625" defaultRowHeight="15" x14ac:dyDescent="0.25"/>
  <cols>
    <col min="1" max="1" width="9.140625" style="69"/>
    <col min="2" max="2" width="5.7109375" style="84" bestFit="1" customWidth="1"/>
    <col min="3" max="3" width="36" style="72" bestFit="1" customWidth="1"/>
    <col min="4" max="4" width="16.85546875" style="70" customWidth="1"/>
    <col min="5" max="5" width="10.7109375" style="70" customWidth="1"/>
    <col min="6" max="6" width="16.5703125" style="69" customWidth="1"/>
    <col min="7" max="7" width="52.85546875" style="72" customWidth="1"/>
    <col min="8" max="8" width="11.5703125" style="70" bestFit="1" customWidth="1"/>
    <col min="9" max="9" width="9.140625" style="71"/>
    <col min="10" max="10" width="21.28515625" style="70" bestFit="1" customWidth="1"/>
    <col min="11" max="16384" width="9.140625" style="69"/>
  </cols>
  <sheetData>
    <row r="2" spans="2:15" ht="18.75" customHeight="1" x14ac:dyDescent="0.3">
      <c r="B2" s="552" t="s">
        <v>1249</v>
      </c>
      <c r="C2" s="552"/>
      <c r="D2" s="552"/>
      <c r="E2" s="552"/>
      <c r="F2" s="552"/>
      <c r="G2" s="552"/>
      <c r="H2" s="295"/>
      <c r="I2" s="426"/>
      <c r="J2" s="427"/>
    </row>
    <row r="3" spans="2:15" ht="15" customHeight="1" x14ac:dyDescent="0.25">
      <c r="B3" s="552" t="s">
        <v>170</v>
      </c>
      <c r="C3" s="552"/>
      <c r="D3" s="552"/>
      <c r="E3" s="552"/>
      <c r="F3" s="552"/>
      <c r="G3" s="552"/>
      <c r="H3" s="295"/>
    </row>
    <row r="4" spans="2:15" ht="30" x14ac:dyDescent="0.25">
      <c r="B4" s="83" t="s">
        <v>128</v>
      </c>
      <c r="C4" s="83" t="s">
        <v>127</v>
      </c>
      <c r="D4" s="82" t="s">
        <v>126</v>
      </c>
      <c r="E4" s="82" t="s">
        <v>125</v>
      </c>
      <c r="F4" s="83" t="s">
        <v>124</v>
      </c>
      <c r="G4" s="83" t="s">
        <v>123</v>
      </c>
      <c r="H4"/>
      <c r="I4"/>
      <c r="J4"/>
    </row>
    <row r="5" spans="2:15" s="80" customFormat="1" ht="45" x14ac:dyDescent="0.25">
      <c r="B5" s="264">
        <v>1.1000000000000001</v>
      </c>
      <c r="C5" s="251" t="s">
        <v>171</v>
      </c>
      <c r="D5" s="266">
        <v>45000</v>
      </c>
      <c r="E5" s="74" t="s">
        <v>357</v>
      </c>
      <c r="F5" s="264"/>
      <c r="G5" s="251"/>
      <c r="H5"/>
      <c r="J5" s="79"/>
    </row>
    <row r="6" spans="2:15" s="80" customFormat="1" ht="30" x14ac:dyDescent="0.25">
      <c r="B6" s="251">
        <v>1.2</v>
      </c>
      <c r="C6" s="251" t="s">
        <v>1250</v>
      </c>
      <c r="D6" s="250" t="s">
        <v>411</v>
      </c>
      <c r="E6" s="241"/>
      <c r="F6" s="250"/>
      <c r="G6" s="251" t="s">
        <v>183</v>
      </c>
      <c r="H6"/>
    </row>
    <row r="7" spans="2:15" ht="30" x14ac:dyDescent="0.25">
      <c r="B7" s="251">
        <v>1.3</v>
      </c>
      <c r="C7" s="252" t="s">
        <v>180</v>
      </c>
      <c r="D7" s="250" t="s">
        <v>411</v>
      </c>
      <c r="E7" s="243"/>
      <c r="F7" s="250"/>
      <c r="G7" s="251" t="s">
        <v>183</v>
      </c>
      <c r="H7"/>
      <c r="N7" s="262"/>
      <c r="O7" s="69" t="s">
        <v>391</v>
      </c>
    </row>
    <row r="8" spans="2:15" ht="30" x14ac:dyDescent="0.25">
      <c r="B8" s="251">
        <v>1.4</v>
      </c>
      <c r="C8" s="252" t="s">
        <v>182</v>
      </c>
      <c r="D8" s="250" t="s">
        <v>411</v>
      </c>
      <c r="E8" s="243"/>
      <c r="F8" s="250"/>
      <c r="G8" s="251" t="s">
        <v>183</v>
      </c>
      <c r="H8"/>
      <c r="J8" s="253"/>
      <c r="K8" s="70"/>
      <c r="N8" s="262"/>
      <c r="O8" s="69" t="s">
        <v>391</v>
      </c>
    </row>
    <row r="9" spans="2:15" ht="30" x14ac:dyDescent="0.25">
      <c r="B9" s="264">
        <v>1.5</v>
      </c>
      <c r="C9" s="252" t="s">
        <v>174</v>
      </c>
      <c r="D9" s="250" t="s">
        <v>411</v>
      </c>
      <c r="E9" s="243"/>
      <c r="F9" s="250"/>
      <c r="G9" s="251" t="s">
        <v>183</v>
      </c>
      <c r="H9"/>
    </row>
    <row r="10" spans="2:15" ht="30" x14ac:dyDescent="0.25">
      <c r="B10" s="251">
        <v>1.6</v>
      </c>
      <c r="C10" s="251" t="s">
        <v>175</v>
      </c>
      <c r="D10" s="250" t="s">
        <v>411</v>
      </c>
      <c r="E10" s="243"/>
      <c r="F10" s="250"/>
      <c r="G10" s="251" t="s">
        <v>183</v>
      </c>
      <c r="H10"/>
    </row>
    <row r="11" spans="2:15" ht="30" x14ac:dyDescent="0.25">
      <c r="B11" s="251">
        <v>1.7</v>
      </c>
      <c r="C11" s="252" t="s">
        <v>181</v>
      </c>
      <c r="D11" s="250"/>
      <c r="E11" s="243"/>
      <c r="F11" s="247"/>
      <c r="G11" s="251" t="s">
        <v>183</v>
      </c>
      <c r="H11"/>
    </row>
    <row r="12" spans="2:15" ht="30" x14ac:dyDescent="0.25">
      <c r="B12" s="251">
        <v>1.8</v>
      </c>
      <c r="C12" s="252" t="s">
        <v>188</v>
      </c>
      <c r="D12" s="250"/>
      <c r="E12" s="243">
        <v>250</v>
      </c>
      <c r="F12" s="247">
        <v>10</v>
      </c>
      <c r="G12" s="251" t="s">
        <v>189</v>
      </c>
      <c r="H12"/>
    </row>
    <row r="13" spans="2:15" ht="30" x14ac:dyDescent="0.25">
      <c r="B13" s="264">
        <v>1.9</v>
      </c>
      <c r="C13" s="252" t="s">
        <v>1251</v>
      </c>
      <c r="D13" s="250"/>
      <c r="E13" s="243"/>
      <c r="F13" s="247"/>
      <c r="G13" s="251" t="s">
        <v>1252</v>
      </c>
      <c r="H13" s="248"/>
    </row>
    <row r="14" spans="2:15" ht="45" x14ac:dyDescent="0.25">
      <c r="B14" s="265">
        <v>1.1000000000000001</v>
      </c>
      <c r="C14" s="251" t="s">
        <v>190</v>
      </c>
      <c r="D14" s="250"/>
      <c r="E14" s="241" t="s">
        <v>186</v>
      </c>
      <c r="F14" s="263" t="s">
        <v>186</v>
      </c>
      <c r="G14" s="251" t="s">
        <v>187</v>
      </c>
      <c r="H14" s="248"/>
    </row>
    <row r="15" spans="2:15" ht="60" x14ac:dyDescent="0.25">
      <c r="B15" s="251">
        <v>1.1100000000000001</v>
      </c>
      <c r="C15" s="252" t="s">
        <v>1253</v>
      </c>
      <c r="D15" s="250"/>
      <c r="E15" s="243"/>
      <c r="F15" s="250"/>
      <c r="G15" s="251" t="s">
        <v>1254</v>
      </c>
      <c r="H15" s="248"/>
    </row>
    <row r="16" spans="2:15" ht="75" x14ac:dyDescent="0.25">
      <c r="B16" s="251">
        <v>1.1200000000000001</v>
      </c>
      <c r="C16" s="252" t="s">
        <v>1255</v>
      </c>
      <c r="D16" s="250"/>
      <c r="E16" s="243"/>
      <c r="F16" s="250"/>
      <c r="G16" s="251" t="s">
        <v>1256</v>
      </c>
      <c r="H16" s="248"/>
      <c r="L16" s="262"/>
    </row>
    <row r="17" spans="2:12" ht="45" x14ac:dyDescent="0.25">
      <c r="B17" s="265">
        <v>1.1299999999999999</v>
      </c>
      <c r="C17" s="252" t="s">
        <v>1257</v>
      </c>
      <c r="D17" s="250"/>
      <c r="E17" s="243"/>
      <c r="F17" s="250"/>
      <c r="G17" s="251" t="s">
        <v>1258</v>
      </c>
      <c r="H17" s="248"/>
    </row>
    <row r="18" spans="2:12" ht="30" x14ac:dyDescent="0.25">
      <c r="B18" s="251">
        <v>1.1399999999999999</v>
      </c>
      <c r="C18" s="252" t="s">
        <v>1259</v>
      </c>
      <c r="D18" s="250"/>
      <c r="E18" s="243"/>
      <c r="F18" s="250"/>
      <c r="G18" s="251" t="s">
        <v>1260</v>
      </c>
      <c r="H18" s="248"/>
    </row>
    <row r="19" spans="2:12" ht="30.75" customHeight="1" x14ac:dyDescent="0.25">
      <c r="B19" s="251">
        <v>1.1499999999999999</v>
      </c>
      <c r="C19" s="252" t="s">
        <v>1261</v>
      </c>
      <c r="D19" s="250"/>
      <c r="E19" s="243"/>
      <c r="F19" s="250"/>
      <c r="G19" s="251" t="s">
        <v>1262</v>
      </c>
      <c r="H19" s="248"/>
    </row>
    <row r="20" spans="2:12" ht="30" x14ac:dyDescent="0.25">
      <c r="B20" s="265">
        <v>1.1599999999999999</v>
      </c>
      <c r="C20" s="252" t="s">
        <v>184</v>
      </c>
      <c r="D20" s="243"/>
      <c r="E20" s="243"/>
      <c r="F20" s="247"/>
      <c r="G20" s="252"/>
      <c r="H20" s="248"/>
    </row>
    <row r="21" spans="2:12" ht="30" x14ac:dyDescent="0.25">
      <c r="B21" s="251">
        <v>1.17</v>
      </c>
      <c r="C21" s="252" t="s">
        <v>192</v>
      </c>
      <c r="D21" s="250">
        <v>5000</v>
      </c>
      <c r="E21" s="243" t="s">
        <v>186</v>
      </c>
      <c r="F21" s="242" t="s">
        <v>186</v>
      </c>
      <c r="G21" s="416" t="s">
        <v>1263</v>
      </c>
      <c r="H21" s="248"/>
    </row>
    <row r="22" spans="2:12" ht="30" x14ac:dyDescent="0.25">
      <c r="B22" s="251">
        <v>1.18</v>
      </c>
      <c r="C22" s="252" t="s">
        <v>172</v>
      </c>
      <c r="D22" s="250">
        <v>2500</v>
      </c>
      <c r="E22" s="243">
        <v>600</v>
      </c>
      <c r="F22" s="247">
        <v>5</v>
      </c>
      <c r="G22" s="416"/>
      <c r="H22" s="248"/>
    </row>
    <row r="23" spans="2:12" ht="30" x14ac:dyDescent="0.25">
      <c r="B23" s="265">
        <v>1.19</v>
      </c>
      <c r="C23" s="252" t="s">
        <v>173</v>
      </c>
      <c r="D23" s="250" t="s">
        <v>178</v>
      </c>
      <c r="E23" s="241">
        <v>100</v>
      </c>
      <c r="F23" s="263" t="s">
        <v>179</v>
      </c>
      <c r="G23" s="417"/>
      <c r="H23" s="248"/>
    </row>
    <row r="24" spans="2:12" ht="60" x14ac:dyDescent="0.25">
      <c r="B24" s="265">
        <v>1.2</v>
      </c>
      <c r="C24" s="252" t="s">
        <v>1264</v>
      </c>
      <c r="D24" s="243"/>
      <c r="E24" s="243"/>
      <c r="F24" s="243"/>
      <c r="G24" s="416" t="s">
        <v>1265</v>
      </c>
      <c r="H24" s="248"/>
      <c r="K24" s="69" t="e">
        <f>15.3*#REF!</f>
        <v>#REF!</v>
      </c>
      <c r="L24" s="69" t="s">
        <v>404</v>
      </c>
    </row>
    <row r="25" spans="2:12" ht="30" x14ac:dyDescent="0.25">
      <c r="B25" s="251">
        <v>1.21</v>
      </c>
      <c r="C25" s="418" t="s">
        <v>1266</v>
      </c>
      <c r="D25" s="418"/>
      <c r="E25" s="418" t="s">
        <v>186</v>
      </c>
      <c r="F25" s="418" t="s">
        <v>186</v>
      </c>
      <c r="G25" s="417" t="s">
        <v>1267</v>
      </c>
      <c r="H25" s="248"/>
      <c r="K25" s="69" t="e">
        <f>K24/1000</f>
        <v>#REF!</v>
      </c>
    </row>
    <row r="26" spans="2:12" ht="60" x14ac:dyDescent="0.25">
      <c r="B26" s="265">
        <v>1.22</v>
      </c>
      <c r="C26" s="252" t="s">
        <v>1268</v>
      </c>
      <c r="D26" s="243" t="s">
        <v>185</v>
      </c>
      <c r="E26" s="243" t="s">
        <v>185</v>
      </c>
      <c r="F26" s="243" t="s">
        <v>185</v>
      </c>
      <c r="G26" s="416" t="s">
        <v>1269</v>
      </c>
      <c r="H26" s="248"/>
    </row>
    <row r="27" spans="2:12" ht="15" customHeight="1" x14ac:dyDescent="0.25">
      <c r="B27" s="552" t="s">
        <v>129</v>
      </c>
      <c r="C27" s="552"/>
      <c r="D27" s="552"/>
      <c r="E27" s="552"/>
      <c r="F27" s="552"/>
      <c r="G27" s="552"/>
      <c r="H27" s="248"/>
    </row>
    <row r="28" spans="2:12" ht="30" x14ac:dyDescent="0.25">
      <c r="B28" s="83" t="s">
        <v>128</v>
      </c>
      <c r="C28" s="83" t="s">
        <v>127</v>
      </c>
      <c r="D28" s="82" t="s">
        <v>126</v>
      </c>
      <c r="E28" s="82" t="s">
        <v>125</v>
      </c>
      <c r="F28" s="83" t="s">
        <v>124</v>
      </c>
      <c r="G28" s="83" t="s">
        <v>123</v>
      </c>
      <c r="H28"/>
    </row>
    <row r="29" spans="2:12" ht="45" x14ac:dyDescent="0.25">
      <c r="B29" s="252" t="s">
        <v>392</v>
      </c>
      <c r="C29" s="252" t="s">
        <v>402</v>
      </c>
      <c r="D29" s="243" t="s">
        <v>398</v>
      </c>
      <c r="E29" s="243" t="s">
        <v>401</v>
      </c>
      <c r="F29" s="244" t="s">
        <v>1270</v>
      </c>
      <c r="G29" s="416" t="s">
        <v>1271</v>
      </c>
      <c r="H29" s="249"/>
    </row>
    <row r="30" spans="2:12" ht="45" x14ac:dyDescent="0.25">
      <c r="B30" s="252" t="s">
        <v>394</v>
      </c>
      <c r="C30" s="252" t="s">
        <v>395</v>
      </c>
      <c r="D30" s="243" t="s">
        <v>397</v>
      </c>
      <c r="E30" s="243" t="s">
        <v>399</v>
      </c>
      <c r="F30" s="244" t="s">
        <v>1272</v>
      </c>
      <c r="G30" s="416" t="s">
        <v>1271</v>
      </c>
      <c r="H30" s="249"/>
    </row>
    <row r="31" spans="2:12" ht="45" x14ac:dyDescent="0.25">
      <c r="B31" s="252" t="s">
        <v>393</v>
      </c>
      <c r="C31" s="252" t="s">
        <v>403</v>
      </c>
      <c r="D31" s="243" t="s">
        <v>396</v>
      </c>
      <c r="E31" s="243" t="s">
        <v>400</v>
      </c>
      <c r="F31" s="244" t="s">
        <v>1273</v>
      </c>
      <c r="G31" s="416" t="s">
        <v>1271</v>
      </c>
      <c r="H31" s="249"/>
    </row>
    <row r="32" spans="2:12" ht="30" x14ac:dyDescent="0.25">
      <c r="B32" s="252">
        <v>2.2000000000000002</v>
      </c>
      <c r="C32" s="252" t="s">
        <v>169</v>
      </c>
      <c r="D32" s="250"/>
      <c r="E32" s="243"/>
      <c r="F32" s="247"/>
      <c r="G32" s="252"/>
      <c r="H32" s="249"/>
    </row>
    <row r="33" spans="2:9" ht="60" x14ac:dyDescent="0.25">
      <c r="B33" s="251">
        <v>2.2999999999999998</v>
      </c>
      <c r="C33" s="251" t="s">
        <v>1274</v>
      </c>
      <c r="D33" s="75" t="s">
        <v>185</v>
      </c>
      <c r="E33" s="75" t="s">
        <v>185</v>
      </c>
      <c r="F33" s="75" t="s">
        <v>185</v>
      </c>
      <c r="G33" s="251"/>
      <c r="H33" s="249"/>
    </row>
    <row r="34" spans="2:9" ht="60" x14ac:dyDescent="0.25">
      <c r="B34" s="252">
        <v>2.4</v>
      </c>
      <c r="C34" s="417" t="s">
        <v>1275</v>
      </c>
      <c r="D34" s="419"/>
      <c r="E34" s="419"/>
      <c r="F34" s="420"/>
      <c r="G34" s="251" t="s">
        <v>1276</v>
      </c>
      <c r="H34" s="249"/>
    </row>
    <row r="35" spans="2:9" ht="15" customHeight="1" x14ac:dyDescent="0.25">
      <c r="B35" s="552" t="s">
        <v>176</v>
      </c>
      <c r="C35" s="552"/>
      <c r="D35" s="552"/>
      <c r="E35" s="552"/>
      <c r="F35" s="552"/>
      <c r="G35" s="552"/>
      <c r="H35" s="249"/>
    </row>
    <row r="36" spans="2:9" ht="15" customHeight="1" x14ac:dyDescent="0.25">
      <c r="B36" s="83" t="s">
        <v>128</v>
      </c>
      <c r="C36" s="83" t="s">
        <v>127</v>
      </c>
      <c r="D36" s="82" t="s">
        <v>126</v>
      </c>
      <c r="E36" s="82" t="s">
        <v>125</v>
      </c>
      <c r="F36" s="83" t="s">
        <v>124</v>
      </c>
      <c r="G36" s="83" t="s">
        <v>123</v>
      </c>
      <c r="H36" s="249"/>
    </row>
    <row r="37" spans="2:9" ht="30" x14ac:dyDescent="0.25">
      <c r="B37" s="251">
        <v>3.1</v>
      </c>
      <c r="C37" s="251" t="s">
        <v>1277</v>
      </c>
      <c r="D37" s="74"/>
      <c r="E37" s="74"/>
      <c r="F37" s="251"/>
      <c r="G37" s="251" t="s">
        <v>1278</v>
      </c>
      <c r="H37" s="249"/>
    </row>
    <row r="38" spans="2:9" ht="15" customHeight="1" x14ac:dyDescent="0.25">
      <c r="B38" s="552" t="s">
        <v>177</v>
      </c>
      <c r="C38" s="552"/>
      <c r="D38" s="552"/>
      <c r="E38" s="552"/>
      <c r="F38" s="552"/>
      <c r="G38" s="552"/>
      <c r="H38" s="249"/>
    </row>
    <row r="39" spans="2:9" ht="15" customHeight="1" x14ac:dyDescent="0.25">
      <c r="B39" s="83" t="s">
        <v>128</v>
      </c>
      <c r="C39" s="83" t="s">
        <v>127</v>
      </c>
      <c r="D39" s="82" t="s">
        <v>126</v>
      </c>
      <c r="E39" s="82" t="s">
        <v>125</v>
      </c>
      <c r="F39" s="83" t="s">
        <v>124</v>
      </c>
      <c r="G39" s="83" t="s">
        <v>123</v>
      </c>
      <c r="H39" s="249"/>
    </row>
    <row r="40" spans="2:9" x14ac:dyDescent="0.25">
      <c r="B40" s="252">
        <v>4.0999999999999996</v>
      </c>
      <c r="C40" s="252" t="s">
        <v>122</v>
      </c>
      <c r="D40" s="81"/>
      <c r="E40" s="74" t="s">
        <v>186</v>
      </c>
      <c r="F40" s="264" t="s">
        <v>186</v>
      </c>
      <c r="G40" s="421"/>
      <c r="H40" s="249"/>
    </row>
    <row r="41" spans="2:9" x14ac:dyDescent="0.25">
      <c r="B41" s="252">
        <v>4.2</v>
      </c>
      <c r="C41" s="252" t="s">
        <v>120</v>
      </c>
      <c r="D41" s="241" t="s">
        <v>178</v>
      </c>
      <c r="E41" s="250"/>
      <c r="F41" s="263" t="s">
        <v>179</v>
      </c>
      <c r="G41" s="252"/>
      <c r="H41" s="249"/>
    </row>
    <row r="42" spans="2:9" ht="45" x14ac:dyDescent="0.25">
      <c r="B42" s="252">
        <v>4.3</v>
      </c>
      <c r="C42" s="252" t="s">
        <v>119</v>
      </c>
      <c r="D42" s="250"/>
      <c r="E42" s="250"/>
      <c r="F42" s="247"/>
      <c r="G42" s="252"/>
      <c r="H42" s="249"/>
    </row>
    <row r="43" spans="2:9" ht="30" x14ac:dyDescent="0.25">
      <c r="B43" s="252">
        <v>4.4000000000000004</v>
      </c>
      <c r="C43" s="251" t="s">
        <v>118</v>
      </c>
      <c r="D43" s="241" t="s">
        <v>178</v>
      </c>
      <c r="E43" s="250"/>
      <c r="F43" s="263" t="s">
        <v>179</v>
      </c>
      <c r="G43" s="422"/>
      <c r="H43" s="249"/>
    </row>
    <row r="44" spans="2:9" x14ac:dyDescent="0.25">
      <c r="B44" s="252">
        <v>4.5</v>
      </c>
      <c r="C44" s="251" t="s">
        <v>191</v>
      </c>
      <c r="D44" s="74"/>
      <c r="E44" s="74"/>
      <c r="F44" s="423"/>
      <c r="G44" s="424"/>
      <c r="H44" s="249"/>
    </row>
    <row r="45" spans="2:9" x14ac:dyDescent="0.25">
      <c r="B45" s="252">
        <v>4.5999999999999996</v>
      </c>
      <c r="C45" s="251" t="s">
        <v>117</v>
      </c>
      <c r="D45" s="74" t="s">
        <v>193</v>
      </c>
      <c r="E45" s="74" t="s">
        <v>186</v>
      </c>
      <c r="F45" s="264" t="s">
        <v>186</v>
      </c>
      <c r="G45" s="425"/>
      <c r="H45" s="249"/>
      <c r="I45" s="249"/>
    </row>
    <row r="46" spans="2:9" ht="30" x14ac:dyDescent="0.25">
      <c r="B46" s="252">
        <v>4.7</v>
      </c>
      <c r="C46" s="252" t="s">
        <v>121</v>
      </c>
      <c r="D46" s="81" t="s">
        <v>193</v>
      </c>
      <c r="E46" s="74" t="s">
        <v>186</v>
      </c>
      <c r="F46" s="264" t="s">
        <v>186</v>
      </c>
      <c r="G46" s="252"/>
      <c r="H46" s="249"/>
      <c r="I46" s="249"/>
    </row>
    <row r="47" spans="2:9" ht="30" x14ac:dyDescent="0.25">
      <c r="B47" s="252">
        <v>4.8</v>
      </c>
      <c r="C47" s="252" t="s">
        <v>115</v>
      </c>
      <c r="D47" s="74" t="s">
        <v>178</v>
      </c>
      <c r="E47" s="74" t="s">
        <v>186</v>
      </c>
      <c r="F47" s="264" t="s">
        <v>186</v>
      </c>
      <c r="G47" s="421"/>
      <c r="H47" s="249"/>
      <c r="I47" s="249"/>
    </row>
    <row r="48" spans="2:9" ht="30" x14ac:dyDescent="0.25">
      <c r="B48" s="252">
        <v>4.9000000000000004</v>
      </c>
      <c r="C48" s="252" t="s">
        <v>1279</v>
      </c>
      <c r="D48" s="81"/>
      <c r="E48" s="74"/>
      <c r="F48" s="264"/>
      <c r="G48" s="252" t="s">
        <v>1280</v>
      </c>
      <c r="H48" s="249"/>
      <c r="I48" s="249"/>
    </row>
    <row r="49" spans="2:7" x14ac:dyDescent="0.25">
      <c r="B49" s="69"/>
      <c r="C49" s="69"/>
      <c r="D49" s="69"/>
      <c r="E49" s="69"/>
      <c r="G49" s="245"/>
    </row>
    <row r="50" spans="2:7" x14ac:dyDescent="0.25">
      <c r="B50" s="69"/>
      <c r="C50" s="69"/>
      <c r="D50" s="69"/>
      <c r="E50" s="69"/>
      <c r="G50" s="245"/>
    </row>
    <row r="51" spans="2:7" x14ac:dyDescent="0.25">
      <c r="B51" s="69"/>
      <c r="C51" s="69"/>
      <c r="D51" s="69"/>
      <c r="E51" s="69"/>
      <c r="G51" s="246"/>
    </row>
    <row r="52" spans="2:7" x14ac:dyDescent="0.25">
      <c r="B52" s="69"/>
      <c r="C52" s="69">
        <f>19/56</f>
        <v>0.3392857142857143</v>
      </c>
      <c r="D52" s="69"/>
      <c r="E52" s="69"/>
      <c r="G52" s="246"/>
    </row>
    <row r="53" spans="2:7" x14ac:dyDescent="0.25">
      <c r="B53" s="69"/>
      <c r="C53" s="69">
        <f>230*C52</f>
        <v>78.035714285714292</v>
      </c>
      <c r="D53" s="69"/>
      <c r="E53" s="69"/>
    </row>
    <row r="54" spans="2:7" x14ac:dyDescent="0.25">
      <c r="F54" s="73"/>
    </row>
    <row r="55" spans="2:7" x14ac:dyDescent="0.25">
      <c r="F55" s="73"/>
    </row>
    <row r="56" spans="2:7" x14ac:dyDescent="0.25">
      <c r="F56" s="73"/>
    </row>
    <row r="57" spans="2:7" x14ac:dyDescent="0.25">
      <c r="F57" s="73"/>
    </row>
    <row r="58" spans="2:7" x14ac:dyDescent="0.25">
      <c r="F58" s="73"/>
    </row>
    <row r="59" spans="2:7" x14ac:dyDescent="0.25">
      <c r="F59" s="73"/>
    </row>
    <row r="60" spans="2:7" x14ac:dyDescent="0.25">
      <c r="F60" s="73"/>
    </row>
    <row r="61" spans="2:7" x14ac:dyDescent="0.25">
      <c r="F61" s="73"/>
    </row>
    <row r="62" spans="2:7" x14ac:dyDescent="0.25">
      <c r="F62" s="73"/>
    </row>
  </sheetData>
  <mergeCells count="5">
    <mergeCell ref="B3:G3"/>
    <mergeCell ref="B2:G2"/>
    <mergeCell ref="B27:G27"/>
    <mergeCell ref="B35:G35"/>
    <mergeCell ref="B38:G38"/>
  </mergeCells>
  <pageMargins left="0.7" right="0.7" top="0.75" bottom="0.75" header="0.3" footer="0.3"/>
  <pageSetup scale="72"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6"/>
  <sheetViews>
    <sheetView workbookViewId="0">
      <selection activeCell="S2" sqref="S2:T5"/>
    </sheetView>
  </sheetViews>
  <sheetFormatPr defaultRowHeight="15" x14ac:dyDescent="0.25"/>
  <cols>
    <col min="1" max="1" width="11.140625" bestFit="1" customWidth="1"/>
    <col min="3" max="3" width="11.42578125" bestFit="1" customWidth="1"/>
    <col min="4" max="4" width="23.140625" bestFit="1" customWidth="1"/>
    <col min="5" max="5" width="13.5703125" customWidth="1"/>
    <col min="6" max="6" width="4.42578125" customWidth="1"/>
    <col min="7" max="7" width="10.140625" bestFit="1" customWidth="1"/>
    <col min="8" max="8" width="12.140625" bestFit="1" customWidth="1"/>
    <col min="9" max="9" width="4.42578125" customWidth="1"/>
    <col min="10" max="10" width="11.28515625" bestFit="1" customWidth="1"/>
    <col min="11" max="11" width="11.85546875" bestFit="1" customWidth="1"/>
    <col min="12" max="12" width="4.28515625" customWidth="1"/>
    <col min="13" max="13" width="3.7109375" customWidth="1"/>
    <col min="14" max="14" width="22" bestFit="1" customWidth="1"/>
    <col min="15" max="15" width="19.7109375" customWidth="1"/>
    <col min="16" max="16" width="22" bestFit="1" customWidth="1"/>
    <col min="17" max="17" width="6" customWidth="1"/>
    <col min="19" max="19" width="39.7109375" bestFit="1" customWidth="1"/>
  </cols>
  <sheetData>
    <row r="1" spans="1:22" ht="15.75" thickBot="1" x14ac:dyDescent="0.3">
      <c r="A1" s="654" t="s">
        <v>89</v>
      </c>
      <c r="B1" s="655"/>
      <c r="C1" s="685"/>
    </row>
    <row r="2" spans="1:22" ht="15.75" thickBot="1" x14ac:dyDescent="0.3">
      <c r="A2" s="728" t="s">
        <v>1235</v>
      </c>
      <c r="B2" s="729"/>
      <c r="C2" s="730"/>
      <c r="S2" s="705" t="s">
        <v>1289</v>
      </c>
      <c r="T2" s="706"/>
    </row>
    <row r="3" spans="1:22" ht="15.75" thickBot="1" x14ac:dyDescent="0.3">
      <c r="A3" s="40" t="s">
        <v>90</v>
      </c>
      <c r="B3" s="41" t="s">
        <v>91</v>
      </c>
      <c r="C3" s="42">
        <v>32816</v>
      </c>
      <c r="L3" s="567" t="s">
        <v>1110</v>
      </c>
      <c r="M3" s="625"/>
      <c r="N3" s="625"/>
      <c r="O3" s="625"/>
      <c r="P3" s="568"/>
      <c r="S3" s="329" t="s">
        <v>1286</v>
      </c>
      <c r="T3" s="470">
        <v>12.3</v>
      </c>
    </row>
    <row r="4" spans="1:22" ht="15.75" thickBot="1" x14ac:dyDescent="0.3">
      <c r="A4" s="413"/>
      <c r="B4" s="414"/>
      <c r="C4" s="414"/>
      <c r="D4" s="415"/>
      <c r="L4" s="567" t="s">
        <v>1123</v>
      </c>
      <c r="M4" s="625"/>
      <c r="N4" s="568"/>
      <c r="O4" s="289" t="s">
        <v>1122</v>
      </c>
      <c r="P4" s="16" t="s">
        <v>1121</v>
      </c>
      <c r="S4" s="329" t="s">
        <v>1287</v>
      </c>
      <c r="T4" s="470">
        <v>60809</v>
      </c>
      <c r="V4" s="468"/>
    </row>
    <row r="5" spans="1:22" ht="15.75" thickBot="1" x14ac:dyDescent="0.3">
      <c r="A5" s="567" t="s">
        <v>1120</v>
      </c>
      <c r="B5" s="625"/>
      <c r="C5" s="653"/>
      <c r="D5" s="412" t="s">
        <v>1245</v>
      </c>
      <c r="G5" s="337" t="s">
        <v>1118</v>
      </c>
      <c r="H5" s="338" t="s">
        <v>1117</v>
      </c>
      <c r="L5" s="734">
        <f>VLOOKUP(D5,'62.1_2013_Table6.2.2.1'!A3:I79,6,FALSE)</f>
        <v>65</v>
      </c>
      <c r="M5" s="735"/>
      <c r="N5" s="736"/>
      <c r="O5" s="336">
        <f>VLOOKUP(D5,'62.1_2013_Table6.2.2.1'!A3:I79,6,FALSE)</f>
        <v>65</v>
      </c>
      <c r="P5" s="335">
        <f>L5*(B6/1000)*O5</f>
        <v>256918.02499999999</v>
      </c>
      <c r="S5" s="329" t="s">
        <v>1288</v>
      </c>
      <c r="T5" s="469">
        <f>T3*T4</f>
        <v>747950.70000000007</v>
      </c>
    </row>
    <row r="6" spans="1:22" ht="15.75" thickBot="1" x14ac:dyDescent="0.3">
      <c r="A6" s="15" t="s">
        <v>92</v>
      </c>
      <c r="B6" s="334">
        <v>60809</v>
      </c>
      <c r="C6" s="15" t="s">
        <v>1116</v>
      </c>
      <c r="D6" s="47"/>
      <c r="E6" s="45" t="s">
        <v>1115</v>
      </c>
      <c r="F6" s="47"/>
      <c r="G6" s="47"/>
      <c r="H6" s="342">
        <f>D6*F6*G6</f>
        <v>0</v>
      </c>
      <c r="K6" s="329" t="s">
        <v>1114</v>
      </c>
      <c r="L6" s="567" t="s">
        <v>1113</v>
      </c>
      <c r="M6" s="625"/>
      <c r="N6" s="625"/>
      <c r="O6" s="625"/>
      <c r="P6" s="568"/>
    </row>
    <row r="7" spans="1:22" ht="15.75" thickBot="1" x14ac:dyDescent="0.3">
      <c r="A7" s="43" t="s">
        <v>93</v>
      </c>
      <c r="B7" s="333">
        <v>653</v>
      </c>
      <c r="C7" s="332" t="s">
        <v>1112</v>
      </c>
      <c r="D7" s="341"/>
      <c r="E7" s="331" t="s">
        <v>1111</v>
      </c>
      <c r="F7" s="168"/>
      <c r="G7" s="168"/>
      <c r="H7" s="343">
        <f>D7*F7*G7</f>
        <v>0</v>
      </c>
      <c r="K7" s="330">
        <f>B7/((B6/1000))</f>
        <v>10.738541992139321</v>
      </c>
      <c r="L7" s="737">
        <f>K7/L5</f>
        <v>0.16520833834060494</v>
      </c>
      <c r="M7" s="738"/>
      <c r="N7" s="739"/>
      <c r="O7" s="328"/>
      <c r="P7" s="327">
        <f>(K7*(B6/1000)*O5)/P5</f>
        <v>0.16520833834060494</v>
      </c>
    </row>
    <row r="8" spans="1:22" ht="15.75" thickBot="1" x14ac:dyDescent="0.3">
      <c r="A8" s="44" t="s">
        <v>94</v>
      </c>
      <c r="B8" s="326">
        <v>2003</v>
      </c>
      <c r="C8" s="44" t="s">
        <v>1109</v>
      </c>
      <c r="D8" s="325"/>
      <c r="E8" s="46" t="s">
        <v>1108</v>
      </c>
      <c r="F8" s="325"/>
      <c r="G8" s="325"/>
      <c r="H8" s="258"/>
    </row>
    <row r="9" spans="1:22" ht="15.75" thickBot="1" x14ac:dyDescent="0.3">
      <c r="G9" s="339" t="s">
        <v>1107</v>
      </c>
      <c r="H9" s="340">
        <f>SUM(H6:H7)</f>
        <v>0</v>
      </c>
    </row>
    <row r="10" spans="1:22" ht="15.75" thickBot="1" x14ac:dyDescent="0.3">
      <c r="A10" s="651" t="s">
        <v>79</v>
      </c>
      <c r="B10" s="652"/>
      <c r="C10" s="653"/>
    </row>
    <row r="11" spans="1:22" x14ac:dyDescent="0.25">
      <c r="A11" s="15" t="s">
        <v>74</v>
      </c>
      <c r="B11" s="47">
        <v>24</v>
      </c>
      <c r="C11" s="14" t="s">
        <v>72</v>
      </c>
      <c r="D11" s="323"/>
      <c r="E11" s="324" t="s">
        <v>1106</v>
      </c>
      <c r="J11" s="656" t="s">
        <v>78</v>
      </c>
      <c r="K11" s="657"/>
      <c r="L11" s="658"/>
      <c r="N11" s="59" t="s">
        <v>77</v>
      </c>
      <c r="P11" s="707" t="s">
        <v>1105</v>
      </c>
      <c r="Q11" s="708"/>
    </row>
    <row r="12" spans="1:22" ht="15.75" thickBot="1" x14ac:dyDescent="0.3">
      <c r="A12" s="44" t="s">
        <v>73</v>
      </c>
      <c r="B12" s="41">
        <v>24</v>
      </c>
      <c r="C12" s="277" t="s">
        <v>72</v>
      </c>
      <c r="D12" s="322">
        <f>(((5/7)*(B11/24))+((2/7)*(B12/24)))*8760</f>
        <v>8760</v>
      </c>
      <c r="J12" s="731">
        <v>1</v>
      </c>
      <c r="K12" s="732"/>
      <c r="L12" s="733"/>
      <c r="N12" s="60">
        <f>D12*J12</f>
        <v>8760</v>
      </c>
      <c r="P12" s="709"/>
      <c r="Q12" s="710"/>
    </row>
    <row r="13" spans="1:22" ht="15.75" thickBot="1" x14ac:dyDescent="0.3">
      <c r="J13" s="718" t="s">
        <v>76</v>
      </c>
      <c r="K13" s="719"/>
      <c r="L13" s="720"/>
      <c r="N13" s="721"/>
      <c r="P13" s="709"/>
      <c r="Q13" s="710"/>
    </row>
    <row r="14" spans="1:22" ht="15.75" thickBot="1" x14ac:dyDescent="0.3">
      <c r="A14" s="651" t="s">
        <v>75</v>
      </c>
      <c r="B14" s="652"/>
      <c r="C14" s="653"/>
      <c r="J14" s="718"/>
      <c r="K14" s="719"/>
      <c r="L14" s="720"/>
      <c r="N14" s="721"/>
      <c r="P14" s="709"/>
      <c r="Q14" s="710"/>
    </row>
    <row r="15" spans="1:22" x14ac:dyDescent="0.25">
      <c r="A15" s="15" t="s">
        <v>74</v>
      </c>
      <c r="B15" s="33">
        <v>15</v>
      </c>
      <c r="C15" s="14" t="s">
        <v>72</v>
      </c>
      <c r="D15" s="323"/>
      <c r="J15" s="718"/>
      <c r="K15" s="719"/>
      <c r="L15" s="720"/>
      <c r="N15" s="721"/>
      <c r="P15" s="709"/>
      <c r="Q15" s="710"/>
    </row>
    <row r="16" spans="1:22" ht="15.75" thickBot="1" x14ac:dyDescent="0.3">
      <c r="A16" s="44" t="s">
        <v>73</v>
      </c>
      <c r="B16" s="32">
        <v>15</v>
      </c>
      <c r="C16" s="277" t="s">
        <v>72</v>
      </c>
      <c r="D16" s="322">
        <f>(((5/7)*(B15/24))+((2/7)*(B16/24)))*8760</f>
        <v>5475</v>
      </c>
      <c r="J16" s="715">
        <v>1</v>
      </c>
      <c r="K16" s="716"/>
      <c r="L16" s="717"/>
      <c r="N16" s="61">
        <f>D16*J16</f>
        <v>5475</v>
      </c>
      <c r="P16" s="711">
        <f>N12/N16</f>
        <v>1.6</v>
      </c>
      <c r="Q16" s="712"/>
    </row>
    <row r="17" spans="1:14" ht="15.75" thickBot="1" x14ac:dyDescent="0.3"/>
    <row r="18" spans="1:14" ht="15.75" thickBot="1" x14ac:dyDescent="0.3">
      <c r="N18" s="59" t="s">
        <v>1104</v>
      </c>
    </row>
    <row r="19" spans="1:14" ht="15.75" thickBot="1" x14ac:dyDescent="0.3">
      <c r="A19" s="626" t="s">
        <v>365</v>
      </c>
      <c r="B19" s="649"/>
      <c r="C19" s="627"/>
      <c r="N19" s="321">
        <f>N16/365</f>
        <v>15</v>
      </c>
    </row>
    <row r="20" spans="1:14" x14ac:dyDescent="0.25">
      <c r="A20" s="320" t="s">
        <v>366</v>
      </c>
      <c r="B20" s="319">
        <f>((B11*5)+(B12*2))*J12</f>
        <v>168</v>
      </c>
      <c r="C20" s="318" t="s">
        <v>368</v>
      </c>
    </row>
    <row r="21" spans="1:14" ht="15.75" thickBot="1" x14ac:dyDescent="0.3">
      <c r="A21" s="317" t="s">
        <v>367</v>
      </c>
      <c r="B21" s="316">
        <f>((B15*5)+(B16*2))*J16</f>
        <v>105</v>
      </c>
      <c r="C21" s="221">
        <f>IF((B21/B20)&gt;0.8, B21, (B21+B20)/2)</f>
        <v>136.5</v>
      </c>
    </row>
    <row r="22" spans="1:14" x14ac:dyDescent="0.25">
      <c r="N22">
        <f>N19*7</f>
        <v>105</v>
      </c>
    </row>
    <row r="25" spans="1:14" ht="15.75" thickBot="1" x14ac:dyDescent="0.3"/>
    <row r="26" spans="1:14" ht="15.75" x14ac:dyDescent="0.25">
      <c r="A26" s="558" t="s">
        <v>1103</v>
      </c>
      <c r="B26" s="559"/>
      <c r="C26" s="315"/>
      <c r="D26" s="315"/>
      <c r="E26" s="314"/>
      <c r="F26" s="3"/>
      <c r="G26" s="3"/>
      <c r="H26" s="3"/>
      <c r="I26" s="3"/>
    </row>
    <row r="27" spans="1:14" x14ac:dyDescent="0.25">
      <c r="A27" s="713" t="s">
        <v>1102</v>
      </c>
      <c r="B27" s="714"/>
      <c r="C27" s="714"/>
      <c r="D27" s="714"/>
      <c r="E27" s="724"/>
      <c r="F27" s="157"/>
      <c r="G27" s="157"/>
      <c r="H27" s="157"/>
      <c r="I27" s="157"/>
    </row>
    <row r="28" spans="1:14" x14ac:dyDescent="0.25">
      <c r="A28" s="713" t="s">
        <v>1101</v>
      </c>
      <c r="B28" s="714"/>
      <c r="C28" s="714"/>
      <c r="D28" s="714"/>
      <c r="E28" s="724"/>
      <c r="F28" s="157"/>
      <c r="G28" s="157"/>
      <c r="H28" s="157"/>
      <c r="I28" s="157"/>
    </row>
    <row r="29" spans="1:14" x14ac:dyDescent="0.25">
      <c r="A29" s="713" t="s">
        <v>1100</v>
      </c>
      <c r="B29" s="714"/>
      <c r="C29" s="714"/>
      <c r="D29" s="714"/>
      <c r="E29" s="724"/>
      <c r="F29" s="157"/>
      <c r="G29" s="157"/>
      <c r="H29" s="157"/>
      <c r="I29" s="157"/>
    </row>
    <row r="30" spans="1:14" x14ac:dyDescent="0.25">
      <c r="A30" s="313" t="s">
        <v>1099</v>
      </c>
      <c r="B30" s="312"/>
      <c r="C30" s="312"/>
      <c r="D30" s="3"/>
      <c r="E30" s="309"/>
      <c r="F30" s="3"/>
      <c r="G30" s="3"/>
      <c r="H30" s="3"/>
      <c r="I30" s="3"/>
    </row>
    <row r="31" spans="1:14" x14ac:dyDescent="0.25">
      <c r="A31" s="311">
        <f>12/1.5</f>
        <v>8</v>
      </c>
      <c r="B31" s="3" t="s">
        <v>1098</v>
      </c>
      <c r="C31" s="157"/>
      <c r="D31" s="3"/>
      <c r="E31" s="309"/>
      <c r="F31" s="3"/>
      <c r="G31" s="3"/>
      <c r="H31" s="3"/>
      <c r="I31" s="3"/>
    </row>
    <row r="32" spans="1:14" x14ac:dyDescent="0.25">
      <c r="A32" s="725" t="s">
        <v>1097</v>
      </c>
      <c r="B32" s="726"/>
      <c r="C32" s="726"/>
      <c r="D32" s="726"/>
      <c r="E32" s="727"/>
      <c r="F32" s="310"/>
      <c r="G32" s="310"/>
      <c r="H32" s="310"/>
      <c r="I32" s="310"/>
    </row>
    <row r="33" spans="1:9" x14ac:dyDescent="0.25">
      <c r="A33" s="725"/>
      <c r="B33" s="726"/>
      <c r="C33" s="726"/>
      <c r="D33" s="726"/>
      <c r="E33" s="727"/>
      <c r="F33" s="310"/>
      <c r="G33" s="310"/>
      <c r="H33" s="310"/>
      <c r="I33" s="310"/>
    </row>
    <row r="34" spans="1:9" x14ac:dyDescent="0.25">
      <c r="A34" s="713" t="s">
        <v>1096</v>
      </c>
      <c r="B34" s="714"/>
      <c r="C34" s="714"/>
      <c r="D34" s="3">
        <f>A31*15</f>
        <v>120</v>
      </c>
      <c r="E34" s="309" t="s">
        <v>1095</v>
      </c>
      <c r="F34" s="3"/>
      <c r="G34" s="3"/>
      <c r="H34" s="3"/>
      <c r="I34" s="3"/>
    </row>
    <row r="35" spans="1:9" x14ac:dyDescent="0.25">
      <c r="A35" s="713" t="s">
        <v>1094</v>
      </c>
      <c r="B35" s="714"/>
      <c r="C35" s="714"/>
      <c r="D35" s="714"/>
      <c r="E35" s="724"/>
      <c r="F35" s="157"/>
      <c r="G35" s="157"/>
      <c r="H35" s="157"/>
      <c r="I35" s="157"/>
    </row>
    <row r="36" spans="1:9" ht="15.75" thickBot="1" x14ac:dyDescent="0.3">
      <c r="A36" s="722" t="s">
        <v>1093</v>
      </c>
      <c r="B36" s="723"/>
      <c r="C36" s="723"/>
      <c r="D36" s="308">
        <f>2/12</f>
        <v>0.16666666666666666</v>
      </c>
      <c r="E36" s="307"/>
      <c r="F36" s="3"/>
      <c r="G36" s="3"/>
      <c r="H36" s="3"/>
      <c r="I36" s="3"/>
    </row>
  </sheetData>
  <mergeCells count="27">
    <mergeCell ref="A1:C1"/>
    <mergeCell ref="A2:C2"/>
    <mergeCell ref="A10:C10"/>
    <mergeCell ref="J11:L11"/>
    <mergeCell ref="J12:L12"/>
    <mergeCell ref="L4:N4"/>
    <mergeCell ref="L5:N5"/>
    <mergeCell ref="L7:N7"/>
    <mergeCell ref="A5:C5"/>
    <mergeCell ref="L6:P6"/>
    <mergeCell ref="L3:P3"/>
    <mergeCell ref="A36:C36"/>
    <mergeCell ref="A27:E27"/>
    <mergeCell ref="A28:E28"/>
    <mergeCell ref="A29:E29"/>
    <mergeCell ref="A32:E33"/>
    <mergeCell ref="A35:E35"/>
    <mergeCell ref="S2:T2"/>
    <mergeCell ref="A26:B26"/>
    <mergeCell ref="P11:Q15"/>
    <mergeCell ref="P16:Q16"/>
    <mergeCell ref="A34:C34"/>
    <mergeCell ref="J16:L16"/>
    <mergeCell ref="A19:C19"/>
    <mergeCell ref="J13:L15"/>
    <mergeCell ref="N13:N15"/>
    <mergeCell ref="A14:C14"/>
  </mergeCells>
  <conditionalFormatting sqref="L7:N7">
    <cfRule type="cellIs" dxfId="9" priority="3" operator="greaterThan">
      <formula>1</formula>
    </cfRule>
    <cfRule type="cellIs" dxfId="8" priority="4" operator="between">
      <formula>0</formula>
      <formula>1</formula>
    </cfRule>
  </conditionalFormatting>
  <conditionalFormatting sqref="P7">
    <cfRule type="cellIs" dxfId="7" priority="1" operator="greaterThan">
      <formula>1</formula>
    </cfRule>
    <cfRule type="cellIs" dxfId="6" priority="2" operator="lessThan">
      <formula>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'62.1_2013_Table6.2.2.1'!$A$3:$A$79</xm:f>
          </x14:formula1>
          <xm:sqref>D5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E321"/>
  <sheetViews>
    <sheetView workbookViewId="0">
      <selection activeCell="H18" sqref="H18"/>
    </sheetView>
  </sheetViews>
  <sheetFormatPr defaultRowHeight="15" x14ac:dyDescent="0.25"/>
  <cols>
    <col min="1" max="1" width="15.42578125" customWidth="1"/>
    <col min="2" max="2" width="15.42578125" style="76" customWidth="1"/>
    <col min="3" max="4" width="13.5703125" customWidth="1"/>
    <col min="5" max="5" width="8.42578125" customWidth="1"/>
  </cols>
  <sheetData>
    <row r="2" spans="1:5" x14ac:dyDescent="0.25">
      <c r="A2" t="s">
        <v>168</v>
      </c>
    </row>
    <row r="3" spans="1:5" x14ac:dyDescent="0.25">
      <c r="A3" t="s">
        <v>167</v>
      </c>
      <c r="B3" s="76" t="s">
        <v>166</v>
      </c>
    </row>
    <row r="5" spans="1:5" x14ac:dyDescent="0.25">
      <c r="A5" t="s">
        <v>165</v>
      </c>
      <c r="B5" s="76" t="s">
        <v>164</v>
      </c>
      <c r="C5" t="s">
        <v>163</v>
      </c>
      <c r="D5" t="s">
        <v>162</v>
      </c>
      <c r="E5" t="s">
        <v>161</v>
      </c>
    </row>
    <row r="6" spans="1:5" x14ac:dyDescent="0.25">
      <c r="A6" t="s">
        <v>160</v>
      </c>
      <c r="B6" s="76" t="s">
        <v>159</v>
      </c>
      <c r="C6">
        <v>165</v>
      </c>
      <c r="D6">
        <v>82</v>
      </c>
      <c r="E6" s="78">
        <f t="shared" ref="E6:E21" si="0">D6/C6</f>
        <v>0.49696969696969695</v>
      </c>
    </row>
    <row r="7" spans="1:5" x14ac:dyDescent="0.25">
      <c r="A7" t="s">
        <v>158</v>
      </c>
      <c r="B7" s="76" t="s">
        <v>157</v>
      </c>
      <c r="C7">
        <v>20</v>
      </c>
      <c r="D7">
        <v>177</v>
      </c>
      <c r="E7" s="78">
        <f t="shared" si="0"/>
        <v>8.85</v>
      </c>
    </row>
    <row r="8" spans="1:5" x14ac:dyDescent="0.25">
      <c r="A8" t="s">
        <v>156</v>
      </c>
      <c r="B8" s="76" t="s">
        <v>155</v>
      </c>
      <c r="C8">
        <v>150</v>
      </c>
      <c r="D8">
        <v>69</v>
      </c>
      <c r="E8" s="78">
        <f t="shared" si="0"/>
        <v>0.46</v>
      </c>
    </row>
    <row r="9" spans="1:5" x14ac:dyDescent="0.25">
      <c r="A9" t="s">
        <v>154</v>
      </c>
      <c r="B9" s="76" t="s">
        <v>153</v>
      </c>
      <c r="C9">
        <v>100</v>
      </c>
      <c r="D9">
        <v>2</v>
      </c>
      <c r="E9" s="78">
        <f t="shared" si="0"/>
        <v>0.02</v>
      </c>
    </row>
    <row r="10" spans="1:5" x14ac:dyDescent="0.25">
      <c r="A10" t="s">
        <v>152</v>
      </c>
      <c r="B10" s="76" t="s">
        <v>151</v>
      </c>
      <c r="C10">
        <v>250</v>
      </c>
      <c r="D10">
        <v>148</v>
      </c>
      <c r="E10" s="78">
        <f t="shared" si="0"/>
        <v>0.59199999999999997</v>
      </c>
    </row>
    <row r="11" spans="1:5" x14ac:dyDescent="0.25">
      <c r="A11" t="s">
        <v>150</v>
      </c>
      <c r="B11" s="76" t="s">
        <v>149</v>
      </c>
      <c r="C11">
        <v>180</v>
      </c>
      <c r="D11">
        <v>99</v>
      </c>
      <c r="E11" s="78">
        <f t="shared" si="0"/>
        <v>0.55000000000000004</v>
      </c>
    </row>
    <row r="12" spans="1:5" x14ac:dyDescent="0.25">
      <c r="A12" t="s">
        <v>148</v>
      </c>
      <c r="B12" s="76" t="s">
        <v>147</v>
      </c>
      <c r="C12">
        <v>180</v>
      </c>
      <c r="D12">
        <v>0</v>
      </c>
      <c r="E12" s="78">
        <f t="shared" si="0"/>
        <v>0</v>
      </c>
    </row>
    <row r="13" spans="1:5" x14ac:dyDescent="0.25">
      <c r="A13" t="s">
        <v>145</v>
      </c>
      <c r="B13" s="76" t="s">
        <v>146</v>
      </c>
      <c r="C13">
        <v>160</v>
      </c>
      <c r="D13">
        <v>77</v>
      </c>
      <c r="E13" s="78">
        <f t="shared" si="0"/>
        <v>0.48125000000000001</v>
      </c>
    </row>
    <row r="14" spans="1:5" hidden="1" x14ac:dyDescent="0.25">
      <c r="A14" t="s">
        <v>145</v>
      </c>
      <c r="B14" s="76" t="s">
        <v>144</v>
      </c>
      <c r="C14" t="s">
        <v>143</v>
      </c>
      <c r="D14">
        <v>2</v>
      </c>
      <c r="E14" s="78" t="e">
        <f t="shared" si="0"/>
        <v>#VALUE!</v>
      </c>
    </row>
    <row r="15" spans="1:5" hidden="1" x14ac:dyDescent="0.25">
      <c r="A15" t="s">
        <v>142</v>
      </c>
      <c r="B15" s="76" t="s">
        <v>141</v>
      </c>
      <c r="C15">
        <v>220</v>
      </c>
      <c r="D15">
        <v>135</v>
      </c>
      <c r="E15" s="78">
        <f t="shared" si="0"/>
        <v>0.61363636363636365</v>
      </c>
    </row>
    <row r="16" spans="1:5" x14ac:dyDescent="0.25">
      <c r="A16" t="s">
        <v>140</v>
      </c>
      <c r="B16" s="76" t="s">
        <v>139</v>
      </c>
      <c r="C16">
        <v>130</v>
      </c>
      <c r="D16">
        <v>0</v>
      </c>
      <c r="E16" s="78">
        <f t="shared" si="0"/>
        <v>0</v>
      </c>
    </row>
    <row r="17" spans="1:5" x14ac:dyDescent="0.25">
      <c r="A17" t="s">
        <v>138</v>
      </c>
      <c r="B17" s="76" t="s">
        <v>137</v>
      </c>
      <c r="C17">
        <v>125</v>
      </c>
      <c r="D17">
        <v>24</v>
      </c>
      <c r="E17" s="78">
        <f t="shared" si="0"/>
        <v>0.192</v>
      </c>
    </row>
    <row r="18" spans="1:5" x14ac:dyDescent="0.25">
      <c r="A18" t="s">
        <v>136</v>
      </c>
      <c r="B18" s="76" t="s">
        <v>135</v>
      </c>
      <c r="C18">
        <v>240</v>
      </c>
      <c r="D18">
        <v>47</v>
      </c>
      <c r="E18" s="78">
        <f t="shared" si="0"/>
        <v>0.19583333333333333</v>
      </c>
    </row>
    <row r="19" spans="1:5" x14ac:dyDescent="0.25">
      <c r="A19" t="s">
        <v>133</v>
      </c>
      <c r="B19" s="76" t="s">
        <v>134</v>
      </c>
      <c r="C19">
        <v>400</v>
      </c>
      <c r="D19">
        <v>180</v>
      </c>
      <c r="E19" s="78">
        <f t="shared" si="0"/>
        <v>0.45</v>
      </c>
    </row>
    <row r="20" spans="1:5" x14ac:dyDescent="0.25">
      <c r="A20" t="s">
        <v>133</v>
      </c>
      <c r="B20" s="76" t="s">
        <v>132</v>
      </c>
      <c r="C20">
        <v>285</v>
      </c>
      <c r="D20">
        <v>152</v>
      </c>
      <c r="E20" s="78">
        <f t="shared" si="0"/>
        <v>0.53333333333333333</v>
      </c>
    </row>
    <row r="21" spans="1:5" hidden="1" x14ac:dyDescent="0.25">
      <c r="A21" t="s">
        <v>131</v>
      </c>
      <c r="B21" s="76" t="s">
        <v>130</v>
      </c>
      <c r="C21">
        <v>450</v>
      </c>
      <c r="D21">
        <v>296</v>
      </c>
      <c r="E21" s="78">
        <f t="shared" si="0"/>
        <v>0.65777777777777779</v>
      </c>
    </row>
    <row r="22" spans="1:5" x14ac:dyDescent="0.25">
      <c r="B22"/>
      <c r="E22" s="77">
        <f>SUBTOTAL(103,E6:E20)</f>
        <v>13</v>
      </c>
    </row>
    <row r="321" spans="5:5" x14ac:dyDescent="0.25">
      <c r="E321">
        <v>2.5</v>
      </c>
    </row>
  </sheetData>
  <conditionalFormatting sqref="E6:E21">
    <cfRule type="cellIs" dxfId="5" priority="1" operator="lessThan">
      <formula>0.6</formula>
    </cfRule>
    <cfRule type="cellIs" dxfId="4" priority="2" operator="greaterThan">
      <formula>1.25</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73"/>
  <sheetViews>
    <sheetView workbookViewId="0">
      <selection activeCell="F969" sqref="F969"/>
    </sheetView>
  </sheetViews>
  <sheetFormatPr defaultRowHeight="15" x14ac:dyDescent="0.25"/>
  <cols>
    <col min="1" max="1" width="17.5703125" bestFit="1" customWidth="1"/>
    <col min="2" max="2" width="15.5703125" customWidth="1"/>
    <col min="3" max="3" width="11.140625" bestFit="1" customWidth="1"/>
  </cols>
  <sheetData>
    <row r="1" spans="1:3" x14ac:dyDescent="0.25">
      <c r="A1" t="s">
        <v>2</v>
      </c>
      <c r="B1" t="s">
        <v>52</v>
      </c>
      <c r="C1" t="s">
        <v>8</v>
      </c>
    </row>
    <row r="2" spans="1:3" x14ac:dyDescent="0.25">
      <c r="A2" t="s">
        <v>103</v>
      </c>
      <c r="C2" t="s">
        <v>50</v>
      </c>
    </row>
    <row r="3" spans="1:3" x14ac:dyDescent="0.25">
      <c r="A3" t="s">
        <v>675</v>
      </c>
      <c r="B3">
        <v>120</v>
      </c>
      <c r="C3" t="s">
        <v>87</v>
      </c>
    </row>
    <row r="4" spans="1:3" x14ac:dyDescent="0.25">
      <c r="A4" t="s">
        <v>674</v>
      </c>
      <c r="B4">
        <v>120</v>
      </c>
      <c r="C4" t="s">
        <v>87</v>
      </c>
    </row>
    <row r="6" spans="1:3" x14ac:dyDescent="0.25">
      <c r="A6" t="s">
        <v>673</v>
      </c>
      <c r="B6">
        <v>230</v>
      </c>
      <c r="C6" t="s">
        <v>87</v>
      </c>
    </row>
    <row r="7" spans="1:3" x14ac:dyDescent="0.25">
      <c r="A7" t="s">
        <v>25</v>
      </c>
      <c r="B7">
        <v>1000</v>
      </c>
      <c r="C7" t="s">
        <v>87</v>
      </c>
    </row>
    <row r="8" spans="1:3" x14ac:dyDescent="0.25">
      <c r="A8" t="s">
        <v>672</v>
      </c>
      <c r="B8">
        <v>230</v>
      </c>
      <c r="C8" t="s">
        <v>87</v>
      </c>
    </row>
    <row r="9" spans="1:3" x14ac:dyDescent="0.25">
      <c r="A9" t="s">
        <v>416</v>
      </c>
      <c r="B9">
        <v>50</v>
      </c>
      <c r="C9" t="s">
        <v>87</v>
      </c>
    </row>
    <row r="10" spans="1:3" x14ac:dyDescent="0.25">
      <c r="A10" t="s">
        <v>671</v>
      </c>
      <c r="B10">
        <v>71</v>
      </c>
      <c r="C10" t="s">
        <v>87</v>
      </c>
    </row>
    <row r="11" spans="1:3" x14ac:dyDescent="0.25">
      <c r="A11" t="s">
        <v>376</v>
      </c>
      <c r="B11">
        <v>30</v>
      </c>
      <c r="C11" t="s">
        <v>376</v>
      </c>
    </row>
    <row r="21" spans="1:3" x14ac:dyDescent="0.25">
      <c r="A21" t="s">
        <v>478</v>
      </c>
      <c r="B21">
        <v>40</v>
      </c>
      <c r="C21" t="s">
        <v>87</v>
      </c>
    </row>
    <row r="22" spans="1:3" x14ac:dyDescent="0.25">
      <c r="A22" t="s">
        <v>670</v>
      </c>
      <c r="B22">
        <v>12</v>
      </c>
      <c r="C22" t="s">
        <v>88</v>
      </c>
    </row>
    <row r="23" spans="1:3" x14ac:dyDescent="0.25">
      <c r="A23" t="s">
        <v>669</v>
      </c>
      <c r="B23">
        <v>12</v>
      </c>
      <c r="C23" t="s">
        <v>88</v>
      </c>
    </row>
    <row r="24" spans="1:3" x14ac:dyDescent="0.25">
      <c r="A24" t="s">
        <v>466</v>
      </c>
      <c r="C24" t="s">
        <v>88</v>
      </c>
    </row>
    <row r="25" spans="1:3" x14ac:dyDescent="0.25">
      <c r="A25" t="s">
        <v>33</v>
      </c>
      <c r="C25" t="s">
        <v>88</v>
      </c>
    </row>
    <row r="34" spans="1:3" x14ac:dyDescent="0.25">
      <c r="A34" t="s">
        <v>44</v>
      </c>
      <c r="C34" t="s">
        <v>88</v>
      </c>
    </row>
    <row r="521" spans="1:3" x14ac:dyDescent="0.25">
      <c r="A521" t="s">
        <v>26</v>
      </c>
      <c r="B521">
        <v>1200</v>
      </c>
      <c r="C521" t="s">
        <v>87</v>
      </c>
    </row>
    <row r="522" spans="1:3" x14ac:dyDescent="0.25">
      <c r="A522" t="s">
        <v>600</v>
      </c>
      <c r="B522">
        <v>57</v>
      </c>
      <c r="C522" t="s">
        <v>87</v>
      </c>
    </row>
    <row r="523" spans="1:3" x14ac:dyDescent="0.25">
      <c r="A523" t="s">
        <v>16</v>
      </c>
      <c r="B523">
        <v>21</v>
      </c>
      <c r="C523" t="s">
        <v>87</v>
      </c>
    </row>
    <row r="531" spans="1:3" x14ac:dyDescent="0.25">
      <c r="A531" t="s">
        <v>18</v>
      </c>
      <c r="B531">
        <v>5</v>
      </c>
      <c r="C531" t="s">
        <v>87</v>
      </c>
    </row>
    <row r="532" spans="1:3" x14ac:dyDescent="0.25">
      <c r="A532" t="s">
        <v>14</v>
      </c>
      <c r="B532">
        <v>100</v>
      </c>
      <c r="C532" t="s">
        <v>87</v>
      </c>
    </row>
    <row r="533" spans="1:3" x14ac:dyDescent="0.25">
      <c r="A533" t="s">
        <v>601</v>
      </c>
      <c r="B533">
        <v>308</v>
      </c>
      <c r="C533" t="s">
        <v>87</v>
      </c>
    </row>
    <row r="945" spans="1:3" x14ac:dyDescent="0.25">
      <c r="A945" t="s">
        <v>17</v>
      </c>
      <c r="B945">
        <v>408</v>
      </c>
      <c r="C945" t="s">
        <v>87</v>
      </c>
    </row>
    <row r="947" spans="1:3" x14ac:dyDescent="0.25">
      <c r="A947" t="s">
        <v>17</v>
      </c>
      <c r="B947">
        <v>57</v>
      </c>
      <c r="C947" t="s">
        <v>87</v>
      </c>
    </row>
    <row r="949" spans="1:3" x14ac:dyDescent="0.25">
      <c r="A949" t="s">
        <v>40</v>
      </c>
      <c r="B949">
        <v>265</v>
      </c>
      <c r="C949" t="s">
        <v>87</v>
      </c>
    </row>
    <row r="950" spans="1:3" x14ac:dyDescent="0.25">
      <c r="A950" t="s">
        <v>21</v>
      </c>
      <c r="B950">
        <v>750</v>
      </c>
      <c r="C950" t="s">
        <v>87</v>
      </c>
    </row>
    <row r="951" spans="1:3" x14ac:dyDescent="0.25">
      <c r="A951" t="s">
        <v>668</v>
      </c>
      <c r="C951" t="s">
        <v>667</v>
      </c>
    </row>
    <row r="966" spans="1:3" x14ac:dyDescent="0.25">
      <c r="A966" t="s">
        <v>30</v>
      </c>
      <c r="B966">
        <v>175</v>
      </c>
      <c r="C966" t="s">
        <v>87</v>
      </c>
    </row>
    <row r="967" spans="1:3" x14ac:dyDescent="0.25">
      <c r="A967" t="s">
        <v>666</v>
      </c>
      <c r="C967" t="s">
        <v>451</v>
      </c>
    </row>
    <row r="968" spans="1:3" x14ac:dyDescent="0.25">
      <c r="A968" t="s">
        <v>665</v>
      </c>
      <c r="B968">
        <v>150</v>
      </c>
      <c r="C968" t="s">
        <v>87</v>
      </c>
    </row>
    <row r="969" spans="1:3" x14ac:dyDescent="0.25">
      <c r="A969" t="s">
        <v>513</v>
      </c>
      <c r="B969">
        <v>237</v>
      </c>
      <c r="C969" t="s">
        <v>87</v>
      </c>
    </row>
    <row r="970" spans="1:3" x14ac:dyDescent="0.25">
      <c r="A970" t="s">
        <v>664</v>
      </c>
      <c r="B970">
        <v>276</v>
      </c>
      <c r="C970" t="s">
        <v>87</v>
      </c>
    </row>
    <row r="973" spans="1:3" x14ac:dyDescent="0.25">
      <c r="A973" t="s">
        <v>663</v>
      </c>
      <c r="B973">
        <v>370</v>
      </c>
      <c r="C973" t="s">
        <v>87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79"/>
  <sheetViews>
    <sheetView topLeftCell="A41" workbookViewId="0">
      <selection activeCell="F27" sqref="F27"/>
    </sheetView>
  </sheetViews>
  <sheetFormatPr defaultColWidth="9.140625" defaultRowHeight="12.75" x14ac:dyDescent="0.25"/>
  <cols>
    <col min="1" max="1" width="29.85546875" style="367" bestFit="1" customWidth="1"/>
    <col min="2" max="2" width="9.5703125" style="366" bestFit="1" customWidth="1"/>
    <col min="3" max="3" width="9.7109375" style="366" bestFit="1" customWidth="1"/>
    <col min="4" max="4" width="6.28515625" style="366" bestFit="1" customWidth="1"/>
    <col min="5" max="5" width="6.5703125" style="366" bestFit="1" customWidth="1"/>
    <col min="6" max="6" width="8.42578125" style="366" bestFit="1" customWidth="1"/>
    <col min="7" max="7" width="9.5703125" style="366" bestFit="1" customWidth="1"/>
    <col min="8" max="8" width="9.7109375" style="366" bestFit="1" customWidth="1"/>
    <col min="9" max="9" width="4.42578125" style="366" bestFit="1" customWidth="1"/>
    <col min="10" max="16384" width="9.140625" style="366"/>
  </cols>
  <sheetData>
    <row r="1" spans="1:9" ht="30" customHeight="1" x14ac:dyDescent="0.25">
      <c r="A1" s="367" t="s">
        <v>1223</v>
      </c>
      <c r="B1" s="740" t="s">
        <v>1222</v>
      </c>
      <c r="C1" s="740"/>
      <c r="D1" s="740" t="s">
        <v>1221</v>
      </c>
      <c r="E1" s="740"/>
      <c r="F1" s="394" t="s">
        <v>1220</v>
      </c>
      <c r="G1" s="740" t="s">
        <v>1219</v>
      </c>
      <c r="H1" s="740"/>
    </row>
    <row r="2" spans="1:9" x14ac:dyDescent="0.25">
      <c r="B2" s="393" t="s">
        <v>1215</v>
      </c>
      <c r="C2" s="393" t="s">
        <v>1214</v>
      </c>
      <c r="D2" s="393" t="s">
        <v>1218</v>
      </c>
      <c r="E2" s="393" t="s">
        <v>1217</v>
      </c>
      <c r="F2" s="393" t="s">
        <v>1216</v>
      </c>
      <c r="G2" s="393" t="s">
        <v>1215</v>
      </c>
      <c r="H2" s="393" t="s">
        <v>1214</v>
      </c>
    </row>
    <row r="3" spans="1:9" ht="15" customHeight="1" x14ac:dyDescent="0.25">
      <c r="A3" s="383" t="s">
        <v>1213</v>
      </c>
      <c r="B3" s="377">
        <v>5</v>
      </c>
      <c r="C3" s="380">
        <v>2.5</v>
      </c>
      <c r="D3" s="381">
        <v>0.12</v>
      </c>
      <c r="E3" s="380">
        <v>0.6</v>
      </c>
      <c r="F3" s="377">
        <v>25</v>
      </c>
      <c r="G3" s="377">
        <v>10</v>
      </c>
      <c r="H3" s="380">
        <v>4.9000000000000004</v>
      </c>
      <c r="I3" s="377">
        <v>2</v>
      </c>
    </row>
    <row r="4" spans="1:9" ht="15" customHeight="1" x14ac:dyDescent="0.25">
      <c r="A4" s="383" t="s">
        <v>1212</v>
      </c>
      <c r="B4" s="377">
        <v>5</v>
      </c>
      <c r="C4" s="380">
        <v>2.5</v>
      </c>
      <c r="D4" s="381">
        <v>0.06</v>
      </c>
      <c r="E4" s="380">
        <v>0.3</v>
      </c>
      <c r="F4" s="377">
        <v>30</v>
      </c>
      <c r="G4" s="377">
        <v>7</v>
      </c>
      <c r="H4" s="380">
        <v>3.5</v>
      </c>
      <c r="I4" s="377">
        <v>1</v>
      </c>
    </row>
    <row r="5" spans="1:9" ht="15" customHeight="1" x14ac:dyDescent="0.25">
      <c r="A5" s="383" t="s">
        <v>1211</v>
      </c>
      <c r="B5" s="377">
        <v>5</v>
      </c>
      <c r="C5" s="380">
        <v>2.5</v>
      </c>
      <c r="D5" s="381">
        <v>0.06</v>
      </c>
      <c r="E5" s="380">
        <v>0.3</v>
      </c>
      <c r="F5" s="377">
        <v>15</v>
      </c>
      <c r="G5" s="377">
        <v>9</v>
      </c>
      <c r="H5" s="380">
        <v>4.5</v>
      </c>
      <c r="I5" s="377">
        <v>1</v>
      </c>
    </row>
    <row r="6" spans="1:9" ht="14.1" customHeight="1" x14ac:dyDescent="0.25">
      <c r="A6" s="389" t="s">
        <v>1210</v>
      </c>
      <c r="B6" s="372">
        <v>7.5</v>
      </c>
      <c r="C6" s="372">
        <v>3.8</v>
      </c>
      <c r="D6" s="373">
        <v>0.06</v>
      </c>
      <c r="E6" s="372">
        <v>0.3</v>
      </c>
      <c r="F6" s="370">
        <v>50</v>
      </c>
      <c r="G6" s="370">
        <v>9</v>
      </c>
      <c r="H6" s="372">
        <v>4.4000000000000004</v>
      </c>
      <c r="I6" s="370">
        <v>2</v>
      </c>
    </row>
    <row r="7" spans="1:9" ht="15" customHeight="1" x14ac:dyDescent="0.25">
      <c r="A7" s="383" t="s">
        <v>1209</v>
      </c>
      <c r="B7" s="377">
        <v>10</v>
      </c>
      <c r="C7" s="377">
        <v>5</v>
      </c>
      <c r="D7" s="381">
        <v>0.18</v>
      </c>
      <c r="E7" s="380">
        <v>0.9</v>
      </c>
      <c r="F7" s="377">
        <v>25</v>
      </c>
      <c r="G7" s="377">
        <v>17</v>
      </c>
      <c r="H7" s="380">
        <v>8.6</v>
      </c>
      <c r="I7" s="377">
        <v>2</v>
      </c>
    </row>
    <row r="8" spans="1:9" ht="15" customHeight="1" x14ac:dyDescent="0.25">
      <c r="A8" s="383" t="s">
        <v>1208</v>
      </c>
      <c r="B8" s="377">
        <v>10</v>
      </c>
      <c r="C8" s="377">
        <v>5</v>
      </c>
      <c r="D8" s="381">
        <v>0.18</v>
      </c>
      <c r="E8" s="380">
        <v>0.9</v>
      </c>
      <c r="F8" s="377">
        <v>25</v>
      </c>
      <c r="G8" s="377">
        <v>17</v>
      </c>
      <c r="H8" s="380">
        <v>8.6</v>
      </c>
      <c r="I8" s="377">
        <v>3</v>
      </c>
    </row>
    <row r="9" spans="1:9" ht="15" customHeight="1" x14ac:dyDescent="0.25">
      <c r="A9" s="383" t="s">
        <v>1207</v>
      </c>
      <c r="B9" s="377">
        <v>10</v>
      </c>
      <c r="C9" s="377">
        <v>5</v>
      </c>
      <c r="D9" s="381">
        <v>0.12</v>
      </c>
      <c r="E9" s="380">
        <v>0.6</v>
      </c>
      <c r="F9" s="377">
        <v>25</v>
      </c>
      <c r="G9" s="377">
        <v>15</v>
      </c>
      <c r="H9" s="380">
        <v>7.4</v>
      </c>
      <c r="I9" s="377">
        <v>1</v>
      </c>
    </row>
    <row r="10" spans="1:9" ht="15" customHeight="1" x14ac:dyDescent="0.25">
      <c r="A10" s="383" t="s">
        <v>1206</v>
      </c>
      <c r="B10" s="377">
        <v>10</v>
      </c>
      <c r="C10" s="377">
        <v>5</v>
      </c>
      <c r="D10" s="381">
        <v>0.12</v>
      </c>
      <c r="E10" s="380">
        <v>0.6</v>
      </c>
      <c r="F10" s="377">
        <v>35</v>
      </c>
      <c r="G10" s="377">
        <v>13</v>
      </c>
      <c r="H10" s="380">
        <v>6.7</v>
      </c>
      <c r="I10" s="377">
        <v>1</v>
      </c>
    </row>
    <row r="11" spans="1:9" ht="15" customHeight="1" x14ac:dyDescent="0.25">
      <c r="A11" s="383" t="s">
        <v>1205</v>
      </c>
      <c r="B11" s="380">
        <v>7.5</v>
      </c>
      <c r="C11" s="380">
        <v>3.8</v>
      </c>
      <c r="D11" s="381">
        <v>0.06</v>
      </c>
      <c r="E11" s="380">
        <v>0.3</v>
      </c>
      <c r="F11" s="377">
        <v>65</v>
      </c>
      <c r="G11" s="377">
        <v>8</v>
      </c>
      <c r="H11" s="380">
        <v>4.3</v>
      </c>
      <c r="I11" s="377">
        <v>1</v>
      </c>
    </row>
    <row r="12" spans="1:9" ht="15" customHeight="1" x14ac:dyDescent="0.25">
      <c r="A12" s="383" t="s">
        <v>1204</v>
      </c>
      <c r="B12" s="380">
        <v>7.5</v>
      </c>
      <c r="C12" s="380">
        <v>3.8</v>
      </c>
      <c r="D12" s="381">
        <v>0.06</v>
      </c>
      <c r="E12" s="380">
        <v>0.3</v>
      </c>
      <c r="F12" s="377">
        <v>150</v>
      </c>
      <c r="G12" s="377">
        <v>8</v>
      </c>
      <c r="H12" s="380">
        <v>4</v>
      </c>
      <c r="I12" s="377">
        <v>1</v>
      </c>
    </row>
    <row r="13" spans="1:9" ht="15" customHeight="1" x14ac:dyDescent="0.25">
      <c r="A13" s="383" t="s">
        <v>1203</v>
      </c>
      <c r="B13" s="377">
        <v>10</v>
      </c>
      <c r="C13" s="377">
        <v>5</v>
      </c>
      <c r="D13" s="381">
        <v>0.18</v>
      </c>
      <c r="E13" s="380">
        <v>0.9</v>
      </c>
      <c r="F13" s="377">
        <v>20</v>
      </c>
      <c r="G13" s="377">
        <v>19</v>
      </c>
      <c r="H13" s="380">
        <v>9.5</v>
      </c>
      <c r="I13" s="377">
        <v>2</v>
      </c>
    </row>
    <row r="14" spans="1:9" ht="12" customHeight="1" x14ac:dyDescent="0.25">
      <c r="A14" s="383" t="s">
        <v>1202</v>
      </c>
      <c r="B14" s="377">
        <v>10</v>
      </c>
      <c r="C14" s="377">
        <v>5</v>
      </c>
      <c r="D14" s="381">
        <v>0.18</v>
      </c>
      <c r="E14" s="380">
        <v>0.9</v>
      </c>
      <c r="F14" s="377">
        <v>25</v>
      </c>
      <c r="G14" s="377">
        <v>17</v>
      </c>
      <c r="H14" s="380">
        <v>8.6</v>
      </c>
      <c r="I14" s="377">
        <v>2</v>
      </c>
    </row>
    <row r="15" spans="1:9" ht="15" customHeight="1" x14ac:dyDescent="0.25">
      <c r="A15" s="383" t="s">
        <v>1201</v>
      </c>
      <c r="B15" s="377">
        <v>10</v>
      </c>
      <c r="C15" s="377">
        <v>5</v>
      </c>
      <c r="D15" s="381">
        <v>0.18</v>
      </c>
      <c r="E15" s="380">
        <v>0.9</v>
      </c>
      <c r="F15" s="377">
        <v>20</v>
      </c>
      <c r="G15" s="377">
        <v>19</v>
      </c>
      <c r="H15" s="380">
        <v>9.5</v>
      </c>
      <c r="I15" s="377">
        <v>2</v>
      </c>
    </row>
    <row r="16" spans="1:9" ht="15" customHeight="1" x14ac:dyDescent="0.25">
      <c r="A16" s="383" t="s">
        <v>1200</v>
      </c>
      <c r="B16" s="377">
        <v>10</v>
      </c>
      <c r="C16" s="377">
        <v>5</v>
      </c>
      <c r="D16" s="381">
        <v>0.12</v>
      </c>
      <c r="E16" s="380">
        <v>0.6</v>
      </c>
      <c r="F16" s="377">
        <v>25</v>
      </c>
      <c r="G16" s="377">
        <v>15</v>
      </c>
      <c r="H16" s="380">
        <v>7.4</v>
      </c>
      <c r="I16" s="377">
        <v>1</v>
      </c>
    </row>
    <row r="17" spans="1:9" ht="15" customHeight="1" x14ac:dyDescent="0.25">
      <c r="A17" s="383" t="s">
        <v>1199</v>
      </c>
      <c r="B17" s="377">
        <v>10</v>
      </c>
      <c r="C17" s="377">
        <v>5</v>
      </c>
      <c r="D17" s="381">
        <v>0.12</v>
      </c>
      <c r="E17" s="380">
        <v>0.6</v>
      </c>
      <c r="F17" s="377">
        <v>25</v>
      </c>
      <c r="G17" s="377">
        <v>15</v>
      </c>
      <c r="H17" s="380">
        <v>7.4</v>
      </c>
      <c r="I17" s="377">
        <v>1</v>
      </c>
    </row>
    <row r="18" spans="1:9" ht="15" customHeight="1" x14ac:dyDescent="0.25">
      <c r="A18" s="383" t="s">
        <v>1198</v>
      </c>
      <c r="B18" s="377">
        <v>10</v>
      </c>
      <c r="C18" s="377">
        <v>5</v>
      </c>
      <c r="D18" s="381">
        <v>0.06</v>
      </c>
      <c r="E18" s="380">
        <v>0.3</v>
      </c>
      <c r="F18" s="377">
        <v>35</v>
      </c>
      <c r="G18" s="377">
        <v>12</v>
      </c>
      <c r="H18" s="380">
        <v>5.9</v>
      </c>
      <c r="I18" s="377">
        <v>1</v>
      </c>
    </row>
    <row r="19" spans="1:9" ht="14.1" customHeight="1" x14ac:dyDescent="0.25">
      <c r="A19" s="389" t="s">
        <v>1197</v>
      </c>
      <c r="B19" s="372">
        <v>7.5</v>
      </c>
      <c r="C19" s="372">
        <v>3.8</v>
      </c>
      <c r="D19" s="373">
        <v>0.06</v>
      </c>
      <c r="E19" s="372">
        <v>0.3</v>
      </c>
      <c r="F19" s="370">
        <v>100</v>
      </c>
      <c r="G19" s="370">
        <v>8</v>
      </c>
      <c r="H19" s="372">
        <v>4.0999999999999996</v>
      </c>
      <c r="I19" s="370">
        <v>1</v>
      </c>
    </row>
    <row r="20" spans="1:9" ht="15" customHeight="1" x14ac:dyDescent="0.25">
      <c r="A20" s="383" t="s">
        <v>1196</v>
      </c>
      <c r="B20" s="380">
        <v>7.5</v>
      </c>
      <c r="C20" s="380">
        <v>3.8</v>
      </c>
      <c r="D20" s="381">
        <v>0.18</v>
      </c>
      <c r="E20" s="380">
        <v>0.9</v>
      </c>
      <c r="F20" s="377">
        <v>70</v>
      </c>
      <c r="G20" s="377">
        <v>10</v>
      </c>
      <c r="H20" s="380">
        <v>5.0999999999999996</v>
      </c>
      <c r="I20" s="377">
        <v>2</v>
      </c>
    </row>
    <row r="21" spans="1:9" ht="15" customHeight="1" x14ac:dyDescent="0.25">
      <c r="A21" s="383" t="s">
        <v>1195</v>
      </c>
      <c r="B21" s="380">
        <v>7.5</v>
      </c>
      <c r="C21" s="380">
        <v>3.8</v>
      </c>
      <c r="D21" s="381">
        <v>0.18</v>
      </c>
      <c r="E21" s="380">
        <v>0.9</v>
      </c>
      <c r="F21" s="377">
        <v>100</v>
      </c>
      <c r="G21" s="377">
        <v>9</v>
      </c>
      <c r="H21" s="380">
        <v>4.7</v>
      </c>
      <c r="I21" s="377">
        <v>2</v>
      </c>
    </row>
    <row r="22" spans="1:9" ht="15" customHeight="1" x14ac:dyDescent="0.25">
      <c r="A22" s="383" t="s">
        <v>1194</v>
      </c>
      <c r="B22" s="380">
        <v>7.5</v>
      </c>
      <c r="C22" s="380">
        <v>3.8</v>
      </c>
      <c r="D22" s="381">
        <v>0.18</v>
      </c>
      <c r="E22" s="380">
        <v>0.9</v>
      </c>
      <c r="F22" s="377">
        <v>100</v>
      </c>
      <c r="G22" s="377">
        <v>9</v>
      </c>
      <c r="H22" s="380">
        <v>4.7</v>
      </c>
      <c r="I22" s="377">
        <v>2</v>
      </c>
    </row>
    <row r="23" spans="1:9" ht="14.1" customHeight="1" x14ac:dyDescent="0.25">
      <c r="A23" s="389" t="s">
        <v>1193</v>
      </c>
      <c r="B23" s="372">
        <v>7.5</v>
      </c>
      <c r="C23" s="372">
        <v>3.8</v>
      </c>
      <c r="D23" s="373">
        <v>0.12</v>
      </c>
      <c r="E23" s="372">
        <v>0.6</v>
      </c>
      <c r="F23" s="370">
        <v>20</v>
      </c>
      <c r="G23" s="370">
        <v>14</v>
      </c>
      <c r="H23" s="372">
        <v>7</v>
      </c>
      <c r="I23" s="370">
        <v>2</v>
      </c>
    </row>
    <row r="24" spans="1:9" ht="14.1" customHeight="1" x14ac:dyDescent="0.25">
      <c r="A24" s="383" t="s">
        <v>1192</v>
      </c>
      <c r="B24" s="377">
        <v>5</v>
      </c>
      <c r="C24" s="380">
        <v>2.5</v>
      </c>
      <c r="D24" s="381">
        <v>0.06</v>
      </c>
      <c r="E24" s="380">
        <v>0.3</v>
      </c>
      <c r="F24" s="377">
        <v>25</v>
      </c>
      <c r="G24" s="377">
        <v>7</v>
      </c>
      <c r="H24" s="380">
        <v>3.5</v>
      </c>
      <c r="I24" s="377">
        <v>1</v>
      </c>
    </row>
    <row r="25" spans="1:9" ht="12" customHeight="1" x14ac:dyDescent="0.25">
      <c r="A25" s="383" t="s">
        <v>1191</v>
      </c>
      <c r="B25" s="368">
        <v>5</v>
      </c>
      <c r="C25" s="380">
        <v>2.5</v>
      </c>
      <c r="D25" s="381">
        <v>0.06</v>
      </c>
      <c r="E25" s="380">
        <v>0.3</v>
      </c>
      <c r="F25" s="368">
        <v>20</v>
      </c>
      <c r="G25" s="368">
        <v>8</v>
      </c>
      <c r="H25" s="368">
        <v>4</v>
      </c>
      <c r="I25" s="368">
        <v>1</v>
      </c>
    </row>
    <row r="26" spans="1:9" x14ac:dyDescent="0.25">
      <c r="A26" s="383" t="s">
        <v>1190</v>
      </c>
      <c r="B26" s="368">
        <v>5</v>
      </c>
      <c r="C26" s="380">
        <v>2.5</v>
      </c>
      <c r="D26" s="381">
        <v>0.06</v>
      </c>
      <c r="E26" s="380">
        <v>0.3</v>
      </c>
      <c r="F26" s="368">
        <v>50</v>
      </c>
      <c r="G26" s="368">
        <v>6</v>
      </c>
      <c r="H26" s="368">
        <v>3.1</v>
      </c>
      <c r="I26" s="368">
        <v>1</v>
      </c>
    </row>
    <row r="27" spans="1:9" x14ac:dyDescent="0.25">
      <c r="A27" s="383" t="s">
        <v>1189</v>
      </c>
      <c r="B27" s="384" t="s">
        <v>1153</v>
      </c>
      <c r="C27" s="379" t="s">
        <v>1152</v>
      </c>
      <c r="D27" s="381">
        <v>0.06</v>
      </c>
      <c r="E27" s="380">
        <v>0.3</v>
      </c>
      <c r="F27" s="368" t="s">
        <v>1188</v>
      </c>
      <c r="G27" s="368"/>
      <c r="H27" s="368"/>
      <c r="I27" s="368">
        <v>1</v>
      </c>
    </row>
    <row r="28" spans="1:9" ht="24" x14ac:dyDescent="0.25">
      <c r="A28" s="383" t="s">
        <v>1187</v>
      </c>
      <c r="B28" s="368">
        <v>5</v>
      </c>
      <c r="C28" s="380">
        <v>2.5</v>
      </c>
      <c r="D28" s="381">
        <v>0.12</v>
      </c>
      <c r="E28" s="380">
        <v>0.6</v>
      </c>
      <c r="F28" s="368">
        <v>2</v>
      </c>
      <c r="G28" s="368">
        <v>65</v>
      </c>
      <c r="H28" s="368">
        <v>32.5</v>
      </c>
      <c r="I28" s="368">
        <v>2</v>
      </c>
    </row>
    <row r="29" spans="1:9" x14ac:dyDescent="0.25">
      <c r="A29" s="392" t="s">
        <v>1186</v>
      </c>
      <c r="B29" s="385">
        <v>5</v>
      </c>
      <c r="C29" s="390">
        <v>2.5</v>
      </c>
      <c r="D29" s="391">
        <v>0.06</v>
      </c>
      <c r="E29" s="390">
        <v>0.3</v>
      </c>
      <c r="F29" s="385">
        <v>10</v>
      </c>
      <c r="G29" s="385">
        <v>11</v>
      </c>
      <c r="H29" s="385">
        <v>5.5</v>
      </c>
      <c r="I29" s="385">
        <v>1</v>
      </c>
    </row>
    <row r="30" spans="1:9" x14ac:dyDescent="0.25">
      <c r="A30" s="383" t="s">
        <v>1185</v>
      </c>
      <c r="B30" s="368">
        <v>5</v>
      </c>
      <c r="C30" s="380">
        <v>2.5</v>
      </c>
      <c r="D30" s="381">
        <v>0.06</v>
      </c>
      <c r="E30" s="380">
        <v>0.3</v>
      </c>
      <c r="F30" s="368">
        <v>20</v>
      </c>
      <c r="G30" s="368">
        <v>8</v>
      </c>
      <c r="H30" s="368">
        <v>4</v>
      </c>
      <c r="I30" s="368">
        <v>1</v>
      </c>
    </row>
    <row r="31" spans="1:9" x14ac:dyDescent="0.25">
      <c r="A31" s="383" t="s">
        <v>1184</v>
      </c>
      <c r="B31" s="368">
        <v>5</v>
      </c>
      <c r="C31" s="380">
        <v>2.5</v>
      </c>
      <c r="D31" s="381">
        <v>0.12</v>
      </c>
      <c r="E31" s="380">
        <v>0.6</v>
      </c>
      <c r="F31" s="368">
        <v>10</v>
      </c>
      <c r="G31" s="368">
        <v>17</v>
      </c>
      <c r="H31" s="368">
        <v>8.5</v>
      </c>
      <c r="I31" s="368">
        <v>2</v>
      </c>
    </row>
    <row r="32" spans="1:9" ht="24" x14ac:dyDescent="0.25">
      <c r="A32" s="383" t="s">
        <v>1183</v>
      </c>
      <c r="B32" s="368">
        <v>5</v>
      </c>
      <c r="C32" s="380">
        <v>2.5</v>
      </c>
      <c r="D32" s="381">
        <v>0.12</v>
      </c>
      <c r="E32" s="380">
        <v>0.6</v>
      </c>
      <c r="F32" s="368">
        <v>10</v>
      </c>
      <c r="G32" s="368">
        <v>17</v>
      </c>
      <c r="H32" s="368">
        <v>8.5</v>
      </c>
      <c r="I32" s="368">
        <v>1</v>
      </c>
    </row>
    <row r="33" spans="1:9" x14ac:dyDescent="0.25">
      <c r="A33" s="383" t="s">
        <v>1182</v>
      </c>
      <c r="B33" s="368">
        <v>7.5</v>
      </c>
      <c r="C33" s="380">
        <v>3.8</v>
      </c>
      <c r="D33" s="381">
        <v>0.06</v>
      </c>
      <c r="E33" s="380">
        <v>0.3</v>
      </c>
      <c r="F33" s="368">
        <v>30</v>
      </c>
      <c r="G33" s="368">
        <v>10</v>
      </c>
      <c r="H33" s="368">
        <v>4.8</v>
      </c>
      <c r="I33" s="368">
        <v>1</v>
      </c>
    </row>
    <row r="34" spans="1:9" x14ac:dyDescent="0.25">
      <c r="A34" s="389" t="s">
        <v>1181</v>
      </c>
      <c r="B34" s="368">
        <v>5</v>
      </c>
      <c r="C34" s="372">
        <v>2.5</v>
      </c>
      <c r="D34" s="373">
        <v>0.06</v>
      </c>
      <c r="E34" s="372">
        <v>0.3</v>
      </c>
      <c r="F34" s="368">
        <v>120</v>
      </c>
      <c r="G34" s="368">
        <v>6</v>
      </c>
      <c r="H34" s="368">
        <v>2.8</v>
      </c>
      <c r="I34" s="368">
        <v>1</v>
      </c>
    </row>
    <row r="35" spans="1:9" x14ac:dyDescent="0.25">
      <c r="A35" s="388" t="s">
        <v>1180</v>
      </c>
      <c r="B35" s="385">
        <v>5</v>
      </c>
      <c r="C35" s="386">
        <v>2.5</v>
      </c>
      <c r="D35" s="387">
        <v>0.12</v>
      </c>
      <c r="E35" s="386">
        <v>0.6</v>
      </c>
      <c r="F35" s="385">
        <v>50</v>
      </c>
      <c r="G35" s="385">
        <v>7</v>
      </c>
      <c r="H35" s="385">
        <v>3.5</v>
      </c>
      <c r="I35" s="385">
        <v>1</v>
      </c>
    </row>
    <row r="36" spans="1:9" x14ac:dyDescent="0.25">
      <c r="A36" s="383" t="s">
        <v>1179</v>
      </c>
      <c r="B36" s="368">
        <v>5</v>
      </c>
      <c r="C36" s="380">
        <v>2.5</v>
      </c>
      <c r="D36" s="381">
        <v>0.06</v>
      </c>
      <c r="E36" s="380">
        <v>0.3</v>
      </c>
      <c r="F36" s="368">
        <v>10</v>
      </c>
      <c r="G36" s="368">
        <v>11</v>
      </c>
      <c r="H36" s="368">
        <v>5.5</v>
      </c>
      <c r="I36" s="368">
        <v>1</v>
      </c>
    </row>
    <row r="37" spans="1:9" ht="24" x14ac:dyDescent="0.25">
      <c r="A37" s="383" t="s">
        <v>1178</v>
      </c>
      <c r="B37" s="368">
        <v>5</v>
      </c>
      <c r="C37" s="380">
        <v>2.5</v>
      </c>
      <c r="D37" s="381">
        <v>0.06</v>
      </c>
      <c r="E37" s="380">
        <v>0.3</v>
      </c>
      <c r="F37" s="368">
        <v>2</v>
      </c>
      <c r="G37" s="368">
        <v>35</v>
      </c>
      <c r="H37" s="368">
        <v>17.5</v>
      </c>
      <c r="I37" s="368">
        <v>1</v>
      </c>
    </row>
    <row r="38" spans="1:9" x14ac:dyDescent="0.25">
      <c r="A38" s="383" t="s">
        <v>1119</v>
      </c>
      <c r="B38" s="368">
        <v>5</v>
      </c>
      <c r="C38" s="380">
        <v>2.5</v>
      </c>
      <c r="D38" s="381">
        <v>0.06</v>
      </c>
      <c r="E38" s="380">
        <v>0.3</v>
      </c>
      <c r="F38" s="368">
        <v>5</v>
      </c>
      <c r="G38" s="368">
        <v>17</v>
      </c>
      <c r="H38" s="368">
        <v>8.5</v>
      </c>
      <c r="I38" s="368">
        <v>1</v>
      </c>
    </row>
    <row r="39" spans="1:9" x14ac:dyDescent="0.25">
      <c r="A39" s="383" t="s">
        <v>1177</v>
      </c>
      <c r="B39" s="368">
        <v>5</v>
      </c>
      <c r="C39" s="380">
        <v>2.5</v>
      </c>
      <c r="D39" s="381">
        <v>0.06</v>
      </c>
      <c r="E39" s="380">
        <v>0.3</v>
      </c>
      <c r="F39" s="368">
        <v>30</v>
      </c>
      <c r="G39" s="368">
        <v>7</v>
      </c>
      <c r="H39" s="368">
        <v>3.5</v>
      </c>
      <c r="I39" s="368">
        <v>1</v>
      </c>
    </row>
    <row r="40" spans="1:9" x14ac:dyDescent="0.25">
      <c r="A40" s="383" t="s">
        <v>1176</v>
      </c>
      <c r="B40" s="368">
        <v>5</v>
      </c>
      <c r="C40" s="380">
        <v>2.5</v>
      </c>
      <c r="D40" s="381">
        <v>0.06</v>
      </c>
      <c r="E40" s="380">
        <v>0.3</v>
      </c>
      <c r="F40" s="368">
        <v>60</v>
      </c>
      <c r="G40" s="368">
        <v>6</v>
      </c>
      <c r="H40" s="368">
        <v>3</v>
      </c>
      <c r="I40" s="368">
        <v>1</v>
      </c>
    </row>
    <row r="41" spans="1:9" x14ac:dyDescent="0.25">
      <c r="A41" s="383" t="s">
        <v>1175</v>
      </c>
      <c r="B41" s="368">
        <v>5</v>
      </c>
      <c r="C41" s="380">
        <v>2.5</v>
      </c>
      <c r="D41" s="381">
        <v>0.06</v>
      </c>
      <c r="E41" s="380">
        <v>0.3</v>
      </c>
      <c r="F41" s="368">
        <v>5</v>
      </c>
      <c r="G41" s="368">
        <v>17</v>
      </c>
      <c r="H41" s="368">
        <v>8.5</v>
      </c>
      <c r="I41" s="368">
        <v>2</v>
      </c>
    </row>
    <row r="42" spans="1:9" x14ac:dyDescent="0.25">
      <c r="A42" s="383" t="s">
        <v>1174</v>
      </c>
      <c r="B42" s="368">
        <v>7.5</v>
      </c>
      <c r="C42" s="380">
        <v>3.8</v>
      </c>
      <c r="D42" s="381">
        <v>0.06</v>
      </c>
      <c r="E42" s="380">
        <v>0.3</v>
      </c>
      <c r="F42" s="368">
        <v>15</v>
      </c>
      <c r="G42" s="368">
        <v>12</v>
      </c>
      <c r="H42" s="368">
        <v>6</v>
      </c>
      <c r="I42" s="368">
        <v>1</v>
      </c>
    </row>
    <row r="43" spans="1:9" x14ac:dyDescent="0.25">
      <c r="A43" s="383" t="s">
        <v>1173</v>
      </c>
      <c r="B43" s="368">
        <v>5</v>
      </c>
      <c r="C43" s="380">
        <v>2.5</v>
      </c>
      <c r="D43" s="381">
        <v>0.06</v>
      </c>
      <c r="E43" s="380">
        <v>0.3</v>
      </c>
      <c r="F43" s="368">
        <v>4</v>
      </c>
      <c r="G43" s="368">
        <v>20</v>
      </c>
      <c r="H43" s="368">
        <v>10</v>
      </c>
      <c r="I43" s="368">
        <v>1</v>
      </c>
    </row>
    <row r="44" spans="1:9" x14ac:dyDescent="0.25">
      <c r="A44" s="382" t="s">
        <v>1172</v>
      </c>
      <c r="B44" s="368">
        <v>10</v>
      </c>
      <c r="C44" s="368">
        <v>5</v>
      </c>
      <c r="D44" s="368">
        <v>0</v>
      </c>
      <c r="E44" s="368">
        <v>0</v>
      </c>
      <c r="F44" s="368">
        <v>0</v>
      </c>
      <c r="G44" s="368">
        <v>0</v>
      </c>
      <c r="H44" s="368">
        <v>0</v>
      </c>
      <c r="I44" s="368">
        <v>2</v>
      </c>
    </row>
    <row r="45" spans="1:9" ht="27" customHeight="1" x14ac:dyDescent="0.25">
      <c r="A45" s="383" t="s">
        <v>1171</v>
      </c>
      <c r="B45" s="368">
        <v>10</v>
      </c>
      <c r="C45" s="368">
        <v>5</v>
      </c>
      <c r="D45" s="368">
        <v>0.18</v>
      </c>
      <c r="E45" s="368">
        <v>0.9</v>
      </c>
      <c r="F45" s="368">
        <v>7</v>
      </c>
      <c r="G45" s="368">
        <v>36</v>
      </c>
      <c r="H45" s="368">
        <v>18</v>
      </c>
      <c r="I45" s="368">
        <v>3</v>
      </c>
    </row>
    <row r="46" spans="1:9" x14ac:dyDescent="0.25">
      <c r="A46" s="383" t="s">
        <v>1170</v>
      </c>
      <c r="B46" s="368">
        <v>5</v>
      </c>
      <c r="C46" s="380">
        <v>2.5</v>
      </c>
      <c r="D46" s="381">
        <v>0.18</v>
      </c>
      <c r="E46" s="380">
        <v>0.9</v>
      </c>
      <c r="F46" s="377">
        <v>10</v>
      </c>
      <c r="G46" s="377">
        <v>23</v>
      </c>
      <c r="H46" s="380">
        <v>11.5</v>
      </c>
      <c r="I46" s="377">
        <v>2</v>
      </c>
    </row>
    <row r="47" spans="1:9" x14ac:dyDescent="0.25">
      <c r="A47" s="383" t="s">
        <v>1169</v>
      </c>
      <c r="B47" s="368">
        <v>5</v>
      </c>
      <c r="C47" s="380">
        <v>2.5</v>
      </c>
      <c r="D47" s="381">
        <v>0.12</v>
      </c>
      <c r="E47" s="380">
        <v>0.6</v>
      </c>
      <c r="F47" s="377">
        <v>10</v>
      </c>
      <c r="G47" s="377">
        <v>17</v>
      </c>
      <c r="H47" s="380">
        <v>8.5</v>
      </c>
      <c r="I47" s="377">
        <v>1</v>
      </c>
    </row>
    <row r="48" spans="1:9" x14ac:dyDescent="0.25">
      <c r="A48" s="383" t="s">
        <v>1168</v>
      </c>
      <c r="B48" s="368">
        <v>10</v>
      </c>
      <c r="C48" s="377">
        <v>5</v>
      </c>
      <c r="D48" s="381">
        <v>0.12</v>
      </c>
      <c r="E48" s="380">
        <v>0.6</v>
      </c>
      <c r="F48" s="377">
        <v>2</v>
      </c>
      <c r="G48" s="377">
        <v>70</v>
      </c>
      <c r="H48" s="377">
        <v>35</v>
      </c>
      <c r="I48" s="377">
        <v>2</v>
      </c>
    </row>
    <row r="49" spans="1:9" ht="24" x14ac:dyDescent="0.25">
      <c r="A49" s="383" t="s">
        <v>1167</v>
      </c>
      <c r="B49" s="368">
        <v>7.5</v>
      </c>
      <c r="C49" s="380">
        <v>3.8</v>
      </c>
      <c r="D49" s="381">
        <v>0.12</v>
      </c>
      <c r="E49" s="380">
        <v>0.6</v>
      </c>
      <c r="F49" s="377">
        <v>7</v>
      </c>
      <c r="G49" s="377">
        <v>25</v>
      </c>
      <c r="H49" s="380">
        <v>12.5</v>
      </c>
      <c r="I49" s="377">
        <v>2</v>
      </c>
    </row>
    <row r="50" spans="1:9" x14ac:dyDescent="0.25">
      <c r="A50" s="383" t="s">
        <v>1166</v>
      </c>
      <c r="B50" s="384" t="s">
        <v>1153</v>
      </c>
      <c r="C50" s="379" t="s">
        <v>1152</v>
      </c>
      <c r="D50" s="381">
        <v>0</v>
      </c>
      <c r="E50" s="380">
        <v>0</v>
      </c>
      <c r="F50" s="379" t="s">
        <v>1152</v>
      </c>
      <c r="G50" s="378"/>
      <c r="H50" s="378"/>
      <c r="I50" s="377">
        <v>1</v>
      </c>
    </row>
    <row r="51" spans="1:9" x14ac:dyDescent="0.25">
      <c r="A51" s="383" t="s">
        <v>1165</v>
      </c>
      <c r="B51" s="368">
        <v>7.5</v>
      </c>
      <c r="C51" s="380">
        <v>3.8</v>
      </c>
      <c r="D51" s="381">
        <v>0.06</v>
      </c>
      <c r="E51" s="380">
        <v>0.3</v>
      </c>
      <c r="F51" s="377">
        <v>100</v>
      </c>
      <c r="G51" s="377">
        <v>8</v>
      </c>
      <c r="H51" s="380">
        <v>4.0999999999999996</v>
      </c>
      <c r="I51" s="377">
        <v>1</v>
      </c>
    </row>
    <row r="52" spans="1:9" x14ac:dyDescent="0.25">
      <c r="A52" s="383" t="s">
        <v>1164</v>
      </c>
      <c r="B52" s="368">
        <v>10</v>
      </c>
      <c r="C52" s="377">
        <v>5</v>
      </c>
      <c r="D52" s="381">
        <v>0.06</v>
      </c>
      <c r="E52" s="380">
        <v>0.3</v>
      </c>
      <c r="F52" s="379" t="s">
        <v>1152</v>
      </c>
      <c r="G52" s="378"/>
      <c r="H52" s="378"/>
      <c r="I52" s="377">
        <v>2</v>
      </c>
    </row>
    <row r="53" spans="1:9" x14ac:dyDescent="0.25">
      <c r="A53" s="382" t="s">
        <v>1163</v>
      </c>
      <c r="B53" s="368">
        <v>5</v>
      </c>
      <c r="C53" s="380">
        <v>2.5</v>
      </c>
      <c r="D53" s="381">
        <v>0.06</v>
      </c>
      <c r="E53" s="380">
        <v>0.3</v>
      </c>
      <c r="F53" s="377">
        <v>150</v>
      </c>
      <c r="G53" s="377">
        <v>5</v>
      </c>
      <c r="H53" s="380">
        <v>2.7</v>
      </c>
      <c r="I53" s="377">
        <v>1</v>
      </c>
    </row>
    <row r="54" spans="1:9" x14ac:dyDescent="0.25">
      <c r="A54" s="382" t="s">
        <v>1162</v>
      </c>
      <c r="B54" s="368">
        <v>5</v>
      </c>
      <c r="C54" s="380">
        <v>2.5</v>
      </c>
      <c r="D54" s="381">
        <v>0.06</v>
      </c>
      <c r="E54" s="380">
        <v>0.3</v>
      </c>
      <c r="F54" s="377">
        <v>120</v>
      </c>
      <c r="G54" s="377">
        <v>6</v>
      </c>
      <c r="H54" s="380">
        <v>2.8</v>
      </c>
      <c r="I54" s="377">
        <v>1</v>
      </c>
    </row>
    <row r="55" spans="1:9" x14ac:dyDescent="0.25">
      <c r="A55" s="382" t="s">
        <v>1161</v>
      </c>
      <c r="B55" s="368">
        <v>5</v>
      </c>
      <c r="C55" s="380">
        <v>2.5</v>
      </c>
      <c r="D55" s="381">
        <v>0.06</v>
      </c>
      <c r="E55" s="380">
        <v>0.3</v>
      </c>
      <c r="F55" s="377">
        <v>70</v>
      </c>
      <c r="G55" s="377">
        <v>6</v>
      </c>
      <c r="H55" s="380">
        <v>2.9</v>
      </c>
      <c r="I55" s="377">
        <v>1</v>
      </c>
    </row>
    <row r="56" spans="1:9" x14ac:dyDescent="0.25">
      <c r="A56" s="382" t="s">
        <v>1160</v>
      </c>
      <c r="B56" s="368">
        <v>5</v>
      </c>
      <c r="C56" s="380">
        <v>2.5</v>
      </c>
      <c r="D56" s="381">
        <v>0.06</v>
      </c>
      <c r="E56" s="380">
        <v>0.3</v>
      </c>
      <c r="F56" s="377">
        <v>50</v>
      </c>
      <c r="G56" s="377">
        <v>6</v>
      </c>
      <c r="H56" s="380">
        <v>3.1</v>
      </c>
      <c r="I56" s="377">
        <v>1</v>
      </c>
    </row>
    <row r="57" spans="1:9" x14ac:dyDescent="0.25">
      <c r="A57" s="382" t="s">
        <v>1159</v>
      </c>
      <c r="B57" s="368">
        <v>5</v>
      </c>
      <c r="C57" s="380">
        <v>2.5</v>
      </c>
      <c r="D57" s="381">
        <v>0.12</v>
      </c>
      <c r="E57" s="380">
        <v>0.6</v>
      </c>
      <c r="F57" s="377">
        <v>10</v>
      </c>
      <c r="G57" s="377">
        <v>17</v>
      </c>
      <c r="H57" s="380">
        <v>8.5</v>
      </c>
      <c r="I57" s="377">
        <v>1</v>
      </c>
    </row>
    <row r="58" spans="1:9" x14ac:dyDescent="0.25">
      <c r="A58" s="382" t="s">
        <v>1158</v>
      </c>
      <c r="B58" s="368">
        <v>5</v>
      </c>
      <c r="C58" s="380">
        <v>2.5</v>
      </c>
      <c r="D58" s="381">
        <v>0.06</v>
      </c>
      <c r="E58" s="380">
        <v>0.3</v>
      </c>
      <c r="F58" s="377">
        <v>150</v>
      </c>
      <c r="G58" s="377">
        <v>5</v>
      </c>
      <c r="H58" s="380">
        <v>2.7</v>
      </c>
      <c r="I58" s="377">
        <v>1</v>
      </c>
    </row>
    <row r="59" spans="1:9" x14ac:dyDescent="0.25">
      <c r="A59" s="382" t="s">
        <v>1157</v>
      </c>
      <c r="B59" s="368">
        <v>7.5</v>
      </c>
      <c r="C59" s="380">
        <v>3.8</v>
      </c>
      <c r="D59" s="381">
        <v>0.12</v>
      </c>
      <c r="E59" s="380">
        <v>0.6</v>
      </c>
      <c r="F59" s="377">
        <v>40</v>
      </c>
      <c r="G59" s="377">
        <v>11</v>
      </c>
      <c r="H59" s="380">
        <v>5.3</v>
      </c>
      <c r="I59" s="377">
        <v>1</v>
      </c>
    </row>
    <row r="60" spans="1:9" x14ac:dyDescent="0.25">
      <c r="A60" s="382" t="s">
        <v>1156</v>
      </c>
      <c r="B60" s="368">
        <v>7.5</v>
      </c>
      <c r="C60" s="380">
        <v>3.8</v>
      </c>
      <c r="D60" s="381">
        <v>0.06</v>
      </c>
      <c r="E60" s="380">
        <v>0.3</v>
      </c>
      <c r="F60" s="377">
        <v>40</v>
      </c>
      <c r="G60" s="377">
        <v>9</v>
      </c>
      <c r="H60" s="380">
        <v>4.5999999999999996</v>
      </c>
      <c r="I60" s="377">
        <v>1</v>
      </c>
    </row>
    <row r="61" spans="1:9" x14ac:dyDescent="0.25">
      <c r="A61" s="382" t="s">
        <v>1155</v>
      </c>
      <c r="B61" s="368">
        <v>5</v>
      </c>
      <c r="C61" s="380">
        <v>2.5</v>
      </c>
      <c r="D61" s="381">
        <v>0.06</v>
      </c>
      <c r="E61" s="380">
        <v>0.3</v>
      </c>
      <c r="F61" s="379"/>
      <c r="G61" s="378"/>
      <c r="H61" s="378"/>
      <c r="I61" s="377">
        <v>1</v>
      </c>
    </row>
    <row r="62" spans="1:9" x14ac:dyDescent="0.25">
      <c r="A62" s="376" t="s">
        <v>1154</v>
      </c>
      <c r="B62" s="375" t="s">
        <v>1153</v>
      </c>
      <c r="C62" s="374" t="s">
        <v>1152</v>
      </c>
      <c r="D62" s="373">
        <v>0.06</v>
      </c>
      <c r="E62" s="372">
        <v>0.3</v>
      </c>
      <c r="F62" s="371"/>
      <c r="G62" s="371"/>
      <c r="H62" s="371"/>
      <c r="I62" s="370">
        <v>1</v>
      </c>
    </row>
    <row r="63" spans="1:9" x14ac:dyDescent="0.25">
      <c r="A63" s="369" t="s">
        <v>1151</v>
      </c>
      <c r="B63" s="368">
        <v>7.5</v>
      </c>
      <c r="C63" s="368">
        <v>3.8</v>
      </c>
      <c r="D63" s="368">
        <v>0.12</v>
      </c>
      <c r="E63" s="368">
        <v>0.6</v>
      </c>
      <c r="F63" s="368">
        <v>15</v>
      </c>
      <c r="G63" s="368">
        <v>16</v>
      </c>
      <c r="H63" s="368">
        <v>7.8</v>
      </c>
      <c r="I63" s="368">
        <v>2</v>
      </c>
    </row>
    <row r="64" spans="1:9" x14ac:dyDescent="0.25">
      <c r="A64" s="369" t="s">
        <v>1150</v>
      </c>
      <c r="B64" s="368">
        <v>7.5</v>
      </c>
      <c r="C64" s="368">
        <v>3.8</v>
      </c>
      <c r="D64" s="368">
        <v>0.06</v>
      </c>
      <c r="E64" s="368">
        <v>0.3</v>
      </c>
      <c r="F64" s="368">
        <v>40</v>
      </c>
      <c r="G64" s="368">
        <v>9</v>
      </c>
      <c r="H64" s="368">
        <v>4.5999999999999996</v>
      </c>
      <c r="I64" s="368">
        <v>1</v>
      </c>
    </row>
    <row r="65" spans="1:9" x14ac:dyDescent="0.25">
      <c r="A65" s="369" t="s">
        <v>1149</v>
      </c>
      <c r="B65" s="368">
        <v>7.5</v>
      </c>
      <c r="C65" s="368">
        <v>3.8</v>
      </c>
      <c r="D65" s="368">
        <v>0.06</v>
      </c>
      <c r="E65" s="368">
        <v>0.3</v>
      </c>
      <c r="F65" s="368">
        <v>25</v>
      </c>
      <c r="G65" s="368">
        <v>10</v>
      </c>
      <c r="H65" s="368">
        <v>5</v>
      </c>
      <c r="I65" s="368">
        <v>2</v>
      </c>
    </row>
    <row r="66" spans="1:9" x14ac:dyDescent="0.25">
      <c r="A66" s="369" t="s">
        <v>1148</v>
      </c>
      <c r="B66" s="368">
        <v>20</v>
      </c>
      <c r="C66" s="368">
        <v>10</v>
      </c>
      <c r="D66" s="368">
        <v>0.12</v>
      </c>
      <c r="E66" s="368">
        <v>0.6</v>
      </c>
      <c r="F66" s="368">
        <v>25</v>
      </c>
      <c r="G66" s="368">
        <v>25</v>
      </c>
      <c r="H66" s="368">
        <v>12.4</v>
      </c>
      <c r="I66" s="368">
        <v>2</v>
      </c>
    </row>
    <row r="67" spans="1:9" x14ac:dyDescent="0.25">
      <c r="A67" s="369" t="s">
        <v>1147</v>
      </c>
      <c r="B67" s="368">
        <v>7.5</v>
      </c>
      <c r="C67" s="368">
        <v>3.8</v>
      </c>
      <c r="D67" s="368">
        <v>0.18</v>
      </c>
      <c r="E67" s="368">
        <v>0.9</v>
      </c>
      <c r="F67" s="368">
        <v>10</v>
      </c>
      <c r="G67" s="368">
        <v>26</v>
      </c>
      <c r="H67" s="368">
        <v>12.8</v>
      </c>
      <c r="I67" s="368">
        <v>2</v>
      </c>
    </row>
    <row r="68" spans="1:9" x14ac:dyDescent="0.25">
      <c r="A68" s="369" t="s">
        <v>1146</v>
      </c>
      <c r="B68" s="368">
        <v>7.5</v>
      </c>
      <c r="C68" s="368">
        <v>3.8</v>
      </c>
      <c r="D68" s="368">
        <v>0.06</v>
      </c>
      <c r="E68" s="368">
        <v>0.3</v>
      </c>
      <c r="F68" s="368">
        <v>8</v>
      </c>
      <c r="G68" s="368">
        <v>15</v>
      </c>
      <c r="H68" s="368">
        <v>7.6</v>
      </c>
      <c r="I68" s="368">
        <v>1</v>
      </c>
    </row>
    <row r="69" spans="1:9" x14ac:dyDescent="0.25">
      <c r="A69" s="369" t="s">
        <v>1145</v>
      </c>
      <c r="B69" s="368">
        <v>7.5</v>
      </c>
      <c r="C69" s="368">
        <v>3.8</v>
      </c>
      <c r="D69" s="368">
        <v>0.12</v>
      </c>
      <c r="E69" s="368">
        <v>0.6</v>
      </c>
      <c r="F69" s="368">
        <v>20</v>
      </c>
      <c r="G69" s="368">
        <v>14</v>
      </c>
      <c r="H69" s="368">
        <v>7</v>
      </c>
      <c r="I69" s="368">
        <v>2</v>
      </c>
    </row>
    <row r="70" spans="1:9" x14ac:dyDescent="0.25">
      <c r="A70" s="369" t="s">
        <v>1144</v>
      </c>
      <c r="B70" s="368">
        <v>20</v>
      </c>
      <c r="C70" s="368">
        <v>10</v>
      </c>
      <c r="D70" s="368">
        <v>0.18</v>
      </c>
      <c r="E70" s="368">
        <v>0.9</v>
      </c>
      <c r="F70" s="368">
        <v>7</v>
      </c>
      <c r="G70" s="368">
        <v>45</v>
      </c>
      <c r="H70" s="368">
        <v>23</v>
      </c>
      <c r="I70" s="368">
        <v>2</v>
      </c>
    </row>
    <row r="71" spans="1:9" x14ac:dyDescent="0.25">
      <c r="A71" s="369" t="s">
        <v>1143</v>
      </c>
      <c r="B71" s="368">
        <v>7.5</v>
      </c>
      <c r="C71" s="368">
        <v>3.8</v>
      </c>
      <c r="D71" s="368">
        <v>0.06</v>
      </c>
      <c r="E71" s="368">
        <v>0.3</v>
      </c>
      <c r="F71" s="368">
        <v>150</v>
      </c>
      <c r="G71" s="368">
        <v>8</v>
      </c>
      <c r="H71" s="368">
        <v>4</v>
      </c>
      <c r="I71" s="368">
        <v>1</v>
      </c>
    </row>
    <row r="72" spans="1:9" x14ac:dyDescent="0.25">
      <c r="A72" s="369" t="s">
        <v>1142</v>
      </c>
      <c r="B72" s="368"/>
      <c r="C72" s="368"/>
      <c r="D72" s="368">
        <v>0.48</v>
      </c>
      <c r="E72" s="368">
        <v>2.4</v>
      </c>
      <c r="F72" s="368"/>
      <c r="G72" s="368"/>
      <c r="H72" s="368"/>
      <c r="I72" s="368">
        <v>2</v>
      </c>
    </row>
    <row r="73" spans="1:9" x14ac:dyDescent="0.25">
      <c r="A73" s="369" t="s">
        <v>1141</v>
      </c>
      <c r="B73" s="368">
        <v>20</v>
      </c>
      <c r="C73" s="368">
        <v>10</v>
      </c>
      <c r="D73" s="368">
        <v>0.06</v>
      </c>
      <c r="E73" s="368">
        <v>0.3</v>
      </c>
      <c r="F73" s="368">
        <v>100</v>
      </c>
      <c r="G73" s="368">
        <v>21</v>
      </c>
      <c r="H73" s="368">
        <v>10.3</v>
      </c>
      <c r="I73" s="368">
        <v>2</v>
      </c>
    </row>
    <row r="74" spans="1:9" x14ac:dyDescent="0.25">
      <c r="A74" s="369" t="s">
        <v>1140</v>
      </c>
      <c r="B74" s="368">
        <v>20</v>
      </c>
      <c r="C74" s="368">
        <v>10</v>
      </c>
      <c r="D74" s="368">
        <v>0.06</v>
      </c>
      <c r="E74" s="368">
        <v>0.3</v>
      </c>
      <c r="F74" s="368">
        <v>40</v>
      </c>
      <c r="G74" s="368">
        <v>22</v>
      </c>
      <c r="H74" s="368">
        <v>10.8</v>
      </c>
      <c r="I74" s="368">
        <v>2</v>
      </c>
    </row>
    <row r="75" spans="1:9" x14ac:dyDescent="0.25">
      <c r="A75" s="369" t="s">
        <v>1139</v>
      </c>
      <c r="B75" s="368">
        <v>20</v>
      </c>
      <c r="C75" s="368">
        <v>10</v>
      </c>
      <c r="D75" s="368">
        <v>0.06</v>
      </c>
      <c r="E75" s="368">
        <v>0.3</v>
      </c>
      <c r="F75" s="368">
        <v>10</v>
      </c>
      <c r="G75" s="368">
        <v>26</v>
      </c>
      <c r="H75" s="368">
        <v>13</v>
      </c>
      <c r="I75" s="368">
        <v>2</v>
      </c>
    </row>
    <row r="76" spans="1:9" x14ac:dyDescent="0.25">
      <c r="A76" s="369" t="s">
        <v>1138</v>
      </c>
      <c r="B76" s="368">
        <v>10</v>
      </c>
      <c r="C76" s="368">
        <v>5</v>
      </c>
      <c r="D76" s="368">
        <v>0.12</v>
      </c>
      <c r="E76" s="368">
        <v>0.6</v>
      </c>
      <c r="F76" s="368">
        <v>40</v>
      </c>
      <c r="G76" s="368">
        <v>13</v>
      </c>
      <c r="H76" s="368">
        <v>6.5</v>
      </c>
      <c r="I76" s="368">
        <v>1</v>
      </c>
    </row>
    <row r="77" spans="1:9" x14ac:dyDescent="0.25">
      <c r="A77" s="369" t="s">
        <v>1137</v>
      </c>
      <c r="B77" s="368">
        <v>7.5</v>
      </c>
      <c r="C77" s="368">
        <v>3.8</v>
      </c>
      <c r="D77" s="368">
        <v>0.18</v>
      </c>
      <c r="E77" s="368">
        <v>0.9</v>
      </c>
      <c r="F77" s="368">
        <v>120</v>
      </c>
      <c r="G77" s="368">
        <v>9</v>
      </c>
      <c r="H77" s="368">
        <v>4.5999999999999996</v>
      </c>
      <c r="I77" s="368">
        <v>1</v>
      </c>
    </row>
    <row r="78" spans="1:9" x14ac:dyDescent="0.25">
      <c r="A78" s="369" t="s">
        <v>1136</v>
      </c>
      <c r="B78" s="368">
        <v>7.5</v>
      </c>
      <c r="C78" s="368">
        <v>3.8</v>
      </c>
      <c r="D78" s="368">
        <v>0.18</v>
      </c>
      <c r="E78" s="368">
        <v>0.9</v>
      </c>
      <c r="F78" s="368">
        <v>20</v>
      </c>
      <c r="G78" s="368">
        <v>17</v>
      </c>
      <c r="H78" s="368">
        <v>8.3000000000000007</v>
      </c>
      <c r="I78" s="368">
        <v>1</v>
      </c>
    </row>
    <row r="79" spans="1:9" x14ac:dyDescent="0.25">
      <c r="A79" s="369" t="s">
        <v>1135</v>
      </c>
      <c r="B79" s="368">
        <v>10</v>
      </c>
      <c r="C79" s="368">
        <v>5</v>
      </c>
      <c r="D79" s="368">
        <v>0.06</v>
      </c>
      <c r="E79" s="368">
        <v>0.3</v>
      </c>
      <c r="F79" s="368">
        <v>70</v>
      </c>
      <c r="G79" s="368">
        <v>11</v>
      </c>
      <c r="H79" s="368">
        <v>5.4</v>
      </c>
      <c r="I79" s="368">
        <v>1</v>
      </c>
    </row>
  </sheetData>
  <mergeCells count="3">
    <mergeCell ref="B1:C1"/>
    <mergeCell ref="D1:E1"/>
    <mergeCell ref="G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61"/>
  <sheetViews>
    <sheetView zoomScale="85" zoomScaleNormal="85" workbookViewId="0">
      <pane ySplit="2" topLeftCell="A3" activePane="bottomLeft" state="frozen"/>
      <selection pane="bottomLeft" activeCell="K17" sqref="K17"/>
    </sheetView>
  </sheetViews>
  <sheetFormatPr defaultColWidth="9.140625" defaultRowHeight="15" x14ac:dyDescent="0.25"/>
  <cols>
    <col min="1" max="1" width="9.140625" style="428"/>
    <col min="2" max="2" width="5.7109375" style="428" customWidth="1"/>
    <col min="3" max="3" width="36" style="428" bestFit="1" customWidth="1"/>
    <col min="4" max="4" width="16.85546875" style="429" customWidth="1"/>
    <col min="5" max="5" width="10.7109375" style="429" customWidth="1"/>
    <col min="6" max="6" width="16.5703125" style="428" customWidth="1"/>
    <col min="7" max="7" width="52.85546875" style="428" customWidth="1"/>
    <col min="8" max="8" width="15.5703125" style="428" customWidth="1"/>
    <col min="9" max="16384" width="9.140625" style="428"/>
  </cols>
  <sheetData>
    <row r="2" spans="2:11" ht="18.75" customHeight="1" x14ac:dyDescent="0.25">
      <c r="B2" s="552" t="s">
        <v>1249</v>
      </c>
      <c r="C2" s="552"/>
      <c r="D2" s="552"/>
      <c r="E2" s="552"/>
      <c r="F2" s="552"/>
      <c r="G2" s="552"/>
    </row>
    <row r="3" spans="2:11" ht="15" customHeight="1" x14ac:dyDescent="0.25">
      <c r="B3" s="552" t="s">
        <v>170</v>
      </c>
      <c r="C3" s="552"/>
      <c r="D3" s="552"/>
      <c r="E3" s="552"/>
      <c r="F3" s="552"/>
      <c r="G3" s="552"/>
    </row>
    <row r="4" spans="2:11" ht="30" x14ac:dyDescent="0.25">
      <c r="B4" s="83" t="s">
        <v>128</v>
      </c>
      <c r="C4" s="83" t="s">
        <v>127</v>
      </c>
      <c r="D4" s="82" t="s">
        <v>126</v>
      </c>
      <c r="E4" s="82" t="s">
        <v>125</v>
      </c>
      <c r="F4" s="83" t="s">
        <v>124</v>
      </c>
      <c r="G4" s="83" t="s">
        <v>123</v>
      </c>
    </row>
    <row r="5" spans="2:11" s="462" customFormat="1" ht="45" x14ac:dyDescent="0.25">
      <c r="B5" s="443">
        <v>1.1000000000000001</v>
      </c>
      <c r="C5" s="437" t="s">
        <v>171</v>
      </c>
      <c r="D5" s="440">
        <v>45000</v>
      </c>
      <c r="E5" s="436" t="s">
        <v>357</v>
      </c>
      <c r="F5" s="443"/>
      <c r="G5" s="437"/>
    </row>
    <row r="6" spans="2:11" s="462" customFormat="1" ht="30" x14ac:dyDescent="0.25">
      <c r="B6" s="437">
        <v>1.2</v>
      </c>
      <c r="C6" s="437" t="s">
        <v>1250</v>
      </c>
      <c r="D6" s="440" t="s">
        <v>411</v>
      </c>
      <c r="E6" s="436"/>
      <c r="F6" s="440"/>
      <c r="G6" s="437" t="s">
        <v>183</v>
      </c>
    </row>
    <row r="7" spans="2:11" s="462" customFormat="1" ht="30" x14ac:dyDescent="0.25">
      <c r="B7" s="437">
        <v>1.3</v>
      </c>
      <c r="C7" s="438" t="s">
        <v>180</v>
      </c>
      <c r="D7" s="440" t="s">
        <v>411</v>
      </c>
      <c r="E7" s="464"/>
      <c r="F7" s="440"/>
      <c r="G7" s="437" t="s">
        <v>183</v>
      </c>
      <c r="K7" s="463"/>
    </row>
    <row r="8" spans="2:11" s="462" customFormat="1" ht="30" x14ac:dyDescent="0.25">
      <c r="B8" s="437">
        <v>1.4</v>
      </c>
      <c r="C8" s="438" t="s">
        <v>182</v>
      </c>
      <c r="D8" s="440" t="s">
        <v>411</v>
      </c>
      <c r="E8" s="464"/>
      <c r="F8" s="440"/>
      <c r="G8" s="437" t="s">
        <v>183</v>
      </c>
      <c r="H8" s="433"/>
      <c r="K8" s="463"/>
    </row>
    <row r="9" spans="2:11" s="448" customFormat="1" ht="30" x14ac:dyDescent="0.25">
      <c r="B9" s="461">
        <v>1.7</v>
      </c>
      <c r="C9" s="454" t="s">
        <v>174</v>
      </c>
      <c r="D9" s="453" t="s">
        <v>411</v>
      </c>
      <c r="E9" s="458"/>
      <c r="F9" s="453"/>
      <c r="G9" s="451" t="s">
        <v>183</v>
      </c>
    </row>
    <row r="10" spans="2:11" s="448" customFormat="1" ht="30" x14ac:dyDescent="0.25">
      <c r="B10" s="451">
        <v>1.8</v>
      </c>
      <c r="C10" s="451" t="s">
        <v>175</v>
      </c>
      <c r="D10" s="453" t="s">
        <v>411</v>
      </c>
      <c r="E10" s="458"/>
      <c r="F10" s="453"/>
      <c r="G10" s="451" t="s">
        <v>183</v>
      </c>
    </row>
    <row r="11" spans="2:11" s="448" customFormat="1" ht="30" x14ac:dyDescent="0.25">
      <c r="B11" s="451">
        <v>1.9</v>
      </c>
      <c r="C11" s="454" t="s">
        <v>181</v>
      </c>
      <c r="D11" s="453"/>
      <c r="E11" s="458"/>
      <c r="F11" s="457"/>
      <c r="G11" s="451" t="s">
        <v>183</v>
      </c>
    </row>
    <row r="12" spans="2:11" s="448" customFormat="1" ht="30" x14ac:dyDescent="0.25">
      <c r="B12" s="455">
        <v>1.1000000000000001</v>
      </c>
      <c r="C12" s="454" t="s">
        <v>188</v>
      </c>
      <c r="D12" s="453"/>
      <c r="E12" s="458">
        <v>250</v>
      </c>
      <c r="F12" s="457">
        <v>10</v>
      </c>
      <c r="G12" s="451" t="s">
        <v>189</v>
      </c>
    </row>
    <row r="13" spans="2:11" s="448" customFormat="1" ht="30" x14ac:dyDescent="0.25">
      <c r="B13" s="460">
        <v>1.1100000000000001</v>
      </c>
      <c r="C13" s="454" t="s">
        <v>1251</v>
      </c>
      <c r="D13" s="453"/>
      <c r="E13" s="458"/>
      <c r="F13" s="457"/>
      <c r="G13" s="451" t="s">
        <v>1252</v>
      </c>
    </row>
    <row r="14" spans="2:11" s="448" customFormat="1" ht="45" x14ac:dyDescent="0.25">
      <c r="B14" s="455">
        <v>1.1200000000000001</v>
      </c>
      <c r="C14" s="451" t="s">
        <v>190</v>
      </c>
      <c r="D14" s="453"/>
      <c r="E14" s="452" t="s">
        <v>186</v>
      </c>
      <c r="F14" s="451" t="s">
        <v>186</v>
      </c>
      <c r="G14" s="451" t="s">
        <v>187</v>
      </c>
    </row>
    <row r="15" spans="2:11" s="448" customFormat="1" ht="60" x14ac:dyDescent="0.25">
      <c r="B15" s="455">
        <v>1.1299999999999999</v>
      </c>
      <c r="C15" s="454" t="s">
        <v>1253</v>
      </c>
      <c r="D15" s="453"/>
      <c r="E15" s="458"/>
      <c r="F15" s="453"/>
      <c r="G15" s="451" t="s">
        <v>1254</v>
      </c>
    </row>
    <row r="16" spans="2:11" s="448" customFormat="1" ht="30" x14ac:dyDescent="0.25">
      <c r="B16" s="455">
        <v>1.1399999999999999</v>
      </c>
      <c r="C16" s="454" t="s">
        <v>184</v>
      </c>
      <c r="D16" s="458"/>
      <c r="E16" s="458"/>
      <c r="F16" s="457"/>
      <c r="G16" s="454"/>
    </row>
    <row r="17" spans="2:9" s="448" customFormat="1" ht="30.75" customHeight="1" x14ac:dyDescent="0.25">
      <c r="B17" s="455">
        <v>1.1499999999999999</v>
      </c>
      <c r="C17" s="454" t="s">
        <v>192</v>
      </c>
      <c r="D17" s="453">
        <v>5000</v>
      </c>
      <c r="E17" s="458" t="s">
        <v>186</v>
      </c>
      <c r="F17" s="459" t="s">
        <v>186</v>
      </c>
      <c r="G17" s="456" t="s">
        <v>1263</v>
      </c>
    </row>
    <row r="18" spans="2:9" s="448" customFormat="1" ht="36" customHeight="1" x14ac:dyDescent="0.25">
      <c r="B18" s="455">
        <v>1.18</v>
      </c>
      <c r="C18" s="454" t="s">
        <v>172</v>
      </c>
      <c r="D18" s="453">
        <v>2500</v>
      </c>
      <c r="E18" s="458">
        <v>600</v>
      </c>
      <c r="F18" s="457">
        <v>5</v>
      </c>
      <c r="G18" s="456"/>
    </row>
    <row r="19" spans="2:9" s="448" customFormat="1" ht="30" x14ac:dyDescent="0.25">
      <c r="B19" s="455">
        <v>1.21</v>
      </c>
      <c r="C19" s="454" t="s">
        <v>173</v>
      </c>
      <c r="D19" s="453" t="s">
        <v>178</v>
      </c>
      <c r="E19" s="452">
        <v>100</v>
      </c>
      <c r="F19" s="451" t="s">
        <v>179</v>
      </c>
      <c r="G19" s="450"/>
      <c r="H19" s="449" t="s">
        <v>1285</v>
      </c>
    </row>
    <row r="20" spans="2:9" ht="75" x14ac:dyDescent="0.25">
      <c r="B20" s="265">
        <v>1.1200000000000001</v>
      </c>
      <c r="C20" s="252" t="s">
        <v>1255</v>
      </c>
      <c r="D20" s="250"/>
      <c r="E20" s="243"/>
      <c r="F20" s="250"/>
      <c r="G20" s="251" t="s">
        <v>1256</v>
      </c>
      <c r="H20" s="447" t="s">
        <v>1284</v>
      </c>
    </row>
    <row r="21" spans="2:9" ht="45" x14ac:dyDescent="0.25">
      <c r="B21" s="265">
        <v>1.1299999999999999</v>
      </c>
      <c r="C21" s="252" t="s">
        <v>1257</v>
      </c>
      <c r="D21" s="250"/>
      <c r="E21" s="243"/>
      <c r="F21" s="250"/>
      <c r="G21" s="251" t="s">
        <v>1258</v>
      </c>
      <c r="H21" s="447"/>
    </row>
    <row r="22" spans="2:9" s="446" customFormat="1" ht="30" x14ac:dyDescent="0.25">
      <c r="B22" s="265">
        <v>1.21</v>
      </c>
      <c r="C22" s="252" t="s">
        <v>1259</v>
      </c>
      <c r="D22" s="266"/>
      <c r="E22" s="75"/>
      <c r="F22" s="266"/>
      <c r="G22" s="251" t="s">
        <v>1260</v>
      </c>
    </row>
    <row r="23" spans="2:9" ht="60" x14ac:dyDescent="0.25">
      <c r="B23" s="265">
        <v>1.1499999999999999</v>
      </c>
      <c r="C23" s="252" t="s">
        <v>1261</v>
      </c>
      <c r="D23" s="250"/>
      <c r="E23" s="243"/>
      <c r="F23" s="250"/>
      <c r="G23" s="251" t="s">
        <v>1262</v>
      </c>
      <c r="I23" s="445"/>
    </row>
    <row r="24" spans="2:9" ht="60" x14ac:dyDescent="0.25">
      <c r="B24" s="265">
        <v>1.2</v>
      </c>
      <c r="C24" s="252" t="s">
        <v>1264</v>
      </c>
      <c r="D24" s="243"/>
      <c r="E24" s="243"/>
      <c r="F24" s="243"/>
      <c r="G24" s="416" t="s">
        <v>1265</v>
      </c>
      <c r="H24" s="428" t="s">
        <v>1283</v>
      </c>
    </row>
    <row r="25" spans="2:9" ht="30" x14ac:dyDescent="0.25">
      <c r="B25" s="251">
        <v>1.21</v>
      </c>
      <c r="C25" s="418" t="s">
        <v>1266</v>
      </c>
      <c r="D25" s="418"/>
      <c r="E25" s="418" t="s">
        <v>186</v>
      </c>
      <c r="F25" s="418" t="s">
        <v>186</v>
      </c>
      <c r="G25" s="417" t="s">
        <v>1267</v>
      </c>
    </row>
    <row r="26" spans="2:9" ht="60" x14ac:dyDescent="0.25">
      <c r="B26" s="265">
        <v>1.22</v>
      </c>
      <c r="C26" s="252" t="s">
        <v>1268</v>
      </c>
      <c r="D26" s="243" t="s">
        <v>185</v>
      </c>
      <c r="E26" s="243" t="s">
        <v>185</v>
      </c>
      <c r="F26" s="243" t="s">
        <v>185</v>
      </c>
      <c r="G26" s="416" t="s">
        <v>1269</v>
      </c>
    </row>
    <row r="27" spans="2:9" ht="15" customHeight="1" x14ac:dyDescent="0.25">
      <c r="B27" s="552" t="s">
        <v>129</v>
      </c>
      <c r="C27" s="552"/>
      <c r="D27" s="552"/>
      <c r="E27" s="552"/>
      <c r="F27" s="552"/>
      <c r="G27" s="552"/>
    </row>
    <row r="28" spans="2:9" ht="30" x14ac:dyDescent="0.25">
      <c r="B28" s="83" t="s">
        <v>128</v>
      </c>
      <c r="C28" s="83" t="s">
        <v>127</v>
      </c>
      <c r="D28" s="82" t="s">
        <v>126</v>
      </c>
      <c r="E28" s="82" t="s">
        <v>125</v>
      </c>
      <c r="F28" s="83" t="s">
        <v>124</v>
      </c>
      <c r="G28" s="83" t="s">
        <v>123</v>
      </c>
    </row>
    <row r="29" spans="2:9" ht="45" x14ac:dyDescent="0.25">
      <c r="B29" s="252" t="s">
        <v>392</v>
      </c>
      <c r="C29" s="252" t="s">
        <v>402</v>
      </c>
      <c r="D29" s="243" t="s">
        <v>398</v>
      </c>
      <c r="E29" s="243" t="s">
        <v>401</v>
      </c>
      <c r="F29" s="244" t="s">
        <v>1270</v>
      </c>
      <c r="G29" s="416" t="s">
        <v>1271</v>
      </c>
    </row>
    <row r="30" spans="2:9" ht="45" x14ac:dyDescent="0.25">
      <c r="B30" s="252" t="s">
        <v>394</v>
      </c>
      <c r="C30" s="252" t="s">
        <v>395</v>
      </c>
      <c r="D30" s="243" t="s">
        <v>397</v>
      </c>
      <c r="E30" s="243" t="s">
        <v>399</v>
      </c>
      <c r="F30" s="244" t="s">
        <v>1272</v>
      </c>
      <c r="G30" s="416" t="s">
        <v>1271</v>
      </c>
    </row>
    <row r="31" spans="2:9" ht="45" x14ac:dyDescent="0.25">
      <c r="B31" s="252" t="s">
        <v>393</v>
      </c>
      <c r="C31" s="252" t="s">
        <v>403</v>
      </c>
      <c r="D31" s="243" t="s">
        <v>396</v>
      </c>
      <c r="E31" s="243" t="s">
        <v>400</v>
      </c>
      <c r="F31" s="244" t="s">
        <v>1273</v>
      </c>
      <c r="G31" s="416" t="s">
        <v>1271</v>
      </c>
    </row>
    <row r="32" spans="2:9" s="429" customFormat="1" ht="30" x14ac:dyDescent="0.25">
      <c r="B32" s="252">
        <v>2.2000000000000002</v>
      </c>
      <c r="C32" s="252" t="s">
        <v>169</v>
      </c>
      <c r="D32" s="250"/>
      <c r="E32" s="243"/>
      <c r="F32" s="247"/>
      <c r="G32" s="252"/>
    </row>
    <row r="33" spans="2:7" s="429" customFormat="1" ht="60" x14ac:dyDescent="0.25">
      <c r="B33" s="251">
        <v>2.2999999999999998</v>
      </c>
      <c r="C33" s="251" t="s">
        <v>1274</v>
      </c>
      <c r="D33" s="75" t="s">
        <v>185</v>
      </c>
      <c r="E33" s="75" t="s">
        <v>185</v>
      </c>
      <c r="F33" s="75" t="s">
        <v>185</v>
      </c>
      <c r="G33" s="251"/>
    </row>
    <row r="34" spans="2:7" s="429" customFormat="1" ht="60" x14ac:dyDescent="0.25">
      <c r="B34" s="252">
        <v>2.4</v>
      </c>
      <c r="C34" s="417" t="s">
        <v>1275</v>
      </c>
      <c r="D34" s="419"/>
      <c r="E34" s="419"/>
      <c r="F34" s="420"/>
      <c r="G34" s="251" t="s">
        <v>1276</v>
      </c>
    </row>
    <row r="35" spans="2:7" s="429" customFormat="1" ht="15" customHeight="1" x14ac:dyDescent="0.25">
      <c r="B35" s="552" t="s">
        <v>176</v>
      </c>
      <c r="C35" s="552"/>
      <c r="D35" s="552"/>
      <c r="E35" s="552"/>
      <c r="F35" s="552"/>
      <c r="G35" s="552"/>
    </row>
    <row r="36" spans="2:7" s="429" customFormat="1" ht="30" x14ac:dyDescent="0.25">
      <c r="B36" s="83" t="s">
        <v>128</v>
      </c>
      <c r="C36" s="83" t="s">
        <v>127</v>
      </c>
      <c r="D36" s="82" t="s">
        <v>126</v>
      </c>
      <c r="E36" s="82" t="s">
        <v>125</v>
      </c>
      <c r="F36" s="83" t="s">
        <v>124</v>
      </c>
      <c r="G36" s="83" t="s">
        <v>123</v>
      </c>
    </row>
    <row r="37" spans="2:7" s="429" customFormat="1" ht="30" x14ac:dyDescent="0.25">
      <c r="B37" s="251">
        <v>3.1</v>
      </c>
      <c r="C37" s="251" t="s">
        <v>1277</v>
      </c>
      <c r="D37" s="74"/>
      <c r="E37" s="74"/>
      <c r="F37" s="251"/>
      <c r="G37" s="251" t="s">
        <v>1278</v>
      </c>
    </row>
    <row r="38" spans="2:7" s="429" customFormat="1" ht="15" customHeight="1" x14ac:dyDescent="0.25">
      <c r="B38" s="552" t="s">
        <v>177</v>
      </c>
      <c r="C38" s="552"/>
      <c r="D38" s="552"/>
      <c r="E38" s="552"/>
      <c r="F38" s="552"/>
      <c r="G38" s="552"/>
    </row>
    <row r="39" spans="2:7" s="429" customFormat="1" ht="30" x14ac:dyDescent="0.25">
      <c r="B39" s="83" t="s">
        <v>128</v>
      </c>
      <c r="C39" s="83" t="s">
        <v>127</v>
      </c>
      <c r="D39" s="82" t="s">
        <v>126</v>
      </c>
      <c r="E39" s="82" t="s">
        <v>125</v>
      </c>
      <c r="F39" s="83" t="s">
        <v>124</v>
      </c>
      <c r="G39" s="83" t="s">
        <v>123</v>
      </c>
    </row>
    <row r="40" spans="2:7" s="433" customFormat="1" x14ac:dyDescent="0.25">
      <c r="B40" s="438">
        <v>4.0999999999999996</v>
      </c>
      <c r="C40" s="438" t="s">
        <v>122</v>
      </c>
      <c r="D40" s="444"/>
      <c r="E40" s="436" t="s">
        <v>186</v>
      </c>
      <c r="F40" s="443" t="s">
        <v>186</v>
      </c>
      <c r="G40" s="442"/>
    </row>
    <row r="41" spans="2:7" s="433" customFormat="1" x14ac:dyDescent="0.25">
      <c r="B41" s="438">
        <v>4.2</v>
      </c>
      <c r="C41" s="438" t="s">
        <v>120</v>
      </c>
      <c r="D41" s="436" t="s">
        <v>178</v>
      </c>
      <c r="E41" s="440"/>
      <c r="F41" s="437" t="s">
        <v>179</v>
      </c>
      <c r="G41" s="438"/>
    </row>
    <row r="42" spans="2:7" s="433" customFormat="1" ht="45" x14ac:dyDescent="0.25">
      <c r="B42" s="438">
        <v>4.3</v>
      </c>
      <c r="C42" s="438" t="s">
        <v>119</v>
      </c>
      <c r="D42" s="440"/>
      <c r="E42" s="440"/>
      <c r="F42" s="441"/>
      <c r="G42" s="438"/>
    </row>
    <row r="43" spans="2:7" s="433" customFormat="1" ht="30" x14ac:dyDescent="0.25">
      <c r="B43" s="438">
        <v>4.4000000000000004</v>
      </c>
      <c r="C43" s="437" t="s">
        <v>118</v>
      </c>
      <c r="D43" s="436" t="s">
        <v>178</v>
      </c>
      <c r="E43" s="440"/>
      <c r="F43" s="437" t="s">
        <v>179</v>
      </c>
      <c r="G43" s="439"/>
    </row>
    <row r="44" spans="2:7" s="433" customFormat="1" x14ac:dyDescent="0.25">
      <c r="B44" s="438">
        <v>4.5</v>
      </c>
      <c r="C44" s="437" t="s">
        <v>191</v>
      </c>
      <c r="D44" s="436">
        <f>281000*1.8</f>
        <v>505800</v>
      </c>
      <c r="E44" s="436">
        <v>37000</v>
      </c>
      <c r="F44" s="435">
        <f>D44/E44</f>
        <v>13.670270270270271</v>
      </c>
      <c r="G44" s="434"/>
    </row>
    <row r="45" spans="2:7" s="429" customFormat="1" x14ac:dyDescent="0.25">
      <c r="B45" s="252">
        <v>4.5999999999999996</v>
      </c>
      <c r="C45" s="251" t="s">
        <v>117</v>
      </c>
      <c r="D45" s="74" t="s">
        <v>193</v>
      </c>
      <c r="E45" s="74" t="s">
        <v>186</v>
      </c>
      <c r="F45" s="264" t="s">
        <v>186</v>
      </c>
      <c r="G45" s="425"/>
    </row>
    <row r="46" spans="2:7" s="429" customFormat="1" ht="30" x14ac:dyDescent="0.25">
      <c r="B46" s="252">
        <v>4.7</v>
      </c>
      <c r="C46" s="252" t="s">
        <v>121</v>
      </c>
      <c r="D46" s="81" t="s">
        <v>193</v>
      </c>
      <c r="E46" s="74" t="s">
        <v>186</v>
      </c>
      <c r="F46" s="264" t="s">
        <v>186</v>
      </c>
      <c r="G46" s="252"/>
    </row>
    <row r="47" spans="2:7" s="429" customFormat="1" ht="30" x14ac:dyDescent="0.25">
      <c r="B47" s="252">
        <v>4.8</v>
      </c>
      <c r="C47" s="252" t="s">
        <v>115</v>
      </c>
      <c r="D47" s="74" t="s">
        <v>178</v>
      </c>
      <c r="E47" s="74" t="s">
        <v>186</v>
      </c>
      <c r="F47" s="264" t="s">
        <v>186</v>
      </c>
      <c r="G47" s="421"/>
    </row>
    <row r="48" spans="2:7" s="429" customFormat="1" ht="30" x14ac:dyDescent="0.25">
      <c r="B48" s="252">
        <v>4.9000000000000004</v>
      </c>
      <c r="C48" s="252" t="s">
        <v>1279</v>
      </c>
      <c r="D48" s="81"/>
      <c r="E48" s="74"/>
      <c r="F48" s="264"/>
      <c r="G48" s="252" t="s">
        <v>1280</v>
      </c>
    </row>
    <row r="49" spans="2:7" s="429" customFormat="1" x14ac:dyDescent="0.25">
      <c r="B49" s="428"/>
      <c r="C49" s="428"/>
      <c r="D49" s="428"/>
      <c r="E49" s="428"/>
      <c r="F49" s="428"/>
      <c r="G49" s="432"/>
    </row>
    <row r="50" spans="2:7" s="429" customFormat="1" x14ac:dyDescent="0.25">
      <c r="B50" s="428"/>
      <c r="C50" s="428"/>
      <c r="D50" s="428"/>
      <c r="E50" s="428"/>
      <c r="F50" s="428"/>
      <c r="G50" s="431"/>
    </row>
    <row r="51" spans="2:7" s="429" customFormat="1" x14ac:dyDescent="0.25">
      <c r="B51" s="428"/>
      <c r="C51" s="428"/>
      <c r="D51" s="428"/>
      <c r="E51" s="428"/>
      <c r="F51" s="428"/>
      <c r="G51" s="431"/>
    </row>
    <row r="52" spans="2:7" s="429" customFormat="1" x14ac:dyDescent="0.25">
      <c r="B52" s="428"/>
      <c r="C52" s="428"/>
      <c r="D52" s="428"/>
      <c r="E52" s="428"/>
      <c r="F52" s="428"/>
      <c r="G52" s="428"/>
    </row>
    <row r="53" spans="2:7" s="429" customFormat="1" x14ac:dyDescent="0.25">
      <c r="B53" s="428"/>
      <c r="C53" s="428"/>
      <c r="F53" s="430"/>
      <c r="G53" s="428"/>
    </row>
    <row r="54" spans="2:7" s="429" customFormat="1" x14ac:dyDescent="0.25">
      <c r="B54" s="428"/>
      <c r="C54" s="428"/>
      <c r="F54" s="430"/>
      <c r="G54" s="428"/>
    </row>
    <row r="55" spans="2:7" s="429" customFormat="1" x14ac:dyDescent="0.25">
      <c r="B55" s="428"/>
      <c r="C55" s="428"/>
      <c r="F55" s="430"/>
      <c r="G55" s="428"/>
    </row>
    <row r="56" spans="2:7" s="429" customFormat="1" x14ac:dyDescent="0.25">
      <c r="B56" s="428"/>
      <c r="C56" s="428"/>
      <c r="F56" s="430"/>
      <c r="G56" s="428"/>
    </row>
    <row r="57" spans="2:7" s="429" customFormat="1" x14ac:dyDescent="0.25">
      <c r="B57" s="428"/>
      <c r="C57" s="428"/>
      <c r="F57" s="430"/>
      <c r="G57" s="428"/>
    </row>
    <row r="58" spans="2:7" s="429" customFormat="1" x14ac:dyDescent="0.25">
      <c r="B58" s="428"/>
      <c r="C58" s="428"/>
      <c r="F58" s="430"/>
      <c r="G58" s="428"/>
    </row>
    <row r="59" spans="2:7" s="429" customFormat="1" x14ac:dyDescent="0.25">
      <c r="B59" s="428"/>
      <c r="C59" s="428"/>
      <c r="F59" s="430"/>
      <c r="G59" s="428"/>
    </row>
    <row r="60" spans="2:7" s="429" customFormat="1" x14ac:dyDescent="0.25">
      <c r="B60" s="428"/>
      <c r="C60" s="428"/>
      <c r="F60" s="430"/>
      <c r="G60" s="428"/>
    </row>
    <row r="61" spans="2:7" s="429" customFormat="1" x14ac:dyDescent="0.25">
      <c r="B61" s="428"/>
      <c r="C61" s="428"/>
      <c r="F61" s="430"/>
      <c r="G61" s="428"/>
    </row>
  </sheetData>
  <mergeCells count="5">
    <mergeCell ref="B2:G2"/>
    <mergeCell ref="B3:G3"/>
    <mergeCell ref="B27:G27"/>
    <mergeCell ref="B35:G35"/>
    <mergeCell ref="B38:G38"/>
  </mergeCells>
  <pageMargins left="0.7" right="0.7" top="0.75" bottom="0.75" header="0.3" footer="0.3"/>
  <pageSetup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1"/>
  <sheetViews>
    <sheetView zoomScale="85" zoomScaleNormal="85" workbookViewId="0">
      <selection activeCell="F12" sqref="F12"/>
    </sheetView>
  </sheetViews>
  <sheetFormatPr defaultRowHeight="15" x14ac:dyDescent="0.25"/>
  <cols>
    <col min="1" max="1" width="23.140625" style="166" customWidth="1"/>
    <col min="2" max="2" width="20.7109375" style="166" customWidth="1"/>
    <col min="3" max="3" width="19.5703125" style="166" customWidth="1"/>
    <col min="4" max="4" width="15" style="166" customWidth="1"/>
    <col min="5" max="5" width="23.85546875" style="166" customWidth="1"/>
    <col min="6" max="6" width="19.7109375" style="166" customWidth="1"/>
    <col min="7" max="7" width="20.42578125" style="166" customWidth="1"/>
    <col min="8" max="8" width="46.85546875" style="166" bestFit="1" customWidth="1"/>
    <col min="9" max="9" width="45.5703125" style="166" bestFit="1" customWidth="1"/>
    <col min="10" max="10" width="51.28515625" style="166" bestFit="1" customWidth="1"/>
    <col min="11" max="11" width="36.28515625" style="166" bestFit="1" customWidth="1"/>
    <col min="12" max="12" width="23.140625" style="166" customWidth="1"/>
    <col min="13" max="13" width="18.140625" style="166" customWidth="1"/>
    <col min="14" max="14" width="17" style="166" customWidth="1"/>
    <col min="15" max="15" width="17.85546875" style="166" customWidth="1"/>
    <col min="16" max="16" width="18.7109375" style="166" customWidth="1"/>
    <col min="17" max="17" width="24.7109375" style="166" customWidth="1"/>
    <col min="18" max="18" width="18" style="166" customWidth="1"/>
    <col min="19" max="19" width="22.7109375" style="166" customWidth="1"/>
    <col min="20" max="20" width="32.140625" style="166" bestFit="1" customWidth="1"/>
    <col min="21" max="21" width="17" style="166" bestFit="1" customWidth="1"/>
    <col min="22" max="22" width="18.28515625" style="166" bestFit="1" customWidth="1"/>
    <col min="23" max="23" width="31.85546875" style="166" bestFit="1" customWidth="1"/>
    <col min="24" max="24" width="9.140625" style="166"/>
    <col min="25" max="25" width="13.28515625" style="166" bestFit="1" customWidth="1"/>
    <col min="26" max="16384" width="9.140625" style="166"/>
  </cols>
  <sheetData>
    <row r="1" spans="1:25" ht="19.5" x14ac:dyDescent="0.3">
      <c r="A1" s="486"/>
      <c r="B1" s="486"/>
      <c r="C1" s="486"/>
      <c r="D1" s="486"/>
      <c r="E1" s="486"/>
      <c r="F1" s="486"/>
      <c r="M1" s="558" t="s">
        <v>1244</v>
      </c>
      <c r="N1" s="559"/>
      <c r="O1" s="559"/>
      <c r="P1" s="560"/>
    </row>
    <row r="2" spans="1:25" ht="20.25" thickBot="1" x14ac:dyDescent="0.35">
      <c r="A2" s="486"/>
      <c r="B2" s="486"/>
      <c r="C2" s="486"/>
      <c r="D2" s="486"/>
      <c r="E2" s="486"/>
      <c r="F2" s="486"/>
      <c r="M2" s="561"/>
      <c r="N2" s="562"/>
      <c r="O2" s="562"/>
      <c r="P2" s="563"/>
    </row>
    <row r="3" spans="1:25" x14ac:dyDescent="0.25">
      <c r="A3" s="487" t="s">
        <v>65</v>
      </c>
      <c r="B3" s="166" t="s">
        <v>99</v>
      </c>
      <c r="C3" s="166" t="s">
        <v>97</v>
      </c>
      <c r="D3" s="166" t="s">
        <v>96</v>
      </c>
      <c r="E3" s="166" t="s">
        <v>95</v>
      </c>
      <c r="F3" s="166" t="s">
        <v>98</v>
      </c>
      <c r="M3" s="564" t="s">
        <v>369</v>
      </c>
      <c r="N3" s="565"/>
      <c r="O3" s="565"/>
      <c r="P3" s="566"/>
    </row>
    <row r="4" spans="1:25" x14ac:dyDescent="0.25">
      <c r="A4" s="8" t="s">
        <v>88</v>
      </c>
      <c r="B4" s="488">
        <v>1021204.1735273527</v>
      </c>
      <c r="C4" s="488">
        <v>299285.40000000095</v>
      </c>
      <c r="D4" s="489">
        <v>4.9217286914766021</v>
      </c>
      <c r="E4" s="488">
        <v>16.793635375147545</v>
      </c>
      <c r="F4" s="488">
        <v>54448</v>
      </c>
      <c r="M4" s="490" t="s">
        <v>370</v>
      </c>
      <c r="N4" s="491" t="s">
        <v>371</v>
      </c>
      <c r="O4" s="491" t="s">
        <v>372</v>
      </c>
      <c r="P4" s="492" t="s">
        <v>373</v>
      </c>
    </row>
    <row r="5" spans="1:25" x14ac:dyDescent="0.25">
      <c r="A5" s="8" t="s">
        <v>50</v>
      </c>
      <c r="B5" s="488">
        <v>728603.69627926184</v>
      </c>
      <c r="C5" s="488">
        <v>213532.66500000001</v>
      </c>
      <c r="D5" s="489">
        <v>3.5115306122448979</v>
      </c>
      <c r="E5" s="488">
        <v>11.981839798044069</v>
      </c>
      <c r="F5" s="488">
        <v>37535</v>
      </c>
      <c r="M5" s="493" t="s">
        <v>87</v>
      </c>
      <c r="N5" s="494">
        <f>Table8[[#This Row],[CHW kBtu]]/3.412142</f>
        <v>16404.651389068804</v>
      </c>
      <c r="O5" s="495">
        <v>55975</v>
      </c>
      <c r="P5" s="496">
        <f>Table8[[#This Row],[CHW kBtu]]/$O$10</f>
        <v>0.25365241349308487</v>
      </c>
    </row>
    <row r="6" spans="1:25" x14ac:dyDescent="0.25">
      <c r="A6" s="8" t="s">
        <v>87</v>
      </c>
      <c r="B6" s="488">
        <v>841647.1723225707</v>
      </c>
      <c r="C6" s="488">
        <v>246662.43750000114</v>
      </c>
      <c r="D6" s="489">
        <v>4.0563475390156185</v>
      </c>
      <c r="E6" s="488">
        <v>13.840832316311278</v>
      </c>
      <c r="F6" s="488">
        <v>110361</v>
      </c>
      <c r="M6" s="493" t="s">
        <v>88</v>
      </c>
      <c r="N6" s="494">
        <f>Table8[[#This Row],[CHW kBtu]]/3.412142</f>
        <v>40729.840668999124</v>
      </c>
      <c r="O6" s="495">
        <v>138976</v>
      </c>
      <c r="P6" s="496">
        <f>Table8[[#This Row],[CHW kBtu]]/$O$10</f>
        <v>0.62977396726422452</v>
      </c>
    </row>
    <row r="7" spans="1:25" x14ac:dyDescent="0.25">
      <c r="A7" s="8" t="s">
        <v>110</v>
      </c>
      <c r="B7" s="488">
        <v>78462.196853777015</v>
      </c>
      <c r="C7" s="488">
        <v>22995</v>
      </c>
      <c r="D7" s="489">
        <v>0.37815126050420167</v>
      </c>
      <c r="E7" s="488">
        <v>1.2903056595861964</v>
      </c>
      <c r="F7" s="488">
        <v>16000</v>
      </c>
      <c r="M7" s="497" t="s">
        <v>405</v>
      </c>
      <c r="N7" s="494">
        <f>Table8[[#This Row],[CHW kBtu]]/3.412142</f>
        <v>2756.0400475712913</v>
      </c>
      <c r="O7" s="495">
        <v>9404</v>
      </c>
      <c r="P7" s="496">
        <f>Table8[[#This Row],[CHW kBtu]]/$O$10</f>
        <v>4.2614511772915947E-2</v>
      </c>
    </row>
    <row r="8" spans="1:25" x14ac:dyDescent="0.25">
      <c r="A8" s="8" t="s">
        <v>1231</v>
      </c>
      <c r="B8" s="488">
        <v>348269.40591584239</v>
      </c>
      <c r="C8" s="488">
        <v>102067.6875</v>
      </c>
      <c r="D8" s="489">
        <v>1.6784963985594237</v>
      </c>
      <c r="E8" s="488">
        <v>5.7272674425799206</v>
      </c>
      <c r="F8" s="488">
        <v>37285</v>
      </c>
      <c r="M8" s="498" t="s">
        <v>407</v>
      </c>
      <c r="N8" s="494">
        <f>Table8[[#This Row],[CHW kBtu]]/3.412142</f>
        <v>87.921311598403591</v>
      </c>
      <c r="O8" s="495">
        <v>300</v>
      </c>
      <c r="P8" s="496">
        <f>Table8[[#This Row],[CHW kBtu]]/$O$10</f>
        <v>1.3594591165328354E-3</v>
      </c>
      <c r="Y8" s="499"/>
    </row>
    <row r="9" spans="1:25" x14ac:dyDescent="0.25">
      <c r="A9" s="8" t="s">
        <v>48</v>
      </c>
      <c r="B9" s="488">
        <v>208961.64354950545</v>
      </c>
      <c r="C9" s="488">
        <v>61240.612500000003</v>
      </c>
      <c r="D9" s="489">
        <v>1.0070978391356542</v>
      </c>
      <c r="E9" s="488">
        <v>3.4363604655479527</v>
      </c>
      <c r="F9" s="488">
        <v>22371</v>
      </c>
      <c r="M9" s="500" t="s">
        <v>406</v>
      </c>
      <c r="N9" s="501">
        <f>Table8[[#This Row],[CHW kBtu]]/3.412142</f>
        <v>4695.291110393413</v>
      </c>
      <c r="O9" s="502">
        <v>16021</v>
      </c>
      <c r="P9" s="496">
        <f>Table8[[#This Row],[CHW kBtu]]/$O$10</f>
        <v>7.2599648353241855E-2</v>
      </c>
    </row>
    <row r="10" spans="1:25" x14ac:dyDescent="0.25">
      <c r="A10" s="8" t="s">
        <v>451</v>
      </c>
      <c r="B10" s="488">
        <v>164396.98388410424</v>
      </c>
      <c r="C10" s="488">
        <v>48180</v>
      </c>
      <c r="D10" s="489">
        <v>0.79231692677070831</v>
      </c>
      <c r="E10" s="488">
        <v>2.7034975724663166</v>
      </c>
      <c r="F10" s="488">
        <v>8800</v>
      </c>
      <c r="M10" s="503" t="s">
        <v>374</v>
      </c>
      <c r="N10" s="494">
        <f>Table8[[#This Row],[CHW kBtu]]/3.412142</f>
        <v>64673.744527631032</v>
      </c>
      <c r="O10" s="504">
        <f>SUM(O5:O9)</f>
        <v>220676</v>
      </c>
      <c r="P10" s="505">
        <f>SUM(P5:P9)</f>
        <v>1</v>
      </c>
      <c r="Y10" s="499"/>
    </row>
    <row r="11" spans="1:25" x14ac:dyDescent="0.25">
      <c r="A11" s="8" t="s">
        <v>1238</v>
      </c>
      <c r="B11" s="488">
        <v>105363.52148935771</v>
      </c>
      <c r="C11" s="488">
        <v>30879</v>
      </c>
      <c r="D11" s="489">
        <v>0.50780312124849991</v>
      </c>
      <c r="E11" s="488">
        <v>1.7326961714443221</v>
      </c>
      <c r="F11" s="488">
        <v>282000</v>
      </c>
    </row>
    <row r="12" spans="1:25" x14ac:dyDescent="0.25">
      <c r="A12" s="8" t="s">
        <v>66</v>
      </c>
      <c r="B12" s="488">
        <v>3496908.7938217721</v>
      </c>
      <c r="C12" s="488">
        <v>1024842.8025000022</v>
      </c>
      <c r="D12" s="489">
        <v>16.853472388955606</v>
      </c>
      <c r="E12" s="506">
        <v>57.506434801127604</v>
      </c>
      <c r="F12" s="488">
        <v>568800</v>
      </c>
      <c r="V12" s="488"/>
    </row>
    <row r="14" spans="1:25" ht="17.25" x14ac:dyDescent="0.25">
      <c r="A14" s="507" t="s">
        <v>375</v>
      </c>
      <c r="B14" s="471" t="s">
        <v>85</v>
      </c>
      <c r="C14" s="472" t="s">
        <v>1290</v>
      </c>
      <c r="D14" s="472" t="s">
        <v>1291</v>
      </c>
      <c r="E14" s="472" t="s">
        <v>83</v>
      </c>
      <c r="F14" s="473" t="s">
        <v>1292</v>
      </c>
      <c r="G14" s="473" t="s">
        <v>1236</v>
      </c>
      <c r="H14" s="473" t="s">
        <v>1237</v>
      </c>
    </row>
    <row r="15" spans="1:25" x14ac:dyDescent="0.25">
      <c r="A15" s="508" t="s">
        <v>1293</v>
      </c>
      <c r="B15" s="509">
        <f>GETPIVOTDATA("Sum of kBtu/Yr",$A$3,"Archived","Electrical")</f>
        <v>164396.98388410424</v>
      </c>
      <c r="C15" s="510">
        <f>GETPIVOTDATA("Sum of kBtu/ft2-yr",$A$3,"Archived","Electrical")</f>
        <v>2.7034975724663166</v>
      </c>
      <c r="D15" s="510">
        <f>GETPIVOTDATA("Sum of W/ft2",$A$3,"Archived","Electrical")</f>
        <v>0.79231692677070831</v>
      </c>
      <c r="E15" s="509">
        <f>GETPIVOTDATA("Sum of kWh/yr",$A$3,"Archived","Electrical")</f>
        <v>48180</v>
      </c>
      <c r="F15" s="509">
        <f>B15</f>
        <v>164396.98388410424</v>
      </c>
      <c r="G15" s="511">
        <f t="shared" ref="G15:G23" si="0">F15/B15</f>
        <v>1</v>
      </c>
      <c r="H15" s="474"/>
    </row>
    <row r="16" spans="1:25" x14ac:dyDescent="0.25">
      <c r="A16" s="508" t="s">
        <v>1238</v>
      </c>
      <c r="B16" s="509">
        <f>GETPIVOTDATA("Sum of kBtu/Yr",$A$3,"Archived","Heating")</f>
        <v>105363.52148935771</v>
      </c>
      <c r="C16" s="510">
        <f>GETPIVOTDATA("Sum of kBtu/ft2-yr",$A$3,"Archived","Heating")</f>
        <v>1.7326961714443221</v>
      </c>
      <c r="D16" s="510">
        <f>GETPIVOTDATA("Sum of W/ft2",$A$3,"Archived","Heating")</f>
        <v>0.50780312124849991</v>
      </c>
      <c r="E16" s="509">
        <f>GETPIVOTDATA("Sum of kWh/yr",$A$3,"Archived","Heating")</f>
        <v>30879</v>
      </c>
      <c r="F16" s="509">
        <v>43258</v>
      </c>
      <c r="G16" s="511">
        <f t="shared" si="0"/>
        <v>0.41055955029340296</v>
      </c>
      <c r="H16" s="474"/>
    </row>
    <row r="17" spans="1:8" x14ac:dyDescent="0.25">
      <c r="A17" s="508" t="s">
        <v>88</v>
      </c>
      <c r="B17" s="509">
        <f>GETPIVOTDATA("Sum of kBtu/yr",$A$3,"Archived","Lighting")</f>
        <v>1021204.1735273527</v>
      </c>
      <c r="C17" s="510">
        <f>GETPIVOTDATA("Sum of kBtu/ft2-yr",$A$3,"Archived","Lighting")</f>
        <v>16.793635375147545</v>
      </c>
      <c r="D17" s="510">
        <f>GETPIVOTDATA("Sum of W/ft2",$A$3,"Archived","Lighting")</f>
        <v>4.9217286914766021</v>
      </c>
      <c r="E17" s="509">
        <f>GETPIVOTDATA("Sum of kWh/yr",$A$3,"Archived","Lighting")</f>
        <v>299285.40000000095</v>
      </c>
      <c r="F17" s="509">
        <v>1054428</v>
      </c>
      <c r="G17" s="511">
        <f t="shared" si="0"/>
        <v>1.0325339705162861</v>
      </c>
      <c r="H17" s="474"/>
    </row>
    <row r="18" spans="1:8" x14ac:dyDescent="0.25">
      <c r="A18" s="508" t="s">
        <v>376</v>
      </c>
      <c r="B18" s="512">
        <f>GETPIVOTDATA("Sum of kBtu/yr",$A$3,"Archived","Mechanical")</f>
        <v>728603.69627926184</v>
      </c>
      <c r="C18" s="510">
        <f>GETPIVOTDATA("Sum of kBtu/ft2-yr",$A$3,"Archived","Mechanical")</f>
        <v>11.981839798044069</v>
      </c>
      <c r="D18" s="510">
        <f>GETPIVOTDATA("Sum of W/ft2",$A$3,"Archived","Mechanical")</f>
        <v>3.5115306122448979</v>
      </c>
      <c r="E18" s="509">
        <f>GETPIVOTDATA("Sum of kWh/yr",$A$3,"Archived","Mechanical")</f>
        <v>213532.66500000001</v>
      </c>
      <c r="F18" s="509">
        <f>295586+70309</f>
        <v>365895</v>
      </c>
      <c r="G18" s="511">
        <f t="shared" si="0"/>
        <v>0.50218658218247425</v>
      </c>
      <c r="H18" s="474"/>
    </row>
    <row r="19" spans="1:8" x14ac:dyDescent="0.25">
      <c r="A19" s="508" t="s">
        <v>87</v>
      </c>
      <c r="B19" s="509">
        <f>GETPIVOTDATA("Sum of kBtu/yr",$A$3,"Archived","Plug Load")</f>
        <v>841647.1723225707</v>
      </c>
      <c r="C19" s="510">
        <f>GETPIVOTDATA("Sum of kBtu/ft2-yr",$A$3,"Archived","Plug Load")</f>
        <v>13.840832316311278</v>
      </c>
      <c r="D19" s="510">
        <f>GETPIVOTDATA("Sum of W/ft2",$A$3,"Archived","Plug Load")</f>
        <v>4.0563475390156185</v>
      </c>
      <c r="E19" s="509">
        <f>GETPIVOTDATA("Sum of kWh/yr",$A$3,"Archived","Plug Load")</f>
        <v>246662.43750000114</v>
      </c>
      <c r="F19" s="509">
        <v>853727</v>
      </c>
      <c r="G19" s="511">
        <f t="shared" si="0"/>
        <v>1.0143526029370411</v>
      </c>
      <c r="H19" s="474"/>
    </row>
    <row r="20" spans="1:8" x14ac:dyDescent="0.25">
      <c r="A20" s="508" t="s">
        <v>48</v>
      </c>
      <c r="B20" s="509">
        <f>GETPIVOTDATA("Sum of kBtu/Yr",$A$3,"Archived","Pump")</f>
        <v>208961.64354950545</v>
      </c>
      <c r="C20" s="510">
        <f>GETPIVOTDATA("Sum of kBtu/ft2-yr",$A$3,"Archived","Pump")</f>
        <v>3.4363604655479527</v>
      </c>
      <c r="D20" s="510">
        <f>GETPIVOTDATA("Sum of W/ft2",$A$3,"Archived","Pump")</f>
        <v>1.0070978391356542</v>
      </c>
      <c r="E20" s="509">
        <f>GETPIVOTDATA("Sum of kWh/yr",$A$3,"Archived","Pump")</f>
        <v>61240.612500000003</v>
      </c>
      <c r="F20" s="509">
        <v>77702</v>
      </c>
      <c r="G20" s="511">
        <f t="shared" si="0"/>
        <v>0.37184814724905002</v>
      </c>
      <c r="H20" s="474"/>
    </row>
    <row r="21" spans="1:8" x14ac:dyDescent="0.25">
      <c r="A21" s="508" t="s">
        <v>1239</v>
      </c>
      <c r="B21" s="509">
        <f>'[1]CEP Utility (Tons)'!U8</f>
        <v>4189503.0121140052</v>
      </c>
      <c r="C21" s="510">
        <f>B21/'[1]Schedule-Building Info'!B6</f>
        <v>68.89610110532989</v>
      </c>
      <c r="D21" s="510">
        <f>'[1]CEP Utility (Tons)'!T11</f>
        <v>0</v>
      </c>
      <c r="E21" s="509">
        <f>'[1]CEP Utility (Tons)'!S5</f>
        <v>1225622.2249999999</v>
      </c>
      <c r="F21" s="509">
        <v>4003390</v>
      </c>
      <c r="G21" s="511">
        <f t="shared" si="0"/>
        <v>0.95557635080441361</v>
      </c>
      <c r="H21" s="474"/>
    </row>
    <row r="22" spans="1:8" x14ac:dyDescent="0.25">
      <c r="A22" s="508" t="s">
        <v>110</v>
      </c>
      <c r="B22" s="509">
        <f>GETPIVOTDATA("Sum of kBtu/Yr",$A$3,"Archived","DHW")</f>
        <v>78462.196853777015</v>
      </c>
      <c r="C22" s="510">
        <f>GETPIVOTDATA("Sum of kBtu/ft2-yr",$A$3,"Archived","DHW")</f>
        <v>1.2903056595861964</v>
      </c>
      <c r="D22" s="510">
        <f>GETPIVOTDATA("Sum of W/ft2",$A$3,"Archived","DHW")</f>
        <v>0.37815126050420167</v>
      </c>
      <c r="E22" s="509">
        <f>GETPIVOTDATA("Sum of kWh/yr",$A$3,"Archived","DHW")</f>
        <v>22995</v>
      </c>
      <c r="F22" s="509">
        <v>78462</v>
      </c>
      <c r="G22" s="513">
        <f t="shared" si="0"/>
        <v>0.9999974911003654</v>
      </c>
      <c r="H22" s="474"/>
    </row>
    <row r="23" spans="1:8" x14ac:dyDescent="0.25">
      <c r="A23" s="514" t="s">
        <v>66</v>
      </c>
      <c r="B23" s="515">
        <f>SUM(B15:B21)</f>
        <v>7259680.2031661579</v>
      </c>
      <c r="C23" s="516">
        <f>SUM(C15:C21)</f>
        <v>119.38496280429138</v>
      </c>
      <c r="D23" s="516">
        <f t="shared" ref="D23:E23" si="1">SUM(D15:D21)</f>
        <v>14.796824729891981</v>
      </c>
      <c r="E23" s="517">
        <f t="shared" si="1"/>
        <v>2125402.3400000022</v>
      </c>
      <c r="F23" s="515">
        <f>SUM(F16:F18,F20:F21)</f>
        <v>5544673</v>
      </c>
      <c r="G23" s="518">
        <f t="shared" si="0"/>
        <v>0.76376270645941213</v>
      </c>
      <c r="H23" s="519"/>
    </row>
    <row r="24" spans="1:8" ht="15.75" thickBot="1" x14ac:dyDescent="0.3">
      <c r="A24" s="520"/>
      <c r="C24" s="474"/>
      <c r="D24" s="474"/>
      <c r="E24" s="474"/>
    </row>
    <row r="25" spans="1:8" ht="15.75" thickBot="1" x14ac:dyDescent="0.3">
      <c r="A25" s="567" t="s">
        <v>1241</v>
      </c>
      <c r="B25" s="568"/>
      <c r="C25" s="567" t="s">
        <v>1240</v>
      </c>
      <c r="D25" s="568"/>
      <c r="E25" s="521" t="s">
        <v>1242</v>
      </c>
    </row>
    <row r="26" spans="1:8" ht="15.75" thickBot="1" x14ac:dyDescent="0.3">
      <c r="A26" s="522" t="s">
        <v>1243</v>
      </c>
      <c r="B26" s="523">
        <f>B23/C26</f>
        <v>0.92363004348278799</v>
      </c>
      <c r="C26" s="569">
        <f>'CEP Utility (Tons)'!S11</f>
        <v>7859943.7668697312</v>
      </c>
      <c r="D26" s="570"/>
      <c r="E26" s="523">
        <f>F23/C26</f>
        <v>0.70543418177763861</v>
      </c>
    </row>
    <row r="29" spans="1:8" x14ac:dyDescent="0.25">
      <c r="A29" s="166" t="s">
        <v>1330</v>
      </c>
    </row>
    <row r="30" spans="1:8" x14ac:dyDescent="0.25">
      <c r="A30" s="488">
        <f>(E17/'Schedule-Building Info'!N16)*0.351</f>
        <v>19.18706400000006</v>
      </c>
    </row>
    <row r="38" spans="1:19" ht="18.75" x14ac:dyDescent="0.25">
      <c r="B38" s="524" t="s">
        <v>1302</v>
      </c>
      <c r="C38" s="524" t="s">
        <v>1303</v>
      </c>
      <c r="D38" s="524" t="s">
        <v>1304</v>
      </c>
      <c r="E38" s="524" t="s">
        <v>1305</v>
      </c>
      <c r="F38" s="524" t="s">
        <v>1306</v>
      </c>
      <c r="G38" s="524" t="s">
        <v>1307</v>
      </c>
      <c r="H38" s="524" t="s">
        <v>1308</v>
      </c>
      <c r="I38" s="524" t="s">
        <v>1309</v>
      </c>
      <c r="J38" s="524" t="s">
        <v>1310</v>
      </c>
      <c r="K38" s="524" t="s">
        <v>1311</v>
      </c>
      <c r="L38" s="524" t="s">
        <v>1312</v>
      </c>
      <c r="M38" s="524" t="s">
        <v>1313</v>
      </c>
      <c r="N38" s="524" t="s">
        <v>1314</v>
      </c>
      <c r="O38" s="524" t="s">
        <v>1315</v>
      </c>
      <c r="P38" s="524" t="s">
        <v>1316</v>
      </c>
      <c r="Q38" s="524" t="s">
        <v>1317</v>
      </c>
      <c r="R38" s="524" t="s">
        <v>1318</v>
      </c>
      <c r="S38" s="524" t="s">
        <v>1319</v>
      </c>
    </row>
    <row r="39" spans="1:19" ht="18.75" x14ac:dyDescent="0.25">
      <c r="A39" s="524" t="s">
        <v>1320</v>
      </c>
      <c r="B39" s="524">
        <v>0</v>
      </c>
      <c r="C39" s="524">
        <v>0</v>
      </c>
      <c r="D39" s="524">
        <v>0.31</v>
      </c>
      <c r="E39" s="524">
        <v>-68473.320000000007</v>
      </c>
      <c r="F39" s="524">
        <v>0</v>
      </c>
      <c r="G39" s="524">
        <v>0</v>
      </c>
      <c r="H39" s="524">
        <v>261028.951</v>
      </c>
      <c r="I39" s="524">
        <v>361027.93900000001</v>
      </c>
      <c r="J39" s="524">
        <v>285235.49599999998</v>
      </c>
      <c r="K39" s="524">
        <v>37058.125999999997</v>
      </c>
      <c r="L39" s="524">
        <v>0</v>
      </c>
      <c r="M39" s="524">
        <v>3676.3850000000002</v>
      </c>
      <c r="N39" s="524">
        <v>18.125</v>
      </c>
      <c r="O39" s="524">
        <v>0</v>
      </c>
      <c r="P39" s="524">
        <v>-13080.21</v>
      </c>
      <c r="Q39" s="524">
        <v>0</v>
      </c>
      <c r="R39" s="524">
        <v>-21857.24</v>
      </c>
      <c r="S39" s="524">
        <v>-90860.65</v>
      </c>
    </row>
    <row r="40" spans="1:19" ht="18.75" x14ac:dyDescent="0.25">
      <c r="A40" s="524" t="s">
        <v>1321</v>
      </c>
      <c r="B40" s="524">
        <v>0</v>
      </c>
      <c r="C40" s="524">
        <v>0</v>
      </c>
      <c r="D40" s="524">
        <v>9.4060000000000006</v>
      </c>
      <c r="E40" s="524">
        <v>-55479.68</v>
      </c>
      <c r="F40" s="524">
        <v>0</v>
      </c>
      <c r="G40" s="524">
        <v>0</v>
      </c>
      <c r="H40" s="524">
        <v>63752.703999999998</v>
      </c>
      <c r="I40" s="524">
        <v>347050.08899999998</v>
      </c>
      <c r="J40" s="524">
        <v>220456.05600000001</v>
      </c>
      <c r="K40" s="524">
        <v>74234.239000000001</v>
      </c>
      <c r="L40" s="524">
        <v>0</v>
      </c>
      <c r="M40" s="524">
        <v>4530.3900000000003</v>
      </c>
      <c r="N40" s="524">
        <v>2354.0349999999999</v>
      </c>
      <c r="O40" s="524">
        <v>0</v>
      </c>
      <c r="P40" s="524">
        <v>-24432.95</v>
      </c>
      <c r="Q40" s="524">
        <v>0</v>
      </c>
      <c r="R40" s="524">
        <v>-21752.75</v>
      </c>
      <c r="S40" s="524">
        <v>-3.28</v>
      </c>
    </row>
    <row r="41" spans="1:19" ht="18.75" x14ac:dyDescent="0.25">
      <c r="A41" s="524" t="s">
        <v>1322</v>
      </c>
      <c r="B41" s="524">
        <v>0</v>
      </c>
      <c r="C41" s="524">
        <v>0</v>
      </c>
      <c r="D41" s="524">
        <v>265.81700000000001</v>
      </c>
      <c r="E41" s="524">
        <v>-54581.79</v>
      </c>
      <c r="F41" s="524">
        <v>0</v>
      </c>
      <c r="G41" s="524">
        <v>0</v>
      </c>
      <c r="H41" s="524">
        <v>63752.703999999998</v>
      </c>
      <c r="I41" s="524">
        <v>347050.08899999998</v>
      </c>
      <c r="J41" s="524">
        <v>220456.05600000001</v>
      </c>
      <c r="K41" s="524">
        <v>74129.114000000001</v>
      </c>
      <c r="L41" s="524">
        <v>0</v>
      </c>
      <c r="M41" s="524">
        <v>5025.8879999999999</v>
      </c>
      <c r="N41" s="524">
        <v>42.598999999999997</v>
      </c>
      <c r="O41" s="524">
        <v>0</v>
      </c>
      <c r="P41" s="524">
        <v>-23674.77</v>
      </c>
      <c r="Q41" s="524">
        <v>0</v>
      </c>
      <c r="R41" s="524">
        <v>-23396.86</v>
      </c>
      <c r="S41" s="524">
        <v>-8188.7</v>
      </c>
    </row>
    <row r="42" spans="1:19" ht="18.75" x14ac:dyDescent="0.25">
      <c r="A42" s="524" t="s">
        <v>1323</v>
      </c>
      <c r="B42" s="524">
        <v>0</v>
      </c>
      <c r="C42" s="524">
        <v>0</v>
      </c>
      <c r="D42" s="524">
        <v>0</v>
      </c>
      <c r="E42" s="524">
        <v>0</v>
      </c>
      <c r="F42" s="524">
        <v>0</v>
      </c>
      <c r="G42" s="524">
        <v>0</v>
      </c>
      <c r="H42" s="524">
        <v>0</v>
      </c>
      <c r="I42" s="524">
        <v>0</v>
      </c>
      <c r="J42" s="524">
        <v>0</v>
      </c>
      <c r="K42" s="524">
        <v>0</v>
      </c>
      <c r="L42" s="524">
        <v>0</v>
      </c>
      <c r="M42" s="524">
        <v>926.18</v>
      </c>
      <c r="N42" s="524">
        <v>6964.7860000000001</v>
      </c>
      <c r="O42" s="524">
        <v>0</v>
      </c>
      <c r="P42" s="524">
        <v>0</v>
      </c>
      <c r="Q42" s="524">
        <v>0</v>
      </c>
      <c r="R42" s="524">
        <v>-7890.97</v>
      </c>
      <c r="S42" s="524">
        <v>0</v>
      </c>
    </row>
    <row r="43" spans="1:19" ht="18.75" x14ac:dyDescent="0.25">
      <c r="A43" s="524" t="s">
        <v>1324</v>
      </c>
      <c r="B43" s="524">
        <v>0</v>
      </c>
      <c r="C43" s="524">
        <v>0</v>
      </c>
      <c r="D43" s="524">
        <v>0</v>
      </c>
      <c r="E43" s="524">
        <v>0</v>
      </c>
      <c r="F43" s="524">
        <v>0</v>
      </c>
      <c r="G43" s="524">
        <v>0</v>
      </c>
      <c r="H43" s="524">
        <v>0</v>
      </c>
      <c r="I43" s="524">
        <v>0</v>
      </c>
      <c r="J43" s="524">
        <v>0</v>
      </c>
      <c r="K43" s="524">
        <v>0</v>
      </c>
      <c r="L43" s="524">
        <v>0</v>
      </c>
      <c r="M43" s="524">
        <v>899.06500000000005</v>
      </c>
      <c r="N43" s="524">
        <v>7529.4539999999997</v>
      </c>
      <c r="O43" s="524">
        <v>0</v>
      </c>
      <c r="P43" s="524">
        <v>0</v>
      </c>
      <c r="Q43" s="524">
        <v>0</v>
      </c>
      <c r="R43" s="524">
        <v>-8428.52</v>
      </c>
      <c r="S43" s="524">
        <v>0</v>
      </c>
    </row>
    <row r="44" spans="1:19" ht="18.75" x14ac:dyDescent="0.25">
      <c r="A44" s="524" t="s">
        <v>1325</v>
      </c>
      <c r="B44" s="524">
        <v>0</v>
      </c>
      <c r="C44" s="524">
        <v>0</v>
      </c>
      <c r="D44" s="524">
        <v>0</v>
      </c>
      <c r="E44" s="524">
        <v>0</v>
      </c>
      <c r="F44" s="524">
        <v>0</v>
      </c>
      <c r="G44" s="524">
        <v>0</v>
      </c>
      <c r="H44" s="524">
        <v>0</v>
      </c>
      <c r="I44" s="524">
        <v>0</v>
      </c>
      <c r="J44" s="524">
        <v>0</v>
      </c>
      <c r="K44" s="524">
        <v>0</v>
      </c>
      <c r="L44" s="524">
        <v>0</v>
      </c>
      <c r="M44" s="524">
        <v>963.53300000000002</v>
      </c>
      <c r="N44" s="524">
        <v>7436.7579999999998</v>
      </c>
      <c r="O44" s="524">
        <v>0</v>
      </c>
      <c r="P44" s="524">
        <v>0</v>
      </c>
      <c r="Q44" s="524">
        <v>0</v>
      </c>
      <c r="R44" s="524">
        <v>-8400.2900000000009</v>
      </c>
      <c r="S44" s="524">
        <v>0</v>
      </c>
    </row>
    <row r="45" spans="1:19" ht="18.75" x14ac:dyDescent="0.25">
      <c r="A45" s="524" t="s">
        <v>1326</v>
      </c>
      <c r="B45" s="524">
        <v>0</v>
      </c>
      <c r="C45" s="524">
        <v>0</v>
      </c>
      <c r="D45" s="524">
        <v>275.53199999999998</v>
      </c>
      <c r="E45" s="524">
        <v>-178534.79</v>
      </c>
      <c r="F45" s="524">
        <v>0</v>
      </c>
      <c r="G45" s="524">
        <v>0</v>
      </c>
      <c r="H45" s="524">
        <v>388534.36</v>
      </c>
      <c r="I45" s="524">
        <v>1055128.1170000001</v>
      </c>
      <c r="J45" s="524">
        <v>726147.60900000005</v>
      </c>
      <c r="K45" s="524">
        <v>185421.47899999999</v>
      </c>
      <c r="L45" s="524">
        <v>0</v>
      </c>
      <c r="M45" s="524">
        <v>16021.44</v>
      </c>
      <c r="N45" s="524">
        <v>24345.756000000001</v>
      </c>
      <c r="O45" s="524">
        <v>0</v>
      </c>
      <c r="P45" s="524">
        <v>-61187.93</v>
      </c>
      <c r="Q45" s="524">
        <v>0</v>
      </c>
      <c r="R45" s="524">
        <v>-91726.62</v>
      </c>
      <c r="S45" s="524">
        <v>-99052.62</v>
      </c>
    </row>
    <row r="46" spans="1:19" ht="15.75" thickBot="1" x14ac:dyDescent="0.3"/>
    <row r="47" spans="1:19" ht="16.5" thickBot="1" x14ac:dyDescent="0.3">
      <c r="A47" s="555" t="s">
        <v>1329</v>
      </c>
      <c r="B47" s="556"/>
      <c r="C47" s="556"/>
      <c r="D47" s="557"/>
    </row>
    <row r="48" spans="1:19" ht="15.75" x14ac:dyDescent="0.25">
      <c r="A48" s="530" t="s">
        <v>1327</v>
      </c>
      <c r="B48" s="531"/>
      <c r="C48" s="532"/>
      <c r="D48" s="527">
        <v>275.53199999999998</v>
      </c>
    </row>
    <row r="49" spans="1:5" ht="15.75" x14ac:dyDescent="0.25">
      <c r="A49" s="533" t="s">
        <v>1308</v>
      </c>
      <c r="B49" s="534"/>
      <c r="C49" s="535"/>
      <c r="D49" s="528">
        <v>388534.36</v>
      </c>
    </row>
    <row r="50" spans="1:5" ht="15.75" x14ac:dyDescent="0.25">
      <c r="A50" s="533" t="s">
        <v>1309</v>
      </c>
      <c r="B50" s="534"/>
      <c r="C50" s="535"/>
      <c r="D50" s="528">
        <v>1055128.1170000001</v>
      </c>
    </row>
    <row r="51" spans="1:5" ht="15.75" x14ac:dyDescent="0.25">
      <c r="A51" s="533" t="s">
        <v>1310</v>
      </c>
      <c r="B51" s="534"/>
      <c r="C51" s="535"/>
      <c r="D51" s="528">
        <v>726147.60900000005</v>
      </c>
    </row>
    <row r="52" spans="1:5" ht="15.75" x14ac:dyDescent="0.25">
      <c r="A52" s="533" t="s">
        <v>1311</v>
      </c>
      <c r="B52" s="534"/>
      <c r="C52" s="535"/>
      <c r="D52" s="528">
        <v>185421.47899999999</v>
      </c>
    </row>
    <row r="53" spans="1:5" ht="15.75" x14ac:dyDescent="0.25">
      <c r="A53" s="533" t="s">
        <v>1313</v>
      </c>
      <c r="B53" s="534"/>
      <c r="C53" s="535"/>
      <c r="D53" s="528">
        <v>16021.44</v>
      </c>
    </row>
    <row r="54" spans="1:5" ht="15.75" x14ac:dyDescent="0.25">
      <c r="A54" s="533" t="s">
        <v>1314</v>
      </c>
      <c r="B54" s="534"/>
      <c r="C54" s="535"/>
      <c r="D54" s="528">
        <v>24345.756000000001</v>
      </c>
    </row>
    <row r="55" spans="1:5" ht="15.75" x14ac:dyDescent="0.25">
      <c r="A55" s="533" t="s">
        <v>1316</v>
      </c>
      <c r="B55" s="534"/>
      <c r="C55" s="535"/>
      <c r="D55" s="528">
        <v>-61187.93</v>
      </c>
    </row>
    <row r="56" spans="1:5" ht="15.75" x14ac:dyDescent="0.25">
      <c r="A56" s="533" t="s">
        <v>1318</v>
      </c>
      <c r="B56" s="534"/>
      <c r="C56" s="535"/>
      <c r="D56" s="528">
        <v>-91726.62</v>
      </c>
    </row>
    <row r="57" spans="1:5" ht="15.75" x14ac:dyDescent="0.25">
      <c r="A57" s="536" t="s">
        <v>1319</v>
      </c>
      <c r="B57" s="537"/>
      <c r="C57" s="538"/>
      <c r="D57" s="529">
        <v>-99052.62</v>
      </c>
    </row>
    <row r="58" spans="1:5" ht="16.5" thickBot="1" x14ac:dyDescent="0.3">
      <c r="A58" s="553" t="s">
        <v>1328</v>
      </c>
      <c r="B58" s="554"/>
      <c r="C58" s="554"/>
      <c r="D58" s="526">
        <f>SUM(D48:D57)</f>
        <v>2143907.1229999997</v>
      </c>
      <c r="E58" s="525"/>
    </row>
    <row r="61" spans="1:5" x14ac:dyDescent="0.25">
      <c r="C61" s="489"/>
    </row>
  </sheetData>
  <mergeCells count="7">
    <mergeCell ref="A58:C58"/>
    <mergeCell ref="A47:D47"/>
    <mergeCell ref="M1:P2"/>
    <mergeCell ref="M3:P3"/>
    <mergeCell ref="A25:B25"/>
    <mergeCell ref="C25:D25"/>
    <mergeCell ref="C26:D26"/>
  </mergeCells>
  <conditionalFormatting sqref="B26 E26">
    <cfRule type="cellIs" dxfId="73" priority="2" operator="greaterThan">
      <formula>1.1</formula>
    </cfRule>
  </conditionalFormatting>
  <conditionalFormatting sqref="A26 E26">
    <cfRule type="cellIs" dxfId="72" priority="1" operator="lessThan">
      <formula>0.9</formula>
    </cfRule>
  </conditionalFormatting>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D116"/>
  <sheetViews>
    <sheetView workbookViewId="0">
      <selection activeCell="J12" sqref="J12"/>
    </sheetView>
  </sheetViews>
  <sheetFormatPr defaultRowHeight="15" x14ac:dyDescent="0.25"/>
  <cols>
    <col min="1" max="1" width="41.28515625" customWidth="1"/>
    <col min="2" max="2" width="23.42578125" customWidth="1"/>
    <col min="3" max="3" width="20.140625" bestFit="1" customWidth="1"/>
    <col min="4" max="4" width="20" customWidth="1"/>
    <col min="5" max="5" width="14.42578125" customWidth="1"/>
    <col min="6" max="6" width="17.5703125" customWidth="1"/>
    <col min="7" max="7" width="14.28515625" customWidth="1"/>
    <col min="8" max="8" width="23.42578125" customWidth="1"/>
    <col min="9" max="9" width="14.85546875" bestFit="1" customWidth="1"/>
    <col min="10" max="10" width="15.28515625" bestFit="1" customWidth="1"/>
    <col min="11" max="11" width="14.7109375" bestFit="1" customWidth="1"/>
    <col min="12" max="12" width="17.42578125" bestFit="1" customWidth="1"/>
    <col min="14" max="14" width="23" customWidth="1"/>
    <col min="15" max="15" width="21" customWidth="1"/>
    <col min="16" max="16" width="15.85546875" bestFit="1" customWidth="1"/>
    <col min="17" max="17" width="33.85546875" customWidth="1"/>
    <col min="18" max="18" width="17" bestFit="1" customWidth="1"/>
    <col min="19" max="19" width="14" bestFit="1" customWidth="1"/>
    <col min="20" max="20" width="10.5703125" bestFit="1" customWidth="1"/>
    <col min="29" max="29" width="23.28515625" bestFit="1" customWidth="1"/>
    <col min="30" max="30" width="12" bestFit="1" customWidth="1"/>
  </cols>
  <sheetData>
    <row r="2" spans="1:30" ht="15.75" thickBot="1" x14ac:dyDescent="0.3">
      <c r="G2" s="230"/>
    </row>
    <row r="3" spans="1:30" x14ac:dyDescent="0.25">
      <c r="A3" s="20" t="s">
        <v>65</v>
      </c>
      <c r="B3" t="s">
        <v>286</v>
      </c>
      <c r="C3" t="s">
        <v>98</v>
      </c>
      <c r="D3" t="s">
        <v>1281</v>
      </c>
      <c r="E3" t="s">
        <v>97</v>
      </c>
      <c r="N3" s="598" t="s">
        <v>339</v>
      </c>
      <c r="O3" s="599"/>
      <c r="P3" s="599"/>
      <c r="Q3" s="599"/>
      <c r="R3" s="600"/>
    </row>
    <row r="4" spans="1:30" ht="15.75" thickBot="1" x14ac:dyDescent="0.3">
      <c r="A4" s="8" t="s">
        <v>88</v>
      </c>
      <c r="B4" s="1">
        <v>1103</v>
      </c>
      <c r="C4" s="52">
        <v>54448</v>
      </c>
      <c r="D4" s="1">
        <v>9890</v>
      </c>
      <c r="E4" s="52">
        <v>299285.40000000014</v>
      </c>
      <c r="N4" s="601"/>
      <c r="O4" s="602"/>
      <c r="P4" s="602"/>
      <c r="Q4" s="602"/>
      <c r="R4" s="603"/>
    </row>
    <row r="5" spans="1:30" x14ac:dyDescent="0.25">
      <c r="A5" s="296" t="s">
        <v>511</v>
      </c>
      <c r="B5" s="1">
        <v>1</v>
      </c>
      <c r="C5" s="52">
        <v>24</v>
      </c>
      <c r="D5" s="1">
        <v>24</v>
      </c>
      <c r="E5" s="52">
        <v>131.4</v>
      </c>
      <c r="G5" t="str">
        <f>RIGHT(A5,2)</f>
        <v xml:space="preserve"> 2</v>
      </c>
      <c r="N5" s="234" t="s">
        <v>80</v>
      </c>
      <c r="O5" s="234" t="s">
        <v>287</v>
      </c>
      <c r="P5" s="234" t="s">
        <v>288</v>
      </c>
      <c r="Q5" s="234" t="s">
        <v>304</v>
      </c>
      <c r="R5" s="234" t="s">
        <v>269</v>
      </c>
    </row>
    <row r="6" spans="1:30" ht="15.75" thickBot="1" x14ac:dyDescent="0.3">
      <c r="A6" s="296" t="s">
        <v>585</v>
      </c>
      <c r="B6" s="1">
        <v>1</v>
      </c>
      <c r="C6" s="52">
        <v>12</v>
      </c>
      <c r="D6" s="1">
        <v>12</v>
      </c>
      <c r="E6" s="52">
        <v>65.7</v>
      </c>
      <c r="G6" s="52">
        <v>1</v>
      </c>
      <c r="H6" t="str">
        <f>RIGHT(A6,2)</f>
        <v>ED</v>
      </c>
      <c r="N6" s="168">
        <v>4</v>
      </c>
      <c r="O6" s="169">
        <v>150</v>
      </c>
      <c r="P6" s="168">
        <v>1</v>
      </c>
      <c r="Q6" s="232">
        <v>300</v>
      </c>
      <c r="R6" s="233"/>
      <c r="AA6">
        <v>100</v>
      </c>
    </row>
    <row r="7" spans="1:30" x14ac:dyDescent="0.25">
      <c r="A7" s="296" t="s">
        <v>480</v>
      </c>
      <c r="B7" s="1">
        <v>1</v>
      </c>
      <c r="C7" s="52">
        <v>36</v>
      </c>
      <c r="D7" s="1">
        <v>36</v>
      </c>
      <c r="E7" s="52">
        <v>197.1</v>
      </c>
      <c r="G7" t="str">
        <f t="shared" ref="G7:G69" si="0">RIGHT(A7,2)</f>
        <v xml:space="preserve"> 3</v>
      </c>
      <c r="N7" s="170" t="s">
        <v>289</v>
      </c>
      <c r="O7" s="170"/>
      <c r="P7" s="171">
        <f>(N6*O6)/P6</f>
        <v>600</v>
      </c>
      <c r="Q7" s="171">
        <f>Q6*N6</f>
        <v>1200</v>
      </c>
      <c r="R7" s="171">
        <f>SUM(P7:Q7)</f>
        <v>1800</v>
      </c>
      <c r="AA7">
        <v>13</v>
      </c>
      <c r="AC7" s="261" t="s">
        <v>285</v>
      </c>
      <c r="AD7" s="261"/>
    </row>
    <row r="8" spans="1:30" ht="15.75" thickBot="1" x14ac:dyDescent="0.3">
      <c r="A8" s="296" t="s">
        <v>488</v>
      </c>
      <c r="B8" s="1">
        <v>1</v>
      </c>
      <c r="C8" s="52">
        <v>12</v>
      </c>
      <c r="D8" s="1">
        <v>12</v>
      </c>
      <c r="E8" s="52">
        <v>65.7</v>
      </c>
      <c r="G8" t="str">
        <f t="shared" si="0"/>
        <v xml:space="preserve"> 1</v>
      </c>
      <c r="AA8">
        <v>13</v>
      </c>
      <c r="AC8" s="259"/>
      <c r="AD8" s="259"/>
    </row>
    <row r="9" spans="1:30" ht="16.5" thickBot="1" x14ac:dyDescent="0.3">
      <c r="A9" s="296" t="s">
        <v>27</v>
      </c>
      <c r="B9" s="1">
        <v>2</v>
      </c>
      <c r="C9" s="52">
        <v>72</v>
      </c>
      <c r="D9" s="1">
        <v>72</v>
      </c>
      <c r="E9" s="52">
        <v>394.2</v>
      </c>
      <c r="G9" t="str">
        <f t="shared" si="0"/>
        <v xml:space="preserve"> 3</v>
      </c>
      <c r="N9" s="616" t="s">
        <v>340</v>
      </c>
      <c r="O9" s="617"/>
      <c r="P9" s="617"/>
      <c r="Q9" s="618"/>
      <c r="R9" s="567" t="s">
        <v>341</v>
      </c>
      <c r="S9" s="568"/>
      <c r="AA9">
        <v>13</v>
      </c>
      <c r="AC9" s="259" t="s">
        <v>377</v>
      </c>
      <c r="AD9" s="259">
        <v>36.405063291139243</v>
      </c>
    </row>
    <row r="10" spans="1:30" ht="15.75" thickBot="1" x14ac:dyDescent="0.3">
      <c r="A10" s="296" t="s">
        <v>494</v>
      </c>
      <c r="B10" s="1">
        <v>1</v>
      </c>
      <c r="C10" s="52">
        <v>36</v>
      </c>
      <c r="D10" s="1">
        <v>36</v>
      </c>
      <c r="E10" s="52">
        <v>197.1</v>
      </c>
      <c r="G10">
        <v>3</v>
      </c>
      <c r="N10" s="204" t="s">
        <v>290</v>
      </c>
      <c r="O10" s="205" t="s">
        <v>291</v>
      </c>
      <c r="P10" s="206" t="s">
        <v>292</v>
      </c>
      <c r="Q10" s="172" t="s">
        <v>293</v>
      </c>
      <c r="R10" s="236" t="s">
        <v>342</v>
      </c>
      <c r="S10" s="235" t="s">
        <v>343</v>
      </c>
      <c r="AA10">
        <v>13</v>
      </c>
      <c r="AC10" s="259" t="s">
        <v>378</v>
      </c>
      <c r="AD10" s="259">
        <v>2.0963112675967182</v>
      </c>
    </row>
    <row r="11" spans="1:30" x14ac:dyDescent="0.25">
      <c r="A11" s="296" t="s">
        <v>501</v>
      </c>
      <c r="B11" s="1">
        <v>1</v>
      </c>
      <c r="C11" s="52">
        <v>12</v>
      </c>
      <c r="D11" s="1">
        <v>12</v>
      </c>
      <c r="E11" s="52">
        <v>65.7</v>
      </c>
      <c r="G11">
        <v>1</v>
      </c>
      <c r="N11" s="207" t="s">
        <v>22</v>
      </c>
      <c r="O11" s="208">
        <v>9</v>
      </c>
      <c r="P11" s="209">
        <f t="shared" ref="P11:P16" si="1">ROUNDUP((O11*0.2)+O11, -1)</f>
        <v>20</v>
      </c>
      <c r="Q11" s="201">
        <v>11820</v>
      </c>
      <c r="R11" s="214">
        <v>5</v>
      </c>
      <c r="S11" s="194">
        <f t="shared" ref="S11:S16" si="2">Q11/R11</f>
        <v>2364</v>
      </c>
      <c r="AA11">
        <v>13</v>
      </c>
      <c r="AC11" s="259" t="s">
        <v>379</v>
      </c>
      <c r="AD11" s="259">
        <v>40</v>
      </c>
    </row>
    <row r="12" spans="1:30" x14ac:dyDescent="0.25">
      <c r="A12" s="296" t="s">
        <v>570</v>
      </c>
      <c r="B12" s="1">
        <v>1</v>
      </c>
      <c r="C12" s="52">
        <v>36</v>
      </c>
      <c r="D12" s="1">
        <v>36</v>
      </c>
      <c r="E12" s="52">
        <v>197.1</v>
      </c>
      <c r="G12">
        <v>2</v>
      </c>
      <c r="N12" s="207" t="s">
        <v>332</v>
      </c>
      <c r="O12" s="208">
        <v>80</v>
      </c>
      <c r="P12" s="209">
        <f t="shared" si="1"/>
        <v>100</v>
      </c>
      <c r="Q12" s="202">
        <v>21000</v>
      </c>
      <c r="R12" s="214">
        <v>7</v>
      </c>
      <c r="S12" s="194">
        <f t="shared" si="2"/>
        <v>3000</v>
      </c>
      <c r="T12" s="167">
        <f>SUM(S12:S13)</f>
        <v>3010</v>
      </c>
      <c r="AA12">
        <v>13</v>
      </c>
      <c r="AC12" s="259" t="s">
        <v>380</v>
      </c>
      <c r="AD12" s="259">
        <v>43</v>
      </c>
    </row>
    <row r="13" spans="1:30" x14ac:dyDescent="0.25">
      <c r="A13" s="296" t="s">
        <v>489</v>
      </c>
      <c r="B13" s="1">
        <v>10</v>
      </c>
      <c r="C13" s="52">
        <v>360</v>
      </c>
      <c r="D13" s="1">
        <v>36</v>
      </c>
      <c r="E13" s="52">
        <v>1971</v>
      </c>
      <c r="G13">
        <v>30</v>
      </c>
      <c r="N13" s="207" t="s">
        <v>333</v>
      </c>
      <c r="O13" s="208">
        <v>55</v>
      </c>
      <c r="P13" s="209">
        <f t="shared" si="1"/>
        <v>70</v>
      </c>
      <c r="Q13" s="202">
        <v>70</v>
      </c>
      <c r="R13" s="214">
        <v>7</v>
      </c>
      <c r="S13" s="194">
        <f t="shared" si="2"/>
        <v>10</v>
      </c>
      <c r="AA13">
        <v>13</v>
      </c>
      <c r="AC13" s="259" t="s">
        <v>381</v>
      </c>
      <c r="AD13" s="259">
        <v>18.632422105608917</v>
      </c>
    </row>
    <row r="14" spans="1:30" x14ac:dyDescent="0.25">
      <c r="A14" s="296" t="s">
        <v>571</v>
      </c>
      <c r="B14" s="1">
        <v>10</v>
      </c>
      <c r="C14" s="52">
        <v>360</v>
      </c>
      <c r="D14" s="1">
        <v>36</v>
      </c>
      <c r="E14" s="52">
        <v>1971</v>
      </c>
      <c r="G14">
        <v>20</v>
      </c>
      <c r="N14" s="207" t="s">
        <v>294</v>
      </c>
      <c r="O14" s="208">
        <v>13</v>
      </c>
      <c r="P14" s="209">
        <f t="shared" si="1"/>
        <v>20</v>
      </c>
      <c r="Q14" s="202">
        <v>2370</v>
      </c>
      <c r="R14" s="214">
        <v>5</v>
      </c>
      <c r="S14" s="194">
        <f t="shared" si="2"/>
        <v>474</v>
      </c>
      <c r="T14" s="167">
        <f>SUM(S11,S14)</f>
        <v>2838</v>
      </c>
      <c r="AA14">
        <v>13</v>
      </c>
      <c r="AC14" s="259" t="s">
        <v>382</v>
      </c>
      <c r="AD14" s="259">
        <v>347.16715352158383</v>
      </c>
    </row>
    <row r="15" spans="1:30" x14ac:dyDescent="0.25">
      <c r="A15" s="296" t="s">
        <v>581</v>
      </c>
      <c r="B15" s="1">
        <v>10</v>
      </c>
      <c r="C15" s="52">
        <v>640</v>
      </c>
      <c r="D15" s="1">
        <v>64</v>
      </c>
      <c r="E15" s="52">
        <v>3504</v>
      </c>
      <c r="G15">
        <v>20</v>
      </c>
      <c r="N15" s="207" t="s">
        <v>295</v>
      </c>
      <c r="O15" s="210">
        <v>82</v>
      </c>
      <c r="P15" s="209">
        <f t="shared" si="1"/>
        <v>100</v>
      </c>
      <c r="Q15" s="202">
        <v>18666.669999999998</v>
      </c>
      <c r="R15" s="214">
        <v>7</v>
      </c>
      <c r="S15" s="194">
        <f t="shared" si="2"/>
        <v>2666.6671428571426</v>
      </c>
      <c r="T15" s="167">
        <f>SUM(S15:S16)</f>
        <v>2680.9528571428568</v>
      </c>
      <c r="AA15">
        <v>13</v>
      </c>
      <c r="AC15" s="259" t="s">
        <v>383</v>
      </c>
      <c r="AD15" s="259">
        <v>0.14566085016539754</v>
      </c>
    </row>
    <row r="16" spans="1:30" ht="15.75" thickBot="1" x14ac:dyDescent="0.3">
      <c r="A16" s="296" t="s">
        <v>554</v>
      </c>
      <c r="B16" s="1">
        <v>1</v>
      </c>
      <c r="C16" s="52">
        <v>100</v>
      </c>
      <c r="D16" s="1">
        <v>100</v>
      </c>
      <c r="E16" s="52">
        <v>547.5</v>
      </c>
      <c r="G16">
        <v>1</v>
      </c>
      <c r="N16" s="207" t="s">
        <v>296</v>
      </c>
      <c r="O16" s="210">
        <v>80</v>
      </c>
      <c r="P16" s="209">
        <f t="shared" si="1"/>
        <v>100</v>
      </c>
      <c r="Q16" s="203">
        <v>100</v>
      </c>
      <c r="R16" s="188">
        <v>7</v>
      </c>
      <c r="S16" s="197">
        <f t="shared" si="2"/>
        <v>14.285714285714286</v>
      </c>
      <c r="W16">
        <f>1900/250</f>
        <v>7.6</v>
      </c>
      <c r="AA16">
        <v>13</v>
      </c>
      <c r="AC16" s="259" t="s">
        <v>384</v>
      </c>
      <c r="AD16" s="259">
        <v>0.46526301215620935</v>
      </c>
    </row>
    <row r="17" spans="1:30" ht="15.75" thickBot="1" x14ac:dyDescent="0.3">
      <c r="A17" s="296" t="s">
        <v>544</v>
      </c>
      <c r="B17" s="1">
        <v>22</v>
      </c>
      <c r="C17" s="52">
        <v>792</v>
      </c>
      <c r="D17" s="1">
        <v>72</v>
      </c>
      <c r="E17" s="52">
        <v>4336.2</v>
      </c>
      <c r="G17">
        <v>22</v>
      </c>
      <c r="AA17">
        <v>13</v>
      </c>
      <c r="AC17" s="259" t="s">
        <v>385</v>
      </c>
      <c r="AD17" s="259">
        <v>87</v>
      </c>
    </row>
    <row r="18" spans="1:30" ht="16.5" thickBot="1" x14ac:dyDescent="0.3">
      <c r="A18" s="296" t="s">
        <v>567</v>
      </c>
      <c r="B18" s="1">
        <v>11</v>
      </c>
      <c r="C18" s="52">
        <v>396</v>
      </c>
      <c r="D18" s="1">
        <v>36</v>
      </c>
      <c r="E18" s="52">
        <v>2168.1</v>
      </c>
      <c r="G18">
        <v>22</v>
      </c>
      <c r="N18" s="558" t="s">
        <v>297</v>
      </c>
      <c r="O18" s="559"/>
      <c r="P18" s="174" t="s">
        <v>298</v>
      </c>
      <c r="Q18" s="3"/>
      <c r="R18" s="167"/>
      <c r="AA18">
        <v>13</v>
      </c>
      <c r="AC18" s="259" t="s">
        <v>386</v>
      </c>
      <c r="AD18" s="259">
        <v>13</v>
      </c>
    </row>
    <row r="19" spans="1:30" ht="15.75" thickBot="1" x14ac:dyDescent="0.3">
      <c r="A19" s="296" t="s">
        <v>583</v>
      </c>
      <c r="B19" s="1">
        <v>11</v>
      </c>
      <c r="C19" s="52">
        <v>704</v>
      </c>
      <c r="D19" s="1">
        <v>64</v>
      </c>
      <c r="E19" s="52">
        <v>3854.4</v>
      </c>
      <c r="G19">
        <v>22</v>
      </c>
      <c r="N19" s="198" t="s">
        <v>299</v>
      </c>
      <c r="O19" s="199" t="s">
        <v>300</v>
      </c>
      <c r="P19" s="175" t="s">
        <v>301</v>
      </c>
      <c r="Q19" s="3"/>
      <c r="AA19">
        <v>13</v>
      </c>
      <c r="AC19" s="259" t="s">
        <v>387</v>
      </c>
      <c r="AD19" s="259">
        <v>100</v>
      </c>
    </row>
    <row r="20" spans="1:30" ht="15.75" thickBot="1" x14ac:dyDescent="0.3">
      <c r="A20" s="296" t="s">
        <v>584</v>
      </c>
      <c r="B20" s="1">
        <v>11</v>
      </c>
      <c r="C20" s="52">
        <v>704</v>
      </c>
      <c r="D20" s="1">
        <v>64</v>
      </c>
      <c r="E20" s="52">
        <v>3854.4</v>
      </c>
      <c r="G20">
        <v>22</v>
      </c>
      <c r="N20" s="214">
        <v>10</v>
      </c>
      <c r="O20" s="216">
        <v>20</v>
      </c>
      <c r="P20" s="219">
        <f>P31*N20*O20</f>
        <v>200</v>
      </c>
      <c r="Q20" s="3"/>
      <c r="AA20">
        <v>13</v>
      </c>
      <c r="AC20" s="259" t="s">
        <v>388</v>
      </c>
      <c r="AD20" s="259">
        <v>2876</v>
      </c>
    </row>
    <row r="21" spans="1:30" ht="15.75" thickBot="1" x14ac:dyDescent="0.3">
      <c r="A21" s="296" t="s">
        <v>568</v>
      </c>
      <c r="B21" s="1">
        <v>22</v>
      </c>
      <c r="C21" s="52">
        <v>792</v>
      </c>
      <c r="D21" s="1">
        <v>72</v>
      </c>
      <c r="E21" s="52">
        <v>4336.2</v>
      </c>
      <c r="G21">
        <v>22</v>
      </c>
      <c r="N21" s="43" t="s">
        <v>302</v>
      </c>
      <c r="O21" s="217">
        <f>(P20*8760)/1000</f>
        <v>1752</v>
      </c>
      <c r="P21" s="175" t="s">
        <v>300</v>
      </c>
      <c r="Q21" s="3"/>
      <c r="AA21">
        <v>13</v>
      </c>
      <c r="AC21" s="259" t="s">
        <v>389</v>
      </c>
      <c r="AD21" s="259">
        <v>79</v>
      </c>
    </row>
    <row r="22" spans="1:30" ht="15.75" thickBot="1" x14ac:dyDescent="0.3">
      <c r="A22" s="296" t="s">
        <v>556</v>
      </c>
      <c r="B22" s="1">
        <v>11</v>
      </c>
      <c r="C22" s="52">
        <v>396</v>
      </c>
      <c r="D22" s="1">
        <v>36</v>
      </c>
      <c r="E22" s="52">
        <v>2168.1</v>
      </c>
      <c r="G22">
        <v>22</v>
      </c>
      <c r="N22" s="43" t="s">
        <v>303</v>
      </c>
      <c r="O22" s="217">
        <f>(P26*8760)/1000</f>
        <v>438</v>
      </c>
      <c r="P22" s="220">
        <v>5</v>
      </c>
      <c r="Q22" s="3"/>
      <c r="AA22">
        <v>13</v>
      </c>
      <c r="AC22" s="260" t="s">
        <v>390</v>
      </c>
      <c r="AD22" s="260">
        <v>4.1734351424118401</v>
      </c>
    </row>
    <row r="23" spans="1:30" ht="15.75" thickBot="1" x14ac:dyDescent="0.3">
      <c r="A23" s="296" t="s">
        <v>565</v>
      </c>
      <c r="B23" s="1">
        <v>11</v>
      </c>
      <c r="C23" s="52">
        <v>396</v>
      </c>
      <c r="D23" s="1">
        <v>36</v>
      </c>
      <c r="E23" s="52">
        <v>2168.1</v>
      </c>
      <c r="G23">
        <v>22</v>
      </c>
      <c r="N23" s="43" t="s">
        <v>289</v>
      </c>
      <c r="O23" s="218">
        <f>100*((N20*P31)/3)</f>
        <v>333.33333333333337</v>
      </c>
      <c r="P23" s="175" t="s">
        <v>194</v>
      </c>
      <c r="Q23" s="3"/>
      <c r="AA23">
        <v>13</v>
      </c>
    </row>
    <row r="24" spans="1:30" ht="15.75" thickBot="1" x14ac:dyDescent="0.3">
      <c r="A24" s="296" t="s">
        <v>547</v>
      </c>
      <c r="B24" s="1">
        <v>12</v>
      </c>
      <c r="C24" s="52">
        <v>432</v>
      </c>
      <c r="D24" s="1">
        <v>36</v>
      </c>
      <c r="E24" s="52">
        <v>2365.1999999999998</v>
      </c>
      <c r="G24">
        <v>24</v>
      </c>
      <c r="N24" s="43" t="s">
        <v>304</v>
      </c>
      <c r="O24" s="177">
        <f>P24*N20</f>
        <v>400</v>
      </c>
      <c r="P24" s="223">
        <v>40</v>
      </c>
      <c r="Q24" s="3"/>
      <c r="AA24">
        <v>13</v>
      </c>
    </row>
    <row r="25" spans="1:30" ht="15.75" thickBot="1" x14ac:dyDescent="0.3">
      <c r="A25" s="296" t="s">
        <v>19</v>
      </c>
      <c r="B25" s="1">
        <v>13</v>
      </c>
      <c r="C25" s="52">
        <v>169</v>
      </c>
      <c r="D25" s="1">
        <v>13</v>
      </c>
      <c r="E25" s="52">
        <v>925.27499999999998</v>
      </c>
      <c r="G25">
        <v>1</v>
      </c>
      <c r="N25" s="43" t="s">
        <v>305</v>
      </c>
      <c r="O25" s="178">
        <f>(O21-O22)*' Elec Utility (kWh)'!$M$7</f>
        <v>140.08992893872659</v>
      </c>
      <c r="P25" s="175" t="s">
        <v>301</v>
      </c>
      <c r="Q25" s="3"/>
      <c r="AA25">
        <v>20</v>
      </c>
    </row>
    <row r="26" spans="1:30" ht="15.75" thickBot="1" x14ac:dyDescent="0.3">
      <c r="A26" s="296" t="s">
        <v>553</v>
      </c>
      <c r="B26" s="1">
        <v>1</v>
      </c>
      <c r="C26" s="52">
        <v>13</v>
      </c>
      <c r="D26" s="1">
        <v>13</v>
      </c>
      <c r="E26" s="52">
        <v>71.174999999999997</v>
      </c>
      <c r="G26">
        <v>1</v>
      </c>
      <c r="N26" s="44" t="s">
        <v>306</v>
      </c>
      <c r="O26" s="275">
        <f>(O23+O24)/O25</f>
        <v>5.2347327098301504</v>
      </c>
      <c r="P26" s="222">
        <f>P31*N20*P22</f>
        <v>50</v>
      </c>
      <c r="Q26" s="3"/>
      <c r="AA26">
        <v>20</v>
      </c>
    </row>
    <row r="27" spans="1:30" ht="15.75" thickBot="1" x14ac:dyDescent="0.3">
      <c r="A27" s="296" t="s">
        <v>575</v>
      </c>
      <c r="B27" s="1">
        <v>13</v>
      </c>
      <c r="C27" s="52">
        <v>169</v>
      </c>
      <c r="D27" s="1">
        <v>13</v>
      </c>
      <c r="E27" s="52">
        <v>925.27499999999998</v>
      </c>
      <c r="G27">
        <v>1</v>
      </c>
      <c r="AA27">
        <v>20</v>
      </c>
    </row>
    <row r="28" spans="1:30" x14ac:dyDescent="0.25">
      <c r="A28" s="296" t="s">
        <v>550</v>
      </c>
      <c r="B28" s="1">
        <v>1</v>
      </c>
      <c r="C28" s="52">
        <v>13</v>
      </c>
      <c r="D28" s="1">
        <v>13</v>
      </c>
      <c r="E28" s="52">
        <v>71.174999999999997</v>
      </c>
      <c r="G28">
        <v>1</v>
      </c>
      <c r="N28" s="619" t="s">
        <v>307</v>
      </c>
      <c r="O28" s="620"/>
      <c r="P28" s="179" t="s">
        <v>308</v>
      </c>
      <c r="Q28" s="180" t="s">
        <v>309</v>
      </c>
      <c r="AA28">
        <v>20</v>
      </c>
    </row>
    <row r="29" spans="1:30" ht="15.75" thickBot="1" x14ac:dyDescent="0.3">
      <c r="A29" s="296" t="s">
        <v>491</v>
      </c>
      <c r="B29" s="1">
        <v>15</v>
      </c>
      <c r="C29" s="52">
        <v>2700</v>
      </c>
      <c r="D29" s="1">
        <v>180</v>
      </c>
      <c r="E29" s="52">
        <v>14782.5</v>
      </c>
      <c r="G29">
        <v>30</v>
      </c>
      <c r="N29" s="621">
        <v>140</v>
      </c>
      <c r="O29" s="622"/>
      <c r="P29" s="181">
        <v>90</v>
      </c>
      <c r="Q29" s="182">
        <v>40</v>
      </c>
      <c r="AA29">
        <v>23</v>
      </c>
    </row>
    <row r="30" spans="1:30" ht="15.75" thickBot="1" x14ac:dyDescent="0.3">
      <c r="A30" s="296" t="s">
        <v>654</v>
      </c>
      <c r="B30" s="1">
        <v>15</v>
      </c>
      <c r="C30" s="52">
        <v>4050</v>
      </c>
      <c r="D30" s="1">
        <v>270</v>
      </c>
      <c r="E30" s="52">
        <v>22173.75</v>
      </c>
      <c r="G30">
        <v>45</v>
      </c>
      <c r="N30" s="623" t="s">
        <v>310</v>
      </c>
      <c r="O30" s="624"/>
      <c r="P30" s="212">
        <f>' Elec Utility (kWh)'!$M$7</f>
        <v>0.10661334013601718</v>
      </c>
      <c r="Q30" s="571" t="s">
        <v>311</v>
      </c>
      <c r="AA30">
        <v>23</v>
      </c>
    </row>
    <row r="31" spans="1:30" ht="15.75" thickBot="1" x14ac:dyDescent="0.3">
      <c r="A31" s="296" t="s">
        <v>469</v>
      </c>
      <c r="B31" s="1">
        <v>15</v>
      </c>
      <c r="C31" s="52">
        <v>540</v>
      </c>
      <c r="D31" s="1">
        <v>36</v>
      </c>
      <c r="E31" s="52">
        <v>2956.5</v>
      </c>
      <c r="G31">
        <v>15</v>
      </c>
      <c r="N31" s="574" t="s">
        <v>312</v>
      </c>
      <c r="O31" s="575"/>
      <c r="P31" s="211">
        <v>1</v>
      </c>
      <c r="Q31" s="572"/>
      <c r="AA31">
        <v>23</v>
      </c>
    </row>
    <row r="32" spans="1:30" ht="15.75" thickBot="1" x14ac:dyDescent="0.3">
      <c r="A32" s="296" t="s">
        <v>564</v>
      </c>
      <c r="B32" s="1">
        <v>1</v>
      </c>
      <c r="C32" s="52">
        <v>150</v>
      </c>
      <c r="D32" s="1">
        <v>150</v>
      </c>
      <c r="E32" s="52">
        <v>821.25</v>
      </c>
      <c r="G32">
        <v>1</v>
      </c>
      <c r="N32" s="272"/>
      <c r="O32" s="273" t="s">
        <v>313</v>
      </c>
      <c r="P32" s="274" t="s">
        <v>314</v>
      </c>
      <c r="Q32" s="572"/>
      <c r="AA32">
        <v>23</v>
      </c>
    </row>
    <row r="33" spans="1:27" x14ac:dyDescent="0.25">
      <c r="A33" s="296" t="s">
        <v>473</v>
      </c>
      <c r="B33" s="1">
        <v>16</v>
      </c>
      <c r="C33" s="52">
        <v>576</v>
      </c>
      <c r="D33" s="1">
        <v>36</v>
      </c>
      <c r="E33" s="52">
        <v>3153.6</v>
      </c>
      <c r="G33">
        <v>48</v>
      </c>
      <c r="N33" s="269" t="s">
        <v>315</v>
      </c>
      <c r="O33" s="270">
        <f>N29*P29</f>
        <v>12600</v>
      </c>
      <c r="P33" s="271">
        <f>N29*Q29</f>
        <v>5600</v>
      </c>
      <c r="Q33" s="573"/>
      <c r="AA33">
        <v>23</v>
      </c>
    </row>
    <row r="34" spans="1:27" ht="15.75" thickBot="1" x14ac:dyDescent="0.3">
      <c r="A34" s="296" t="s">
        <v>474</v>
      </c>
      <c r="B34" s="1">
        <v>16</v>
      </c>
      <c r="C34" s="52">
        <v>576</v>
      </c>
      <c r="D34" s="1">
        <v>36</v>
      </c>
      <c r="E34" s="52">
        <v>3153.6</v>
      </c>
      <c r="G34" t="str">
        <f t="shared" si="0"/>
        <v xml:space="preserve"> 3</v>
      </c>
      <c r="N34" s="268" t="s">
        <v>316</v>
      </c>
      <c r="O34" s="267">
        <f>O33/1000</f>
        <v>12.6</v>
      </c>
      <c r="P34" s="213">
        <f>P33/1000</f>
        <v>5.6</v>
      </c>
      <c r="Q34" s="573"/>
      <c r="AA34">
        <v>23</v>
      </c>
    </row>
    <row r="35" spans="1:27" x14ac:dyDescent="0.25">
      <c r="A35" s="296" t="s">
        <v>563</v>
      </c>
      <c r="B35" s="1">
        <v>16</v>
      </c>
      <c r="C35" s="52">
        <v>576</v>
      </c>
      <c r="D35" s="1">
        <v>36</v>
      </c>
      <c r="E35" s="52">
        <v>3153.6</v>
      </c>
      <c r="G35" t="str">
        <f t="shared" si="0"/>
        <v xml:space="preserve">d </v>
      </c>
      <c r="N35" s="608" t="s">
        <v>317</v>
      </c>
      <c r="O35" s="609"/>
      <c r="P35" s="215" t="e">
        <f>O34*#REF!*P30</f>
        <v>#REF!</v>
      </c>
      <c r="Q35" s="183" t="s">
        <v>318</v>
      </c>
      <c r="AA35">
        <v>23</v>
      </c>
    </row>
    <row r="36" spans="1:27" x14ac:dyDescent="0.25">
      <c r="A36" s="296" t="s">
        <v>582</v>
      </c>
      <c r="B36" s="1">
        <v>16</v>
      </c>
      <c r="C36" s="52">
        <v>1024</v>
      </c>
      <c r="D36" s="1">
        <v>64</v>
      </c>
      <c r="E36" s="52">
        <v>5606.4</v>
      </c>
      <c r="G36" t="str">
        <f t="shared" si="0"/>
        <v>an</v>
      </c>
      <c r="N36" s="610" t="s">
        <v>319</v>
      </c>
      <c r="O36" s="611"/>
      <c r="P36" s="215" t="e">
        <f>P34*#REF!*P30</f>
        <v>#REF!</v>
      </c>
      <c r="Q36" s="184"/>
      <c r="AA36">
        <v>23</v>
      </c>
    </row>
    <row r="37" spans="1:27" x14ac:dyDescent="0.25">
      <c r="A37" s="296" t="s">
        <v>540</v>
      </c>
      <c r="B37" s="1">
        <v>17</v>
      </c>
      <c r="C37" s="52">
        <v>612</v>
      </c>
      <c r="D37" s="1">
        <v>36</v>
      </c>
      <c r="E37" s="52">
        <v>3350.7</v>
      </c>
      <c r="G37" t="str">
        <f t="shared" si="0"/>
        <v>ed</v>
      </c>
      <c r="N37" s="612" t="s">
        <v>320</v>
      </c>
      <c r="O37" s="613"/>
      <c r="P37" s="215" t="e">
        <f>P36+P44</f>
        <v>#REF!</v>
      </c>
      <c r="Q37" s="184"/>
      <c r="AA37">
        <v>30</v>
      </c>
    </row>
    <row r="38" spans="1:27" x14ac:dyDescent="0.25">
      <c r="A38" s="296" t="s">
        <v>36</v>
      </c>
      <c r="B38" s="1">
        <v>6</v>
      </c>
      <c r="C38" s="52">
        <v>144</v>
      </c>
      <c r="D38" s="1">
        <v>72</v>
      </c>
      <c r="E38" s="52">
        <v>788.40000000000009</v>
      </c>
      <c r="G38" t="str">
        <f t="shared" si="0"/>
        <v xml:space="preserve"> 2</v>
      </c>
      <c r="N38" s="612" t="s">
        <v>321</v>
      </c>
      <c r="O38" s="613"/>
      <c r="P38" s="215" t="e">
        <f>P35-P37</f>
        <v>#REF!</v>
      </c>
      <c r="Q38" s="184"/>
      <c r="AA38">
        <v>30</v>
      </c>
    </row>
    <row r="39" spans="1:27" x14ac:dyDescent="0.25">
      <c r="A39" s="296" t="s">
        <v>515</v>
      </c>
      <c r="B39" s="1">
        <v>2</v>
      </c>
      <c r="C39" s="52">
        <v>24</v>
      </c>
      <c r="D39" s="1">
        <v>12</v>
      </c>
      <c r="E39" s="52">
        <v>131.4</v>
      </c>
      <c r="G39" t="str">
        <f t="shared" si="0"/>
        <v xml:space="preserve"> 1</v>
      </c>
      <c r="N39" s="610" t="s">
        <v>322</v>
      </c>
      <c r="O39" s="611"/>
      <c r="P39" s="177" t="e">
        <f>P36*P31</f>
        <v>#REF!</v>
      </c>
      <c r="Q39" s="184"/>
      <c r="AA39">
        <v>39</v>
      </c>
    </row>
    <row r="40" spans="1:27" ht="15.75" thickBot="1" x14ac:dyDescent="0.3">
      <c r="A40" s="296" t="s">
        <v>569</v>
      </c>
      <c r="B40" s="1">
        <v>2</v>
      </c>
      <c r="C40" s="52">
        <v>200</v>
      </c>
      <c r="D40" s="1">
        <v>100</v>
      </c>
      <c r="E40" s="52">
        <v>1095</v>
      </c>
      <c r="G40" t="str">
        <f t="shared" si="0"/>
        <v xml:space="preserve">g </v>
      </c>
      <c r="N40" s="614" t="s">
        <v>344</v>
      </c>
      <c r="O40" s="615"/>
      <c r="P40" s="237"/>
      <c r="Q40" s="185"/>
      <c r="AA40">
        <v>40</v>
      </c>
    </row>
    <row r="41" spans="1:27" ht="15.75" thickBot="1" x14ac:dyDescent="0.3">
      <c r="A41" s="296" t="s">
        <v>482</v>
      </c>
      <c r="B41" s="1">
        <v>2</v>
      </c>
      <c r="C41" s="52">
        <v>72</v>
      </c>
      <c r="D41" s="1">
        <v>36</v>
      </c>
      <c r="E41" s="52">
        <v>394.2</v>
      </c>
      <c r="G41" t="str">
        <f t="shared" si="0"/>
        <v xml:space="preserve"> 3</v>
      </c>
      <c r="N41" s="3"/>
      <c r="O41" s="186"/>
      <c r="P41" s="186"/>
      <c r="Q41" s="186"/>
      <c r="AA41">
        <v>40</v>
      </c>
    </row>
    <row r="42" spans="1:27" x14ac:dyDescent="0.25">
      <c r="A42" s="296" t="s">
        <v>506</v>
      </c>
      <c r="B42" s="1">
        <v>2</v>
      </c>
      <c r="C42" s="52">
        <v>24</v>
      </c>
      <c r="D42" s="1">
        <v>12</v>
      </c>
      <c r="E42" s="52">
        <v>131.4</v>
      </c>
      <c r="G42" t="str">
        <f t="shared" si="0"/>
        <v xml:space="preserve"> 1</v>
      </c>
      <c r="N42" s="187" t="s">
        <v>323</v>
      </c>
      <c r="O42" s="179" t="s">
        <v>324</v>
      </c>
      <c r="P42" s="180" t="s">
        <v>289</v>
      </c>
      <c r="Q42" s="186"/>
      <c r="AA42">
        <v>40</v>
      </c>
    </row>
    <row r="43" spans="1:27" ht="15.75" thickBot="1" x14ac:dyDescent="0.3">
      <c r="A43" s="296" t="s">
        <v>502</v>
      </c>
      <c r="B43" s="1">
        <v>24</v>
      </c>
      <c r="C43" s="52">
        <v>576</v>
      </c>
      <c r="D43" s="1">
        <v>288</v>
      </c>
      <c r="E43" s="52">
        <v>3153.6000000000008</v>
      </c>
      <c r="G43" t="str">
        <f t="shared" si="0"/>
        <v xml:space="preserve"> 2</v>
      </c>
      <c r="N43" s="188">
        <v>80</v>
      </c>
      <c r="O43" s="189">
        <v>70</v>
      </c>
      <c r="P43" s="190">
        <f>N43*O43</f>
        <v>5600</v>
      </c>
      <c r="Q43" s="186"/>
      <c r="AA43">
        <v>40</v>
      </c>
    </row>
    <row r="44" spans="1:27" x14ac:dyDescent="0.25">
      <c r="A44" s="296" t="s">
        <v>23</v>
      </c>
      <c r="B44" s="1">
        <v>56</v>
      </c>
      <c r="C44" s="52">
        <v>2016</v>
      </c>
      <c r="D44" s="1">
        <v>1008</v>
      </c>
      <c r="E44" s="52">
        <v>11037.600000000002</v>
      </c>
      <c r="G44" t="str">
        <f t="shared" si="0"/>
        <v xml:space="preserve"> 3</v>
      </c>
      <c r="N44" s="588" t="s">
        <v>325</v>
      </c>
      <c r="O44" s="589"/>
      <c r="P44" s="191" t="e">
        <f>P45/P31</f>
        <v>#REF!</v>
      </c>
      <c r="Q44" s="186"/>
      <c r="AA44">
        <v>40</v>
      </c>
    </row>
    <row r="45" spans="1:27" ht="15.75" thickBot="1" x14ac:dyDescent="0.3">
      <c r="A45" s="296" t="s">
        <v>46</v>
      </c>
      <c r="B45" s="1">
        <v>58</v>
      </c>
      <c r="C45" s="52">
        <v>2088</v>
      </c>
      <c r="D45" s="1">
        <v>1044</v>
      </c>
      <c r="E45" s="52">
        <v>11431.800000000003</v>
      </c>
      <c r="G45" t="str">
        <f t="shared" si="0"/>
        <v xml:space="preserve">3 </v>
      </c>
      <c r="N45" s="590" t="s">
        <v>362</v>
      </c>
      <c r="O45" s="591"/>
      <c r="P45" s="192" t="e">
        <f>(P35-P36)*0.25</f>
        <v>#REF!</v>
      </c>
      <c r="Q45" s="186"/>
      <c r="AA45">
        <v>40</v>
      </c>
    </row>
    <row r="46" spans="1:27" x14ac:dyDescent="0.25">
      <c r="A46" s="296" t="s">
        <v>507</v>
      </c>
      <c r="B46" s="1">
        <v>2</v>
      </c>
      <c r="C46" s="52">
        <v>120</v>
      </c>
      <c r="D46" s="1">
        <v>60</v>
      </c>
      <c r="E46" s="52">
        <v>657</v>
      </c>
      <c r="G46" t="str">
        <f t="shared" si="0"/>
        <v xml:space="preserve"> 5</v>
      </c>
      <c r="N46" s="592" t="s">
        <v>326</v>
      </c>
      <c r="O46" s="593"/>
      <c r="P46" s="193">
        <v>0</v>
      </c>
      <c r="Q46" s="186"/>
      <c r="AA46">
        <v>40</v>
      </c>
    </row>
    <row r="47" spans="1:27" x14ac:dyDescent="0.25">
      <c r="A47" s="296" t="s">
        <v>476</v>
      </c>
      <c r="B47" s="1">
        <v>74</v>
      </c>
      <c r="C47" s="52">
        <v>2664</v>
      </c>
      <c r="D47" s="1">
        <v>1332</v>
      </c>
      <c r="E47" s="52">
        <v>14585.400000000009</v>
      </c>
      <c r="G47" t="str">
        <f t="shared" si="0"/>
        <v>*3</v>
      </c>
      <c r="N47" s="594" t="s">
        <v>327</v>
      </c>
      <c r="O47" s="595"/>
      <c r="P47" s="173">
        <v>100</v>
      </c>
      <c r="Q47" s="186"/>
      <c r="AA47">
        <v>43</v>
      </c>
    </row>
    <row r="48" spans="1:27" ht="15.75" thickBot="1" x14ac:dyDescent="0.3">
      <c r="A48" s="296" t="s">
        <v>504</v>
      </c>
      <c r="B48" s="1">
        <v>2</v>
      </c>
      <c r="C48" s="52">
        <v>72</v>
      </c>
      <c r="D48" s="1">
        <v>36</v>
      </c>
      <c r="E48" s="52">
        <v>394.2</v>
      </c>
      <c r="G48" t="str">
        <f t="shared" si="0"/>
        <v>st</v>
      </c>
      <c r="N48" s="596" t="s">
        <v>328</v>
      </c>
      <c r="O48" s="597"/>
      <c r="P48" s="194">
        <f>P46*P47*P31</f>
        <v>0</v>
      </c>
      <c r="Q48" s="186"/>
      <c r="AA48">
        <v>43</v>
      </c>
    </row>
    <row r="49" spans="1:27" ht="15.75" thickBot="1" x14ac:dyDescent="0.3">
      <c r="A49" s="296" t="s">
        <v>577</v>
      </c>
      <c r="B49" s="1">
        <v>2</v>
      </c>
      <c r="C49" s="52">
        <v>48</v>
      </c>
      <c r="D49" s="1">
        <v>24</v>
      </c>
      <c r="E49" s="52">
        <v>262.8</v>
      </c>
      <c r="G49" t="str">
        <f t="shared" si="0"/>
        <v>/7</v>
      </c>
      <c r="N49" s="103"/>
      <c r="O49" s="195"/>
      <c r="P49" s="102"/>
      <c r="Q49" s="186"/>
      <c r="AA49">
        <v>43</v>
      </c>
    </row>
    <row r="50" spans="1:27" x14ac:dyDescent="0.25">
      <c r="A50" s="296" t="s">
        <v>545</v>
      </c>
      <c r="B50" s="1">
        <v>2</v>
      </c>
      <c r="C50" s="52">
        <v>50</v>
      </c>
      <c r="D50" s="1">
        <v>25</v>
      </c>
      <c r="E50" s="52">
        <v>273.75</v>
      </c>
      <c r="G50" t="str">
        <f t="shared" si="0"/>
        <v xml:space="preserve">t </v>
      </c>
      <c r="N50" s="228" t="s">
        <v>334</v>
      </c>
      <c r="O50" s="229" t="s">
        <v>335</v>
      </c>
      <c r="P50" s="85" t="s">
        <v>289</v>
      </c>
      <c r="Q50" s="186"/>
      <c r="AA50">
        <v>43</v>
      </c>
    </row>
    <row r="51" spans="1:27" ht="15.75" thickBot="1" x14ac:dyDescent="0.3">
      <c r="A51" s="296" t="s">
        <v>490</v>
      </c>
      <c r="B51" s="1">
        <v>2</v>
      </c>
      <c r="C51" s="52">
        <v>48</v>
      </c>
      <c r="D51" s="1">
        <v>24</v>
      </c>
      <c r="E51" s="52">
        <v>262.8</v>
      </c>
      <c r="G51" t="str">
        <f t="shared" si="0"/>
        <v>4'</v>
      </c>
      <c r="N51" s="196">
        <v>20</v>
      </c>
      <c r="O51" s="224">
        <v>2</v>
      </c>
      <c r="P51" s="190">
        <f>O51*N51</f>
        <v>40</v>
      </c>
      <c r="Q51" s="3"/>
      <c r="AA51">
        <v>43</v>
      </c>
    </row>
    <row r="52" spans="1:27" x14ac:dyDescent="0.25">
      <c r="A52" s="296" t="s">
        <v>500</v>
      </c>
      <c r="B52" s="1">
        <v>2</v>
      </c>
      <c r="C52" s="52">
        <v>72</v>
      </c>
      <c r="D52" s="1">
        <v>36</v>
      </c>
      <c r="E52" s="52">
        <v>394.2</v>
      </c>
      <c r="G52" t="str">
        <f t="shared" si="0"/>
        <v xml:space="preserve"> 3</v>
      </c>
      <c r="N52" s="604" t="s">
        <v>336</v>
      </c>
      <c r="O52" s="605"/>
      <c r="P52" s="225">
        <v>4</v>
      </c>
      <c r="Q52" s="186"/>
      <c r="AA52">
        <v>43</v>
      </c>
    </row>
    <row r="53" spans="1:27" x14ac:dyDescent="0.25">
      <c r="A53" s="296" t="s">
        <v>503</v>
      </c>
      <c r="B53" s="1">
        <v>1</v>
      </c>
      <c r="C53" s="52">
        <v>9</v>
      </c>
      <c r="D53" s="1">
        <v>9</v>
      </c>
      <c r="E53" s="52">
        <v>49.274999999999999</v>
      </c>
      <c r="G53" t="str">
        <f t="shared" si="0"/>
        <v>mp</v>
      </c>
      <c r="N53" s="586" t="s">
        <v>337</v>
      </c>
      <c r="O53" s="587"/>
      <c r="P53" s="226">
        <v>30</v>
      </c>
      <c r="AA53">
        <v>43</v>
      </c>
    </row>
    <row r="54" spans="1:27" x14ac:dyDescent="0.25">
      <c r="A54" s="296" t="s">
        <v>483</v>
      </c>
      <c r="B54" s="1">
        <v>1</v>
      </c>
      <c r="C54" s="52">
        <v>36</v>
      </c>
      <c r="D54" s="1">
        <v>36</v>
      </c>
      <c r="E54" s="52">
        <v>197.1</v>
      </c>
      <c r="G54" t="str">
        <f t="shared" si="0"/>
        <v>*3</v>
      </c>
      <c r="N54" s="606" t="s">
        <v>338</v>
      </c>
      <c r="O54" s="607"/>
      <c r="P54" s="227" t="e">
        <f>(0.2*P53*P52*O51*#REF!)/1000</f>
        <v>#REF!</v>
      </c>
      <c r="AA54">
        <v>43</v>
      </c>
    </row>
    <row r="55" spans="1:27" ht="15.75" thickBot="1" x14ac:dyDescent="0.3">
      <c r="A55" s="296" t="s">
        <v>495</v>
      </c>
      <c r="B55" s="1">
        <v>9</v>
      </c>
      <c r="C55" s="52">
        <v>324</v>
      </c>
      <c r="D55" s="1">
        <v>324</v>
      </c>
      <c r="E55" s="52">
        <v>1773.8999999999996</v>
      </c>
      <c r="G55" t="str">
        <f t="shared" si="0"/>
        <v>*3</v>
      </c>
      <c r="N55" s="590" t="s">
        <v>329</v>
      </c>
      <c r="O55" s="591"/>
      <c r="P55" s="197" t="e">
        <f>P54*' Elec Utility (kWh)'!M7</f>
        <v>#REF!</v>
      </c>
      <c r="Q55" s="3"/>
      <c r="AA55">
        <v>43</v>
      </c>
    </row>
    <row r="56" spans="1:27" x14ac:dyDescent="0.25">
      <c r="A56" s="296" t="s">
        <v>559</v>
      </c>
      <c r="B56" s="1">
        <v>20</v>
      </c>
      <c r="C56" s="52">
        <v>480</v>
      </c>
      <c r="D56" s="1">
        <v>24</v>
      </c>
      <c r="E56" s="52">
        <v>2628</v>
      </c>
      <c r="G56" t="str">
        <f t="shared" si="0"/>
        <v>ed</v>
      </c>
      <c r="Q56" s="3"/>
      <c r="AA56">
        <v>43</v>
      </c>
    </row>
    <row r="57" spans="1:27" x14ac:dyDescent="0.25">
      <c r="A57" s="296" t="s">
        <v>508</v>
      </c>
      <c r="B57" s="1">
        <v>22</v>
      </c>
      <c r="C57" s="52">
        <v>792</v>
      </c>
      <c r="D57" s="1">
        <v>36</v>
      </c>
      <c r="E57" s="52">
        <v>4336.2</v>
      </c>
      <c r="G57" t="str">
        <f t="shared" si="0"/>
        <v xml:space="preserve"> 3</v>
      </c>
      <c r="Q57" s="3"/>
      <c r="AA57">
        <v>43</v>
      </c>
    </row>
    <row r="58" spans="1:27" x14ac:dyDescent="0.25">
      <c r="A58" s="296" t="s">
        <v>653</v>
      </c>
      <c r="B58" s="1">
        <v>24</v>
      </c>
      <c r="C58" s="52">
        <v>6480</v>
      </c>
      <c r="D58" s="1">
        <v>270</v>
      </c>
      <c r="E58" s="52">
        <v>35478</v>
      </c>
      <c r="G58" t="str">
        <f t="shared" si="0"/>
        <v xml:space="preserve"> 3</v>
      </c>
      <c r="AA58">
        <v>43</v>
      </c>
    </row>
    <row r="59" spans="1:27" x14ac:dyDescent="0.25">
      <c r="A59" s="296" t="s">
        <v>468</v>
      </c>
      <c r="B59" s="1">
        <v>25</v>
      </c>
      <c r="C59" s="52">
        <v>900</v>
      </c>
      <c r="D59" s="1">
        <v>36</v>
      </c>
      <c r="E59" s="52">
        <v>4927.5</v>
      </c>
      <c r="G59" t="str">
        <f t="shared" si="0"/>
        <v xml:space="preserve"> 3</v>
      </c>
      <c r="AA59">
        <v>43</v>
      </c>
    </row>
    <row r="60" spans="1:27" x14ac:dyDescent="0.25">
      <c r="A60" s="296" t="s">
        <v>560</v>
      </c>
      <c r="B60" s="1">
        <v>1</v>
      </c>
      <c r="C60" s="52">
        <v>25</v>
      </c>
      <c r="D60" s="1">
        <v>25</v>
      </c>
      <c r="E60" s="52">
        <v>136.875</v>
      </c>
      <c r="G60" t="str">
        <f t="shared" si="0"/>
        <v xml:space="preserve">t </v>
      </c>
      <c r="Q60" s="200"/>
      <c r="AA60">
        <v>43</v>
      </c>
    </row>
    <row r="61" spans="1:27" x14ac:dyDescent="0.25">
      <c r="A61" s="296" t="s">
        <v>516</v>
      </c>
      <c r="B61" s="1">
        <v>28</v>
      </c>
      <c r="C61" s="52">
        <v>1008</v>
      </c>
      <c r="D61" s="1">
        <v>36</v>
      </c>
      <c r="E61" s="52">
        <v>5518.8</v>
      </c>
      <c r="G61" t="str">
        <f t="shared" si="0"/>
        <v xml:space="preserve">3 </v>
      </c>
      <c r="AA61">
        <v>43</v>
      </c>
    </row>
    <row r="62" spans="1:27" x14ac:dyDescent="0.25">
      <c r="A62" s="296" t="s">
        <v>487</v>
      </c>
      <c r="B62" s="1">
        <v>15</v>
      </c>
      <c r="C62" s="52">
        <v>540</v>
      </c>
      <c r="D62" s="1">
        <v>180</v>
      </c>
      <c r="E62" s="52">
        <v>2956.5</v>
      </c>
      <c r="G62" t="str">
        <f t="shared" si="0"/>
        <v xml:space="preserve"> 3</v>
      </c>
      <c r="AA62">
        <v>43</v>
      </c>
    </row>
    <row r="63" spans="1:27" x14ac:dyDescent="0.25">
      <c r="A63" s="296" t="s">
        <v>479</v>
      </c>
      <c r="B63" s="1">
        <v>6</v>
      </c>
      <c r="C63" s="52">
        <v>216</v>
      </c>
      <c r="D63" s="1">
        <v>72</v>
      </c>
      <c r="E63" s="52">
        <v>1182.5999999999999</v>
      </c>
      <c r="G63" t="str">
        <f t="shared" si="0"/>
        <v xml:space="preserve">3 </v>
      </c>
      <c r="AA63">
        <v>43</v>
      </c>
    </row>
    <row r="64" spans="1:27" x14ac:dyDescent="0.25">
      <c r="A64" s="296" t="s">
        <v>486</v>
      </c>
      <c r="B64" s="1">
        <v>9</v>
      </c>
      <c r="C64" s="52">
        <v>324</v>
      </c>
      <c r="D64" s="1">
        <v>108</v>
      </c>
      <c r="E64" s="52">
        <v>1773.8999999999999</v>
      </c>
      <c r="G64" t="str">
        <f t="shared" si="0"/>
        <v>*3</v>
      </c>
      <c r="AA64">
        <v>43</v>
      </c>
    </row>
    <row r="65" spans="1:27" x14ac:dyDescent="0.25">
      <c r="A65" s="296" t="s">
        <v>467</v>
      </c>
      <c r="B65" s="1">
        <v>3</v>
      </c>
      <c r="C65" s="52">
        <v>108</v>
      </c>
      <c r="D65" s="1">
        <v>36</v>
      </c>
      <c r="E65" s="52">
        <v>946.08000000000015</v>
      </c>
      <c r="G65" t="str">
        <f t="shared" si="0"/>
        <v>/7</v>
      </c>
      <c r="AA65">
        <v>43</v>
      </c>
    </row>
    <row r="66" spans="1:27" x14ac:dyDescent="0.25">
      <c r="A66" s="296" t="s">
        <v>471</v>
      </c>
      <c r="B66" s="1">
        <v>32</v>
      </c>
      <c r="C66" s="52">
        <v>1152</v>
      </c>
      <c r="D66" s="1">
        <v>36</v>
      </c>
      <c r="E66" s="52">
        <v>6307.2</v>
      </c>
      <c r="G66" t="str">
        <f t="shared" si="0"/>
        <v xml:space="preserve"> 3</v>
      </c>
      <c r="AA66">
        <v>43</v>
      </c>
    </row>
    <row r="67" spans="1:27" x14ac:dyDescent="0.25">
      <c r="A67" s="296" t="s">
        <v>566</v>
      </c>
      <c r="B67" s="1">
        <v>34</v>
      </c>
      <c r="C67" s="52">
        <v>1224</v>
      </c>
      <c r="D67" s="1">
        <v>36</v>
      </c>
      <c r="E67" s="52">
        <v>6701.4</v>
      </c>
      <c r="G67" t="str">
        <f t="shared" si="0"/>
        <v xml:space="preserve">b </v>
      </c>
      <c r="AA67">
        <v>53</v>
      </c>
    </row>
    <row r="68" spans="1:27" x14ac:dyDescent="0.25">
      <c r="A68" s="296" t="s">
        <v>485</v>
      </c>
      <c r="B68" s="1">
        <v>4</v>
      </c>
      <c r="C68" s="52">
        <v>96</v>
      </c>
      <c r="D68" s="1">
        <v>24</v>
      </c>
      <c r="E68" s="52">
        <v>525.6</v>
      </c>
      <c r="G68" t="str">
        <f t="shared" si="0"/>
        <v xml:space="preserve"> 2</v>
      </c>
      <c r="AA68">
        <v>53</v>
      </c>
    </row>
    <row r="69" spans="1:27" x14ac:dyDescent="0.25">
      <c r="A69" s="296" t="s">
        <v>574</v>
      </c>
      <c r="B69" s="1">
        <v>4</v>
      </c>
      <c r="C69" s="52">
        <v>600</v>
      </c>
      <c r="D69" s="1">
        <v>150</v>
      </c>
      <c r="E69" s="52">
        <v>3285</v>
      </c>
      <c r="G69" t="str">
        <f t="shared" si="0"/>
        <v>ps</v>
      </c>
      <c r="AA69">
        <v>53</v>
      </c>
    </row>
    <row r="70" spans="1:27" x14ac:dyDescent="0.25">
      <c r="A70" s="296" t="s">
        <v>41</v>
      </c>
      <c r="B70" s="1">
        <v>28</v>
      </c>
      <c r="C70" s="52">
        <v>1008</v>
      </c>
      <c r="D70" s="1">
        <v>252</v>
      </c>
      <c r="E70" s="52">
        <v>5518.7999999999993</v>
      </c>
      <c r="G70" t="str">
        <f t="shared" ref="G70:G115" si="3">RIGHT(A70,2)</f>
        <v xml:space="preserve"> 3</v>
      </c>
      <c r="AA70">
        <v>60</v>
      </c>
    </row>
    <row r="71" spans="1:27" ht="15.75" thickBot="1" x14ac:dyDescent="0.3">
      <c r="A71" s="296" t="s">
        <v>470</v>
      </c>
      <c r="B71" s="1">
        <v>12</v>
      </c>
      <c r="C71" s="52">
        <v>432</v>
      </c>
      <c r="D71" s="1">
        <v>108</v>
      </c>
      <c r="E71" s="52">
        <v>2365.1999999999998</v>
      </c>
      <c r="G71" t="str">
        <f t="shared" si="3"/>
        <v>*3</v>
      </c>
      <c r="AA71">
        <v>60</v>
      </c>
    </row>
    <row r="72" spans="1:27" x14ac:dyDescent="0.25">
      <c r="A72" s="296" t="s">
        <v>517</v>
      </c>
      <c r="B72" s="1">
        <v>4</v>
      </c>
      <c r="C72" s="52">
        <v>144</v>
      </c>
      <c r="D72" s="1">
        <v>36</v>
      </c>
      <c r="E72" s="52">
        <v>788.4</v>
      </c>
      <c r="G72" t="str">
        <f t="shared" si="3"/>
        <v>/7</v>
      </c>
      <c r="N72" s="576" t="s">
        <v>330</v>
      </c>
      <c r="O72" s="577"/>
      <c r="AA72">
        <v>60</v>
      </c>
    </row>
    <row r="73" spans="1:27" x14ac:dyDescent="0.25">
      <c r="A73" s="296" t="s">
        <v>498</v>
      </c>
      <c r="B73" s="1">
        <v>4</v>
      </c>
      <c r="C73" s="52">
        <v>144</v>
      </c>
      <c r="D73" s="1">
        <v>36</v>
      </c>
      <c r="E73" s="52">
        <v>788.4</v>
      </c>
      <c r="G73" t="str">
        <f t="shared" si="3"/>
        <v>/7</v>
      </c>
      <c r="N73" s="578"/>
      <c r="O73" s="579"/>
      <c r="AA73">
        <v>60</v>
      </c>
    </row>
    <row r="74" spans="1:27" ht="15.75" thickBot="1" x14ac:dyDescent="0.3">
      <c r="A74" s="296" t="s">
        <v>509</v>
      </c>
      <c r="B74" s="1">
        <v>4</v>
      </c>
      <c r="C74" s="52">
        <v>48</v>
      </c>
      <c r="D74" s="1">
        <v>12</v>
      </c>
      <c r="E74" s="52">
        <v>262.8</v>
      </c>
      <c r="G74" t="str">
        <f t="shared" si="3"/>
        <v>4'</v>
      </c>
      <c r="N74" s="580"/>
      <c r="O74" s="581"/>
      <c r="AA74">
        <v>60</v>
      </c>
    </row>
    <row r="75" spans="1:27" x14ac:dyDescent="0.25">
      <c r="A75" s="296" t="s">
        <v>573</v>
      </c>
      <c r="B75" s="1">
        <v>4</v>
      </c>
      <c r="C75" s="52">
        <v>144</v>
      </c>
      <c r="D75" s="1">
        <v>36</v>
      </c>
      <c r="E75" s="52">
        <v>788.4</v>
      </c>
      <c r="G75" t="str">
        <f t="shared" si="3"/>
        <v xml:space="preserve">b </v>
      </c>
      <c r="N75" s="582" t="s">
        <v>331</v>
      </c>
      <c r="O75" s="583"/>
      <c r="AA75">
        <v>60</v>
      </c>
    </row>
    <row r="76" spans="1:27" ht="15.75" thickBot="1" x14ac:dyDescent="0.3">
      <c r="A76" s="296" t="s">
        <v>505</v>
      </c>
      <c r="B76" s="1">
        <v>3</v>
      </c>
      <c r="C76" s="52">
        <v>36</v>
      </c>
      <c r="D76" s="1">
        <v>36</v>
      </c>
      <c r="E76" s="52">
        <v>197.10000000000002</v>
      </c>
      <c r="G76" t="str">
        <f t="shared" si="3"/>
        <v>mp</v>
      </c>
      <c r="N76" s="584" t="e">
        <f>(P36*0.5)*P31</f>
        <v>#REF!</v>
      </c>
      <c r="O76" s="585"/>
      <c r="AA76">
        <v>60</v>
      </c>
    </row>
    <row r="77" spans="1:27" x14ac:dyDescent="0.25">
      <c r="A77" s="296" t="s">
        <v>541</v>
      </c>
      <c r="B77" s="1">
        <v>40</v>
      </c>
      <c r="C77" s="52">
        <v>1440</v>
      </c>
      <c r="D77" s="1">
        <v>36</v>
      </c>
      <c r="E77" s="52">
        <v>7884</v>
      </c>
      <c r="G77" t="str">
        <f t="shared" si="3"/>
        <v xml:space="preserve">b </v>
      </c>
      <c r="AA77">
        <v>60</v>
      </c>
    </row>
    <row r="78" spans="1:27" x14ac:dyDescent="0.25">
      <c r="A78" s="296" t="s">
        <v>543</v>
      </c>
      <c r="B78" s="1">
        <v>48</v>
      </c>
      <c r="C78" s="52">
        <v>1728</v>
      </c>
      <c r="D78" s="1">
        <v>36</v>
      </c>
      <c r="E78" s="52">
        <v>9460.7999999999993</v>
      </c>
      <c r="G78" t="str">
        <f t="shared" si="3"/>
        <v>2b</v>
      </c>
      <c r="AA78">
        <v>60</v>
      </c>
    </row>
    <row r="79" spans="1:27" x14ac:dyDescent="0.25">
      <c r="A79" s="296" t="s">
        <v>542</v>
      </c>
      <c r="B79" s="1">
        <v>1</v>
      </c>
      <c r="C79" s="52">
        <v>36</v>
      </c>
      <c r="D79" s="1">
        <v>36</v>
      </c>
      <c r="E79" s="52">
        <v>197.1</v>
      </c>
      <c r="G79" t="str">
        <f t="shared" si="3"/>
        <v>an</v>
      </c>
      <c r="AA79">
        <v>60</v>
      </c>
    </row>
    <row r="80" spans="1:27" x14ac:dyDescent="0.25">
      <c r="A80" s="296" t="s">
        <v>472</v>
      </c>
      <c r="B80" s="1">
        <v>5</v>
      </c>
      <c r="C80" s="52">
        <v>120</v>
      </c>
      <c r="D80" s="1">
        <v>24</v>
      </c>
      <c r="E80" s="52">
        <v>657</v>
      </c>
      <c r="G80" t="str">
        <f t="shared" si="3"/>
        <v xml:space="preserve"> 2</v>
      </c>
      <c r="AA80">
        <v>60</v>
      </c>
    </row>
    <row r="81" spans="1:27" x14ac:dyDescent="0.25">
      <c r="A81" s="296" t="s">
        <v>481</v>
      </c>
      <c r="B81" s="1">
        <v>5</v>
      </c>
      <c r="C81" s="52">
        <v>180</v>
      </c>
      <c r="D81" s="1">
        <v>36</v>
      </c>
      <c r="E81" s="52">
        <v>985.5</v>
      </c>
      <c r="G81" t="str">
        <f t="shared" si="3"/>
        <v xml:space="preserve"> 3</v>
      </c>
      <c r="AA81">
        <v>60</v>
      </c>
    </row>
    <row r="82" spans="1:27" x14ac:dyDescent="0.25">
      <c r="A82" s="296" t="s">
        <v>47</v>
      </c>
      <c r="B82" s="1">
        <v>5</v>
      </c>
      <c r="C82" s="52">
        <v>180</v>
      </c>
      <c r="D82" s="1">
        <v>36</v>
      </c>
      <c r="E82" s="52">
        <v>985.5</v>
      </c>
      <c r="G82" t="str">
        <f t="shared" si="3"/>
        <v xml:space="preserve"> 3</v>
      </c>
      <c r="AA82">
        <v>63</v>
      </c>
    </row>
    <row r="83" spans="1:27" x14ac:dyDescent="0.25">
      <c r="A83" s="296" t="s">
        <v>519</v>
      </c>
      <c r="B83" s="1">
        <v>10</v>
      </c>
      <c r="C83" s="52">
        <v>360</v>
      </c>
      <c r="D83" s="1">
        <v>72</v>
      </c>
      <c r="E83" s="52">
        <v>1971</v>
      </c>
      <c r="G83" t="str">
        <f t="shared" si="3"/>
        <v xml:space="preserve">3 </v>
      </c>
      <c r="AA83">
        <v>72</v>
      </c>
    </row>
    <row r="84" spans="1:27" x14ac:dyDescent="0.25">
      <c r="A84" s="296" t="s">
        <v>499</v>
      </c>
      <c r="B84" s="1">
        <v>5</v>
      </c>
      <c r="C84" s="52">
        <v>45</v>
      </c>
      <c r="D84" s="1">
        <v>9</v>
      </c>
      <c r="E84" s="52">
        <v>246.375</v>
      </c>
      <c r="G84" t="str">
        <f t="shared" si="3"/>
        <v>/7</v>
      </c>
      <c r="AA84">
        <v>25</v>
      </c>
    </row>
    <row r="85" spans="1:27" x14ac:dyDescent="0.25">
      <c r="A85" s="296" t="s">
        <v>561</v>
      </c>
      <c r="B85" s="1">
        <v>1</v>
      </c>
      <c r="C85" s="52">
        <v>50</v>
      </c>
      <c r="D85" s="1">
        <v>50</v>
      </c>
      <c r="E85" s="52">
        <v>273.75</v>
      </c>
      <c r="G85" t="str">
        <f t="shared" si="3"/>
        <v>ts</v>
      </c>
    </row>
    <row r="86" spans="1:27" x14ac:dyDescent="0.25">
      <c r="A86" s="296" t="s">
        <v>518</v>
      </c>
      <c r="B86" s="1">
        <v>6</v>
      </c>
      <c r="C86" s="52">
        <v>216</v>
      </c>
      <c r="D86" s="1">
        <v>36</v>
      </c>
      <c r="E86" s="52">
        <v>1182.5999999999999</v>
      </c>
      <c r="G86" t="str">
        <f t="shared" si="3"/>
        <v>/7</v>
      </c>
    </row>
    <row r="87" spans="1:27" x14ac:dyDescent="0.25">
      <c r="A87" s="296" t="s">
        <v>28</v>
      </c>
      <c r="B87" s="1">
        <v>6</v>
      </c>
      <c r="C87" s="52">
        <v>216</v>
      </c>
      <c r="D87" s="1">
        <v>36</v>
      </c>
      <c r="E87" s="52">
        <v>1182.5999999999999</v>
      </c>
      <c r="G87" t="str">
        <f t="shared" si="3"/>
        <v xml:space="preserve"> 3</v>
      </c>
    </row>
    <row r="88" spans="1:27" x14ac:dyDescent="0.25">
      <c r="A88" s="296" t="s">
        <v>45</v>
      </c>
      <c r="B88" s="1">
        <v>6</v>
      </c>
      <c r="C88" s="52">
        <v>216</v>
      </c>
      <c r="D88" s="1">
        <v>36</v>
      </c>
      <c r="E88" s="52">
        <v>1182.5999999999999</v>
      </c>
      <c r="G88" t="str">
        <f t="shared" si="3"/>
        <v xml:space="preserve">3 </v>
      </c>
    </row>
    <row r="89" spans="1:27" x14ac:dyDescent="0.25">
      <c r="A89" s="296" t="s">
        <v>497</v>
      </c>
      <c r="B89" s="1">
        <v>6</v>
      </c>
      <c r="C89" s="52">
        <v>216</v>
      </c>
      <c r="D89" s="1">
        <v>36</v>
      </c>
      <c r="E89" s="52">
        <v>1182.5999999999999</v>
      </c>
      <c r="G89" t="str">
        <f t="shared" si="3"/>
        <v>*3</v>
      </c>
    </row>
    <row r="90" spans="1:27" x14ac:dyDescent="0.25">
      <c r="A90" s="296" t="s">
        <v>465</v>
      </c>
      <c r="B90" s="1">
        <v>1</v>
      </c>
      <c r="C90" s="52">
        <v>60</v>
      </c>
      <c r="D90" s="1">
        <v>60</v>
      </c>
      <c r="E90" s="52">
        <v>328.5</v>
      </c>
      <c r="G90" t="str">
        <f t="shared" si="3"/>
        <v>0W</v>
      </c>
    </row>
    <row r="91" spans="1:27" x14ac:dyDescent="0.25">
      <c r="A91" s="296" t="s">
        <v>555</v>
      </c>
      <c r="B91" s="1">
        <v>1</v>
      </c>
      <c r="C91" s="52">
        <v>60</v>
      </c>
      <c r="D91" s="1">
        <v>60</v>
      </c>
      <c r="E91" s="52">
        <v>328.5</v>
      </c>
      <c r="G91" t="str">
        <f t="shared" si="3"/>
        <v>mp</v>
      </c>
    </row>
    <row r="92" spans="1:27" x14ac:dyDescent="0.25">
      <c r="A92" s="296" t="s">
        <v>514</v>
      </c>
      <c r="B92" s="1">
        <v>7</v>
      </c>
      <c r="C92" s="52">
        <v>84</v>
      </c>
      <c r="D92" s="1">
        <v>12</v>
      </c>
      <c r="E92" s="52">
        <v>459.9</v>
      </c>
      <c r="G92" t="str">
        <f t="shared" si="3"/>
        <v xml:space="preserve"> 1</v>
      </c>
    </row>
    <row r="93" spans="1:27" x14ac:dyDescent="0.25">
      <c r="A93" s="296" t="s">
        <v>510</v>
      </c>
      <c r="B93" s="1">
        <v>7</v>
      </c>
      <c r="C93" s="52">
        <v>252</v>
      </c>
      <c r="D93" s="1">
        <v>36</v>
      </c>
      <c r="E93" s="52">
        <v>1379.7</v>
      </c>
      <c r="G93" t="str">
        <f t="shared" si="3"/>
        <v>*3</v>
      </c>
    </row>
    <row r="94" spans="1:27" x14ac:dyDescent="0.25">
      <c r="A94" s="296" t="s">
        <v>475</v>
      </c>
      <c r="B94" s="1">
        <v>7</v>
      </c>
      <c r="C94" s="52">
        <v>252</v>
      </c>
      <c r="D94" s="1">
        <v>36</v>
      </c>
      <c r="E94" s="52">
        <v>1379.7</v>
      </c>
      <c r="G94" t="str">
        <f t="shared" si="3"/>
        <v xml:space="preserve"> 3</v>
      </c>
    </row>
    <row r="95" spans="1:27" x14ac:dyDescent="0.25">
      <c r="A95" s="296" t="s">
        <v>484</v>
      </c>
      <c r="B95" s="1">
        <v>7</v>
      </c>
      <c r="C95" s="52">
        <v>252</v>
      </c>
      <c r="D95" s="1">
        <v>36</v>
      </c>
      <c r="E95" s="52">
        <v>2207.5200000000004</v>
      </c>
      <c r="G95" t="str">
        <f t="shared" si="3"/>
        <v>/7</v>
      </c>
    </row>
    <row r="96" spans="1:27" x14ac:dyDescent="0.25">
      <c r="A96" s="296" t="s">
        <v>557</v>
      </c>
      <c r="B96" s="1">
        <v>7</v>
      </c>
      <c r="C96" s="52">
        <v>252</v>
      </c>
      <c r="D96" s="1">
        <v>36</v>
      </c>
      <c r="E96" s="52">
        <v>1379.7</v>
      </c>
      <c r="G96" t="str">
        <f t="shared" si="3"/>
        <v>2b</v>
      </c>
    </row>
    <row r="97" spans="1:7" x14ac:dyDescent="0.25">
      <c r="A97" s="296" t="s">
        <v>572</v>
      </c>
      <c r="B97" s="1">
        <v>14</v>
      </c>
      <c r="C97" s="52">
        <v>504</v>
      </c>
      <c r="D97" s="1">
        <v>72</v>
      </c>
      <c r="E97" s="52">
        <v>2759.4</v>
      </c>
      <c r="G97" t="str">
        <f t="shared" si="3"/>
        <v>ed</v>
      </c>
    </row>
    <row r="98" spans="1:7" x14ac:dyDescent="0.25">
      <c r="A98" s="296" t="s">
        <v>576</v>
      </c>
      <c r="B98" s="1">
        <v>7</v>
      </c>
      <c r="C98" s="52">
        <v>350</v>
      </c>
      <c r="D98" s="1">
        <v>50</v>
      </c>
      <c r="E98" s="52">
        <v>1916.25</v>
      </c>
      <c r="G98" t="str">
        <f t="shared" si="3"/>
        <v>/7</v>
      </c>
    </row>
    <row r="99" spans="1:7" x14ac:dyDescent="0.25">
      <c r="A99" s="296" t="s">
        <v>549</v>
      </c>
      <c r="B99" s="1">
        <v>1</v>
      </c>
      <c r="C99" s="52">
        <v>72</v>
      </c>
      <c r="D99" s="1">
        <v>72</v>
      </c>
      <c r="E99" s="52">
        <v>394.2</v>
      </c>
      <c r="G99" t="str">
        <f t="shared" si="3"/>
        <v>mp</v>
      </c>
    </row>
    <row r="100" spans="1:7" x14ac:dyDescent="0.25">
      <c r="A100" s="296" t="s">
        <v>493</v>
      </c>
      <c r="B100" s="1">
        <v>8</v>
      </c>
      <c r="C100" s="52">
        <v>288</v>
      </c>
      <c r="D100" s="1">
        <v>36</v>
      </c>
      <c r="E100" s="52">
        <v>1576.8</v>
      </c>
      <c r="G100" t="str">
        <f t="shared" si="3"/>
        <v xml:space="preserve"> 3</v>
      </c>
    </row>
    <row r="101" spans="1:7" x14ac:dyDescent="0.25">
      <c r="A101" s="296" t="s">
        <v>496</v>
      </c>
      <c r="B101" s="1">
        <v>8</v>
      </c>
      <c r="C101" s="52">
        <v>2304</v>
      </c>
      <c r="D101" s="1">
        <v>288</v>
      </c>
      <c r="E101" s="52">
        <v>12614.4</v>
      </c>
      <c r="G101" t="str">
        <f t="shared" si="3"/>
        <v>or</v>
      </c>
    </row>
    <row r="102" spans="1:7" x14ac:dyDescent="0.25">
      <c r="A102" s="296" t="s">
        <v>587</v>
      </c>
      <c r="B102" s="1">
        <v>8</v>
      </c>
      <c r="C102" s="52">
        <v>512</v>
      </c>
      <c r="D102" s="1">
        <v>64</v>
      </c>
      <c r="E102" s="52">
        <v>2803.2</v>
      </c>
      <c r="G102" t="str">
        <f t="shared" si="3"/>
        <v xml:space="preserve">W </v>
      </c>
    </row>
    <row r="103" spans="1:7" x14ac:dyDescent="0.25">
      <c r="A103" s="296" t="s">
        <v>558</v>
      </c>
      <c r="B103" s="1">
        <v>8</v>
      </c>
      <c r="C103" s="52">
        <v>1200</v>
      </c>
      <c r="D103" s="1">
        <v>150</v>
      </c>
      <c r="E103" s="52">
        <v>6570</v>
      </c>
      <c r="G103" t="str">
        <f t="shared" si="3"/>
        <v>ps</v>
      </c>
    </row>
    <row r="104" spans="1:7" x14ac:dyDescent="0.25">
      <c r="A104" s="296" t="s">
        <v>520</v>
      </c>
      <c r="B104" s="1">
        <v>9</v>
      </c>
      <c r="C104" s="52">
        <v>324</v>
      </c>
      <c r="D104" s="1">
        <v>36</v>
      </c>
      <c r="E104" s="52">
        <v>1773.9</v>
      </c>
      <c r="G104" t="str">
        <f t="shared" si="3"/>
        <v xml:space="preserve"> 3</v>
      </c>
    </row>
    <row r="105" spans="1:7" x14ac:dyDescent="0.25">
      <c r="A105" s="296" t="s">
        <v>548</v>
      </c>
      <c r="B105" s="1">
        <v>1</v>
      </c>
      <c r="C105" s="52">
        <v>9</v>
      </c>
      <c r="D105" s="1">
        <v>9</v>
      </c>
      <c r="E105" s="52">
        <v>49.274999999999999</v>
      </c>
      <c r="G105" t="str">
        <f t="shared" si="3"/>
        <v>mp</v>
      </c>
    </row>
    <row r="106" spans="1:7" x14ac:dyDescent="0.25">
      <c r="A106" s="296" t="s">
        <v>551</v>
      </c>
      <c r="B106" s="1">
        <v>2</v>
      </c>
      <c r="C106" s="52">
        <v>26</v>
      </c>
      <c r="D106" s="1">
        <v>26</v>
      </c>
      <c r="E106" s="52">
        <v>142.35</v>
      </c>
      <c r="G106" t="str">
        <f t="shared" si="3"/>
        <v>fl</v>
      </c>
    </row>
    <row r="107" spans="1:7" x14ac:dyDescent="0.25">
      <c r="A107" s="296" t="s">
        <v>546</v>
      </c>
      <c r="B107" s="1">
        <v>1</v>
      </c>
      <c r="C107" s="52">
        <v>9</v>
      </c>
      <c r="D107" s="1">
        <v>9</v>
      </c>
      <c r="E107" s="52">
        <v>49.274999999999999</v>
      </c>
      <c r="G107" t="str">
        <f t="shared" si="3"/>
        <v>ed</v>
      </c>
    </row>
    <row r="108" spans="1:7" x14ac:dyDescent="0.25">
      <c r="A108" s="296" t="s">
        <v>580</v>
      </c>
      <c r="B108" s="1">
        <v>1</v>
      </c>
      <c r="C108" s="52">
        <v>100</v>
      </c>
      <c r="D108" s="1">
        <v>100</v>
      </c>
      <c r="E108" s="52">
        <v>547.5</v>
      </c>
      <c r="G108" t="str">
        <f t="shared" si="3"/>
        <v>0W</v>
      </c>
    </row>
    <row r="109" spans="1:7" x14ac:dyDescent="0.25">
      <c r="A109" s="296" t="s">
        <v>562</v>
      </c>
      <c r="B109" s="1">
        <v>1</v>
      </c>
      <c r="C109" s="52">
        <v>13</v>
      </c>
      <c r="D109" s="1">
        <v>13</v>
      </c>
      <c r="E109" s="52">
        <v>71.174999999999997</v>
      </c>
      <c r="G109" t="str">
        <f t="shared" si="3"/>
        <v xml:space="preserve"> W</v>
      </c>
    </row>
    <row r="110" spans="1:7" x14ac:dyDescent="0.25">
      <c r="A110" s="296" t="s">
        <v>579</v>
      </c>
      <c r="B110" s="1">
        <v>4</v>
      </c>
      <c r="C110" s="52">
        <v>240</v>
      </c>
      <c r="D110" s="1">
        <v>120</v>
      </c>
      <c r="E110" s="52">
        <v>1314</v>
      </c>
      <c r="G110" t="str">
        <f t="shared" si="3"/>
        <v>0W</v>
      </c>
    </row>
    <row r="111" spans="1:7" x14ac:dyDescent="0.25">
      <c r="A111" s="296" t="s">
        <v>588</v>
      </c>
      <c r="B111" s="1">
        <v>1</v>
      </c>
      <c r="C111" s="52">
        <v>20</v>
      </c>
      <c r="D111" s="1">
        <v>20</v>
      </c>
      <c r="E111" s="52">
        <v>109.5</v>
      </c>
      <c r="G111" t="str">
        <f t="shared" si="3"/>
        <v>0W</v>
      </c>
    </row>
    <row r="112" spans="1:7" x14ac:dyDescent="0.25">
      <c r="A112" s="296" t="s">
        <v>586</v>
      </c>
      <c r="B112" s="1">
        <v>1</v>
      </c>
      <c r="C112" s="52">
        <v>60</v>
      </c>
      <c r="D112" s="1">
        <v>60</v>
      </c>
      <c r="E112" s="52">
        <v>328.5</v>
      </c>
      <c r="G112" t="str">
        <f t="shared" si="3"/>
        <v>1b</v>
      </c>
    </row>
    <row r="113" spans="1:7" x14ac:dyDescent="0.25">
      <c r="A113" s="296" t="s">
        <v>552</v>
      </c>
      <c r="B113" s="1">
        <v>2</v>
      </c>
      <c r="C113" s="52">
        <v>24</v>
      </c>
      <c r="D113" s="1">
        <v>24</v>
      </c>
      <c r="E113" s="52">
        <v>131.4</v>
      </c>
      <c r="G113" t="str">
        <f t="shared" si="3"/>
        <v>ed</v>
      </c>
    </row>
    <row r="114" spans="1:7" x14ac:dyDescent="0.25">
      <c r="A114" s="296" t="s">
        <v>578</v>
      </c>
      <c r="B114" s="1">
        <v>2</v>
      </c>
      <c r="C114" s="52">
        <v>150</v>
      </c>
      <c r="D114" s="1">
        <v>75</v>
      </c>
      <c r="E114" s="52">
        <v>821.25</v>
      </c>
      <c r="G114" t="str">
        <f t="shared" si="3"/>
        <v>lb</v>
      </c>
    </row>
    <row r="115" spans="1:7" x14ac:dyDescent="0.25">
      <c r="A115" s="296" t="s">
        <v>1282</v>
      </c>
      <c r="B115" s="1">
        <v>2</v>
      </c>
      <c r="C115" s="52">
        <v>60</v>
      </c>
      <c r="D115" s="1">
        <v>60</v>
      </c>
      <c r="E115" s="52">
        <v>328.5</v>
      </c>
      <c r="G115" t="str">
        <f t="shared" si="3"/>
        <v>k)</v>
      </c>
    </row>
    <row r="116" spans="1:7" x14ac:dyDescent="0.25">
      <c r="A116" s="8" t="s">
        <v>66</v>
      </c>
      <c r="B116" s="1">
        <v>1103</v>
      </c>
      <c r="C116" s="52">
        <v>54448</v>
      </c>
      <c r="D116" s="1">
        <v>9890</v>
      </c>
      <c r="E116" s="52">
        <v>299285.40000000014</v>
      </c>
    </row>
  </sheetData>
  <mergeCells count="27">
    <mergeCell ref="N3:R4"/>
    <mergeCell ref="R9:S9"/>
    <mergeCell ref="N52:O52"/>
    <mergeCell ref="N54:O54"/>
    <mergeCell ref="N55:O55"/>
    <mergeCell ref="N35:O35"/>
    <mergeCell ref="N36:O36"/>
    <mergeCell ref="N37:O37"/>
    <mergeCell ref="N38:O38"/>
    <mergeCell ref="N39:O39"/>
    <mergeCell ref="N40:O40"/>
    <mergeCell ref="N9:Q9"/>
    <mergeCell ref="N18:O18"/>
    <mergeCell ref="N28:O28"/>
    <mergeCell ref="N29:O29"/>
    <mergeCell ref="N30:O30"/>
    <mergeCell ref="Q30:Q34"/>
    <mergeCell ref="N31:O31"/>
    <mergeCell ref="N72:O74"/>
    <mergeCell ref="N75:O75"/>
    <mergeCell ref="N76:O76"/>
    <mergeCell ref="N53:O53"/>
    <mergeCell ref="N44:O44"/>
    <mergeCell ref="N45:O45"/>
    <mergeCell ref="N46:O46"/>
    <mergeCell ref="N47:O47"/>
    <mergeCell ref="N48:O48"/>
  </mergeCells>
  <hyperlinks>
    <hyperlink ref="P18" r:id="rId2" xr:uid="{00000000-0004-0000-0300-000000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3"/>
  <sheetViews>
    <sheetView workbookViewId="0">
      <selection activeCell="D22" sqref="D22"/>
    </sheetView>
  </sheetViews>
  <sheetFormatPr defaultRowHeight="15" x14ac:dyDescent="0.25"/>
  <cols>
    <col min="1" max="1" width="17.28515625" bestFit="1" customWidth="1"/>
    <col min="2" max="2" width="11" bestFit="1" customWidth="1"/>
    <col min="3" max="3" width="18.140625" bestFit="1" customWidth="1"/>
    <col min="4" max="4" width="15.140625" bestFit="1" customWidth="1"/>
    <col min="5" max="5" width="14.85546875" bestFit="1" customWidth="1"/>
    <col min="8" max="8" width="11.5703125" bestFit="1" customWidth="1"/>
  </cols>
  <sheetData>
    <row r="1" spans="1:13" ht="15.75" thickBot="1" x14ac:dyDescent="0.3"/>
    <row r="2" spans="1:13" ht="30.75" thickBot="1" x14ac:dyDescent="0.3">
      <c r="A2" s="541" t="s">
        <v>1336</v>
      </c>
      <c r="B2" t="s">
        <v>1334</v>
      </c>
      <c r="C2" t="s">
        <v>1337</v>
      </c>
      <c r="D2" t="s">
        <v>1335</v>
      </c>
      <c r="E2" t="s">
        <v>1224</v>
      </c>
      <c r="G2" s="567" t="s">
        <v>1339</v>
      </c>
      <c r="H2" s="625"/>
      <c r="I2" s="568"/>
      <c r="K2" s="567" t="s">
        <v>1338</v>
      </c>
      <c r="L2" s="625"/>
      <c r="M2" s="568"/>
    </row>
    <row r="3" spans="1:13" ht="15.75" thickBot="1" x14ac:dyDescent="0.3">
      <c r="A3" s="545">
        <v>15</v>
      </c>
      <c r="B3" s="545">
        <v>2</v>
      </c>
      <c r="C3" s="539">
        <f t="shared" ref="C3:C16" si="0">AVERAGE($L$3:$L$1000)</f>
        <v>5.000000000000001E-2</v>
      </c>
      <c r="D3" s="540">
        <f>Table4[[#This Row],[kVA (est. to nearest ± 2kVA)]]*Table4[[#This Row],[Quantity]]</f>
        <v>30</v>
      </c>
      <c r="E3">
        <f t="shared" ref="E3:E16" si="1">(A3*C3)*B3</f>
        <v>1.5000000000000002</v>
      </c>
      <c r="G3" s="543"/>
      <c r="H3" s="549">
        <f>Table4[[#Totals],[Parasitic Loss]]/(GETPIVOTDATA("Sum of Demand Watt",Pivot!$A$3)/1000)</f>
        <v>0.12368143459915615</v>
      </c>
      <c r="I3" s="544"/>
      <c r="L3" s="546">
        <v>4.7E-2</v>
      </c>
    </row>
    <row r="4" spans="1:13" ht="15.75" thickBot="1" x14ac:dyDescent="0.3">
      <c r="A4" s="545">
        <v>18</v>
      </c>
      <c r="B4" s="545">
        <v>2</v>
      </c>
      <c r="C4" s="539">
        <f t="shared" si="0"/>
        <v>5.000000000000001E-2</v>
      </c>
      <c r="D4" s="540">
        <f>Table4[[#This Row],[kVA (est. to nearest ± 2kVA)]]*Table4[[#This Row],[Quantity]]</f>
        <v>36</v>
      </c>
      <c r="E4">
        <f t="shared" si="1"/>
        <v>1.8000000000000003</v>
      </c>
      <c r="L4" s="547">
        <v>5.2999999999999999E-2</v>
      </c>
    </row>
    <row r="5" spans="1:13" ht="15.75" thickBot="1" x14ac:dyDescent="0.3">
      <c r="A5" s="545">
        <v>20</v>
      </c>
      <c r="B5" s="545">
        <v>1</v>
      </c>
      <c r="C5" s="539">
        <f t="shared" si="0"/>
        <v>5.000000000000001E-2</v>
      </c>
      <c r="D5" s="540">
        <f>Table4[[#This Row],[kVA (est. to nearest ± 2kVA)]]*Table4[[#This Row],[Quantity]]</f>
        <v>20</v>
      </c>
      <c r="E5">
        <f t="shared" si="1"/>
        <v>1.0000000000000002</v>
      </c>
      <c r="G5" s="567" t="s">
        <v>1340</v>
      </c>
      <c r="H5" s="625"/>
      <c r="I5" s="568"/>
      <c r="L5" s="547">
        <v>0.05</v>
      </c>
    </row>
    <row r="6" spans="1:13" ht="15.75" thickBot="1" x14ac:dyDescent="0.3">
      <c r="A6" s="545">
        <v>25</v>
      </c>
      <c r="B6" s="545">
        <v>3</v>
      </c>
      <c r="C6" s="539">
        <f t="shared" si="0"/>
        <v>5.000000000000001E-2</v>
      </c>
      <c r="D6" s="540">
        <f>Table4[[#This Row],[kVA (est. to nearest ± 2kVA)]]*Table4[[#This Row],[Quantity]]</f>
        <v>75</v>
      </c>
      <c r="E6">
        <f t="shared" si="1"/>
        <v>3.7500000000000009</v>
      </c>
      <c r="G6" s="542"/>
      <c r="H6" s="550">
        <f>' Elec Utility (kWh)'!M4*'Electrical Panels'!H3</f>
        <v>133044.11919831226</v>
      </c>
      <c r="I6" s="307"/>
      <c r="L6" s="220"/>
    </row>
    <row r="7" spans="1:13" ht="15.75" thickBot="1" x14ac:dyDescent="0.3">
      <c r="A7" s="545">
        <v>30</v>
      </c>
      <c r="B7" s="545">
        <v>3</v>
      </c>
      <c r="C7" s="539">
        <f t="shared" si="0"/>
        <v>5.000000000000001E-2</v>
      </c>
      <c r="D7" s="540">
        <f>Table4[[#This Row],[kVA (est. to nearest ± 2kVA)]]*Table4[[#This Row],[Quantity]]</f>
        <v>90</v>
      </c>
      <c r="E7">
        <f t="shared" si="1"/>
        <v>4.5000000000000009</v>
      </c>
      <c r="L7" s="220"/>
    </row>
    <row r="8" spans="1:13" ht="15.75" thickBot="1" x14ac:dyDescent="0.3">
      <c r="A8" s="545">
        <v>36</v>
      </c>
      <c r="B8" s="545">
        <v>1</v>
      </c>
      <c r="C8" s="539">
        <f t="shared" si="0"/>
        <v>5.000000000000001E-2</v>
      </c>
      <c r="D8" s="540">
        <f>Table4[[#This Row],[kVA (est. to nearest ± 2kVA)]]*Table4[[#This Row],[Quantity]]</f>
        <v>36</v>
      </c>
      <c r="E8">
        <f t="shared" si="1"/>
        <v>1.8000000000000003</v>
      </c>
      <c r="G8" s="567" t="s">
        <v>1341</v>
      </c>
      <c r="H8" s="625"/>
      <c r="I8" s="568"/>
      <c r="L8" s="220"/>
    </row>
    <row r="9" spans="1:13" ht="15.75" thickBot="1" x14ac:dyDescent="0.3">
      <c r="A9" s="545">
        <v>45</v>
      </c>
      <c r="B9" s="545">
        <v>1</v>
      </c>
      <c r="C9" s="539">
        <f t="shared" si="0"/>
        <v>5.000000000000001E-2</v>
      </c>
      <c r="D9" s="540">
        <f>Table4[[#This Row],[kVA (est. to nearest ± 2kVA)]]*Table4[[#This Row],[Quantity]]</f>
        <v>45</v>
      </c>
      <c r="E9">
        <f t="shared" si="1"/>
        <v>2.2500000000000004</v>
      </c>
      <c r="G9" s="542"/>
      <c r="H9" s="212">
        <f>H6*' Elec Utility (kWh)'!M7</f>
        <v>14184.277933186479</v>
      </c>
      <c r="I9" s="307"/>
      <c r="L9" s="220"/>
    </row>
    <row r="10" spans="1:13" ht="15.75" thickBot="1" x14ac:dyDescent="0.3">
      <c r="A10" s="545">
        <v>70</v>
      </c>
      <c r="B10" s="545">
        <v>1</v>
      </c>
      <c r="C10" s="539">
        <f t="shared" si="0"/>
        <v>5.000000000000001E-2</v>
      </c>
      <c r="D10" s="540">
        <f>Table4[[#This Row],[kVA (est. to nearest ± 2kVA)]]*Table4[[#This Row],[Quantity]]</f>
        <v>70</v>
      </c>
      <c r="E10">
        <f t="shared" si="1"/>
        <v>3.5000000000000009</v>
      </c>
      <c r="L10" s="220"/>
    </row>
    <row r="11" spans="1:13" ht="15.75" thickBot="1" x14ac:dyDescent="0.3">
      <c r="A11" s="545">
        <v>75</v>
      </c>
      <c r="B11" s="545">
        <v>1</v>
      </c>
      <c r="C11" s="539">
        <f t="shared" si="0"/>
        <v>5.000000000000001E-2</v>
      </c>
      <c r="D11" s="540">
        <f>Table4[[#This Row],[kVA (est. to nearest ± 2kVA)]]*Table4[[#This Row],[Quantity]]</f>
        <v>75</v>
      </c>
      <c r="E11">
        <f t="shared" si="1"/>
        <v>3.7500000000000009</v>
      </c>
      <c r="G11" s="567" t="s">
        <v>1342</v>
      </c>
      <c r="H11" s="625"/>
      <c r="I11" s="568"/>
      <c r="L11" s="220"/>
    </row>
    <row r="12" spans="1:13" ht="15.75" thickBot="1" x14ac:dyDescent="0.3">
      <c r="A12" s="545">
        <v>80</v>
      </c>
      <c r="B12" s="545">
        <v>1</v>
      </c>
      <c r="C12" s="539">
        <f t="shared" si="0"/>
        <v>5.000000000000001E-2</v>
      </c>
      <c r="D12" s="540">
        <f>Table4[[#This Row],[kVA (est. to nearest ± 2kVA)]]*Table4[[#This Row],[Quantity]]</f>
        <v>80</v>
      </c>
      <c r="E12">
        <f t="shared" si="1"/>
        <v>4.0000000000000009</v>
      </c>
      <c r="G12" s="542"/>
      <c r="H12" s="551">
        <f>Table4[[#Totals],[Parasitic Loss]]*0.284345</f>
        <v>20.003670750000005</v>
      </c>
      <c r="I12" s="307"/>
      <c r="L12" s="220"/>
    </row>
    <row r="13" spans="1:13" x14ac:dyDescent="0.25">
      <c r="A13" s="545">
        <v>115</v>
      </c>
      <c r="B13" s="545">
        <v>3</v>
      </c>
      <c r="C13" s="539">
        <f t="shared" si="0"/>
        <v>5.000000000000001E-2</v>
      </c>
      <c r="D13" s="540">
        <f>Table4[[#This Row],[kVA (est. to nearest ± 2kVA)]]*Table4[[#This Row],[Quantity]]</f>
        <v>345</v>
      </c>
      <c r="E13">
        <f t="shared" si="1"/>
        <v>17.250000000000004</v>
      </c>
      <c r="L13" s="220"/>
    </row>
    <row r="14" spans="1:13" x14ac:dyDescent="0.25">
      <c r="A14" s="545">
        <v>130</v>
      </c>
      <c r="B14" s="545">
        <v>1</v>
      </c>
      <c r="C14" s="539">
        <f t="shared" si="0"/>
        <v>5.000000000000001E-2</v>
      </c>
      <c r="D14" s="540">
        <f>Table4[[#This Row],[kVA (est. to nearest ± 2kVA)]]*Table4[[#This Row],[Quantity]]</f>
        <v>130</v>
      </c>
      <c r="E14">
        <f t="shared" si="1"/>
        <v>6.5000000000000009</v>
      </c>
      <c r="L14" s="220"/>
    </row>
    <row r="15" spans="1:13" x14ac:dyDescent="0.25">
      <c r="A15" s="545">
        <v>175</v>
      </c>
      <c r="B15" s="545">
        <v>1</v>
      </c>
      <c r="C15" s="539">
        <f t="shared" si="0"/>
        <v>5.000000000000001E-2</v>
      </c>
      <c r="D15" s="540">
        <f>Table4[[#This Row],[kVA (est. to nearest ± 2kVA)]]*Table4[[#This Row],[Quantity]]</f>
        <v>175</v>
      </c>
      <c r="E15">
        <f t="shared" si="1"/>
        <v>8.7500000000000018</v>
      </c>
      <c r="L15" s="220"/>
    </row>
    <row r="16" spans="1:13" x14ac:dyDescent="0.25">
      <c r="A16" s="545">
        <v>200</v>
      </c>
      <c r="B16" s="545">
        <v>1</v>
      </c>
      <c r="C16" s="539">
        <f t="shared" si="0"/>
        <v>5.000000000000001E-2</v>
      </c>
      <c r="D16" s="540">
        <f>Table4[[#This Row],[kVA (est. to nearest ± 2kVA)]]*Table4[[#This Row],[Quantity]]</f>
        <v>200</v>
      </c>
      <c r="E16">
        <f t="shared" si="1"/>
        <v>10.000000000000002</v>
      </c>
      <c r="L16" s="220"/>
    </row>
    <row r="17" spans="2:12" x14ac:dyDescent="0.25">
      <c r="B17">
        <f>SUBTOTAL(109,Table4[Quantity])</f>
        <v>22</v>
      </c>
      <c r="D17" s="540">
        <f>SUBTOTAL(109,Table4[Summed kVA])</f>
        <v>1407</v>
      </c>
      <c r="E17">
        <f>SUBTOTAL(109,Table4[Parasitic Loss])</f>
        <v>70.350000000000009</v>
      </c>
      <c r="L17" s="220"/>
    </row>
    <row r="18" spans="2:12" x14ac:dyDescent="0.25">
      <c r="B18" s="231"/>
      <c r="E18" s="231"/>
      <c r="L18" s="220"/>
    </row>
    <row r="19" spans="2:12" x14ac:dyDescent="0.25">
      <c r="L19" s="220"/>
    </row>
    <row r="20" spans="2:12" x14ac:dyDescent="0.25">
      <c r="L20" s="220"/>
    </row>
    <row r="21" spans="2:12" x14ac:dyDescent="0.25">
      <c r="L21" s="220"/>
    </row>
    <row r="22" spans="2:12" x14ac:dyDescent="0.25">
      <c r="L22" s="220"/>
    </row>
    <row r="23" spans="2:12" x14ac:dyDescent="0.25">
      <c r="L23" s="220"/>
    </row>
    <row r="24" spans="2:12" x14ac:dyDescent="0.25">
      <c r="L24" s="220"/>
    </row>
    <row r="25" spans="2:12" x14ac:dyDescent="0.25">
      <c r="L25" s="220"/>
    </row>
    <row r="26" spans="2:12" x14ac:dyDescent="0.25">
      <c r="L26" s="220"/>
    </row>
    <row r="27" spans="2:12" x14ac:dyDescent="0.25">
      <c r="L27" s="220"/>
    </row>
    <row r="28" spans="2:12" x14ac:dyDescent="0.25">
      <c r="L28" s="220"/>
    </row>
    <row r="29" spans="2:12" x14ac:dyDescent="0.25">
      <c r="L29" s="220"/>
    </row>
    <row r="30" spans="2:12" x14ac:dyDescent="0.25">
      <c r="L30" s="220"/>
    </row>
    <row r="31" spans="2:12" x14ac:dyDescent="0.25">
      <c r="L31" s="220"/>
    </row>
    <row r="32" spans="2:12" x14ac:dyDescent="0.25">
      <c r="L32" s="220"/>
    </row>
    <row r="33" spans="12:12" x14ac:dyDescent="0.25">
      <c r="L33" s="220"/>
    </row>
    <row r="34" spans="12:12" x14ac:dyDescent="0.25">
      <c r="L34" s="220"/>
    </row>
    <row r="35" spans="12:12" x14ac:dyDescent="0.25">
      <c r="L35" s="220"/>
    </row>
    <row r="36" spans="12:12" x14ac:dyDescent="0.25">
      <c r="L36" s="220"/>
    </row>
    <row r="37" spans="12:12" x14ac:dyDescent="0.25">
      <c r="L37" s="220"/>
    </row>
    <row r="38" spans="12:12" x14ac:dyDescent="0.25">
      <c r="L38" s="220"/>
    </row>
    <row r="39" spans="12:12" x14ac:dyDescent="0.25">
      <c r="L39" s="220"/>
    </row>
    <row r="40" spans="12:12" x14ac:dyDescent="0.25">
      <c r="L40" s="220"/>
    </row>
    <row r="41" spans="12:12" x14ac:dyDescent="0.25">
      <c r="L41" s="220"/>
    </row>
    <row r="42" spans="12:12" x14ac:dyDescent="0.25">
      <c r="L42" s="220"/>
    </row>
    <row r="43" spans="12:12" x14ac:dyDescent="0.25">
      <c r="L43" s="220"/>
    </row>
    <row r="44" spans="12:12" x14ac:dyDescent="0.25">
      <c r="L44" s="220"/>
    </row>
    <row r="45" spans="12:12" x14ac:dyDescent="0.25">
      <c r="L45" s="220"/>
    </row>
    <row r="46" spans="12:12" x14ac:dyDescent="0.25">
      <c r="L46" s="220"/>
    </row>
    <row r="47" spans="12:12" x14ac:dyDescent="0.25">
      <c r="L47" s="220"/>
    </row>
    <row r="48" spans="12:12" x14ac:dyDescent="0.25">
      <c r="L48" s="220"/>
    </row>
    <row r="49" spans="12:12" x14ac:dyDescent="0.25">
      <c r="L49" s="220"/>
    </row>
    <row r="50" spans="12:12" x14ac:dyDescent="0.25">
      <c r="L50" s="220"/>
    </row>
    <row r="51" spans="12:12" x14ac:dyDescent="0.25">
      <c r="L51" s="220"/>
    </row>
    <row r="52" spans="12:12" x14ac:dyDescent="0.25">
      <c r="L52" s="220"/>
    </row>
    <row r="53" spans="12:12" x14ac:dyDescent="0.25">
      <c r="L53" s="220"/>
    </row>
    <row r="54" spans="12:12" x14ac:dyDescent="0.25">
      <c r="L54" s="220"/>
    </row>
    <row r="55" spans="12:12" x14ac:dyDescent="0.25">
      <c r="L55" s="220"/>
    </row>
    <row r="56" spans="12:12" x14ac:dyDescent="0.25">
      <c r="L56" s="220"/>
    </row>
    <row r="57" spans="12:12" x14ac:dyDescent="0.25">
      <c r="L57" s="220"/>
    </row>
    <row r="58" spans="12:12" x14ac:dyDescent="0.25">
      <c r="L58" s="220"/>
    </row>
    <row r="59" spans="12:12" x14ac:dyDescent="0.25">
      <c r="L59" s="220"/>
    </row>
    <row r="60" spans="12:12" x14ac:dyDescent="0.25">
      <c r="L60" s="220"/>
    </row>
    <row r="61" spans="12:12" x14ac:dyDescent="0.25">
      <c r="L61" s="220"/>
    </row>
    <row r="62" spans="12:12" x14ac:dyDescent="0.25">
      <c r="L62" s="220"/>
    </row>
    <row r="63" spans="12:12" x14ac:dyDescent="0.25">
      <c r="L63" s="220"/>
    </row>
    <row r="64" spans="12:12" x14ac:dyDescent="0.25">
      <c r="L64" s="220"/>
    </row>
    <row r="65" spans="12:12" x14ac:dyDescent="0.25">
      <c r="L65" s="220"/>
    </row>
    <row r="66" spans="12:12" x14ac:dyDescent="0.25">
      <c r="L66" s="220"/>
    </row>
    <row r="67" spans="12:12" x14ac:dyDescent="0.25">
      <c r="L67" s="220"/>
    </row>
    <row r="68" spans="12:12" x14ac:dyDescent="0.25">
      <c r="L68" s="220"/>
    </row>
    <row r="69" spans="12:12" x14ac:dyDescent="0.25">
      <c r="L69" s="220"/>
    </row>
    <row r="70" spans="12:12" x14ac:dyDescent="0.25">
      <c r="L70" s="220"/>
    </row>
    <row r="71" spans="12:12" x14ac:dyDescent="0.25">
      <c r="L71" s="220"/>
    </row>
    <row r="72" spans="12:12" x14ac:dyDescent="0.25">
      <c r="L72" s="220"/>
    </row>
    <row r="73" spans="12:12" x14ac:dyDescent="0.25">
      <c r="L73" s="220"/>
    </row>
    <row r="74" spans="12:12" x14ac:dyDescent="0.25">
      <c r="L74" s="220"/>
    </row>
    <row r="75" spans="12:12" x14ac:dyDescent="0.25">
      <c r="L75" s="220"/>
    </row>
    <row r="76" spans="12:12" x14ac:dyDescent="0.25">
      <c r="L76" s="220"/>
    </row>
    <row r="77" spans="12:12" x14ac:dyDescent="0.25">
      <c r="L77" s="220"/>
    </row>
    <row r="78" spans="12:12" x14ac:dyDescent="0.25">
      <c r="L78" s="220"/>
    </row>
    <row r="79" spans="12:12" x14ac:dyDescent="0.25">
      <c r="L79" s="220"/>
    </row>
    <row r="80" spans="12:12" x14ac:dyDescent="0.25">
      <c r="L80" s="220"/>
    </row>
    <row r="81" spans="12:12" x14ac:dyDescent="0.25">
      <c r="L81" s="220"/>
    </row>
    <row r="82" spans="12:12" x14ac:dyDescent="0.25">
      <c r="L82" s="220"/>
    </row>
    <row r="83" spans="12:12" x14ac:dyDescent="0.25">
      <c r="L83" s="220"/>
    </row>
    <row r="84" spans="12:12" x14ac:dyDescent="0.25">
      <c r="L84" s="220"/>
    </row>
    <row r="85" spans="12:12" x14ac:dyDescent="0.25">
      <c r="L85" s="220"/>
    </row>
    <row r="86" spans="12:12" x14ac:dyDescent="0.25">
      <c r="L86" s="220"/>
    </row>
    <row r="87" spans="12:12" x14ac:dyDescent="0.25">
      <c r="L87" s="220"/>
    </row>
    <row r="88" spans="12:12" x14ac:dyDescent="0.25">
      <c r="L88" s="220"/>
    </row>
    <row r="89" spans="12:12" x14ac:dyDescent="0.25">
      <c r="L89" s="220"/>
    </row>
    <row r="90" spans="12:12" x14ac:dyDescent="0.25">
      <c r="L90" s="220"/>
    </row>
    <row r="91" spans="12:12" x14ac:dyDescent="0.25">
      <c r="L91" s="220"/>
    </row>
    <row r="92" spans="12:12" x14ac:dyDescent="0.25">
      <c r="L92" s="220"/>
    </row>
    <row r="93" spans="12:12" x14ac:dyDescent="0.25">
      <c r="L93" s="220"/>
    </row>
    <row r="94" spans="12:12" x14ac:dyDescent="0.25">
      <c r="L94" s="220"/>
    </row>
    <row r="95" spans="12:12" x14ac:dyDescent="0.25">
      <c r="L95" s="220"/>
    </row>
    <row r="96" spans="12:12" x14ac:dyDescent="0.25">
      <c r="L96" s="220"/>
    </row>
    <row r="97" spans="12:12" x14ac:dyDescent="0.25">
      <c r="L97" s="220"/>
    </row>
    <row r="98" spans="12:12" x14ac:dyDescent="0.25">
      <c r="L98" s="220"/>
    </row>
    <row r="99" spans="12:12" x14ac:dyDescent="0.25">
      <c r="L99" s="220"/>
    </row>
    <row r="100" spans="12:12" x14ac:dyDescent="0.25">
      <c r="L100" s="220"/>
    </row>
    <row r="101" spans="12:12" x14ac:dyDescent="0.25">
      <c r="L101" s="220"/>
    </row>
    <row r="102" spans="12:12" x14ac:dyDescent="0.25">
      <c r="L102" s="220"/>
    </row>
    <row r="103" spans="12:12" x14ac:dyDescent="0.25">
      <c r="L103" s="220"/>
    </row>
    <row r="104" spans="12:12" x14ac:dyDescent="0.25">
      <c r="L104" s="220"/>
    </row>
    <row r="105" spans="12:12" x14ac:dyDescent="0.25">
      <c r="L105" s="220"/>
    </row>
    <row r="106" spans="12:12" x14ac:dyDescent="0.25">
      <c r="L106" s="220"/>
    </row>
    <row r="107" spans="12:12" x14ac:dyDescent="0.25">
      <c r="L107" s="220"/>
    </row>
    <row r="108" spans="12:12" x14ac:dyDescent="0.25">
      <c r="L108" s="220"/>
    </row>
    <row r="109" spans="12:12" x14ac:dyDescent="0.25">
      <c r="L109" s="220"/>
    </row>
    <row r="110" spans="12:12" x14ac:dyDescent="0.25">
      <c r="L110" s="220"/>
    </row>
    <row r="111" spans="12:12" x14ac:dyDescent="0.25">
      <c r="L111" s="220"/>
    </row>
    <row r="112" spans="12:12" x14ac:dyDescent="0.25">
      <c r="L112" s="220"/>
    </row>
    <row r="113" spans="12:12" x14ac:dyDescent="0.25">
      <c r="L113" s="220"/>
    </row>
    <row r="114" spans="12:12" x14ac:dyDescent="0.25">
      <c r="L114" s="220"/>
    </row>
    <row r="115" spans="12:12" x14ac:dyDescent="0.25">
      <c r="L115" s="220"/>
    </row>
    <row r="116" spans="12:12" x14ac:dyDescent="0.25">
      <c r="L116" s="220"/>
    </row>
    <row r="117" spans="12:12" x14ac:dyDescent="0.25">
      <c r="L117" s="220"/>
    </row>
    <row r="118" spans="12:12" x14ac:dyDescent="0.25">
      <c r="L118" s="220"/>
    </row>
    <row r="119" spans="12:12" x14ac:dyDescent="0.25">
      <c r="L119" s="220"/>
    </row>
    <row r="120" spans="12:12" x14ac:dyDescent="0.25">
      <c r="L120" s="220"/>
    </row>
    <row r="121" spans="12:12" x14ac:dyDescent="0.25">
      <c r="L121" s="220"/>
    </row>
    <row r="122" spans="12:12" x14ac:dyDescent="0.25">
      <c r="L122" s="220"/>
    </row>
    <row r="123" spans="12:12" x14ac:dyDescent="0.25">
      <c r="L123" s="220"/>
    </row>
    <row r="124" spans="12:12" x14ac:dyDescent="0.25">
      <c r="L124" s="220"/>
    </row>
    <row r="125" spans="12:12" x14ac:dyDescent="0.25">
      <c r="L125" s="220"/>
    </row>
    <row r="126" spans="12:12" x14ac:dyDescent="0.25">
      <c r="L126" s="220"/>
    </row>
    <row r="127" spans="12:12" x14ac:dyDescent="0.25">
      <c r="L127" s="220"/>
    </row>
    <row r="128" spans="12:12" x14ac:dyDescent="0.25">
      <c r="L128" s="220"/>
    </row>
    <row r="129" spans="12:12" x14ac:dyDescent="0.25">
      <c r="L129" s="220"/>
    </row>
    <row r="130" spans="12:12" x14ac:dyDescent="0.25">
      <c r="L130" s="220"/>
    </row>
    <row r="131" spans="12:12" x14ac:dyDescent="0.25">
      <c r="L131" s="220"/>
    </row>
    <row r="132" spans="12:12" x14ac:dyDescent="0.25">
      <c r="L132" s="220"/>
    </row>
    <row r="133" spans="12:12" x14ac:dyDescent="0.25">
      <c r="L133" s="220"/>
    </row>
    <row r="134" spans="12:12" x14ac:dyDescent="0.25">
      <c r="L134" s="220"/>
    </row>
    <row r="135" spans="12:12" x14ac:dyDescent="0.25">
      <c r="L135" s="220"/>
    </row>
    <row r="136" spans="12:12" x14ac:dyDescent="0.25">
      <c r="L136" s="220"/>
    </row>
    <row r="137" spans="12:12" x14ac:dyDescent="0.25">
      <c r="L137" s="220"/>
    </row>
    <row r="138" spans="12:12" x14ac:dyDescent="0.25">
      <c r="L138" s="220"/>
    </row>
    <row r="139" spans="12:12" x14ac:dyDescent="0.25">
      <c r="L139" s="220"/>
    </row>
    <row r="140" spans="12:12" x14ac:dyDescent="0.25">
      <c r="L140" s="220"/>
    </row>
    <row r="141" spans="12:12" x14ac:dyDescent="0.25">
      <c r="L141" s="220"/>
    </row>
    <row r="142" spans="12:12" x14ac:dyDescent="0.25">
      <c r="L142" s="220"/>
    </row>
    <row r="143" spans="12:12" x14ac:dyDescent="0.25">
      <c r="L143" s="220"/>
    </row>
    <row r="144" spans="12:12" x14ac:dyDescent="0.25">
      <c r="L144" s="220"/>
    </row>
    <row r="145" spans="12:12" x14ac:dyDescent="0.25">
      <c r="L145" s="220"/>
    </row>
    <row r="146" spans="12:12" x14ac:dyDescent="0.25">
      <c r="L146" s="220"/>
    </row>
    <row r="147" spans="12:12" x14ac:dyDescent="0.25">
      <c r="L147" s="220"/>
    </row>
    <row r="148" spans="12:12" x14ac:dyDescent="0.25">
      <c r="L148" s="220"/>
    </row>
    <row r="149" spans="12:12" x14ac:dyDescent="0.25">
      <c r="L149" s="220"/>
    </row>
    <row r="150" spans="12:12" x14ac:dyDescent="0.25">
      <c r="L150" s="220"/>
    </row>
    <row r="151" spans="12:12" x14ac:dyDescent="0.25">
      <c r="L151" s="220"/>
    </row>
    <row r="152" spans="12:12" x14ac:dyDescent="0.25">
      <c r="L152" s="220"/>
    </row>
    <row r="153" spans="12:12" x14ac:dyDescent="0.25">
      <c r="L153" s="220"/>
    </row>
    <row r="154" spans="12:12" x14ac:dyDescent="0.25">
      <c r="L154" s="220"/>
    </row>
    <row r="155" spans="12:12" x14ac:dyDescent="0.25">
      <c r="L155" s="220"/>
    </row>
    <row r="156" spans="12:12" x14ac:dyDescent="0.25">
      <c r="L156" s="220"/>
    </row>
    <row r="157" spans="12:12" x14ac:dyDescent="0.25">
      <c r="L157" s="220"/>
    </row>
    <row r="158" spans="12:12" x14ac:dyDescent="0.25">
      <c r="L158" s="220"/>
    </row>
    <row r="159" spans="12:12" x14ac:dyDescent="0.25">
      <c r="L159" s="220"/>
    </row>
    <row r="160" spans="12:12" x14ac:dyDescent="0.25">
      <c r="L160" s="220"/>
    </row>
    <row r="161" spans="12:12" x14ac:dyDescent="0.25">
      <c r="L161" s="220"/>
    </row>
    <row r="162" spans="12:12" x14ac:dyDescent="0.25">
      <c r="L162" s="220"/>
    </row>
    <row r="163" spans="12:12" x14ac:dyDescent="0.25">
      <c r="L163" s="220"/>
    </row>
    <row r="164" spans="12:12" x14ac:dyDescent="0.25">
      <c r="L164" s="220"/>
    </row>
    <row r="165" spans="12:12" x14ac:dyDescent="0.25">
      <c r="L165" s="220"/>
    </row>
    <row r="166" spans="12:12" x14ac:dyDescent="0.25">
      <c r="L166" s="220"/>
    </row>
    <row r="167" spans="12:12" x14ac:dyDescent="0.25">
      <c r="L167" s="220"/>
    </row>
    <row r="168" spans="12:12" x14ac:dyDescent="0.25">
      <c r="L168" s="220"/>
    </row>
    <row r="169" spans="12:12" x14ac:dyDescent="0.25">
      <c r="L169" s="220"/>
    </row>
    <row r="170" spans="12:12" x14ac:dyDescent="0.25">
      <c r="L170" s="220"/>
    </row>
    <row r="171" spans="12:12" x14ac:dyDescent="0.25">
      <c r="L171" s="220"/>
    </row>
    <row r="172" spans="12:12" x14ac:dyDescent="0.25">
      <c r="L172" s="220"/>
    </row>
    <row r="173" spans="12:12" x14ac:dyDescent="0.25">
      <c r="L173" s="220"/>
    </row>
    <row r="174" spans="12:12" x14ac:dyDescent="0.25">
      <c r="L174" s="220"/>
    </row>
    <row r="175" spans="12:12" x14ac:dyDescent="0.25">
      <c r="L175" s="220"/>
    </row>
    <row r="176" spans="12:12" x14ac:dyDescent="0.25">
      <c r="L176" s="220"/>
    </row>
    <row r="177" spans="12:12" x14ac:dyDescent="0.25">
      <c r="L177" s="220"/>
    </row>
    <row r="178" spans="12:12" x14ac:dyDescent="0.25">
      <c r="L178" s="220"/>
    </row>
    <row r="179" spans="12:12" x14ac:dyDescent="0.25">
      <c r="L179" s="220"/>
    </row>
    <row r="180" spans="12:12" x14ac:dyDescent="0.25">
      <c r="L180" s="220"/>
    </row>
    <row r="181" spans="12:12" x14ac:dyDescent="0.25">
      <c r="L181" s="220"/>
    </row>
    <row r="182" spans="12:12" x14ac:dyDescent="0.25">
      <c r="L182" s="220"/>
    </row>
    <row r="183" spans="12:12" x14ac:dyDescent="0.25">
      <c r="L183" s="220"/>
    </row>
    <row r="184" spans="12:12" x14ac:dyDescent="0.25">
      <c r="L184" s="220"/>
    </row>
    <row r="185" spans="12:12" x14ac:dyDescent="0.25">
      <c r="L185" s="220"/>
    </row>
    <row r="186" spans="12:12" x14ac:dyDescent="0.25">
      <c r="L186" s="220"/>
    </row>
    <row r="187" spans="12:12" x14ac:dyDescent="0.25">
      <c r="L187" s="220"/>
    </row>
    <row r="188" spans="12:12" x14ac:dyDescent="0.25">
      <c r="L188" s="220"/>
    </row>
    <row r="189" spans="12:12" x14ac:dyDescent="0.25">
      <c r="L189" s="220"/>
    </row>
    <row r="190" spans="12:12" x14ac:dyDescent="0.25">
      <c r="L190" s="220"/>
    </row>
    <row r="191" spans="12:12" x14ac:dyDescent="0.25">
      <c r="L191" s="220"/>
    </row>
    <row r="192" spans="12:12" x14ac:dyDescent="0.25">
      <c r="L192" s="220"/>
    </row>
    <row r="193" spans="12:12" x14ac:dyDescent="0.25">
      <c r="L193" s="220"/>
    </row>
    <row r="194" spans="12:12" x14ac:dyDescent="0.25">
      <c r="L194" s="220"/>
    </row>
    <row r="195" spans="12:12" x14ac:dyDescent="0.25">
      <c r="L195" s="220"/>
    </row>
    <row r="196" spans="12:12" x14ac:dyDescent="0.25">
      <c r="L196" s="220"/>
    </row>
    <row r="197" spans="12:12" x14ac:dyDescent="0.25">
      <c r="L197" s="220"/>
    </row>
    <row r="198" spans="12:12" x14ac:dyDescent="0.25">
      <c r="L198" s="220"/>
    </row>
    <row r="199" spans="12:12" x14ac:dyDescent="0.25">
      <c r="L199" s="220"/>
    </row>
    <row r="200" spans="12:12" x14ac:dyDescent="0.25">
      <c r="L200" s="220"/>
    </row>
    <row r="201" spans="12:12" x14ac:dyDescent="0.25">
      <c r="L201" s="220"/>
    </row>
    <row r="202" spans="12:12" x14ac:dyDescent="0.25">
      <c r="L202" s="220"/>
    </row>
    <row r="203" spans="12:12" x14ac:dyDescent="0.25">
      <c r="L203" s="220"/>
    </row>
    <row r="204" spans="12:12" x14ac:dyDescent="0.25">
      <c r="L204" s="220"/>
    </row>
    <row r="205" spans="12:12" x14ac:dyDescent="0.25">
      <c r="L205" s="220"/>
    </row>
    <row r="206" spans="12:12" x14ac:dyDescent="0.25">
      <c r="L206" s="220"/>
    </row>
    <row r="207" spans="12:12" x14ac:dyDescent="0.25">
      <c r="L207" s="220"/>
    </row>
    <row r="208" spans="12:12" x14ac:dyDescent="0.25">
      <c r="L208" s="220"/>
    </row>
    <row r="209" spans="12:12" x14ac:dyDescent="0.25">
      <c r="L209" s="220"/>
    </row>
    <row r="210" spans="12:12" x14ac:dyDescent="0.25">
      <c r="L210" s="220"/>
    </row>
    <row r="211" spans="12:12" x14ac:dyDescent="0.25">
      <c r="L211" s="220"/>
    </row>
    <row r="212" spans="12:12" x14ac:dyDescent="0.25">
      <c r="L212" s="220"/>
    </row>
    <row r="213" spans="12:12" x14ac:dyDescent="0.25">
      <c r="L213" s="220"/>
    </row>
    <row r="214" spans="12:12" x14ac:dyDescent="0.25">
      <c r="L214" s="220"/>
    </row>
    <row r="215" spans="12:12" x14ac:dyDescent="0.25">
      <c r="L215" s="220"/>
    </row>
    <row r="216" spans="12:12" x14ac:dyDescent="0.25">
      <c r="L216" s="220"/>
    </row>
    <row r="217" spans="12:12" x14ac:dyDescent="0.25">
      <c r="L217" s="220"/>
    </row>
    <row r="218" spans="12:12" x14ac:dyDescent="0.25">
      <c r="L218" s="220"/>
    </row>
    <row r="219" spans="12:12" x14ac:dyDescent="0.25">
      <c r="L219" s="220"/>
    </row>
    <row r="220" spans="12:12" x14ac:dyDescent="0.25">
      <c r="L220" s="220"/>
    </row>
    <row r="221" spans="12:12" x14ac:dyDescent="0.25">
      <c r="L221" s="220"/>
    </row>
    <row r="222" spans="12:12" x14ac:dyDescent="0.25">
      <c r="L222" s="220"/>
    </row>
    <row r="223" spans="12:12" x14ac:dyDescent="0.25">
      <c r="L223" s="220"/>
    </row>
    <row r="224" spans="12:12" x14ac:dyDescent="0.25">
      <c r="L224" s="220"/>
    </row>
    <row r="225" spans="12:12" x14ac:dyDescent="0.25">
      <c r="L225" s="220"/>
    </row>
    <row r="226" spans="12:12" x14ac:dyDescent="0.25">
      <c r="L226" s="220"/>
    </row>
    <row r="227" spans="12:12" x14ac:dyDescent="0.25">
      <c r="L227" s="220"/>
    </row>
    <row r="228" spans="12:12" x14ac:dyDescent="0.25">
      <c r="L228" s="220"/>
    </row>
    <row r="229" spans="12:12" x14ac:dyDescent="0.25">
      <c r="L229" s="220"/>
    </row>
    <row r="230" spans="12:12" x14ac:dyDescent="0.25">
      <c r="L230" s="220"/>
    </row>
    <row r="231" spans="12:12" x14ac:dyDescent="0.25">
      <c r="L231" s="220"/>
    </row>
    <row r="232" spans="12:12" x14ac:dyDescent="0.25">
      <c r="L232" s="220"/>
    </row>
    <row r="233" spans="12:12" x14ac:dyDescent="0.25">
      <c r="L233" s="220"/>
    </row>
    <row r="234" spans="12:12" x14ac:dyDescent="0.25">
      <c r="L234" s="220"/>
    </row>
    <row r="235" spans="12:12" x14ac:dyDescent="0.25">
      <c r="L235" s="220"/>
    </row>
    <row r="236" spans="12:12" x14ac:dyDescent="0.25">
      <c r="L236" s="220"/>
    </row>
    <row r="237" spans="12:12" x14ac:dyDescent="0.25">
      <c r="L237" s="220"/>
    </row>
    <row r="238" spans="12:12" x14ac:dyDescent="0.25">
      <c r="L238" s="220"/>
    </row>
    <row r="239" spans="12:12" x14ac:dyDescent="0.25">
      <c r="L239" s="220"/>
    </row>
    <row r="240" spans="12:12" x14ac:dyDescent="0.25">
      <c r="L240" s="220"/>
    </row>
    <row r="241" spans="12:12" x14ac:dyDescent="0.25">
      <c r="L241" s="220"/>
    </row>
    <row r="242" spans="12:12" x14ac:dyDescent="0.25">
      <c r="L242" s="220"/>
    </row>
    <row r="243" spans="12:12" x14ac:dyDescent="0.25">
      <c r="L243" s="220"/>
    </row>
    <row r="244" spans="12:12" x14ac:dyDescent="0.25">
      <c r="L244" s="220"/>
    </row>
    <row r="245" spans="12:12" x14ac:dyDescent="0.25">
      <c r="L245" s="220"/>
    </row>
    <row r="246" spans="12:12" x14ac:dyDescent="0.25">
      <c r="L246" s="220"/>
    </row>
    <row r="247" spans="12:12" x14ac:dyDescent="0.25">
      <c r="L247" s="220"/>
    </row>
    <row r="248" spans="12:12" x14ac:dyDescent="0.25">
      <c r="L248" s="220"/>
    </row>
    <row r="249" spans="12:12" x14ac:dyDescent="0.25">
      <c r="L249" s="220"/>
    </row>
    <row r="250" spans="12:12" x14ac:dyDescent="0.25">
      <c r="L250" s="220"/>
    </row>
    <row r="251" spans="12:12" x14ac:dyDescent="0.25">
      <c r="L251" s="220"/>
    </row>
    <row r="252" spans="12:12" x14ac:dyDescent="0.25">
      <c r="L252" s="220"/>
    </row>
    <row r="253" spans="12:12" x14ac:dyDescent="0.25">
      <c r="L253" s="220"/>
    </row>
    <row r="254" spans="12:12" x14ac:dyDescent="0.25">
      <c r="L254" s="220"/>
    </row>
    <row r="255" spans="12:12" x14ac:dyDescent="0.25">
      <c r="L255" s="220"/>
    </row>
    <row r="256" spans="12:12" x14ac:dyDescent="0.25">
      <c r="L256" s="220"/>
    </row>
    <row r="257" spans="12:12" x14ac:dyDescent="0.25">
      <c r="L257" s="220"/>
    </row>
    <row r="258" spans="12:12" x14ac:dyDescent="0.25">
      <c r="L258" s="220"/>
    </row>
    <row r="259" spans="12:12" x14ac:dyDescent="0.25">
      <c r="L259" s="220"/>
    </row>
    <row r="260" spans="12:12" x14ac:dyDescent="0.25">
      <c r="L260" s="220"/>
    </row>
    <row r="261" spans="12:12" x14ac:dyDescent="0.25">
      <c r="L261" s="220"/>
    </row>
    <row r="262" spans="12:12" x14ac:dyDescent="0.25">
      <c r="L262" s="220"/>
    </row>
    <row r="263" spans="12:12" x14ac:dyDescent="0.25">
      <c r="L263" s="220"/>
    </row>
    <row r="264" spans="12:12" x14ac:dyDescent="0.25">
      <c r="L264" s="220"/>
    </row>
    <row r="265" spans="12:12" x14ac:dyDescent="0.25">
      <c r="L265" s="220"/>
    </row>
    <row r="266" spans="12:12" x14ac:dyDescent="0.25">
      <c r="L266" s="220"/>
    </row>
    <row r="267" spans="12:12" x14ac:dyDescent="0.25">
      <c r="L267" s="220"/>
    </row>
    <row r="268" spans="12:12" x14ac:dyDescent="0.25">
      <c r="L268" s="220"/>
    </row>
    <row r="269" spans="12:12" x14ac:dyDescent="0.25">
      <c r="L269" s="220"/>
    </row>
    <row r="270" spans="12:12" x14ac:dyDescent="0.25">
      <c r="L270" s="220"/>
    </row>
    <row r="271" spans="12:12" x14ac:dyDescent="0.25">
      <c r="L271" s="220"/>
    </row>
    <row r="272" spans="12:12" x14ac:dyDescent="0.25">
      <c r="L272" s="220"/>
    </row>
    <row r="273" spans="12:12" x14ac:dyDescent="0.25">
      <c r="L273" s="220"/>
    </row>
    <row r="274" spans="12:12" x14ac:dyDescent="0.25">
      <c r="L274" s="220"/>
    </row>
    <row r="275" spans="12:12" x14ac:dyDescent="0.25">
      <c r="L275" s="220"/>
    </row>
    <row r="276" spans="12:12" x14ac:dyDescent="0.25">
      <c r="L276" s="220"/>
    </row>
    <row r="277" spans="12:12" x14ac:dyDescent="0.25">
      <c r="L277" s="220"/>
    </row>
    <row r="278" spans="12:12" x14ac:dyDescent="0.25">
      <c r="L278" s="220"/>
    </row>
    <row r="279" spans="12:12" x14ac:dyDescent="0.25">
      <c r="L279" s="220"/>
    </row>
    <row r="280" spans="12:12" x14ac:dyDescent="0.25">
      <c r="L280" s="220"/>
    </row>
    <row r="281" spans="12:12" x14ac:dyDescent="0.25">
      <c r="L281" s="220"/>
    </row>
    <row r="282" spans="12:12" x14ac:dyDescent="0.25">
      <c r="L282" s="220"/>
    </row>
    <row r="283" spans="12:12" x14ac:dyDescent="0.25">
      <c r="L283" s="220"/>
    </row>
    <row r="284" spans="12:12" x14ac:dyDescent="0.25">
      <c r="L284" s="220"/>
    </row>
    <row r="285" spans="12:12" x14ac:dyDescent="0.25">
      <c r="L285" s="220"/>
    </row>
    <row r="286" spans="12:12" x14ac:dyDescent="0.25">
      <c r="L286" s="220"/>
    </row>
    <row r="287" spans="12:12" x14ac:dyDescent="0.25">
      <c r="L287" s="220"/>
    </row>
    <row r="288" spans="12:12" x14ac:dyDescent="0.25">
      <c r="L288" s="220"/>
    </row>
    <row r="289" spans="12:12" x14ac:dyDescent="0.25">
      <c r="L289" s="220"/>
    </row>
    <row r="290" spans="12:12" x14ac:dyDescent="0.25">
      <c r="L290" s="220"/>
    </row>
    <row r="291" spans="12:12" x14ac:dyDescent="0.25">
      <c r="L291" s="220"/>
    </row>
    <row r="292" spans="12:12" x14ac:dyDescent="0.25">
      <c r="L292" s="220"/>
    </row>
    <row r="293" spans="12:12" x14ac:dyDescent="0.25">
      <c r="L293" s="220"/>
    </row>
    <row r="294" spans="12:12" x14ac:dyDescent="0.25">
      <c r="L294" s="220"/>
    </row>
    <row r="295" spans="12:12" x14ac:dyDescent="0.25">
      <c r="L295" s="220"/>
    </row>
    <row r="296" spans="12:12" x14ac:dyDescent="0.25">
      <c r="L296" s="220"/>
    </row>
    <row r="297" spans="12:12" x14ac:dyDescent="0.25">
      <c r="L297" s="220"/>
    </row>
    <row r="298" spans="12:12" x14ac:dyDescent="0.25">
      <c r="L298" s="220"/>
    </row>
    <row r="299" spans="12:12" x14ac:dyDescent="0.25">
      <c r="L299" s="220"/>
    </row>
    <row r="300" spans="12:12" x14ac:dyDescent="0.25">
      <c r="L300" s="220"/>
    </row>
    <row r="301" spans="12:12" x14ac:dyDescent="0.25">
      <c r="L301" s="220"/>
    </row>
    <row r="302" spans="12:12" x14ac:dyDescent="0.25">
      <c r="L302" s="220"/>
    </row>
    <row r="303" spans="12:12" x14ac:dyDescent="0.25">
      <c r="L303" s="220"/>
    </row>
    <row r="304" spans="12:12" x14ac:dyDescent="0.25">
      <c r="L304" s="220"/>
    </row>
    <row r="305" spans="12:12" x14ac:dyDescent="0.25">
      <c r="L305" s="220"/>
    </row>
    <row r="306" spans="12:12" x14ac:dyDescent="0.25">
      <c r="L306" s="220"/>
    </row>
    <row r="307" spans="12:12" x14ac:dyDescent="0.25">
      <c r="L307" s="220"/>
    </row>
    <row r="308" spans="12:12" x14ac:dyDescent="0.25">
      <c r="L308" s="220"/>
    </row>
    <row r="309" spans="12:12" x14ac:dyDescent="0.25">
      <c r="L309" s="220"/>
    </row>
    <row r="310" spans="12:12" x14ac:dyDescent="0.25">
      <c r="L310" s="220"/>
    </row>
    <row r="311" spans="12:12" x14ac:dyDescent="0.25">
      <c r="L311" s="220"/>
    </row>
    <row r="312" spans="12:12" x14ac:dyDescent="0.25">
      <c r="L312" s="220"/>
    </row>
    <row r="313" spans="12:12" x14ac:dyDescent="0.25">
      <c r="L313" s="220"/>
    </row>
    <row r="314" spans="12:12" x14ac:dyDescent="0.25">
      <c r="L314" s="220"/>
    </row>
    <row r="315" spans="12:12" x14ac:dyDescent="0.25">
      <c r="L315" s="220"/>
    </row>
    <row r="316" spans="12:12" x14ac:dyDescent="0.25">
      <c r="L316" s="220"/>
    </row>
    <row r="317" spans="12:12" x14ac:dyDescent="0.25">
      <c r="L317" s="220"/>
    </row>
    <row r="318" spans="12:12" x14ac:dyDescent="0.25">
      <c r="L318" s="220"/>
    </row>
    <row r="319" spans="12:12" x14ac:dyDescent="0.25">
      <c r="L319" s="220"/>
    </row>
    <row r="320" spans="12:12" x14ac:dyDescent="0.25">
      <c r="L320" s="220"/>
    </row>
    <row r="321" spans="12:12" x14ac:dyDescent="0.25">
      <c r="L321" s="220"/>
    </row>
    <row r="322" spans="12:12" x14ac:dyDescent="0.25">
      <c r="L322" s="220"/>
    </row>
    <row r="323" spans="12:12" x14ac:dyDescent="0.25">
      <c r="L323" s="220"/>
    </row>
    <row r="324" spans="12:12" x14ac:dyDescent="0.25">
      <c r="L324" s="220"/>
    </row>
    <row r="325" spans="12:12" x14ac:dyDescent="0.25">
      <c r="L325" s="220"/>
    </row>
    <row r="326" spans="12:12" x14ac:dyDescent="0.25">
      <c r="L326" s="220"/>
    </row>
    <row r="327" spans="12:12" x14ac:dyDescent="0.25">
      <c r="L327" s="220"/>
    </row>
    <row r="328" spans="12:12" x14ac:dyDescent="0.25">
      <c r="L328" s="220"/>
    </row>
    <row r="329" spans="12:12" x14ac:dyDescent="0.25">
      <c r="L329" s="220"/>
    </row>
    <row r="330" spans="12:12" x14ac:dyDescent="0.25">
      <c r="L330" s="220"/>
    </row>
    <row r="331" spans="12:12" x14ac:dyDescent="0.25">
      <c r="L331" s="220"/>
    </row>
    <row r="332" spans="12:12" x14ac:dyDescent="0.25">
      <c r="L332" s="220"/>
    </row>
    <row r="333" spans="12:12" x14ac:dyDescent="0.25">
      <c r="L333" s="220"/>
    </row>
    <row r="334" spans="12:12" x14ac:dyDescent="0.25">
      <c r="L334" s="220"/>
    </row>
    <row r="335" spans="12:12" x14ac:dyDescent="0.25">
      <c r="L335" s="220"/>
    </row>
    <row r="336" spans="12:12" x14ac:dyDescent="0.25">
      <c r="L336" s="220"/>
    </row>
    <row r="337" spans="12:12" x14ac:dyDescent="0.25">
      <c r="L337" s="220"/>
    </row>
    <row r="338" spans="12:12" x14ac:dyDescent="0.25">
      <c r="L338" s="220"/>
    </row>
    <row r="339" spans="12:12" x14ac:dyDescent="0.25">
      <c r="L339" s="220"/>
    </row>
    <row r="340" spans="12:12" x14ac:dyDescent="0.25">
      <c r="L340" s="220"/>
    </row>
    <row r="341" spans="12:12" x14ac:dyDescent="0.25">
      <c r="L341" s="220"/>
    </row>
    <row r="342" spans="12:12" x14ac:dyDescent="0.25">
      <c r="L342" s="220"/>
    </row>
    <row r="343" spans="12:12" x14ac:dyDescent="0.25">
      <c r="L343" s="220"/>
    </row>
    <row r="344" spans="12:12" x14ac:dyDescent="0.25">
      <c r="L344" s="220"/>
    </row>
    <row r="345" spans="12:12" x14ac:dyDescent="0.25">
      <c r="L345" s="220"/>
    </row>
    <row r="346" spans="12:12" x14ac:dyDescent="0.25">
      <c r="L346" s="220"/>
    </row>
    <row r="347" spans="12:12" x14ac:dyDescent="0.25">
      <c r="L347" s="220"/>
    </row>
    <row r="348" spans="12:12" x14ac:dyDescent="0.25">
      <c r="L348" s="220"/>
    </row>
    <row r="349" spans="12:12" x14ac:dyDescent="0.25">
      <c r="L349" s="220"/>
    </row>
    <row r="350" spans="12:12" x14ac:dyDescent="0.25">
      <c r="L350" s="220"/>
    </row>
    <row r="351" spans="12:12" x14ac:dyDescent="0.25">
      <c r="L351" s="220"/>
    </row>
    <row r="352" spans="12:12" x14ac:dyDescent="0.25">
      <c r="L352" s="220"/>
    </row>
    <row r="353" spans="12:12" x14ac:dyDescent="0.25">
      <c r="L353" s="220"/>
    </row>
    <row r="354" spans="12:12" x14ac:dyDescent="0.25">
      <c r="L354" s="220"/>
    </row>
    <row r="355" spans="12:12" x14ac:dyDescent="0.25">
      <c r="L355" s="220"/>
    </row>
    <row r="356" spans="12:12" x14ac:dyDescent="0.25">
      <c r="L356" s="220"/>
    </row>
    <row r="357" spans="12:12" x14ac:dyDescent="0.25">
      <c r="L357" s="220"/>
    </row>
    <row r="358" spans="12:12" x14ac:dyDescent="0.25">
      <c r="L358" s="220"/>
    </row>
    <row r="359" spans="12:12" x14ac:dyDescent="0.25">
      <c r="L359" s="220"/>
    </row>
    <row r="360" spans="12:12" x14ac:dyDescent="0.25">
      <c r="L360" s="220"/>
    </row>
    <row r="361" spans="12:12" x14ac:dyDescent="0.25">
      <c r="L361" s="220"/>
    </row>
    <row r="362" spans="12:12" x14ac:dyDescent="0.25">
      <c r="L362" s="220"/>
    </row>
    <row r="363" spans="12:12" x14ac:dyDescent="0.25">
      <c r="L363" s="220"/>
    </row>
    <row r="364" spans="12:12" x14ac:dyDescent="0.25">
      <c r="L364" s="220"/>
    </row>
    <row r="365" spans="12:12" x14ac:dyDescent="0.25">
      <c r="L365" s="220"/>
    </row>
    <row r="366" spans="12:12" x14ac:dyDescent="0.25">
      <c r="L366" s="220"/>
    </row>
    <row r="367" spans="12:12" x14ac:dyDescent="0.25">
      <c r="L367" s="220"/>
    </row>
    <row r="368" spans="12:12" x14ac:dyDescent="0.25">
      <c r="L368" s="220"/>
    </row>
    <row r="369" spans="12:12" x14ac:dyDescent="0.25">
      <c r="L369" s="220"/>
    </row>
    <row r="370" spans="12:12" x14ac:dyDescent="0.25">
      <c r="L370" s="220"/>
    </row>
    <row r="371" spans="12:12" x14ac:dyDescent="0.25">
      <c r="L371" s="220"/>
    </row>
    <row r="372" spans="12:12" x14ac:dyDescent="0.25">
      <c r="L372" s="220"/>
    </row>
    <row r="373" spans="12:12" x14ac:dyDescent="0.25">
      <c r="L373" s="220"/>
    </row>
    <row r="374" spans="12:12" x14ac:dyDescent="0.25">
      <c r="L374" s="220"/>
    </row>
    <row r="375" spans="12:12" x14ac:dyDescent="0.25">
      <c r="L375" s="220"/>
    </row>
    <row r="376" spans="12:12" x14ac:dyDescent="0.25">
      <c r="L376" s="220"/>
    </row>
    <row r="377" spans="12:12" x14ac:dyDescent="0.25">
      <c r="L377" s="220"/>
    </row>
    <row r="378" spans="12:12" x14ac:dyDescent="0.25">
      <c r="L378" s="220"/>
    </row>
    <row r="379" spans="12:12" x14ac:dyDescent="0.25">
      <c r="L379" s="220"/>
    </row>
    <row r="380" spans="12:12" x14ac:dyDescent="0.25">
      <c r="L380" s="220"/>
    </row>
    <row r="381" spans="12:12" x14ac:dyDescent="0.25">
      <c r="L381" s="220"/>
    </row>
    <row r="382" spans="12:12" x14ac:dyDescent="0.25">
      <c r="L382" s="220"/>
    </row>
    <row r="383" spans="12:12" x14ac:dyDescent="0.25">
      <c r="L383" s="220"/>
    </row>
    <row r="384" spans="12:12" x14ac:dyDescent="0.25">
      <c r="L384" s="220"/>
    </row>
    <row r="385" spans="12:12" x14ac:dyDescent="0.25">
      <c r="L385" s="220"/>
    </row>
    <row r="386" spans="12:12" x14ac:dyDescent="0.25">
      <c r="L386" s="220"/>
    </row>
    <row r="387" spans="12:12" x14ac:dyDescent="0.25">
      <c r="L387" s="220"/>
    </row>
    <row r="388" spans="12:12" x14ac:dyDescent="0.25">
      <c r="L388" s="220"/>
    </row>
    <row r="389" spans="12:12" x14ac:dyDescent="0.25">
      <c r="L389" s="220"/>
    </row>
    <row r="390" spans="12:12" x14ac:dyDescent="0.25">
      <c r="L390" s="220"/>
    </row>
    <row r="391" spans="12:12" x14ac:dyDescent="0.25">
      <c r="L391" s="220"/>
    </row>
    <row r="392" spans="12:12" x14ac:dyDescent="0.25">
      <c r="L392" s="220"/>
    </row>
    <row r="393" spans="12:12" x14ac:dyDescent="0.25">
      <c r="L393" s="220"/>
    </row>
    <row r="394" spans="12:12" x14ac:dyDescent="0.25">
      <c r="L394" s="220"/>
    </row>
    <row r="395" spans="12:12" x14ac:dyDescent="0.25">
      <c r="L395" s="220"/>
    </row>
    <row r="396" spans="12:12" x14ac:dyDescent="0.25">
      <c r="L396" s="220"/>
    </row>
    <row r="397" spans="12:12" x14ac:dyDescent="0.25">
      <c r="L397" s="220"/>
    </row>
    <row r="398" spans="12:12" x14ac:dyDescent="0.25">
      <c r="L398" s="220"/>
    </row>
    <row r="399" spans="12:12" x14ac:dyDescent="0.25">
      <c r="L399" s="220"/>
    </row>
    <row r="400" spans="12:12" x14ac:dyDescent="0.25">
      <c r="L400" s="220"/>
    </row>
    <row r="401" spans="12:12" x14ac:dyDescent="0.25">
      <c r="L401" s="220"/>
    </row>
    <row r="402" spans="12:12" x14ac:dyDescent="0.25">
      <c r="L402" s="220"/>
    </row>
    <row r="403" spans="12:12" x14ac:dyDescent="0.25">
      <c r="L403" s="220"/>
    </row>
    <row r="404" spans="12:12" x14ac:dyDescent="0.25">
      <c r="L404" s="220"/>
    </row>
    <row r="405" spans="12:12" x14ac:dyDescent="0.25">
      <c r="L405" s="220"/>
    </row>
    <row r="406" spans="12:12" x14ac:dyDescent="0.25">
      <c r="L406" s="220"/>
    </row>
    <row r="407" spans="12:12" x14ac:dyDescent="0.25">
      <c r="L407" s="220"/>
    </row>
    <row r="408" spans="12:12" x14ac:dyDescent="0.25">
      <c r="L408" s="220"/>
    </row>
    <row r="409" spans="12:12" x14ac:dyDescent="0.25">
      <c r="L409" s="220"/>
    </row>
    <row r="410" spans="12:12" x14ac:dyDescent="0.25">
      <c r="L410" s="220"/>
    </row>
    <row r="411" spans="12:12" x14ac:dyDescent="0.25">
      <c r="L411" s="220"/>
    </row>
    <row r="412" spans="12:12" x14ac:dyDescent="0.25">
      <c r="L412" s="220"/>
    </row>
    <row r="413" spans="12:12" x14ac:dyDescent="0.25">
      <c r="L413" s="220"/>
    </row>
    <row r="414" spans="12:12" x14ac:dyDescent="0.25">
      <c r="L414" s="220"/>
    </row>
    <row r="415" spans="12:12" x14ac:dyDescent="0.25">
      <c r="L415" s="220"/>
    </row>
    <row r="416" spans="12:12" x14ac:dyDescent="0.25">
      <c r="L416" s="220"/>
    </row>
    <row r="417" spans="12:12" x14ac:dyDescent="0.25">
      <c r="L417" s="220"/>
    </row>
    <row r="418" spans="12:12" x14ac:dyDescent="0.25">
      <c r="L418" s="220"/>
    </row>
    <row r="419" spans="12:12" x14ac:dyDescent="0.25">
      <c r="L419" s="220"/>
    </row>
    <row r="420" spans="12:12" x14ac:dyDescent="0.25">
      <c r="L420" s="220"/>
    </row>
    <row r="421" spans="12:12" x14ac:dyDescent="0.25">
      <c r="L421" s="220"/>
    </row>
    <row r="422" spans="12:12" x14ac:dyDescent="0.25">
      <c r="L422" s="220"/>
    </row>
    <row r="423" spans="12:12" x14ac:dyDescent="0.25">
      <c r="L423" s="220"/>
    </row>
    <row r="424" spans="12:12" x14ac:dyDescent="0.25">
      <c r="L424" s="220"/>
    </row>
    <row r="425" spans="12:12" x14ac:dyDescent="0.25">
      <c r="L425" s="220"/>
    </row>
    <row r="426" spans="12:12" x14ac:dyDescent="0.25">
      <c r="L426" s="220"/>
    </row>
    <row r="427" spans="12:12" x14ac:dyDescent="0.25">
      <c r="L427" s="220"/>
    </row>
    <row r="428" spans="12:12" x14ac:dyDescent="0.25">
      <c r="L428" s="220"/>
    </row>
    <row r="429" spans="12:12" x14ac:dyDescent="0.25">
      <c r="L429" s="220"/>
    </row>
    <row r="430" spans="12:12" x14ac:dyDescent="0.25">
      <c r="L430" s="220"/>
    </row>
    <row r="431" spans="12:12" x14ac:dyDescent="0.25">
      <c r="L431" s="220"/>
    </row>
    <row r="432" spans="12:12" x14ac:dyDescent="0.25">
      <c r="L432" s="220"/>
    </row>
    <row r="433" spans="12:12" x14ac:dyDescent="0.25">
      <c r="L433" s="220"/>
    </row>
    <row r="434" spans="12:12" x14ac:dyDescent="0.25">
      <c r="L434" s="220"/>
    </row>
    <row r="435" spans="12:12" x14ac:dyDescent="0.25">
      <c r="L435" s="220"/>
    </row>
    <row r="436" spans="12:12" x14ac:dyDescent="0.25">
      <c r="L436" s="220"/>
    </row>
    <row r="437" spans="12:12" x14ac:dyDescent="0.25">
      <c r="L437" s="220"/>
    </row>
    <row r="438" spans="12:12" x14ac:dyDescent="0.25">
      <c r="L438" s="220"/>
    </row>
    <row r="439" spans="12:12" x14ac:dyDescent="0.25">
      <c r="L439" s="220"/>
    </row>
    <row r="440" spans="12:12" x14ac:dyDescent="0.25">
      <c r="L440" s="220"/>
    </row>
    <row r="441" spans="12:12" x14ac:dyDescent="0.25">
      <c r="L441" s="220"/>
    </row>
    <row r="442" spans="12:12" x14ac:dyDescent="0.25">
      <c r="L442" s="220"/>
    </row>
    <row r="443" spans="12:12" x14ac:dyDescent="0.25">
      <c r="L443" s="220"/>
    </row>
    <row r="444" spans="12:12" x14ac:dyDescent="0.25">
      <c r="L444" s="220"/>
    </row>
    <row r="445" spans="12:12" x14ac:dyDescent="0.25">
      <c r="L445" s="220"/>
    </row>
    <row r="446" spans="12:12" x14ac:dyDescent="0.25">
      <c r="L446" s="220"/>
    </row>
    <row r="447" spans="12:12" x14ac:dyDescent="0.25">
      <c r="L447" s="220"/>
    </row>
    <row r="448" spans="12:12" x14ac:dyDescent="0.25">
      <c r="L448" s="220"/>
    </row>
    <row r="449" spans="12:12" x14ac:dyDescent="0.25">
      <c r="L449" s="220"/>
    </row>
    <row r="450" spans="12:12" x14ac:dyDescent="0.25">
      <c r="L450" s="220"/>
    </row>
    <row r="451" spans="12:12" x14ac:dyDescent="0.25">
      <c r="L451" s="220"/>
    </row>
    <row r="452" spans="12:12" x14ac:dyDescent="0.25">
      <c r="L452" s="220"/>
    </row>
    <row r="453" spans="12:12" x14ac:dyDescent="0.25">
      <c r="L453" s="220"/>
    </row>
    <row r="454" spans="12:12" x14ac:dyDescent="0.25">
      <c r="L454" s="220"/>
    </row>
    <row r="455" spans="12:12" x14ac:dyDescent="0.25">
      <c r="L455" s="220"/>
    </row>
    <row r="456" spans="12:12" x14ac:dyDescent="0.25">
      <c r="L456" s="220"/>
    </row>
    <row r="457" spans="12:12" x14ac:dyDescent="0.25">
      <c r="L457" s="220"/>
    </row>
    <row r="458" spans="12:12" x14ac:dyDescent="0.25">
      <c r="L458" s="220"/>
    </row>
    <row r="459" spans="12:12" x14ac:dyDescent="0.25">
      <c r="L459" s="220"/>
    </row>
    <row r="460" spans="12:12" x14ac:dyDescent="0.25">
      <c r="L460" s="220"/>
    </row>
    <row r="461" spans="12:12" x14ac:dyDescent="0.25">
      <c r="L461" s="220"/>
    </row>
    <row r="462" spans="12:12" x14ac:dyDescent="0.25">
      <c r="L462" s="220"/>
    </row>
    <row r="463" spans="12:12" x14ac:dyDescent="0.25">
      <c r="L463" s="220"/>
    </row>
    <row r="464" spans="12:12" x14ac:dyDescent="0.25">
      <c r="L464" s="220"/>
    </row>
    <row r="465" spans="12:12" x14ac:dyDescent="0.25">
      <c r="L465" s="220"/>
    </row>
    <row r="466" spans="12:12" x14ac:dyDescent="0.25">
      <c r="L466" s="220"/>
    </row>
    <row r="467" spans="12:12" x14ac:dyDescent="0.25">
      <c r="L467" s="220"/>
    </row>
    <row r="468" spans="12:12" x14ac:dyDescent="0.25">
      <c r="L468" s="220"/>
    </row>
    <row r="469" spans="12:12" x14ac:dyDescent="0.25">
      <c r="L469" s="220"/>
    </row>
    <row r="470" spans="12:12" x14ac:dyDescent="0.25">
      <c r="L470" s="220"/>
    </row>
    <row r="471" spans="12:12" x14ac:dyDescent="0.25">
      <c r="L471" s="220"/>
    </row>
    <row r="472" spans="12:12" x14ac:dyDescent="0.25">
      <c r="L472" s="220"/>
    </row>
    <row r="473" spans="12:12" x14ac:dyDescent="0.25">
      <c r="L473" s="220"/>
    </row>
    <row r="474" spans="12:12" x14ac:dyDescent="0.25">
      <c r="L474" s="220"/>
    </row>
    <row r="475" spans="12:12" x14ac:dyDescent="0.25">
      <c r="L475" s="220"/>
    </row>
    <row r="476" spans="12:12" x14ac:dyDescent="0.25">
      <c r="L476" s="220"/>
    </row>
    <row r="477" spans="12:12" x14ac:dyDescent="0.25">
      <c r="L477" s="220"/>
    </row>
    <row r="478" spans="12:12" x14ac:dyDescent="0.25">
      <c r="L478" s="220"/>
    </row>
    <row r="479" spans="12:12" x14ac:dyDescent="0.25">
      <c r="L479" s="220"/>
    </row>
    <row r="480" spans="12:12" x14ac:dyDescent="0.25">
      <c r="L480" s="220"/>
    </row>
    <row r="481" spans="12:12" x14ac:dyDescent="0.25">
      <c r="L481" s="220"/>
    </row>
    <row r="482" spans="12:12" x14ac:dyDescent="0.25">
      <c r="L482" s="220"/>
    </row>
    <row r="483" spans="12:12" x14ac:dyDescent="0.25">
      <c r="L483" s="220"/>
    </row>
    <row r="484" spans="12:12" x14ac:dyDescent="0.25">
      <c r="L484" s="220"/>
    </row>
    <row r="485" spans="12:12" x14ac:dyDescent="0.25">
      <c r="L485" s="220"/>
    </row>
    <row r="486" spans="12:12" x14ac:dyDescent="0.25">
      <c r="L486" s="220"/>
    </row>
    <row r="487" spans="12:12" x14ac:dyDescent="0.25">
      <c r="L487" s="220"/>
    </row>
    <row r="488" spans="12:12" x14ac:dyDescent="0.25">
      <c r="L488" s="220"/>
    </row>
    <row r="489" spans="12:12" x14ac:dyDescent="0.25">
      <c r="L489" s="220"/>
    </row>
    <row r="490" spans="12:12" x14ac:dyDescent="0.25">
      <c r="L490" s="220"/>
    </row>
    <row r="491" spans="12:12" x14ac:dyDescent="0.25">
      <c r="L491" s="220"/>
    </row>
    <row r="492" spans="12:12" x14ac:dyDescent="0.25">
      <c r="L492" s="220"/>
    </row>
    <row r="493" spans="12:12" x14ac:dyDescent="0.25">
      <c r="L493" s="220"/>
    </row>
    <row r="494" spans="12:12" x14ac:dyDescent="0.25">
      <c r="L494" s="220"/>
    </row>
    <row r="495" spans="12:12" x14ac:dyDescent="0.25">
      <c r="L495" s="220"/>
    </row>
    <row r="496" spans="12:12" x14ac:dyDescent="0.25">
      <c r="L496" s="220"/>
    </row>
    <row r="497" spans="12:12" x14ac:dyDescent="0.25">
      <c r="L497" s="220"/>
    </row>
    <row r="498" spans="12:12" x14ac:dyDescent="0.25">
      <c r="L498" s="220"/>
    </row>
    <row r="499" spans="12:12" x14ac:dyDescent="0.25">
      <c r="L499" s="220"/>
    </row>
    <row r="500" spans="12:12" x14ac:dyDescent="0.25">
      <c r="L500" s="220"/>
    </row>
    <row r="501" spans="12:12" x14ac:dyDescent="0.25">
      <c r="L501" s="220"/>
    </row>
    <row r="502" spans="12:12" x14ac:dyDescent="0.25">
      <c r="L502" s="220"/>
    </row>
    <row r="503" spans="12:12" x14ac:dyDescent="0.25">
      <c r="L503" s="220"/>
    </row>
    <row r="504" spans="12:12" x14ac:dyDescent="0.25">
      <c r="L504" s="220"/>
    </row>
    <row r="505" spans="12:12" x14ac:dyDescent="0.25">
      <c r="L505" s="220"/>
    </row>
    <row r="506" spans="12:12" x14ac:dyDescent="0.25">
      <c r="L506" s="220"/>
    </row>
    <row r="507" spans="12:12" x14ac:dyDescent="0.25">
      <c r="L507" s="220"/>
    </row>
    <row r="508" spans="12:12" x14ac:dyDescent="0.25">
      <c r="L508" s="220"/>
    </row>
    <row r="509" spans="12:12" x14ac:dyDescent="0.25">
      <c r="L509" s="220"/>
    </row>
    <row r="510" spans="12:12" x14ac:dyDescent="0.25">
      <c r="L510" s="220"/>
    </row>
    <row r="511" spans="12:12" x14ac:dyDescent="0.25">
      <c r="L511" s="220"/>
    </row>
    <row r="512" spans="12:12" x14ac:dyDescent="0.25">
      <c r="L512" s="220"/>
    </row>
    <row r="513" spans="12:12" x14ac:dyDescent="0.25">
      <c r="L513" s="220"/>
    </row>
    <row r="514" spans="12:12" x14ac:dyDescent="0.25">
      <c r="L514" s="220"/>
    </row>
    <row r="515" spans="12:12" x14ac:dyDescent="0.25">
      <c r="L515" s="220"/>
    </row>
    <row r="516" spans="12:12" x14ac:dyDescent="0.25">
      <c r="L516" s="220"/>
    </row>
    <row r="517" spans="12:12" x14ac:dyDescent="0.25">
      <c r="L517" s="220"/>
    </row>
    <row r="518" spans="12:12" x14ac:dyDescent="0.25">
      <c r="L518" s="220"/>
    </row>
    <row r="519" spans="12:12" x14ac:dyDescent="0.25">
      <c r="L519" s="220"/>
    </row>
    <row r="520" spans="12:12" x14ac:dyDescent="0.25">
      <c r="L520" s="220"/>
    </row>
    <row r="521" spans="12:12" x14ac:dyDescent="0.25">
      <c r="L521" s="220"/>
    </row>
    <row r="522" spans="12:12" x14ac:dyDescent="0.25">
      <c r="L522" s="220"/>
    </row>
    <row r="523" spans="12:12" x14ac:dyDescent="0.25">
      <c r="L523" s="220"/>
    </row>
    <row r="524" spans="12:12" x14ac:dyDescent="0.25">
      <c r="L524" s="220"/>
    </row>
    <row r="525" spans="12:12" x14ac:dyDescent="0.25">
      <c r="L525" s="220"/>
    </row>
    <row r="526" spans="12:12" x14ac:dyDescent="0.25">
      <c r="L526" s="220"/>
    </row>
    <row r="527" spans="12:12" x14ac:dyDescent="0.25">
      <c r="L527" s="220"/>
    </row>
    <row r="528" spans="12:12" x14ac:dyDescent="0.25">
      <c r="L528" s="220"/>
    </row>
    <row r="529" spans="12:12" x14ac:dyDescent="0.25">
      <c r="L529" s="220"/>
    </row>
    <row r="530" spans="12:12" x14ac:dyDescent="0.25">
      <c r="L530" s="220"/>
    </row>
    <row r="531" spans="12:12" x14ac:dyDescent="0.25">
      <c r="L531" s="220"/>
    </row>
    <row r="532" spans="12:12" x14ac:dyDescent="0.25">
      <c r="L532" s="220"/>
    </row>
    <row r="533" spans="12:12" x14ac:dyDescent="0.25">
      <c r="L533" s="220"/>
    </row>
    <row r="534" spans="12:12" x14ac:dyDescent="0.25">
      <c r="L534" s="220"/>
    </row>
    <row r="535" spans="12:12" x14ac:dyDescent="0.25">
      <c r="L535" s="220"/>
    </row>
    <row r="536" spans="12:12" x14ac:dyDescent="0.25">
      <c r="L536" s="220"/>
    </row>
    <row r="537" spans="12:12" x14ac:dyDescent="0.25">
      <c r="L537" s="220"/>
    </row>
    <row r="538" spans="12:12" x14ac:dyDescent="0.25">
      <c r="L538" s="220"/>
    </row>
    <row r="539" spans="12:12" x14ac:dyDescent="0.25">
      <c r="L539" s="220"/>
    </row>
    <row r="540" spans="12:12" x14ac:dyDescent="0.25">
      <c r="L540" s="220"/>
    </row>
    <row r="541" spans="12:12" x14ac:dyDescent="0.25">
      <c r="L541" s="220"/>
    </row>
    <row r="542" spans="12:12" x14ac:dyDescent="0.25">
      <c r="L542" s="220"/>
    </row>
    <row r="543" spans="12:12" x14ac:dyDescent="0.25">
      <c r="L543" s="220"/>
    </row>
    <row r="544" spans="12:12" x14ac:dyDescent="0.25">
      <c r="L544" s="220"/>
    </row>
    <row r="545" spans="12:12" x14ac:dyDescent="0.25">
      <c r="L545" s="220"/>
    </row>
    <row r="546" spans="12:12" x14ac:dyDescent="0.25">
      <c r="L546" s="220"/>
    </row>
    <row r="547" spans="12:12" x14ac:dyDescent="0.25">
      <c r="L547" s="220"/>
    </row>
    <row r="548" spans="12:12" x14ac:dyDescent="0.25">
      <c r="L548" s="220"/>
    </row>
    <row r="549" spans="12:12" x14ac:dyDescent="0.25">
      <c r="L549" s="220"/>
    </row>
    <row r="550" spans="12:12" x14ac:dyDescent="0.25">
      <c r="L550" s="220"/>
    </row>
    <row r="551" spans="12:12" x14ac:dyDescent="0.25">
      <c r="L551" s="220"/>
    </row>
    <row r="552" spans="12:12" x14ac:dyDescent="0.25">
      <c r="L552" s="220"/>
    </row>
    <row r="553" spans="12:12" x14ac:dyDescent="0.25">
      <c r="L553" s="220"/>
    </row>
    <row r="554" spans="12:12" x14ac:dyDescent="0.25">
      <c r="L554" s="220"/>
    </row>
    <row r="555" spans="12:12" x14ac:dyDescent="0.25">
      <c r="L555" s="220"/>
    </row>
    <row r="556" spans="12:12" x14ac:dyDescent="0.25">
      <c r="L556" s="220"/>
    </row>
    <row r="557" spans="12:12" x14ac:dyDescent="0.25">
      <c r="L557" s="220"/>
    </row>
    <row r="558" spans="12:12" x14ac:dyDescent="0.25">
      <c r="L558" s="220"/>
    </row>
    <row r="559" spans="12:12" x14ac:dyDescent="0.25">
      <c r="L559" s="220"/>
    </row>
    <row r="560" spans="12:12" x14ac:dyDescent="0.25">
      <c r="L560" s="220"/>
    </row>
    <row r="561" spans="12:12" x14ac:dyDescent="0.25">
      <c r="L561" s="220"/>
    </row>
    <row r="562" spans="12:12" x14ac:dyDescent="0.25">
      <c r="L562" s="220"/>
    </row>
    <row r="563" spans="12:12" x14ac:dyDescent="0.25">
      <c r="L563" s="220"/>
    </row>
    <row r="564" spans="12:12" x14ac:dyDescent="0.25">
      <c r="L564" s="220"/>
    </row>
    <row r="565" spans="12:12" x14ac:dyDescent="0.25">
      <c r="L565" s="220"/>
    </row>
    <row r="566" spans="12:12" x14ac:dyDescent="0.25">
      <c r="L566" s="220"/>
    </row>
    <row r="567" spans="12:12" x14ac:dyDescent="0.25">
      <c r="L567" s="220"/>
    </row>
    <row r="568" spans="12:12" x14ac:dyDescent="0.25">
      <c r="L568" s="220"/>
    </row>
    <row r="569" spans="12:12" x14ac:dyDescent="0.25">
      <c r="L569" s="220"/>
    </row>
    <row r="570" spans="12:12" x14ac:dyDescent="0.25">
      <c r="L570" s="220"/>
    </row>
    <row r="571" spans="12:12" x14ac:dyDescent="0.25">
      <c r="L571" s="220"/>
    </row>
    <row r="572" spans="12:12" x14ac:dyDescent="0.25">
      <c r="L572" s="220"/>
    </row>
    <row r="573" spans="12:12" x14ac:dyDescent="0.25">
      <c r="L573" s="220"/>
    </row>
    <row r="574" spans="12:12" x14ac:dyDescent="0.25">
      <c r="L574" s="220"/>
    </row>
    <row r="575" spans="12:12" x14ac:dyDescent="0.25">
      <c r="L575" s="220"/>
    </row>
    <row r="576" spans="12:12" x14ac:dyDescent="0.25">
      <c r="L576" s="220"/>
    </row>
    <row r="577" spans="12:12" x14ac:dyDescent="0.25">
      <c r="L577" s="220"/>
    </row>
    <row r="578" spans="12:12" x14ac:dyDescent="0.25">
      <c r="L578" s="220"/>
    </row>
    <row r="579" spans="12:12" x14ac:dyDescent="0.25">
      <c r="L579" s="220"/>
    </row>
    <row r="580" spans="12:12" x14ac:dyDescent="0.25">
      <c r="L580" s="220"/>
    </row>
    <row r="581" spans="12:12" x14ac:dyDescent="0.25">
      <c r="L581" s="220"/>
    </row>
    <row r="582" spans="12:12" x14ac:dyDescent="0.25">
      <c r="L582" s="220"/>
    </row>
    <row r="583" spans="12:12" x14ac:dyDescent="0.25">
      <c r="L583" s="220"/>
    </row>
    <row r="584" spans="12:12" x14ac:dyDescent="0.25">
      <c r="L584" s="220"/>
    </row>
    <row r="585" spans="12:12" x14ac:dyDescent="0.25">
      <c r="L585" s="220"/>
    </row>
    <row r="586" spans="12:12" x14ac:dyDescent="0.25">
      <c r="L586" s="220"/>
    </row>
    <row r="587" spans="12:12" x14ac:dyDescent="0.25">
      <c r="L587" s="220"/>
    </row>
    <row r="588" spans="12:12" x14ac:dyDescent="0.25">
      <c r="L588" s="220"/>
    </row>
    <row r="589" spans="12:12" x14ac:dyDescent="0.25">
      <c r="L589" s="220"/>
    </row>
    <row r="590" spans="12:12" x14ac:dyDescent="0.25">
      <c r="L590" s="220"/>
    </row>
    <row r="591" spans="12:12" x14ac:dyDescent="0.25">
      <c r="L591" s="220"/>
    </row>
    <row r="592" spans="12:12" x14ac:dyDescent="0.25">
      <c r="L592" s="220"/>
    </row>
    <row r="593" spans="12:12" x14ac:dyDescent="0.25">
      <c r="L593" s="220"/>
    </row>
    <row r="594" spans="12:12" x14ac:dyDescent="0.25">
      <c r="L594" s="220"/>
    </row>
    <row r="595" spans="12:12" x14ac:dyDescent="0.25">
      <c r="L595" s="220"/>
    </row>
    <row r="596" spans="12:12" x14ac:dyDescent="0.25">
      <c r="L596" s="220"/>
    </row>
    <row r="597" spans="12:12" x14ac:dyDescent="0.25">
      <c r="L597" s="220"/>
    </row>
    <row r="598" spans="12:12" x14ac:dyDescent="0.25">
      <c r="L598" s="220"/>
    </row>
    <row r="599" spans="12:12" x14ac:dyDescent="0.25">
      <c r="L599" s="220"/>
    </row>
    <row r="600" spans="12:12" x14ac:dyDescent="0.25">
      <c r="L600" s="220"/>
    </row>
    <row r="601" spans="12:12" x14ac:dyDescent="0.25">
      <c r="L601" s="220"/>
    </row>
    <row r="602" spans="12:12" x14ac:dyDescent="0.25">
      <c r="L602" s="220"/>
    </row>
    <row r="603" spans="12:12" x14ac:dyDescent="0.25">
      <c r="L603" s="220"/>
    </row>
    <row r="604" spans="12:12" x14ac:dyDescent="0.25">
      <c r="L604" s="220"/>
    </row>
    <row r="605" spans="12:12" x14ac:dyDescent="0.25">
      <c r="L605" s="220"/>
    </row>
    <row r="606" spans="12:12" x14ac:dyDescent="0.25">
      <c r="L606" s="220"/>
    </row>
    <row r="607" spans="12:12" x14ac:dyDescent="0.25">
      <c r="L607" s="220"/>
    </row>
    <row r="608" spans="12:12" x14ac:dyDescent="0.25">
      <c r="L608" s="220"/>
    </row>
    <row r="609" spans="12:12" x14ac:dyDescent="0.25">
      <c r="L609" s="220"/>
    </row>
    <row r="610" spans="12:12" x14ac:dyDescent="0.25">
      <c r="L610" s="220"/>
    </row>
    <row r="611" spans="12:12" x14ac:dyDescent="0.25">
      <c r="L611" s="220"/>
    </row>
    <row r="612" spans="12:12" x14ac:dyDescent="0.25">
      <c r="L612" s="220"/>
    </row>
    <row r="613" spans="12:12" x14ac:dyDescent="0.25">
      <c r="L613" s="220"/>
    </row>
    <row r="614" spans="12:12" x14ac:dyDescent="0.25">
      <c r="L614" s="220"/>
    </row>
    <row r="615" spans="12:12" x14ac:dyDescent="0.25">
      <c r="L615" s="220"/>
    </row>
    <row r="616" spans="12:12" x14ac:dyDescent="0.25">
      <c r="L616" s="220"/>
    </row>
    <row r="617" spans="12:12" x14ac:dyDescent="0.25">
      <c r="L617" s="220"/>
    </row>
    <row r="618" spans="12:12" x14ac:dyDescent="0.25">
      <c r="L618" s="220"/>
    </row>
    <row r="619" spans="12:12" x14ac:dyDescent="0.25">
      <c r="L619" s="220"/>
    </row>
    <row r="620" spans="12:12" x14ac:dyDescent="0.25">
      <c r="L620" s="220"/>
    </row>
    <row r="621" spans="12:12" x14ac:dyDescent="0.25">
      <c r="L621" s="220"/>
    </row>
    <row r="622" spans="12:12" x14ac:dyDescent="0.25">
      <c r="L622" s="220"/>
    </row>
    <row r="623" spans="12:12" x14ac:dyDescent="0.25">
      <c r="L623" s="220"/>
    </row>
    <row r="624" spans="12:12" x14ac:dyDescent="0.25">
      <c r="L624" s="220"/>
    </row>
    <row r="625" spans="12:12" x14ac:dyDescent="0.25">
      <c r="L625" s="220"/>
    </row>
    <row r="626" spans="12:12" x14ac:dyDescent="0.25">
      <c r="L626" s="220"/>
    </row>
    <row r="627" spans="12:12" x14ac:dyDescent="0.25">
      <c r="L627" s="220"/>
    </row>
    <row r="628" spans="12:12" x14ac:dyDescent="0.25">
      <c r="L628" s="220"/>
    </row>
    <row r="629" spans="12:12" x14ac:dyDescent="0.25">
      <c r="L629" s="220"/>
    </row>
    <row r="630" spans="12:12" x14ac:dyDescent="0.25">
      <c r="L630" s="220"/>
    </row>
    <row r="631" spans="12:12" x14ac:dyDescent="0.25">
      <c r="L631" s="220"/>
    </row>
    <row r="632" spans="12:12" x14ac:dyDescent="0.25">
      <c r="L632" s="220"/>
    </row>
    <row r="633" spans="12:12" x14ac:dyDescent="0.25">
      <c r="L633" s="220"/>
    </row>
    <row r="634" spans="12:12" x14ac:dyDescent="0.25">
      <c r="L634" s="220"/>
    </row>
    <row r="635" spans="12:12" x14ac:dyDescent="0.25">
      <c r="L635" s="220"/>
    </row>
    <row r="636" spans="12:12" x14ac:dyDescent="0.25">
      <c r="L636" s="220"/>
    </row>
    <row r="637" spans="12:12" x14ac:dyDescent="0.25">
      <c r="L637" s="220"/>
    </row>
    <row r="638" spans="12:12" x14ac:dyDescent="0.25">
      <c r="L638" s="220"/>
    </row>
    <row r="639" spans="12:12" x14ac:dyDescent="0.25">
      <c r="L639" s="220"/>
    </row>
    <row r="640" spans="12:12" x14ac:dyDescent="0.25">
      <c r="L640" s="220"/>
    </row>
    <row r="641" spans="12:12" x14ac:dyDescent="0.25">
      <c r="L641" s="220"/>
    </row>
    <row r="642" spans="12:12" x14ac:dyDescent="0.25">
      <c r="L642" s="220"/>
    </row>
    <row r="643" spans="12:12" x14ac:dyDescent="0.25">
      <c r="L643" s="220"/>
    </row>
    <row r="644" spans="12:12" x14ac:dyDescent="0.25">
      <c r="L644" s="220"/>
    </row>
    <row r="645" spans="12:12" x14ac:dyDescent="0.25">
      <c r="L645" s="220"/>
    </row>
    <row r="646" spans="12:12" x14ac:dyDescent="0.25">
      <c r="L646" s="220"/>
    </row>
    <row r="647" spans="12:12" x14ac:dyDescent="0.25">
      <c r="L647" s="220"/>
    </row>
    <row r="648" spans="12:12" x14ac:dyDescent="0.25">
      <c r="L648" s="220"/>
    </row>
    <row r="649" spans="12:12" x14ac:dyDescent="0.25">
      <c r="L649" s="220"/>
    </row>
    <row r="650" spans="12:12" x14ac:dyDescent="0.25">
      <c r="L650" s="220"/>
    </row>
    <row r="651" spans="12:12" x14ac:dyDescent="0.25">
      <c r="L651" s="220"/>
    </row>
    <row r="652" spans="12:12" x14ac:dyDescent="0.25">
      <c r="L652" s="220"/>
    </row>
    <row r="653" spans="12:12" x14ac:dyDescent="0.25">
      <c r="L653" s="220"/>
    </row>
    <row r="654" spans="12:12" x14ac:dyDescent="0.25">
      <c r="L654" s="220"/>
    </row>
    <row r="655" spans="12:12" x14ac:dyDescent="0.25">
      <c r="L655" s="220"/>
    </row>
    <row r="656" spans="12:12" x14ac:dyDescent="0.25">
      <c r="L656" s="220"/>
    </row>
    <row r="657" spans="12:12" x14ac:dyDescent="0.25">
      <c r="L657" s="220"/>
    </row>
    <row r="658" spans="12:12" x14ac:dyDescent="0.25">
      <c r="L658" s="220"/>
    </row>
    <row r="659" spans="12:12" x14ac:dyDescent="0.25">
      <c r="L659" s="220"/>
    </row>
    <row r="660" spans="12:12" x14ac:dyDescent="0.25">
      <c r="L660" s="220"/>
    </row>
    <row r="661" spans="12:12" x14ac:dyDescent="0.25">
      <c r="L661" s="220"/>
    </row>
    <row r="662" spans="12:12" x14ac:dyDescent="0.25">
      <c r="L662" s="220"/>
    </row>
    <row r="663" spans="12:12" x14ac:dyDescent="0.25">
      <c r="L663" s="220"/>
    </row>
    <row r="664" spans="12:12" x14ac:dyDescent="0.25">
      <c r="L664" s="220"/>
    </row>
    <row r="665" spans="12:12" x14ac:dyDescent="0.25">
      <c r="L665" s="220"/>
    </row>
    <row r="666" spans="12:12" x14ac:dyDescent="0.25">
      <c r="L666" s="220"/>
    </row>
    <row r="667" spans="12:12" x14ac:dyDescent="0.25">
      <c r="L667" s="220"/>
    </row>
    <row r="668" spans="12:12" x14ac:dyDescent="0.25">
      <c r="L668" s="220"/>
    </row>
    <row r="669" spans="12:12" x14ac:dyDescent="0.25">
      <c r="L669" s="220"/>
    </row>
    <row r="670" spans="12:12" x14ac:dyDescent="0.25">
      <c r="L670" s="220"/>
    </row>
    <row r="671" spans="12:12" x14ac:dyDescent="0.25">
      <c r="L671" s="220"/>
    </row>
    <row r="672" spans="12:12" x14ac:dyDescent="0.25">
      <c r="L672" s="220"/>
    </row>
    <row r="673" spans="12:12" x14ac:dyDescent="0.25">
      <c r="L673" s="220"/>
    </row>
    <row r="674" spans="12:12" x14ac:dyDescent="0.25">
      <c r="L674" s="220"/>
    </row>
    <row r="675" spans="12:12" x14ac:dyDescent="0.25">
      <c r="L675" s="220"/>
    </row>
    <row r="676" spans="12:12" x14ac:dyDescent="0.25">
      <c r="L676" s="220"/>
    </row>
    <row r="677" spans="12:12" x14ac:dyDescent="0.25">
      <c r="L677" s="220"/>
    </row>
    <row r="678" spans="12:12" x14ac:dyDescent="0.25">
      <c r="L678" s="220"/>
    </row>
    <row r="679" spans="12:12" x14ac:dyDescent="0.25">
      <c r="L679" s="220"/>
    </row>
    <row r="680" spans="12:12" x14ac:dyDescent="0.25">
      <c r="L680" s="220"/>
    </row>
    <row r="681" spans="12:12" x14ac:dyDescent="0.25">
      <c r="L681" s="220"/>
    </row>
    <row r="682" spans="12:12" x14ac:dyDescent="0.25">
      <c r="L682" s="220"/>
    </row>
    <row r="683" spans="12:12" x14ac:dyDescent="0.25">
      <c r="L683" s="220"/>
    </row>
    <row r="684" spans="12:12" x14ac:dyDescent="0.25">
      <c r="L684" s="220"/>
    </row>
    <row r="685" spans="12:12" x14ac:dyDescent="0.25">
      <c r="L685" s="220"/>
    </row>
    <row r="686" spans="12:12" x14ac:dyDescent="0.25">
      <c r="L686" s="220"/>
    </row>
    <row r="687" spans="12:12" x14ac:dyDescent="0.25">
      <c r="L687" s="220"/>
    </row>
    <row r="688" spans="12:12" x14ac:dyDescent="0.25">
      <c r="L688" s="220"/>
    </row>
    <row r="689" spans="12:12" x14ac:dyDescent="0.25">
      <c r="L689" s="220"/>
    </row>
    <row r="690" spans="12:12" x14ac:dyDescent="0.25">
      <c r="L690" s="220"/>
    </row>
    <row r="691" spans="12:12" x14ac:dyDescent="0.25">
      <c r="L691" s="220"/>
    </row>
    <row r="692" spans="12:12" x14ac:dyDescent="0.25">
      <c r="L692" s="220"/>
    </row>
    <row r="693" spans="12:12" x14ac:dyDescent="0.25">
      <c r="L693" s="220"/>
    </row>
    <row r="694" spans="12:12" x14ac:dyDescent="0.25">
      <c r="L694" s="220"/>
    </row>
    <row r="695" spans="12:12" x14ac:dyDescent="0.25">
      <c r="L695" s="220"/>
    </row>
    <row r="696" spans="12:12" x14ac:dyDescent="0.25">
      <c r="L696" s="220"/>
    </row>
    <row r="697" spans="12:12" x14ac:dyDescent="0.25">
      <c r="L697" s="220"/>
    </row>
    <row r="698" spans="12:12" x14ac:dyDescent="0.25">
      <c r="L698" s="220"/>
    </row>
    <row r="699" spans="12:12" x14ac:dyDescent="0.25">
      <c r="L699" s="220"/>
    </row>
    <row r="700" spans="12:12" x14ac:dyDescent="0.25">
      <c r="L700" s="220"/>
    </row>
    <row r="701" spans="12:12" x14ac:dyDescent="0.25">
      <c r="L701" s="220"/>
    </row>
    <row r="702" spans="12:12" x14ac:dyDescent="0.25">
      <c r="L702" s="220"/>
    </row>
    <row r="703" spans="12:12" x14ac:dyDescent="0.25">
      <c r="L703" s="220"/>
    </row>
    <row r="704" spans="12:12" x14ac:dyDescent="0.25">
      <c r="L704" s="220"/>
    </row>
    <row r="705" spans="12:12" x14ac:dyDescent="0.25">
      <c r="L705" s="220"/>
    </row>
    <row r="706" spans="12:12" x14ac:dyDescent="0.25">
      <c r="L706" s="220"/>
    </row>
    <row r="707" spans="12:12" x14ac:dyDescent="0.25">
      <c r="L707" s="220"/>
    </row>
    <row r="708" spans="12:12" x14ac:dyDescent="0.25">
      <c r="L708" s="220"/>
    </row>
    <row r="709" spans="12:12" x14ac:dyDescent="0.25">
      <c r="L709" s="220"/>
    </row>
    <row r="710" spans="12:12" x14ac:dyDescent="0.25">
      <c r="L710" s="220"/>
    </row>
    <row r="711" spans="12:12" x14ac:dyDescent="0.25">
      <c r="L711" s="220"/>
    </row>
    <row r="712" spans="12:12" x14ac:dyDescent="0.25">
      <c r="L712" s="220"/>
    </row>
    <row r="713" spans="12:12" x14ac:dyDescent="0.25">
      <c r="L713" s="220"/>
    </row>
    <row r="714" spans="12:12" x14ac:dyDescent="0.25">
      <c r="L714" s="220"/>
    </row>
    <row r="715" spans="12:12" x14ac:dyDescent="0.25">
      <c r="L715" s="220"/>
    </row>
    <row r="716" spans="12:12" x14ac:dyDescent="0.25">
      <c r="L716" s="220"/>
    </row>
    <row r="717" spans="12:12" x14ac:dyDescent="0.25">
      <c r="L717" s="220"/>
    </row>
    <row r="718" spans="12:12" x14ac:dyDescent="0.25">
      <c r="L718" s="220"/>
    </row>
    <row r="719" spans="12:12" x14ac:dyDescent="0.25">
      <c r="L719" s="220"/>
    </row>
    <row r="720" spans="12:12" x14ac:dyDescent="0.25">
      <c r="L720" s="220"/>
    </row>
    <row r="721" spans="12:12" x14ac:dyDescent="0.25">
      <c r="L721" s="220"/>
    </row>
    <row r="722" spans="12:12" x14ac:dyDescent="0.25">
      <c r="L722" s="220"/>
    </row>
    <row r="723" spans="12:12" x14ac:dyDescent="0.25">
      <c r="L723" s="220"/>
    </row>
    <row r="724" spans="12:12" x14ac:dyDescent="0.25">
      <c r="L724" s="220"/>
    </row>
    <row r="725" spans="12:12" x14ac:dyDescent="0.25">
      <c r="L725" s="220"/>
    </row>
    <row r="726" spans="12:12" x14ac:dyDescent="0.25">
      <c r="L726" s="220"/>
    </row>
    <row r="727" spans="12:12" x14ac:dyDescent="0.25">
      <c r="L727" s="220"/>
    </row>
    <row r="728" spans="12:12" x14ac:dyDescent="0.25">
      <c r="L728" s="220"/>
    </row>
    <row r="729" spans="12:12" x14ac:dyDescent="0.25">
      <c r="L729" s="220"/>
    </row>
    <row r="730" spans="12:12" x14ac:dyDescent="0.25">
      <c r="L730" s="220"/>
    </row>
    <row r="731" spans="12:12" x14ac:dyDescent="0.25">
      <c r="L731" s="220"/>
    </row>
    <row r="732" spans="12:12" x14ac:dyDescent="0.25">
      <c r="L732" s="220"/>
    </row>
    <row r="733" spans="12:12" x14ac:dyDescent="0.25">
      <c r="L733" s="220"/>
    </row>
    <row r="734" spans="12:12" x14ac:dyDescent="0.25">
      <c r="L734" s="220"/>
    </row>
    <row r="735" spans="12:12" x14ac:dyDescent="0.25">
      <c r="L735" s="220"/>
    </row>
    <row r="736" spans="12:12" x14ac:dyDescent="0.25">
      <c r="L736" s="220"/>
    </row>
    <row r="737" spans="12:12" x14ac:dyDescent="0.25">
      <c r="L737" s="220"/>
    </row>
    <row r="738" spans="12:12" x14ac:dyDescent="0.25">
      <c r="L738" s="220"/>
    </row>
    <row r="739" spans="12:12" x14ac:dyDescent="0.25">
      <c r="L739" s="220"/>
    </row>
    <row r="740" spans="12:12" x14ac:dyDescent="0.25">
      <c r="L740" s="220"/>
    </row>
    <row r="741" spans="12:12" x14ac:dyDescent="0.25">
      <c r="L741" s="220"/>
    </row>
    <row r="742" spans="12:12" x14ac:dyDescent="0.25">
      <c r="L742" s="220"/>
    </row>
    <row r="743" spans="12:12" x14ac:dyDescent="0.25">
      <c r="L743" s="220"/>
    </row>
    <row r="744" spans="12:12" x14ac:dyDescent="0.25">
      <c r="L744" s="220"/>
    </row>
    <row r="745" spans="12:12" x14ac:dyDescent="0.25">
      <c r="L745" s="220"/>
    </row>
    <row r="746" spans="12:12" x14ac:dyDescent="0.25">
      <c r="L746" s="220"/>
    </row>
    <row r="747" spans="12:12" x14ac:dyDescent="0.25">
      <c r="L747" s="220"/>
    </row>
    <row r="748" spans="12:12" x14ac:dyDescent="0.25">
      <c r="L748" s="220"/>
    </row>
    <row r="749" spans="12:12" x14ac:dyDescent="0.25">
      <c r="L749" s="220"/>
    </row>
    <row r="750" spans="12:12" x14ac:dyDescent="0.25">
      <c r="L750" s="220"/>
    </row>
    <row r="751" spans="12:12" x14ac:dyDescent="0.25">
      <c r="L751" s="220"/>
    </row>
    <row r="752" spans="12:12" x14ac:dyDescent="0.25">
      <c r="L752" s="220"/>
    </row>
    <row r="753" spans="12:12" x14ac:dyDescent="0.25">
      <c r="L753" s="220"/>
    </row>
    <row r="754" spans="12:12" x14ac:dyDescent="0.25">
      <c r="L754" s="220"/>
    </row>
    <row r="755" spans="12:12" x14ac:dyDescent="0.25">
      <c r="L755" s="220"/>
    </row>
    <row r="756" spans="12:12" x14ac:dyDescent="0.25">
      <c r="L756" s="220"/>
    </row>
    <row r="757" spans="12:12" x14ac:dyDescent="0.25">
      <c r="L757" s="220"/>
    </row>
    <row r="758" spans="12:12" x14ac:dyDescent="0.25">
      <c r="L758" s="220"/>
    </row>
    <row r="759" spans="12:12" x14ac:dyDescent="0.25">
      <c r="L759" s="220"/>
    </row>
    <row r="760" spans="12:12" x14ac:dyDescent="0.25">
      <c r="L760" s="220"/>
    </row>
    <row r="761" spans="12:12" x14ac:dyDescent="0.25">
      <c r="L761" s="220"/>
    </row>
    <row r="762" spans="12:12" x14ac:dyDescent="0.25">
      <c r="L762" s="220"/>
    </row>
    <row r="763" spans="12:12" x14ac:dyDescent="0.25">
      <c r="L763" s="220"/>
    </row>
    <row r="764" spans="12:12" x14ac:dyDescent="0.25">
      <c r="L764" s="220"/>
    </row>
    <row r="765" spans="12:12" x14ac:dyDescent="0.25">
      <c r="L765" s="220"/>
    </row>
    <row r="766" spans="12:12" x14ac:dyDescent="0.25">
      <c r="L766" s="220"/>
    </row>
    <row r="767" spans="12:12" x14ac:dyDescent="0.25">
      <c r="L767" s="220"/>
    </row>
    <row r="768" spans="12:12" x14ac:dyDescent="0.25">
      <c r="L768" s="220"/>
    </row>
    <row r="769" spans="12:12" x14ac:dyDescent="0.25">
      <c r="L769" s="220"/>
    </row>
    <row r="770" spans="12:12" x14ac:dyDescent="0.25">
      <c r="L770" s="220"/>
    </row>
    <row r="771" spans="12:12" x14ac:dyDescent="0.25">
      <c r="L771" s="220"/>
    </row>
    <row r="772" spans="12:12" x14ac:dyDescent="0.25">
      <c r="L772" s="220"/>
    </row>
    <row r="773" spans="12:12" x14ac:dyDescent="0.25">
      <c r="L773" s="220"/>
    </row>
    <row r="774" spans="12:12" x14ac:dyDescent="0.25">
      <c r="L774" s="220"/>
    </row>
    <row r="775" spans="12:12" x14ac:dyDescent="0.25">
      <c r="L775" s="220"/>
    </row>
    <row r="776" spans="12:12" x14ac:dyDescent="0.25">
      <c r="L776" s="220"/>
    </row>
    <row r="777" spans="12:12" x14ac:dyDescent="0.25">
      <c r="L777" s="220"/>
    </row>
    <row r="778" spans="12:12" x14ac:dyDescent="0.25">
      <c r="L778" s="220"/>
    </row>
    <row r="779" spans="12:12" x14ac:dyDescent="0.25">
      <c r="L779" s="220"/>
    </row>
    <row r="780" spans="12:12" x14ac:dyDescent="0.25">
      <c r="L780" s="220"/>
    </row>
    <row r="781" spans="12:12" x14ac:dyDescent="0.25">
      <c r="L781" s="220"/>
    </row>
    <row r="782" spans="12:12" x14ac:dyDescent="0.25">
      <c r="L782" s="220"/>
    </row>
    <row r="783" spans="12:12" x14ac:dyDescent="0.25">
      <c r="L783" s="220"/>
    </row>
    <row r="784" spans="12:12" x14ac:dyDescent="0.25">
      <c r="L784" s="220"/>
    </row>
    <row r="785" spans="12:12" x14ac:dyDescent="0.25">
      <c r="L785" s="220"/>
    </row>
    <row r="786" spans="12:12" x14ac:dyDescent="0.25">
      <c r="L786" s="220"/>
    </row>
    <row r="787" spans="12:12" x14ac:dyDescent="0.25">
      <c r="L787" s="220"/>
    </row>
    <row r="788" spans="12:12" x14ac:dyDescent="0.25">
      <c r="L788" s="220"/>
    </row>
    <row r="789" spans="12:12" x14ac:dyDescent="0.25">
      <c r="L789" s="220"/>
    </row>
    <row r="790" spans="12:12" x14ac:dyDescent="0.25">
      <c r="L790" s="220"/>
    </row>
    <row r="791" spans="12:12" x14ac:dyDescent="0.25">
      <c r="L791" s="220"/>
    </row>
    <row r="792" spans="12:12" x14ac:dyDescent="0.25">
      <c r="L792" s="220"/>
    </row>
    <row r="793" spans="12:12" x14ac:dyDescent="0.25">
      <c r="L793" s="220"/>
    </row>
    <row r="794" spans="12:12" x14ac:dyDescent="0.25">
      <c r="L794" s="220"/>
    </row>
    <row r="795" spans="12:12" x14ac:dyDescent="0.25">
      <c r="L795" s="220"/>
    </row>
    <row r="796" spans="12:12" x14ac:dyDescent="0.25">
      <c r="L796" s="220"/>
    </row>
    <row r="797" spans="12:12" x14ac:dyDescent="0.25">
      <c r="L797" s="220"/>
    </row>
    <row r="798" spans="12:12" x14ac:dyDescent="0.25">
      <c r="L798" s="220"/>
    </row>
    <row r="799" spans="12:12" x14ac:dyDescent="0.25">
      <c r="L799" s="220"/>
    </row>
    <row r="800" spans="12:12" x14ac:dyDescent="0.25">
      <c r="L800" s="220"/>
    </row>
    <row r="801" spans="12:12" x14ac:dyDescent="0.25">
      <c r="L801" s="220"/>
    </row>
    <row r="802" spans="12:12" x14ac:dyDescent="0.25">
      <c r="L802" s="220"/>
    </row>
    <row r="803" spans="12:12" x14ac:dyDescent="0.25">
      <c r="L803" s="220"/>
    </row>
    <row r="804" spans="12:12" x14ac:dyDescent="0.25">
      <c r="L804" s="220"/>
    </row>
    <row r="805" spans="12:12" x14ac:dyDescent="0.25">
      <c r="L805" s="220"/>
    </row>
    <row r="806" spans="12:12" x14ac:dyDescent="0.25">
      <c r="L806" s="220"/>
    </row>
    <row r="807" spans="12:12" x14ac:dyDescent="0.25">
      <c r="L807" s="220"/>
    </row>
    <row r="808" spans="12:12" x14ac:dyDescent="0.25">
      <c r="L808" s="220"/>
    </row>
    <row r="809" spans="12:12" x14ac:dyDescent="0.25">
      <c r="L809" s="220"/>
    </row>
    <row r="810" spans="12:12" x14ac:dyDescent="0.25">
      <c r="L810" s="220"/>
    </row>
    <row r="811" spans="12:12" x14ac:dyDescent="0.25">
      <c r="L811" s="220"/>
    </row>
    <row r="812" spans="12:12" x14ac:dyDescent="0.25">
      <c r="L812" s="220"/>
    </row>
    <row r="813" spans="12:12" x14ac:dyDescent="0.25">
      <c r="L813" s="220"/>
    </row>
    <row r="814" spans="12:12" x14ac:dyDescent="0.25">
      <c r="L814" s="220"/>
    </row>
    <row r="815" spans="12:12" x14ac:dyDescent="0.25">
      <c r="L815" s="220"/>
    </row>
    <row r="816" spans="12:12" x14ac:dyDescent="0.25">
      <c r="L816" s="220"/>
    </row>
    <row r="817" spans="12:12" x14ac:dyDescent="0.25">
      <c r="L817" s="220"/>
    </row>
    <row r="818" spans="12:12" x14ac:dyDescent="0.25">
      <c r="L818" s="220"/>
    </row>
    <row r="819" spans="12:12" x14ac:dyDescent="0.25">
      <c r="L819" s="220"/>
    </row>
    <row r="820" spans="12:12" x14ac:dyDescent="0.25">
      <c r="L820" s="220"/>
    </row>
    <row r="821" spans="12:12" x14ac:dyDescent="0.25">
      <c r="L821" s="220"/>
    </row>
    <row r="822" spans="12:12" x14ac:dyDescent="0.25">
      <c r="L822" s="220"/>
    </row>
    <row r="823" spans="12:12" x14ac:dyDescent="0.25">
      <c r="L823" s="220"/>
    </row>
    <row r="824" spans="12:12" x14ac:dyDescent="0.25">
      <c r="L824" s="220"/>
    </row>
    <row r="825" spans="12:12" x14ac:dyDescent="0.25">
      <c r="L825" s="220"/>
    </row>
    <row r="826" spans="12:12" x14ac:dyDescent="0.25">
      <c r="L826" s="220"/>
    </row>
    <row r="827" spans="12:12" x14ac:dyDescent="0.25">
      <c r="L827" s="220"/>
    </row>
    <row r="828" spans="12:12" x14ac:dyDescent="0.25">
      <c r="L828" s="220"/>
    </row>
    <row r="829" spans="12:12" x14ac:dyDescent="0.25">
      <c r="L829" s="220"/>
    </row>
    <row r="830" spans="12:12" x14ac:dyDescent="0.25">
      <c r="L830" s="220"/>
    </row>
    <row r="831" spans="12:12" x14ac:dyDescent="0.25">
      <c r="L831" s="220"/>
    </row>
    <row r="832" spans="12:12" x14ac:dyDescent="0.25">
      <c r="L832" s="220"/>
    </row>
    <row r="833" spans="12:12" x14ac:dyDescent="0.25">
      <c r="L833" s="220"/>
    </row>
    <row r="834" spans="12:12" x14ac:dyDescent="0.25">
      <c r="L834" s="220"/>
    </row>
    <row r="835" spans="12:12" x14ac:dyDescent="0.25">
      <c r="L835" s="220"/>
    </row>
    <row r="836" spans="12:12" x14ac:dyDescent="0.25">
      <c r="L836" s="220"/>
    </row>
    <row r="837" spans="12:12" x14ac:dyDescent="0.25">
      <c r="L837" s="220"/>
    </row>
    <row r="838" spans="12:12" x14ac:dyDescent="0.25">
      <c r="L838" s="220"/>
    </row>
    <row r="839" spans="12:12" x14ac:dyDescent="0.25">
      <c r="L839" s="220"/>
    </row>
    <row r="840" spans="12:12" x14ac:dyDescent="0.25">
      <c r="L840" s="220"/>
    </row>
    <row r="841" spans="12:12" x14ac:dyDescent="0.25">
      <c r="L841" s="220"/>
    </row>
    <row r="842" spans="12:12" x14ac:dyDescent="0.25">
      <c r="L842" s="220"/>
    </row>
    <row r="843" spans="12:12" x14ac:dyDescent="0.25">
      <c r="L843" s="220"/>
    </row>
    <row r="844" spans="12:12" x14ac:dyDescent="0.25">
      <c r="L844" s="220"/>
    </row>
    <row r="845" spans="12:12" x14ac:dyDescent="0.25">
      <c r="L845" s="220"/>
    </row>
    <row r="846" spans="12:12" x14ac:dyDescent="0.25">
      <c r="L846" s="220"/>
    </row>
    <row r="847" spans="12:12" x14ac:dyDescent="0.25">
      <c r="L847" s="220"/>
    </row>
    <row r="848" spans="12:12" x14ac:dyDescent="0.25">
      <c r="L848" s="220"/>
    </row>
    <row r="849" spans="12:12" x14ac:dyDescent="0.25">
      <c r="L849" s="220"/>
    </row>
    <row r="850" spans="12:12" x14ac:dyDescent="0.25">
      <c r="L850" s="220"/>
    </row>
    <row r="851" spans="12:12" x14ac:dyDescent="0.25">
      <c r="L851" s="220"/>
    </row>
    <row r="852" spans="12:12" x14ac:dyDescent="0.25">
      <c r="L852" s="220"/>
    </row>
    <row r="853" spans="12:12" x14ac:dyDescent="0.25">
      <c r="L853" s="220"/>
    </row>
    <row r="854" spans="12:12" x14ac:dyDescent="0.25">
      <c r="L854" s="220"/>
    </row>
    <row r="855" spans="12:12" x14ac:dyDescent="0.25">
      <c r="L855" s="220"/>
    </row>
    <row r="856" spans="12:12" x14ac:dyDescent="0.25">
      <c r="L856" s="220"/>
    </row>
    <row r="857" spans="12:12" x14ac:dyDescent="0.25">
      <c r="L857" s="220"/>
    </row>
    <row r="858" spans="12:12" x14ac:dyDescent="0.25">
      <c r="L858" s="220"/>
    </row>
    <row r="859" spans="12:12" x14ac:dyDescent="0.25">
      <c r="L859" s="220"/>
    </row>
    <row r="860" spans="12:12" x14ac:dyDescent="0.25">
      <c r="L860" s="220"/>
    </row>
    <row r="861" spans="12:12" x14ac:dyDescent="0.25">
      <c r="L861" s="220"/>
    </row>
    <row r="862" spans="12:12" x14ac:dyDescent="0.25">
      <c r="L862" s="220"/>
    </row>
    <row r="863" spans="12:12" x14ac:dyDescent="0.25">
      <c r="L863" s="220"/>
    </row>
    <row r="864" spans="12:12" x14ac:dyDescent="0.25">
      <c r="L864" s="220"/>
    </row>
    <row r="865" spans="12:12" x14ac:dyDescent="0.25">
      <c r="L865" s="220"/>
    </row>
    <row r="866" spans="12:12" x14ac:dyDescent="0.25">
      <c r="L866" s="220"/>
    </row>
    <row r="867" spans="12:12" x14ac:dyDescent="0.25">
      <c r="L867" s="220"/>
    </row>
    <row r="868" spans="12:12" x14ac:dyDescent="0.25">
      <c r="L868" s="220"/>
    </row>
    <row r="869" spans="12:12" x14ac:dyDescent="0.25">
      <c r="L869" s="220"/>
    </row>
    <row r="870" spans="12:12" x14ac:dyDescent="0.25">
      <c r="L870" s="220"/>
    </row>
    <row r="871" spans="12:12" x14ac:dyDescent="0.25">
      <c r="L871" s="220"/>
    </row>
    <row r="872" spans="12:12" x14ac:dyDescent="0.25">
      <c r="L872" s="220"/>
    </row>
    <row r="873" spans="12:12" x14ac:dyDescent="0.25">
      <c r="L873" s="220"/>
    </row>
    <row r="874" spans="12:12" x14ac:dyDescent="0.25">
      <c r="L874" s="220"/>
    </row>
    <row r="875" spans="12:12" x14ac:dyDescent="0.25">
      <c r="L875" s="220"/>
    </row>
    <row r="876" spans="12:12" x14ac:dyDescent="0.25">
      <c r="L876" s="220"/>
    </row>
    <row r="877" spans="12:12" x14ac:dyDescent="0.25">
      <c r="L877" s="220"/>
    </row>
    <row r="878" spans="12:12" x14ac:dyDescent="0.25">
      <c r="L878" s="220"/>
    </row>
    <row r="879" spans="12:12" x14ac:dyDescent="0.25">
      <c r="L879" s="220"/>
    </row>
    <row r="880" spans="12:12" x14ac:dyDescent="0.25">
      <c r="L880" s="220"/>
    </row>
    <row r="881" spans="12:12" x14ac:dyDescent="0.25">
      <c r="L881" s="220"/>
    </row>
    <row r="882" spans="12:12" x14ac:dyDescent="0.25">
      <c r="L882" s="220"/>
    </row>
    <row r="883" spans="12:12" x14ac:dyDescent="0.25">
      <c r="L883" s="220"/>
    </row>
    <row r="884" spans="12:12" x14ac:dyDescent="0.25">
      <c r="L884" s="220"/>
    </row>
    <row r="885" spans="12:12" x14ac:dyDescent="0.25">
      <c r="L885" s="220"/>
    </row>
    <row r="886" spans="12:12" x14ac:dyDescent="0.25">
      <c r="L886" s="220"/>
    </row>
    <row r="887" spans="12:12" x14ac:dyDescent="0.25">
      <c r="L887" s="220"/>
    </row>
    <row r="888" spans="12:12" x14ac:dyDescent="0.25">
      <c r="L888" s="220"/>
    </row>
    <row r="889" spans="12:12" x14ac:dyDescent="0.25">
      <c r="L889" s="220"/>
    </row>
    <row r="890" spans="12:12" x14ac:dyDescent="0.25">
      <c r="L890" s="220"/>
    </row>
    <row r="891" spans="12:12" x14ac:dyDescent="0.25">
      <c r="L891" s="220"/>
    </row>
    <row r="892" spans="12:12" x14ac:dyDescent="0.25">
      <c r="L892" s="220"/>
    </row>
    <row r="893" spans="12:12" x14ac:dyDescent="0.25">
      <c r="L893" s="220"/>
    </row>
    <row r="894" spans="12:12" x14ac:dyDescent="0.25">
      <c r="L894" s="220"/>
    </row>
    <row r="895" spans="12:12" x14ac:dyDescent="0.25">
      <c r="L895" s="220"/>
    </row>
    <row r="896" spans="12:12" x14ac:dyDescent="0.25">
      <c r="L896" s="220"/>
    </row>
    <row r="897" spans="12:12" x14ac:dyDescent="0.25">
      <c r="L897" s="220"/>
    </row>
    <row r="898" spans="12:12" x14ac:dyDescent="0.25">
      <c r="L898" s="220"/>
    </row>
    <row r="899" spans="12:12" x14ac:dyDescent="0.25">
      <c r="L899" s="220"/>
    </row>
    <row r="900" spans="12:12" x14ac:dyDescent="0.25">
      <c r="L900" s="220"/>
    </row>
    <row r="901" spans="12:12" x14ac:dyDescent="0.25">
      <c r="L901" s="220"/>
    </row>
    <row r="902" spans="12:12" x14ac:dyDescent="0.25">
      <c r="L902" s="220"/>
    </row>
    <row r="903" spans="12:12" x14ac:dyDescent="0.25">
      <c r="L903" s="220"/>
    </row>
    <row r="904" spans="12:12" x14ac:dyDescent="0.25">
      <c r="L904" s="220"/>
    </row>
    <row r="905" spans="12:12" x14ac:dyDescent="0.25">
      <c r="L905" s="220"/>
    </row>
    <row r="906" spans="12:12" x14ac:dyDescent="0.25">
      <c r="L906" s="220"/>
    </row>
    <row r="907" spans="12:12" x14ac:dyDescent="0.25">
      <c r="L907" s="220"/>
    </row>
    <row r="908" spans="12:12" x14ac:dyDescent="0.25">
      <c r="L908" s="220"/>
    </row>
    <row r="909" spans="12:12" x14ac:dyDescent="0.25">
      <c r="L909" s="220"/>
    </row>
    <row r="910" spans="12:12" x14ac:dyDescent="0.25">
      <c r="L910" s="220"/>
    </row>
    <row r="911" spans="12:12" x14ac:dyDescent="0.25">
      <c r="L911" s="220"/>
    </row>
    <row r="912" spans="12:12" x14ac:dyDescent="0.25">
      <c r="L912" s="220"/>
    </row>
    <row r="913" spans="12:12" x14ac:dyDescent="0.25">
      <c r="L913" s="220"/>
    </row>
    <row r="914" spans="12:12" x14ac:dyDescent="0.25">
      <c r="L914" s="220"/>
    </row>
    <row r="915" spans="12:12" x14ac:dyDescent="0.25">
      <c r="L915" s="220"/>
    </row>
    <row r="916" spans="12:12" x14ac:dyDescent="0.25">
      <c r="L916" s="220"/>
    </row>
    <row r="917" spans="12:12" x14ac:dyDescent="0.25">
      <c r="L917" s="220"/>
    </row>
    <row r="918" spans="12:12" x14ac:dyDescent="0.25">
      <c r="L918" s="220"/>
    </row>
    <row r="919" spans="12:12" x14ac:dyDescent="0.25">
      <c r="L919" s="220"/>
    </row>
    <row r="920" spans="12:12" x14ac:dyDescent="0.25">
      <c r="L920" s="220"/>
    </row>
    <row r="921" spans="12:12" x14ac:dyDescent="0.25">
      <c r="L921" s="220"/>
    </row>
    <row r="922" spans="12:12" x14ac:dyDescent="0.25">
      <c r="L922" s="220"/>
    </row>
    <row r="923" spans="12:12" x14ac:dyDescent="0.25">
      <c r="L923" s="220"/>
    </row>
    <row r="924" spans="12:12" x14ac:dyDescent="0.25">
      <c r="L924" s="220"/>
    </row>
    <row r="925" spans="12:12" x14ac:dyDescent="0.25">
      <c r="L925" s="220"/>
    </row>
    <row r="926" spans="12:12" x14ac:dyDescent="0.25">
      <c r="L926" s="220"/>
    </row>
    <row r="927" spans="12:12" x14ac:dyDescent="0.25">
      <c r="L927" s="220"/>
    </row>
    <row r="928" spans="12:12" x14ac:dyDescent="0.25">
      <c r="L928" s="220"/>
    </row>
    <row r="929" spans="12:12" x14ac:dyDescent="0.25">
      <c r="L929" s="220"/>
    </row>
    <row r="930" spans="12:12" x14ac:dyDescent="0.25">
      <c r="L930" s="220"/>
    </row>
    <row r="931" spans="12:12" x14ac:dyDescent="0.25">
      <c r="L931" s="220"/>
    </row>
    <row r="932" spans="12:12" x14ac:dyDescent="0.25">
      <c r="L932" s="220"/>
    </row>
    <row r="933" spans="12:12" x14ac:dyDescent="0.25">
      <c r="L933" s="220"/>
    </row>
    <row r="934" spans="12:12" x14ac:dyDescent="0.25">
      <c r="L934" s="220"/>
    </row>
    <row r="935" spans="12:12" x14ac:dyDescent="0.25">
      <c r="L935" s="220"/>
    </row>
    <row r="936" spans="12:12" x14ac:dyDescent="0.25">
      <c r="L936" s="220"/>
    </row>
    <row r="937" spans="12:12" x14ac:dyDescent="0.25">
      <c r="L937" s="220"/>
    </row>
    <row r="938" spans="12:12" x14ac:dyDescent="0.25">
      <c r="L938" s="220"/>
    </row>
    <row r="939" spans="12:12" x14ac:dyDescent="0.25">
      <c r="L939" s="220"/>
    </row>
    <row r="940" spans="12:12" x14ac:dyDescent="0.25">
      <c r="L940" s="220"/>
    </row>
    <row r="941" spans="12:12" x14ac:dyDescent="0.25">
      <c r="L941" s="220"/>
    </row>
    <row r="942" spans="12:12" x14ac:dyDescent="0.25">
      <c r="L942" s="220"/>
    </row>
    <row r="943" spans="12:12" x14ac:dyDescent="0.25">
      <c r="L943" s="220"/>
    </row>
    <row r="944" spans="12:12" x14ac:dyDescent="0.25">
      <c r="L944" s="220"/>
    </row>
    <row r="945" spans="12:12" x14ac:dyDescent="0.25">
      <c r="L945" s="220"/>
    </row>
    <row r="946" spans="12:12" x14ac:dyDescent="0.25">
      <c r="L946" s="220"/>
    </row>
    <row r="947" spans="12:12" x14ac:dyDescent="0.25">
      <c r="L947" s="220"/>
    </row>
    <row r="948" spans="12:12" x14ac:dyDescent="0.25">
      <c r="L948" s="220"/>
    </row>
    <row r="949" spans="12:12" x14ac:dyDescent="0.25">
      <c r="L949" s="220"/>
    </row>
    <row r="950" spans="12:12" x14ac:dyDescent="0.25">
      <c r="L950" s="220"/>
    </row>
    <row r="951" spans="12:12" x14ac:dyDescent="0.25">
      <c r="L951" s="220"/>
    </row>
    <row r="952" spans="12:12" x14ac:dyDescent="0.25">
      <c r="L952" s="220"/>
    </row>
    <row r="953" spans="12:12" x14ac:dyDescent="0.25">
      <c r="L953" s="220"/>
    </row>
    <row r="954" spans="12:12" x14ac:dyDescent="0.25">
      <c r="L954" s="220"/>
    </row>
    <row r="955" spans="12:12" x14ac:dyDescent="0.25">
      <c r="L955" s="220"/>
    </row>
    <row r="956" spans="12:12" x14ac:dyDescent="0.25">
      <c r="L956" s="220"/>
    </row>
    <row r="957" spans="12:12" x14ac:dyDescent="0.25">
      <c r="L957" s="220"/>
    </row>
    <row r="958" spans="12:12" x14ac:dyDescent="0.25">
      <c r="L958" s="220"/>
    </row>
    <row r="959" spans="12:12" x14ac:dyDescent="0.25">
      <c r="L959" s="220"/>
    </row>
    <row r="960" spans="12:12" x14ac:dyDescent="0.25">
      <c r="L960" s="220"/>
    </row>
    <row r="961" spans="12:12" x14ac:dyDescent="0.25">
      <c r="L961" s="220"/>
    </row>
    <row r="962" spans="12:12" x14ac:dyDescent="0.25">
      <c r="L962" s="220"/>
    </row>
    <row r="963" spans="12:12" x14ac:dyDescent="0.25">
      <c r="L963" s="220"/>
    </row>
    <row r="964" spans="12:12" x14ac:dyDescent="0.25">
      <c r="L964" s="220"/>
    </row>
    <row r="965" spans="12:12" x14ac:dyDescent="0.25">
      <c r="L965" s="220"/>
    </row>
    <row r="966" spans="12:12" x14ac:dyDescent="0.25">
      <c r="L966" s="220"/>
    </row>
    <row r="967" spans="12:12" x14ac:dyDescent="0.25">
      <c r="L967" s="220"/>
    </row>
    <row r="968" spans="12:12" x14ac:dyDescent="0.25">
      <c r="L968" s="220"/>
    </row>
    <row r="969" spans="12:12" x14ac:dyDescent="0.25">
      <c r="L969" s="220"/>
    </row>
    <row r="970" spans="12:12" x14ac:dyDescent="0.25">
      <c r="L970" s="220"/>
    </row>
    <row r="971" spans="12:12" x14ac:dyDescent="0.25">
      <c r="L971" s="220"/>
    </row>
    <row r="972" spans="12:12" x14ac:dyDescent="0.25">
      <c r="L972" s="220"/>
    </row>
    <row r="973" spans="12:12" x14ac:dyDescent="0.25">
      <c r="L973" s="220"/>
    </row>
    <row r="974" spans="12:12" x14ac:dyDescent="0.25">
      <c r="L974" s="220"/>
    </row>
    <row r="975" spans="12:12" x14ac:dyDescent="0.25">
      <c r="L975" s="220"/>
    </row>
    <row r="976" spans="12:12" x14ac:dyDescent="0.25">
      <c r="L976" s="220"/>
    </row>
    <row r="977" spans="12:12" x14ac:dyDescent="0.25">
      <c r="L977" s="220"/>
    </row>
    <row r="978" spans="12:12" x14ac:dyDescent="0.25">
      <c r="L978" s="220"/>
    </row>
    <row r="979" spans="12:12" x14ac:dyDescent="0.25">
      <c r="L979" s="220"/>
    </row>
    <row r="980" spans="12:12" x14ac:dyDescent="0.25">
      <c r="L980" s="220"/>
    </row>
    <row r="981" spans="12:12" x14ac:dyDescent="0.25">
      <c r="L981" s="220"/>
    </row>
    <row r="982" spans="12:12" x14ac:dyDescent="0.25">
      <c r="L982" s="220"/>
    </row>
    <row r="983" spans="12:12" x14ac:dyDescent="0.25">
      <c r="L983" s="220"/>
    </row>
    <row r="984" spans="12:12" x14ac:dyDescent="0.25">
      <c r="L984" s="220"/>
    </row>
    <row r="985" spans="12:12" x14ac:dyDescent="0.25">
      <c r="L985" s="220"/>
    </row>
    <row r="986" spans="12:12" x14ac:dyDescent="0.25">
      <c r="L986" s="220"/>
    </row>
    <row r="987" spans="12:12" x14ac:dyDescent="0.25">
      <c r="L987" s="220"/>
    </row>
    <row r="988" spans="12:12" x14ac:dyDescent="0.25">
      <c r="L988" s="220"/>
    </row>
    <row r="989" spans="12:12" x14ac:dyDescent="0.25">
      <c r="L989" s="220"/>
    </row>
    <row r="990" spans="12:12" x14ac:dyDescent="0.25">
      <c r="L990" s="220"/>
    </row>
    <row r="991" spans="12:12" x14ac:dyDescent="0.25">
      <c r="L991" s="220"/>
    </row>
    <row r="992" spans="12:12" x14ac:dyDescent="0.25">
      <c r="L992" s="220"/>
    </row>
    <row r="993" spans="12:12" x14ac:dyDescent="0.25">
      <c r="L993" s="220"/>
    </row>
    <row r="994" spans="12:12" x14ac:dyDescent="0.25">
      <c r="L994" s="220"/>
    </row>
    <row r="995" spans="12:12" x14ac:dyDescent="0.25">
      <c r="L995" s="220"/>
    </row>
    <row r="996" spans="12:12" x14ac:dyDescent="0.25">
      <c r="L996" s="220"/>
    </row>
    <row r="997" spans="12:12" x14ac:dyDescent="0.25">
      <c r="L997" s="220"/>
    </row>
    <row r="998" spans="12:12" x14ac:dyDescent="0.25">
      <c r="L998" s="220"/>
    </row>
    <row r="999" spans="12:12" x14ac:dyDescent="0.25">
      <c r="L999" s="220"/>
    </row>
    <row r="1000" spans="12:12" x14ac:dyDescent="0.25">
      <c r="L1000" s="220"/>
    </row>
    <row r="1001" spans="12:12" x14ac:dyDescent="0.25">
      <c r="L1001" s="220"/>
    </row>
    <row r="1002" spans="12:12" x14ac:dyDescent="0.25">
      <c r="L1002" s="220"/>
    </row>
    <row r="1003" spans="12:12" ht="15.75" thickBot="1" x14ac:dyDescent="0.3">
      <c r="L1003" s="548"/>
    </row>
  </sheetData>
  <mergeCells count="5">
    <mergeCell ref="K2:M2"/>
    <mergeCell ref="G2:I2"/>
    <mergeCell ref="G5:I5"/>
    <mergeCell ref="G8:I8"/>
    <mergeCell ref="G11:I11"/>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06"/>
  <sheetViews>
    <sheetView topLeftCell="A1135" workbookViewId="0">
      <selection activeCell="P1135" sqref="P1135"/>
    </sheetView>
  </sheetViews>
  <sheetFormatPr defaultRowHeight="15" x14ac:dyDescent="0.25"/>
  <cols>
    <col min="1" max="1" width="9.28515625" bestFit="1" customWidth="1"/>
    <col min="2" max="2" width="8.85546875" bestFit="1" customWidth="1"/>
    <col min="3" max="3" width="18.140625" bestFit="1" customWidth="1"/>
    <col min="4" max="4" width="38.42578125" customWidth="1"/>
    <col min="5" max="5" width="15.5703125" bestFit="1" customWidth="1"/>
    <col min="6" max="6" width="18.85546875" bestFit="1" customWidth="1"/>
    <col min="7" max="7" width="14.5703125" bestFit="1" customWidth="1"/>
    <col min="8" max="8" width="17.140625" style="7" bestFit="1" customWidth="1"/>
    <col min="9" max="9" width="12.7109375" style="7" customWidth="1"/>
    <col min="10" max="10" width="19.42578125" style="21" customWidth="1"/>
    <col min="11" max="11" width="8.5703125" bestFit="1" customWidth="1"/>
    <col min="12" max="12" width="11.5703125" style="7" bestFit="1" customWidth="1"/>
    <col min="13" max="13" width="13" bestFit="1" customWidth="1"/>
    <col min="14" max="14" width="9.28515625" bestFit="1" customWidth="1"/>
    <col min="15" max="15" width="10.85546875" bestFit="1" customWidth="1"/>
    <col min="16" max="16" width="11.140625" bestFit="1" customWidth="1"/>
    <col min="17" max="18" width="19.42578125" bestFit="1" customWidth="1"/>
    <col min="19" max="19" width="25.85546875" bestFit="1" customWidth="1"/>
  </cols>
  <sheetData>
    <row r="1" spans="1:19" x14ac:dyDescent="0.25">
      <c r="A1" t="s">
        <v>0</v>
      </c>
      <c r="B1" t="s">
        <v>1</v>
      </c>
      <c r="C1" t="s">
        <v>2</v>
      </c>
      <c r="D1" t="s">
        <v>3</v>
      </c>
      <c r="E1" t="s">
        <v>52</v>
      </c>
      <c r="F1" t="s">
        <v>80</v>
      </c>
      <c r="G1" t="s">
        <v>81</v>
      </c>
      <c r="H1" s="7" t="s">
        <v>82</v>
      </c>
      <c r="I1" s="7" t="s">
        <v>83</v>
      </c>
      <c r="J1" s="21" t="s">
        <v>102</v>
      </c>
      <c r="K1" t="s">
        <v>84</v>
      </c>
      <c r="L1" s="7" t="s">
        <v>85</v>
      </c>
      <c r="M1" t="s">
        <v>86</v>
      </c>
      <c r="N1" t="s">
        <v>5</v>
      </c>
      <c r="O1" t="s">
        <v>7</v>
      </c>
      <c r="P1" t="s">
        <v>8</v>
      </c>
      <c r="Q1" t="s">
        <v>4</v>
      </c>
      <c r="R1" t="s">
        <v>9</v>
      </c>
      <c r="S1" t="s">
        <v>6</v>
      </c>
    </row>
    <row r="2" spans="1:19" x14ac:dyDescent="0.25">
      <c r="A2">
        <v>1</v>
      </c>
      <c r="B2" t="s">
        <v>49</v>
      </c>
      <c r="C2" t="s">
        <v>103</v>
      </c>
      <c r="D2" t="s">
        <v>412</v>
      </c>
      <c r="E2" s="50">
        <v>22371</v>
      </c>
      <c r="F2" s="38">
        <v>0</v>
      </c>
      <c r="G2" s="39">
        <v>0.9</v>
      </c>
      <c r="H2" s="50">
        <f>PlanGrid[[#This Row],[Spec Wattage]]*PlanGrid[[#This Row],[Equipment Count]]</f>
        <v>0</v>
      </c>
      <c r="I2" s="50">
        <f>((PlanGrid[[#This Row],[Demand Watt]]*PlanGrid[[#This Row],[Utilization %]]*'Schedule-Building Info'!$N$16)/1000)</f>
        <v>0</v>
      </c>
      <c r="J2" s="57">
        <f>PlanGrid[[#This Row],[kWh/yr]]*' Elec Utility (kWh)'!$M$7</f>
        <v>0</v>
      </c>
      <c r="K2" s="38">
        <f>PlanGrid[[#This Row],[kWh/yr]]/'Schedule-Building Info'!$B$6</f>
        <v>0</v>
      </c>
      <c r="L2" s="50">
        <f>CONVERT(PlanGrid[[#This Row],[kWh/yr]],"Wh","BTU")</f>
        <v>0</v>
      </c>
      <c r="M2" s="38">
        <f>PlanGrid[[#This Row],[kBtu/yr]]/'Schedule-Building Info'!$B$6</f>
        <v>0</v>
      </c>
      <c r="N2" t="s">
        <v>1089</v>
      </c>
      <c r="O2">
        <v>11</v>
      </c>
      <c r="P2" t="str">
        <f>VLOOKUP(PlanGrid[[#This Row],[Title]],'Spec Wattages'!$A$1:$C$973,3,FALSE)</f>
        <v>Mechanical</v>
      </c>
      <c r="Q2" t="s">
        <v>676</v>
      </c>
      <c r="R2" t="s">
        <v>1028</v>
      </c>
      <c r="S2" t="s">
        <v>11</v>
      </c>
    </row>
    <row r="3" spans="1:19" hidden="1" x14ac:dyDescent="0.25">
      <c r="A3">
        <v>4</v>
      </c>
      <c r="B3" t="s">
        <v>413</v>
      </c>
      <c r="C3" t="s">
        <v>103</v>
      </c>
      <c r="D3" t="s">
        <v>414</v>
      </c>
      <c r="E3" s="50">
        <v>0</v>
      </c>
      <c r="F3" s="38"/>
      <c r="G3" s="39"/>
      <c r="H3" s="50">
        <f>PlanGrid[[#This Row],[Spec Wattage]]*PlanGrid[[#This Row],[Equipment Count]]</f>
        <v>0</v>
      </c>
      <c r="I3" s="50">
        <f>((PlanGrid[[#This Row],[Demand Watt]]*PlanGrid[[#This Row],[Utilization %]]*'Schedule-Building Info'!$N$16)/1000)</f>
        <v>0</v>
      </c>
      <c r="J3" s="50">
        <f>PlanGrid[[#This Row],[kWh/yr]]*' Elec Utility (kWh)'!$M$7</f>
        <v>0</v>
      </c>
      <c r="K3" s="38">
        <f>PlanGrid[[#This Row],[kWh/yr]]/'Schedule-Building Info'!$B$6</f>
        <v>0</v>
      </c>
      <c r="L3" s="50">
        <f>CONVERT(PlanGrid[[#This Row],[kWh/yr]],"Wh","BTU")</f>
        <v>0</v>
      </c>
      <c r="M3" s="38">
        <f>PlanGrid[[#This Row],[kBtu/yr]]/'Schedule-Building Info'!$B$6</f>
        <v>0</v>
      </c>
      <c r="N3" t="s">
        <v>1089</v>
      </c>
      <c r="O3">
        <v>1</v>
      </c>
      <c r="P3" t="str">
        <f>VLOOKUP(PlanGrid[[#This Row],[Title]],'Spec Wattages'!$A$1:$C$973,3,FALSE)</f>
        <v>Mechanical</v>
      </c>
      <c r="Q3" t="s">
        <v>677</v>
      </c>
      <c r="R3" t="s">
        <v>722</v>
      </c>
      <c r="S3" t="s">
        <v>11</v>
      </c>
    </row>
    <row r="4" spans="1:19" x14ac:dyDescent="0.25">
      <c r="B4" t="s">
        <v>116</v>
      </c>
      <c r="E4" s="58">
        <v>0</v>
      </c>
      <c r="F4" s="38">
        <v>0</v>
      </c>
      <c r="G4" s="39">
        <v>0</v>
      </c>
      <c r="H4" s="58">
        <f>PlanGrid[[#This Row],[Spec Wattage]]*PlanGrid[[#This Row],[Equipment Count]]</f>
        <v>0</v>
      </c>
      <c r="I4" s="50">
        <f>((PlanGrid[[#This Row],[Demand Watt]]*PlanGrid[[#This Row],[Utilization %]]*'Schedule-Building Info'!$N$16)/1000)</f>
        <v>0</v>
      </c>
      <c r="J4" s="410">
        <f>PlanGrid[[#This Row],[kWh/yr]]*' Elec Utility (kWh)'!$M$7</f>
        <v>0</v>
      </c>
      <c r="K4" s="38">
        <f>PlanGrid[[#This Row],[kWh/yr]]/'Schedule-Building Info'!$B$6</f>
        <v>0</v>
      </c>
      <c r="L4" s="50">
        <f>CONVERT(PlanGrid[[#This Row],[kWh/yr]],"Wh","BTU")</f>
        <v>0</v>
      </c>
      <c r="M4" s="38">
        <f>PlanGrid[[#This Row],[kBtu/yr]]/'Schedule-Building Info'!$B$6</f>
        <v>0</v>
      </c>
      <c r="P4" s="1" t="s">
        <v>1238</v>
      </c>
    </row>
    <row r="5" spans="1:19" hidden="1" x14ac:dyDescent="0.25">
      <c r="A5">
        <v>714</v>
      </c>
      <c r="B5" t="s">
        <v>413</v>
      </c>
      <c r="C5" t="s">
        <v>103</v>
      </c>
      <c r="D5" t="s">
        <v>419</v>
      </c>
      <c r="E5" s="50">
        <v>0</v>
      </c>
      <c r="F5" s="38"/>
      <c r="G5" s="39"/>
      <c r="H5" s="50">
        <f>PlanGrid[[#This Row],[Spec Wattage]]*PlanGrid[[#This Row],[Equipment Count]]</f>
        <v>0</v>
      </c>
      <c r="I5" s="50">
        <f>((PlanGrid[[#This Row],[Demand Watt]]*PlanGrid[[#This Row],[Utilization %]]*'Schedule-Building Info'!$N$16)/1000)</f>
        <v>0</v>
      </c>
      <c r="J5" s="57">
        <f>PlanGrid[[#This Row],[kWh/yr]]*' Elec Utility (kWh)'!$M$7</f>
        <v>0</v>
      </c>
      <c r="K5" s="49">
        <f>PlanGrid[[#This Row],[kWh/yr]]/'Schedule-Building Info'!$B$6</f>
        <v>0</v>
      </c>
      <c r="L5" s="50">
        <f>CONVERT(PlanGrid[[#This Row],[kWh/yr]],"Wh","BTU")</f>
        <v>0</v>
      </c>
      <c r="M5" s="38">
        <f>PlanGrid[[#This Row],[kBtu/yr]]/'Schedule-Building Info'!$B$6</f>
        <v>0</v>
      </c>
      <c r="N5" t="s">
        <v>1090</v>
      </c>
      <c r="O5">
        <v>0</v>
      </c>
      <c r="P5" t="str">
        <f>VLOOKUP(PlanGrid[[#This Row],[Title]],'Spec Wattages'!$A$1:$C$973,3,FALSE)</f>
        <v>Mechanical</v>
      </c>
      <c r="Q5" t="s">
        <v>683</v>
      </c>
      <c r="R5" t="s">
        <v>999</v>
      </c>
      <c r="S5" t="s">
        <v>51</v>
      </c>
    </row>
    <row r="6" spans="1:19" x14ac:dyDescent="0.25">
      <c r="B6" t="s">
        <v>116</v>
      </c>
      <c r="E6" s="58">
        <v>0</v>
      </c>
      <c r="F6" s="38">
        <v>0</v>
      </c>
      <c r="G6" s="39">
        <v>0</v>
      </c>
      <c r="H6" s="58">
        <f>PlanGrid[[#This Row],[Spec Wattage]]*PlanGrid[[#This Row],[Equipment Count]]</f>
        <v>0</v>
      </c>
      <c r="I6" s="50">
        <f>((PlanGrid[[#This Row],[Demand Watt]]*PlanGrid[[#This Row],[Utilization %]]*'Schedule-Building Info'!$N$16)/1000)</f>
        <v>0</v>
      </c>
      <c r="J6" s="410">
        <f>PlanGrid[[#This Row],[kWh/yr]]*' Elec Utility (kWh)'!$M$7</f>
        <v>0</v>
      </c>
      <c r="K6" s="38">
        <f>PlanGrid[[#This Row],[kWh/yr]]/'Schedule-Building Info'!$B$6</f>
        <v>0</v>
      </c>
      <c r="L6" s="50">
        <f>CONVERT(PlanGrid[[#This Row],[kWh/yr]],"Wh","BTU")</f>
        <v>0</v>
      </c>
      <c r="M6" s="38">
        <f>PlanGrid[[#This Row],[kBtu/yr]]/'Schedule-Building Info'!$B$6</f>
        <v>0</v>
      </c>
      <c r="P6" s="1" t="s">
        <v>1238</v>
      </c>
    </row>
    <row r="7" spans="1:19" x14ac:dyDescent="0.25">
      <c r="A7">
        <v>2</v>
      </c>
      <c r="B7" t="s">
        <v>49</v>
      </c>
      <c r="C7" t="s">
        <v>103</v>
      </c>
      <c r="E7" s="50">
        <v>11185.5</v>
      </c>
      <c r="F7" s="38">
        <v>1</v>
      </c>
      <c r="G7" s="39">
        <v>0.9</v>
      </c>
      <c r="H7" s="58">
        <f>PlanGrid[[#This Row],[Spec Wattage]]*PlanGrid[[#This Row],[Equipment Count]]</f>
        <v>11185.5</v>
      </c>
      <c r="I7" s="50">
        <f>((PlanGrid[[#This Row],[Demand Watt]]*PlanGrid[[#This Row],[Utilization %]]*'Schedule-Building Info'!$N$16)/1000)</f>
        <v>55116.551250000004</v>
      </c>
      <c r="J7" s="57">
        <f>PlanGrid[[#This Row],[kWh/yr]]*' Elec Utility (kWh)'!$M$7</f>
        <v>5876.1596255404738</v>
      </c>
      <c r="K7" s="38">
        <f>PlanGrid[[#This Row],[kWh/yr]]/'Schedule-Building Info'!$B$6</f>
        <v>0.90638805522208887</v>
      </c>
      <c r="L7" s="50">
        <f>CONVERT(PlanGrid[[#This Row],[kWh/yr]],"Wh","BTU")</f>
        <v>188065.47919455491</v>
      </c>
      <c r="M7" s="38">
        <f>PlanGrid[[#This Row],[kBtu/yr]]/'Schedule-Building Info'!$B$6</f>
        <v>3.0927244189931575</v>
      </c>
      <c r="N7" t="s">
        <v>1090</v>
      </c>
      <c r="O7">
        <v>5</v>
      </c>
      <c r="P7" t="str">
        <f>VLOOKUP(PlanGrid[[#This Row],[Title]],'Spec Wattages'!$A$1:$C$973,3,FALSE)</f>
        <v>Mechanical</v>
      </c>
      <c r="Q7" t="s">
        <v>680</v>
      </c>
      <c r="R7" t="s">
        <v>1029</v>
      </c>
      <c r="S7" t="s">
        <v>11</v>
      </c>
    </row>
    <row r="8" spans="1:19" hidden="1" x14ac:dyDescent="0.25">
      <c r="A8">
        <v>3</v>
      </c>
      <c r="B8" t="s">
        <v>49</v>
      </c>
      <c r="C8" t="s">
        <v>103</v>
      </c>
      <c r="D8" t="s">
        <v>421</v>
      </c>
      <c r="E8" s="50">
        <v>0</v>
      </c>
      <c r="F8" s="38"/>
      <c r="G8" s="39"/>
      <c r="H8" s="50">
        <f>PlanGrid[[#This Row],[Spec Wattage]]*PlanGrid[[#This Row],[Equipment Count]]</f>
        <v>0</v>
      </c>
      <c r="I8" s="50">
        <f>((PlanGrid[[#This Row],[Demand Watt]]*PlanGrid[[#This Row],[Utilization %]]*'Schedule-Building Info'!$N$16)/1000)</f>
        <v>0</v>
      </c>
      <c r="J8" s="57">
        <f>PlanGrid[[#This Row],[kWh/yr]]*' Elec Utility (kWh)'!$M$7</f>
        <v>0</v>
      </c>
      <c r="K8" s="49">
        <f>PlanGrid[[#This Row],[kWh/yr]]/'Schedule-Building Info'!$B$6</f>
        <v>0</v>
      </c>
      <c r="L8" s="50">
        <f>CONVERT(PlanGrid[[#This Row],[kWh/yr]],"Wh","BTU")</f>
        <v>0</v>
      </c>
      <c r="M8" s="38">
        <f>PlanGrid[[#This Row],[kBtu/yr]]/'Schedule-Building Info'!$B$6</f>
        <v>0</v>
      </c>
      <c r="N8" t="s">
        <v>1092</v>
      </c>
      <c r="O8">
        <v>1</v>
      </c>
      <c r="P8" t="str">
        <f>VLOOKUP(PlanGrid[[#This Row],[Title]],'Spec Wattages'!$A$1:$C$973,3,FALSE)</f>
        <v>Mechanical</v>
      </c>
      <c r="Q8" t="s">
        <v>686</v>
      </c>
      <c r="R8" t="s">
        <v>1032</v>
      </c>
      <c r="S8" t="s">
        <v>11</v>
      </c>
    </row>
    <row r="9" spans="1:19" x14ac:dyDescent="0.25">
      <c r="A9">
        <v>13</v>
      </c>
      <c r="B9" t="s">
        <v>413</v>
      </c>
      <c r="C9" t="s">
        <v>103</v>
      </c>
      <c r="D9" t="s">
        <v>420</v>
      </c>
      <c r="E9" s="50">
        <v>7457</v>
      </c>
      <c r="F9" s="38">
        <v>1</v>
      </c>
      <c r="G9" s="39">
        <v>1.6</v>
      </c>
      <c r="H9" s="50">
        <f>PlanGrid[[#This Row],[Spec Wattage]]*PlanGrid[[#This Row],[Equipment Count]]</f>
        <v>7457</v>
      </c>
      <c r="I9" s="50">
        <f>((PlanGrid[[#This Row],[Demand Watt]]*PlanGrid[[#This Row],[Utilization %]]*'Schedule-Building Info'!$N$16)/1000)</f>
        <v>65323.320000000007</v>
      </c>
      <c r="J9" s="57">
        <f>PlanGrid[[#This Row],[kWh/yr]]*' Elec Utility (kWh)'!$M$7</f>
        <v>6964.3373339738946</v>
      </c>
      <c r="K9" s="49">
        <f>PlanGrid[[#This Row],[kWh/yr]]/'Schedule-Building Info'!$B$6</f>
        <v>1.0742376950780312</v>
      </c>
      <c r="L9" s="50">
        <f>CONVERT(PlanGrid[[#This Row],[kWh/yr]],"Wh","BTU")</f>
        <v>222892.41978613919</v>
      </c>
      <c r="M9" s="38">
        <f>PlanGrid[[#This Row],[kBtu/yr]]/'Schedule-Building Info'!$B$6</f>
        <v>3.6654511632511499</v>
      </c>
      <c r="N9" t="s">
        <v>1091</v>
      </c>
      <c r="O9">
        <v>3</v>
      </c>
      <c r="P9" t="str">
        <f>VLOOKUP(PlanGrid[[#This Row],[Title]],'Spec Wattages'!$A$1:$C$973,3,FALSE)</f>
        <v>Mechanical</v>
      </c>
      <c r="Q9" t="s">
        <v>684</v>
      </c>
      <c r="R9" t="s">
        <v>1030</v>
      </c>
      <c r="S9" t="s">
        <v>51</v>
      </c>
    </row>
    <row r="10" spans="1:19" hidden="1" x14ac:dyDescent="0.25">
      <c r="A10">
        <v>893</v>
      </c>
      <c r="B10" t="s">
        <v>423</v>
      </c>
      <c r="C10" t="s">
        <v>424</v>
      </c>
      <c r="D10" t="s">
        <v>425</v>
      </c>
      <c r="E10" s="50"/>
      <c r="F10" s="38"/>
      <c r="G10" s="39"/>
      <c r="H10" s="50">
        <f>PlanGrid[[#This Row],[Spec Wattage]]*PlanGrid[[#This Row],[Equipment Count]]</f>
        <v>0</v>
      </c>
      <c r="I10" s="50">
        <f>((PlanGrid[[#This Row],[Demand Watt]]*PlanGrid[[#This Row],[Utilization %]]*'Schedule-Building Info'!$N$16)/1000)</f>
        <v>0</v>
      </c>
      <c r="J10" s="57">
        <f>PlanGrid[[#This Row],[kWh/yr]]*' Elec Utility (kWh)'!$M$7</f>
        <v>0</v>
      </c>
      <c r="K10" s="49">
        <f>PlanGrid[[#This Row],[kWh/yr]]/'Schedule-Building Info'!$B$6</f>
        <v>0</v>
      </c>
      <c r="L10" s="50">
        <f>CONVERT(PlanGrid[[#This Row],[kWh/yr]],"Wh","BTU")</f>
        <v>0</v>
      </c>
      <c r="M10" s="38">
        <f>PlanGrid[[#This Row],[kBtu/yr]]/'Schedule-Building Info'!$B$6</f>
        <v>0</v>
      </c>
      <c r="N10" t="s">
        <v>1089</v>
      </c>
      <c r="O10">
        <v>0</v>
      </c>
      <c r="P10" t="e">
        <f>VLOOKUP(PlanGrid[[#This Row],[Title]],'Spec Wattages'!$A$1:$C$973,3,FALSE)</f>
        <v>#N/A</v>
      </c>
      <c r="Q10" t="s">
        <v>688</v>
      </c>
      <c r="R10" t="s">
        <v>688</v>
      </c>
      <c r="S10" t="s">
        <v>51</v>
      </c>
    </row>
    <row r="11" spans="1:19" hidden="1" x14ac:dyDescent="0.25">
      <c r="A11">
        <v>906</v>
      </c>
      <c r="B11" t="s">
        <v>423</v>
      </c>
      <c r="C11" t="s">
        <v>424</v>
      </c>
      <c r="D11" t="s">
        <v>425</v>
      </c>
      <c r="E11" s="50"/>
      <c r="F11" s="38"/>
      <c r="G11" s="39"/>
      <c r="H11" s="50">
        <f>PlanGrid[[#This Row],[Spec Wattage]]*PlanGrid[[#This Row],[Equipment Count]]</f>
        <v>0</v>
      </c>
      <c r="I11" s="50">
        <f>((PlanGrid[[#This Row],[Demand Watt]]*PlanGrid[[#This Row],[Utilization %]]*'Schedule-Building Info'!$N$16)/1000)</f>
        <v>0</v>
      </c>
      <c r="J11" s="57">
        <f>PlanGrid[[#This Row],[kWh/yr]]*' Elec Utility (kWh)'!$M$7</f>
        <v>0</v>
      </c>
      <c r="K11" s="49">
        <f>PlanGrid[[#This Row],[kWh/yr]]/'Schedule-Building Info'!$B$6</f>
        <v>0</v>
      </c>
      <c r="L11" s="50">
        <f>CONVERT(PlanGrid[[#This Row],[kWh/yr]],"Wh","BTU")</f>
        <v>0</v>
      </c>
      <c r="M11" s="38">
        <f>PlanGrid[[#This Row],[kBtu/yr]]/'Schedule-Building Info'!$B$6</f>
        <v>0</v>
      </c>
      <c r="N11" t="s">
        <v>1089</v>
      </c>
      <c r="O11">
        <v>0</v>
      </c>
      <c r="P11" t="e">
        <f>VLOOKUP(PlanGrid[[#This Row],[Title]],'Spec Wattages'!$A$1:$C$973,3,FALSE)</f>
        <v>#N/A</v>
      </c>
      <c r="Q11" t="s">
        <v>689</v>
      </c>
      <c r="R11" t="s">
        <v>953</v>
      </c>
      <c r="S11" t="s">
        <v>51</v>
      </c>
    </row>
    <row r="12" spans="1:19" hidden="1" x14ac:dyDescent="0.25">
      <c r="A12">
        <v>913</v>
      </c>
      <c r="B12" t="s">
        <v>423</v>
      </c>
      <c r="C12" t="s">
        <v>424</v>
      </c>
      <c r="D12" t="s">
        <v>425</v>
      </c>
      <c r="E12" s="50"/>
      <c r="F12" s="38"/>
      <c r="G12" s="39"/>
      <c r="H12" s="50">
        <f>PlanGrid[[#This Row],[Spec Wattage]]*PlanGrid[[#This Row],[Equipment Count]]</f>
        <v>0</v>
      </c>
      <c r="I12" s="50">
        <f>((PlanGrid[[#This Row],[Demand Watt]]*PlanGrid[[#This Row],[Utilization %]]*'Schedule-Building Info'!$N$16)/1000)</f>
        <v>0</v>
      </c>
      <c r="J12" s="57">
        <f>PlanGrid[[#This Row],[kWh/yr]]*' Elec Utility (kWh)'!$M$7</f>
        <v>0</v>
      </c>
      <c r="K12" s="49">
        <f>PlanGrid[[#This Row],[kWh/yr]]/'Schedule-Building Info'!$B$6</f>
        <v>0</v>
      </c>
      <c r="L12" s="50">
        <f>CONVERT(PlanGrid[[#This Row],[kWh/yr]],"Wh","BTU")</f>
        <v>0</v>
      </c>
      <c r="M12" s="38">
        <f>PlanGrid[[#This Row],[kBtu/yr]]/'Schedule-Building Info'!$B$6</f>
        <v>0</v>
      </c>
      <c r="N12" t="s">
        <v>1089</v>
      </c>
      <c r="O12">
        <v>0</v>
      </c>
      <c r="P12" t="e">
        <f>VLOOKUP(PlanGrid[[#This Row],[Title]],'Spec Wattages'!$A$1:$C$973,3,FALSE)</f>
        <v>#N/A</v>
      </c>
      <c r="Q12" t="s">
        <v>690</v>
      </c>
      <c r="R12" t="s">
        <v>690</v>
      </c>
      <c r="S12" t="s">
        <v>51</v>
      </c>
    </row>
    <row r="13" spans="1:19" hidden="1" x14ac:dyDescent="0.25">
      <c r="A13">
        <v>921</v>
      </c>
      <c r="B13" t="s">
        <v>423</v>
      </c>
      <c r="C13" t="s">
        <v>424</v>
      </c>
      <c r="D13" t="s">
        <v>426</v>
      </c>
      <c r="E13" s="50"/>
      <c r="F13" s="38"/>
      <c r="G13" s="39"/>
      <c r="H13" s="50">
        <f>PlanGrid[[#This Row],[Spec Wattage]]*PlanGrid[[#This Row],[Equipment Count]]</f>
        <v>0</v>
      </c>
      <c r="I13" s="50">
        <f>((PlanGrid[[#This Row],[Demand Watt]]*PlanGrid[[#This Row],[Utilization %]]*'Schedule-Building Info'!$N$16)/1000)</f>
        <v>0</v>
      </c>
      <c r="J13" s="57">
        <f>PlanGrid[[#This Row],[kWh/yr]]*' Elec Utility (kWh)'!$M$7</f>
        <v>0</v>
      </c>
      <c r="K13" s="49">
        <f>PlanGrid[[#This Row],[kWh/yr]]/'Schedule-Building Info'!$B$6</f>
        <v>0</v>
      </c>
      <c r="L13" s="50">
        <f>CONVERT(PlanGrid[[#This Row],[kWh/yr]],"Wh","BTU")</f>
        <v>0</v>
      </c>
      <c r="M13" s="38">
        <f>PlanGrid[[#This Row],[kBtu/yr]]/'Schedule-Building Info'!$B$6</f>
        <v>0</v>
      </c>
      <c r="N13" t="s">
        <v>1089</v>
      </c>
      <c r="O13">
        <v>0</v>
      </c>
      <c r="P13" t="e">
        <f>VLOOKUP(PlanGrid[[#This Row],[Title]],'Spec Wattages'!$A$1:$C$973,3,FALSE)</f>
        <v>#N/A</v>
      </c>
      <c r="Q13" t="s">
        <v>691</v>
      </c>
      <c r="R13" t="s">
        <v>691</v>
      </c>
      <c r="S13" t="s">
        <v>11</v>
      </c>
    </row>
    <row r="14" spans="1:19" hidden="1" x14ac:dyDescent="0.25">
      <c r="A14">
        <v>922</v>
      </c>
      <c r="B14" t="s">
        <v>423</v>
      </c>
      <c r="C14" t="s">
        <v>424</v>
      </c>
      <c r="D14" t="s">
        <v>426</v>
      </c>
      <c r="E14" s="50"/>
      <c r="F14" s="38"/>
      <c r="G14" s="39"/>
      <c r="H14" s="50">
        <f>PlanGrid[[#This Row],[Spec Wattage]]*PlanGrid[[#This Row],[Equipment Count]]</f>
        <v>0</v>
      </c>
      <c r="I14" s="50">
        <f>((PlanGrid[[#This Row],[Demand Watt]]*PlanGrid[[#This Row],[Utilization %]]*'Schedule-Building Info'!$N$16)/1000)</f>
        <v>0</v>
      </c>
      <c r="J14" s="57">
        <f>PlanGrid[[#This Row],[kWh/yr]]*' Elec Utility (kWh)'!$M$7</f>
        <v>0</v>
      </c>
      <c r="K14" s="49">
        <f>PlanGrid[[#This Row],[kWh/yr]]/'Schedule-Building Info'!$B$6</f>
        <v>0</v>
      </c>
      <c r="L14" s="50">
        <f>CONVERT(PlanGrid[[#This Row],[kWh/yr]],"Wh","BTU")</f>
        <v>0</v>
      </c>
      <c r="M14" s="38">
        <f>PlanGrid[[#This Row],[kBtu/yr]]/'Schedule-Building Info'!$B$6</f>
        <v>0</v>
      </c>
      <c r="N14" t="s">
        <v>1089</v>
      </c>
      <c r="O14">
        <v>0</v>
      </c>
      <c r="P14" t="e">
        <f>VLOOKUP(PlanGrid[[#This Row],[Title]],'Spec Wattages'!$A$1:$C$973,3,FALSE)</f>
        <v>#N/A</v>
      </c>
      <c r="Q14" t="s">
        <v>693</v>
      </c>
      <c r="R14" t="s">
        <v>691</v>
      </c>
      <c r="S14" t="s">
        <v>11</v>
      </c>
    </row>
    <row r="15" spans="1:19" hidden="1" x14ac:dyDescent="0.25">
      <c r="A15">
        <v>923</v>
      </c>
      <c r="B15" t="s">
        <v>423</v>
      </c>
      <c r="C15" t="s">
        <v>424</v>
      </c>
      <c r="D15" t="s">
        <v>428</v>
      </c>
      <c r="E15" s="50"/>
      <c r="F15" s="38"/>
      <c r="G15" s="39"/>
      <c r="H15" s="50">
        <f>PlanGrid[[#This Row],[Spec Wattage]]*PlanGrid[[#This Row],[Equipment Count]]</f>
        <v>0</v>
      </c>
      <c r="I15" s="50">
        <f>((PlanGrid[[#This Row],[Demand Watt]]*PlanGrid[[#This Row],[Utilization %]]*'Schedule-Building Info'!$N$16)/1000)</f>
        <v>0</v>
      </c>
      <c r="J15" s="57">
        <f>PlanGrid[[#This Row],[kWh/yr]]*' Elec Utility (kWh)'!$M$7</f>
        <v>0</v>
      </c>
      <c r="K15" s="49">
        <f>PlanGrid[[#This Row],[kWh/yr]]/'Schedule-Building Info'!$B$6</f>
        <v>0</v>
      </c>
      <c r="L15" s="50">
        <f>CONVERT(PlanGrid[[#This Row],[kWh/yr]],"Wh","BTU")</f>
        <v>0</v>
      </c>
      <c r="M15" s="38">
        <f>PlanGrid[[#This Row],[kBtu/yr]]/'Schedule-Building Info'!$B$6</f>
        <v>0</v>
      </c>
      <c r="N15" t="s">
        <v>1089</v>
      </c>
      <c r="O15">
        <v>1</v>
      </c>
      <c r="P15" t="e">
        <f>VLOOKUP(PlanGrid[[#This Row],[Title]],'Spec Wattages'!$A$1:$C$973,3,FALSE)</f>
        <v>#N/A</v>
      </c>
      <c r="Q15" t="s">
        <v>694</v>
      </c>
      <c r="R15" t="s">
        <v>1035</v>
      </c>
      <c r="S15" t="s">
        <v>51</v>
      </c>
    </row>
    <row r="16" spans="1:19" hidden="1" x14ac:dyDescent="0.25">
      <c r="A16">
        <v>928</v>
      </c>
      <c r="B16" t="s">
        <v>423</v>
      </c>
      <c r="C16" t="s">
        <v>424</v>
      </c>
      <c r="D16" t="s">
        <v>429</v>
      </c>
      <c r="E16" s="50"/>
      <c r="F16" s="38"/>
      <c r="G16" s="39"/>
      <c r="H16" s="50">
        <f>PlanGrid[[#This Row],[Spec Wattage]]*PlanGrid[[#This Row],[Equipment Count]]</f>
        <v>0</v>
      </c>
      <c r="I16" s="50">
        <f>((PlanGrid[[#This Row],[Demand Watt]]*PlanGrid[[#This Row],[Utilization %]]*'Schedule-Building Info'!$N$16)/1000)</f>
        <v>0</v>
      </c>
      <c r="J16" s="57">
        <f>PlanGrid[[#This Row],[kWh/yr]]*' Elec Utility (kWh)'!$M$7</f>
        <v>0</v>
      </c>
      <c r="K16" s="49">
        <f>PlanGrid[[#This Row],[kWh/yr]]/'Schedule-Building Info'!$B$6</f>
        <v>0</v>
      </c>
      <c r="L16" s="50">
        <f>CONVERT(PlanGrid[[#This Row],[kWh/yr]],"Wh","BTU")</f>
        <v>0</v>
      </c>
      <c r="M16" s="38">
        <f>PlanGrid[[#This Row],[kBtu/yr]]/'Schedule-Building Info'!$B$6</f>
        <v>0</v>
      </c>
      <c r="N16" t="s">
        <v>1089</v>
      </c>
      <c r="O16">
        <v>2</v>
      </c>
      <c r="P16" t="e">
        <f>VLOOKUP(PlanGrid[[#This Row],[Title]],'Spec Wattages'!$A$1:$C$973,3,FALSE)</f>
        <v>#N/A</v>
      </c>
      <c r="Q16" t="s">
        <v>695</v>
      </c>
      <c r="R16" t="s">
        <v>1036</v>
      </c>
      <c r="S16" t="s">
        <v>51</v>
      </c>
    </row>
    <row r="17" spans="1:19" hidden="1" x14ac:dyDescent="0.25">
      <c r="A17">
        <v>929</v>
      </c>
      <c r="B17" t="s">
        <v>423</v>
      </c>
      <c r="C17" t="s">
        <v>424</v>
      </c>
      <c r="D17" t="s">
        <v>432</v>
      </c>
      <c r="E17" s="50"/>
      <c r="F17" s="38"/>
      <c r="G17" s="39"/>
      <c r="H17" s="50">
        <f>PlanGrid[[#This Row],[Spec Wattage]]*PlanGrid[[#This Row],[Equipment Count]]</f>
        <v>0</v>
      </c>
      <c r="I17" s="50">
        <f>((PlanGrid[[#This Row],[Demand Watt]]*PlanGrid[[#This Row],[Utilization %]]*'Schedule-Building Info'!$N$16)/1000)</f>
        <v>0</v>
      </c>
      <c r="J17" s="57">
        <f>PlanGrid[[#This Row],[kWh/yr]]*' Elec Utility (kWh)'!$M$7</f>
        <v>0</v>
      </c>
      <c r="K17" s="49">
        <f>PlanGrid[[#This Row],[kWh/yr]]/'Schedule-Building Info'!$B$6</f>
        <v>0</v>
      </c>
      <c r="L17" s="50">
        <f>CONVERT(PlanGrid[[#This Row],[kWh/yr]],"Wh","BTU")</f>
        <v>0</v>
      </c>
      <c r="M17" s="38">
        <f>PlanGrid[[#This Row],[kBtu/yr]]/'Schedule-Building Info'!$B$6</f>
        <v>0</v>
      </c>
      <c r="N17" t="s">
        <v>1089</v>
      </c>
      <c r="O17">
        <v>0</v>
      </c>
      <c r="P17" t="e">
        <f>VLOOKUP(PlanGrid[[#This Row],[Title]],'Spec Wattages'!$A$1:$C$973,3,FALSE)</f>
        <v>#N/A</v>
      </c>
      <c r="Q17" t="s">
        <v>699</v>
      </c>
      <c r="R17" t="s">
        <v>699</v>
      </c>
      <c r="S17" t="s">
        <v>51</v>
      </c>
    </row>
    <row r="18" spans="1:19" hidden="1" x14ac:dyDescent="0.25">
      <c r="A18">
        <v>933</v>
      </c>
      <c r="B18" t="s">
        <v>423</v>
      </c>
      <c r="C18" t="s">
        <v>424</v>
      </c>
      <c r="D18" t="s">
        <v>433</v>
      </c>
      <c r="E18" s="50"/>
      <c r="F18" s="38"/>
      <c r="G18" s="39"/>
      <c r="H18" s="50">
        <f>PlanGrid[[#This Row],[Spec Wattage]]*PlanGrid[[#This Row],[Equipment Count]]</f>
        <v>0</v>
      </c>
      <c r="I18" s="50">
        <f>((PlanGrid[[#This Row],[Demand Watt]]*PlanGrid[[#This Row],[Utilization %]]*'Schedule-Building Info'!$N$16)/1000)</f>
        <v>0</v>
      </c>
      <c r="J18" s="57">
        <f>PlanGrid[[#This Row],[kWh/yr]]*' Elec Utility (kWh)'!$M$7</f>
        <v>0</v>
      </c>
      <c r="K18" s="49">
        <f>PlanGrid[[#This Row],[kWh/yr]]/'Schedule-Building Info'!$B$6</f>
        <v>0</v>
      </c>
      <c r="L18" s="50">
        <f>CONVERT(PlanGrid[[#This Row],[kWh/yr]],"Wh","BTU")</f>
        <v>0</v>
      </c>
      <c r="M18" s="38">
        <f>PlanGrid[[#This Row],[kBtu/yr]]/'Schedule-Building Info'!$B$6</f>
        <v>0</v>
      </c>
      <c r="N18" t="s">
        <v>1089</v>
      </c>
      <c r="O18">
        <v>5</v>
      </c>
      <c r="P18" t="e">
        <f>VLOOKUP(PlanGrid[[#This Row],[Title]],'Spec Wattages'!$A$1:$C$973,3,FALSE)</f>
        <v>#N/A</v>
      </c>
      <c r="Q18" t="s">
        <v>700</v>
      </c>
      <c r="R18" t="s">
        <v>796</v>
      </c>
      <c r="S18" t="s">
        <v>51</v>
      </c>
    </row>
    <row r="19" spans="1:19" hidden="1" x14ac:dyDescent="0.25">
      <c r="A19">
        <v>977</v>
      </c>
      <c r="B19" t="s">
        <v>423</v>
      </c>
      <c r="C19" t="s">
        <v>424</v>
      </c>
      <c r="D19" t="s">
        <v>425</v>
      </c>
      <c r="E19" s="50"/>
      <c r="F19" s="38"/>
      <c r="G19" s="39"/>
      <c r="H19" s="50">
        <f>PlanGrid[[#This Row],[Spec Wattage]]*PlanGrid[[#This Row],[Equipment Count]]</f>
        <v>0</v>
      </c>
      <c r="I19" s="50">
        <f>((PlanGrid[[#This Row],[Demand Watt]]*PlanGrid[[#This Row],[Utilization %]]*'Schedule-Building Info'!$N$16)/1000)</f>
        <v>0</v>
      </c>
      <c r="J19" s="57">
        <f>PlanGrid[[#This Row],[kWh/yr]]*' Elec Utility (kWh)'!$M$7</f>
        <v>0</v>
      </c>
      <c r="K19" s="49">
        <f>PlanGrid[[#This Row],[kWh/yr]]/'Schedule-Building Info'!$B$6</f>
        <v>0</v>
      </c>
      <c r="L19" s="50">
        <f>CONVERT(PlanGrid[[#This Row],[kWh/yr]],"Wh","BTU")</f>
        <v>0</v>
      </c>
      <c r="M19" s="38">
        <f>PlanGrid[[#This Row],[kBtu/yr]]/'Schedule-Building Info'!$B$6</f>
        <v>0</v>
      </c>
      <c r="N19" t="s">
        <v>1089</v>
      </c>
      <c r="O19">
        <v>0</v>
      </c>
      <c r="P19" t="e">
        <f>VLOOKUP(PlanGrid[[#This Row],[Title]],'Spec Wattages'!$A$1:$C$973,3,FALSE)</f>
        <v>#N/A</v>
      </c>
      <c r="Q19" t="s">
        <v>701</v>
      </c>
      <c r="R19" t="s">
        <v>750</v>
      </c>
      <c r="S19" t="s">
        <v>51</v>
      </c>
    </row>
    <row r="20" spans="1:19" hidden="1" x14ac:dyDescent="0.25">
      <c r="A20">
        <v>998</v>
      </c>
      <c r="B20" t="s">
        <v>423</v>
      </c>
      <c r="C20" t="s">
        <v>424</v>
      </c>
      <c r="D20" t="s">
        <v>426</v>
      </c>
      <c r="E20" s="50"/>
      <c r="F20" s="38"/>
      <c r="G20" s="39"/>
      <c r="H20" s="50">
        <f>PlanGrid[[#This Row],[Spec Wattage]]*PlanGrid[[#This Row],[Equipment Count]]</f>
        <v>0</v>
      </c>
      <c r="I20" s="50">
        <f>((PlanGrid[[#This Row],[Demand Watt]]*PlanGrid[[#This Row],[Utilization %]]*'Schedule-Building Info'!$N$16)/1000)</f>
        <v>0</v>
      </c>
      <c r="J20" s="57">
        <f>PlanGrid[[#This Row],[kWh/yr]]*' Elec Utility (kWh)'!$M$7</f>
        <v>0</v>
      </c>
      <c r="K20" s="49">
        <f>PlanGrid[[#This Row],[kWh/yr]]/'Schedule-Building Info'!$B$6</f>
        <v>0</v>
      </c>
      <c r="L20" s="50">
        <f>CONVERT(PlanGrid[[#This Row],[kWh/yr]],"Wh","BTU")</f>
        <v>0</v>
      </c>
      <c r="M20" s="38">
        <f>PlanGrid[[#This Row],[kBtu/yr]]/'Schedule-Building Info'!$B$6</f>
        <v>0</v>
      </c>
      <c r="N20" t="s">
        <v>1089</v>
      </c>
      <c r="O20">
        <v>0</v>
      </c>
      <c r="P20" t="e">
        <f>VLOOKUP(PlanGrid[[#This Row],[Title]],'Spec Wattages'!$A$1:$C$973,3,FALSE)</f>
        <v>#N/A</v>
      </c>
      <c r="Q20" t="s">
        <v>702</v>
      </c>
      <c r="R20" t="s">
        <v>1037</v>
      </c>
      <c r="S20" t="s">
        <v>11</v>
      </c>
    </row>
    <row r="21" spans="1:19" hidden="1" x14ac:dyDescent="0.25">
      <c r="A21">
        <v>1002</v>
      </c>
      <c r="B21" t="s">
        <v>423</v>
      </c>
      <c r="C21" t="s">
        <v>424</v>
      </c>
      <c r="D21" t="s">
        <v>426</v>
      </c>
      <c r="E21" s="50"/>
      <c r="F21" s="38"/>
      <c r="G21" s="39"/>
      <c r="H21" s="50">
        <f>PlanGrid[[#This Row],[Spec Wattage]]*PlanGrid[[#This Row],[Equipment Count]]</f>
        <v>0</v>
      </c>
      <c r="I21" s="50">
        <f>((PlanGrid[[#This Row],[Demand Watt]]*PlanGrid[[#This Row],[Utilization %]]*'Schedule-Building Info'!$N$16)/1000)</f>
        <v>0</v>
      </c>
      <c r="J21" s="57">
        <f>PlanGrid[[#This Row],[kWh/yr]]*' Elec Utility (kWh)'!$M$7</f>
        <v>0</v>
      </c>
      <c r="K21" s="49">
        <f>PlanGrid[[#This Row],[kWh/yr]]/'Schedule-Building Info'!$B$6</f>
        <v>0</v>
      </c>
      <c r="L21" s="50">
        <f>CONVERT(PlanGrid[[#This Row],[kWh/yr]],"Wh","BTU")</f>
        <v>0</v>
      </c>
      <c r="M21" s="38">
        <f>PlanGrid[[#This Row],[kBtu/yr]]/'Schedule-Building Info'!$B$6</f>
        <v>0</v>
      </c>
      <c r="N21" t="s">
        <v>1089</v>
      </c>
      <c r="O21">
        <v>0</v>
      </c>
      <c r="P21" t="e">
        <f>VLOOKUP(PlanGrid[[#This Row],[Title]],'Spec Wattages'!$A$1:$C$973,3,FALSE)</f>
        <v>#N/A</v>
      </c>
      <c r="Q21" t="s">
        <v>703</v>
      </c>
      <c r="R21" t="s">
        <v>704</v>
      </c>
      <c r="S21" t="s">
        <v>11</v>
      </c>
    </row>
    <row r="22" spans="1:19" hidden="1" x14ac:dyDescent="0.25">
      <c r="A22">
        <v>1005</v>
      </c>
      <c r="B22" t="s">
        <v>423</v>
      </c>
      <c r="C22" t="s">
        <v>424</v>
      </c>
      <c r="D22" t="s">
        <v>434</v>
      </c>
      <c r="E22" s="50"/>
      <c r="F22" s="38"/>
      <c r="G22" s="39"/>
      <c r="H22" s="50">
        <f>PlanGrid[[#This Row],[Spec Wattage]]*PlanGrid[[#This Row],[Equipment Count]]</f>
        <v>0</v>
      </c>
      <c r="I22" s="50">
        <f>((PlanGrid[[#This Row],[Demand Watt]]*PlanGrid[[#This Row],[Utilization %]]*'Schedule-Building Info'!$N$16)/1000)</f>
        <v>0</v>
      </c>
      <c r="J22" s="57">
        <f>PlanGrid[[#This Row],[kWh/yr]]*' Elec Utility (kWh)'!$M$7</f>
        <v>0</v>
      </c>
      <c r="K22" s="49">
        <f>PlanGrid[[#This Row],[kWh/yr]]/'Schedule-Building Info'!$B$6</f>
        <v>0</v>
      </c>
      <c r="L22" s="50">
        <f>CONVERT(PlanGrid[[#This Row],[kWh/yr]],"Wh","BTU")</f>
        <v>0</v>
      </c>
      <c r="M22" s="38">
        <f>PlanGrid[[#This Row],[kBtu/yr]]/'Schedule-Building Info'!$B$6</f>
        <v>0</v>
      </c>
      <c r="N22" t="s">
        <v>1089</v>
      </c>
      <c r="O22">
        <v>0</v>
      </c>
      <c r="P22" t="e">
        <f>VLOOKUP(PlanGrid[[#This Row],[Title]],'Spec Wattages'!$A$1:$C$973,3,FALSE)</f>
        <v>#N/A</v>
      </c>
      <c r="Q22" t="s">
        <v>704</v>
      </c>
      <c r="R22" t="s">
        <v>704</v>
      </c>
      <c r="S22" t="s">
        <v>51</v>
      </c>
    </row>
    <row r="23" spans="1:19" hidden="1" x14ac:dyDescent="0.25">
      <c r="A23">
        <v>1043</v>
      </c>
      <c r="B23" t="s">
        <v>423</v>
      </c>
      <c r="C23" t="s">
        <v>424</v>
      </c>
      <c r="D23" t="s">
        <v>426</v>
      </c>
      <c r="E23" s="50"/>
      <c r="F23" s="38"/>
      <c r="G23" s="39"/>
      <c r="H23" s="50">
        <f>PlanGrid[[#This Row],[Spec Wattage]]*PlanGrid[[#This Row],[Equipment Count]]</f>
        <v>0</v>
      </c>
      <c r="I23" s="50">
        <f>((PlanGrid[[#This Row],[Demand Watt]]*PlanGrid[[#This Row],[Utilization %]]*'Schedule-Building Info'!$N$16)/1000)</f>
        <v>0</v>
      </c>
      <c r="J23" s="57">
        <f>PlanGrid[[#This Row],[kWh/yr]]*' Elec Utility (kWh)'!$M$7</f>
        <v>0</v>
      </c>
      <c r="K23" s="49">
        <f>PlanGrid[[#This Row],[kWh/yr]]/'Schedule-Building Info'!$B$6</f>
        <v>0</v>
      </c>
      <c r="L23" s="50">
        <f>CONVERT(PlanGrid[[#This Row],[kWh/yr]],"Wh","BTU")</f>
        <v>0</v>
      </c>
      <c r="M23" s="38">
        <f>PlanGrid[[#This Row],[kBtu/yr]]/'Schedule-Building Info'!$B$6</f>
        <v>0</v>
      </c>
      <c r="N23" t="s">
        <v>1089</v>
      </c>
      <c r="O23">
        <v>0</v>
      </c>
      <c r="P23" t="e">
        <f>VLOOKUP(PlanGrid[[#This Row],[Title]],'Spec Wattages'!$A$1:$C$973,3,FALSE)</f>
        <v>#N/A</v>
      </c>
      <c r="Q23" t="s">
        <v>705</v>
      </c>
      <c r="R23" t="s">
        <v>773</v>
      </c>
      <c r="S23" t="s">
        <v>11</v>
      </c>
    </row>
    <row r="24" spans="1:19" hidden="1" x14ac:dyDescent="0.25">
      <c r="A24">
        <v>1047</v>
      </c>
      <c r="B24" t="s">
        <v>423</v>
      </c>
      <c r="C24" t="s">
        <v>424</v>
      </c>
      <c r="D24" t="s">
        <v>425</v>
      </c>
      <c r="E24" s="50"/>
      <c r="F24" s="38"/>
      <c r="G24" s="39"/>
      <c r="H24" s="50">
        <f>PlanGrid[[#This Row],[Spec Wattage]]*PlanGrid[[#This Row],[Equipment Count]]</f>
        <v>0</v>
      </c>
      <c r="I24" s="50">
        <f>((PlanGrid[[#This Row],[Demand Watt]]*PlanGrid[[#This Row],[Utilization %]]*'Schedule-Building Info'!$N$16)/1000)</f>
        <v>0</v>
      </c>
      <c r="J24" s="57">
        <f>PlanGrid[[#This Row],[kWh/yr]]*' Elec Utility (kWh)'!$M$7</f>
        <v>0</v>
      </c>
      <c r="K24" s="49">
        <f>PlanGrid[[#This Row],[kWh/yr]]/'Schedule-Building Info'!$B$6</f>
        <v>0</v>
      </c>
      <c r="L24" s="50">
        <f>CONVERT(PlanGrid[[#This Row],[kWh/yr]],"Wh","BTU")</f>
        <v>0</v>
      </c>
      <c r="M24" s="38">
        <f>PlanGrid[[#This Row],[kBtu/yr]]/'Schedule-Building Info'!$B$6</f>
        <v>0</v>
      </c>
      <c r="N24" t="s">
        <v>1089</v>
      </c>
      <c r="O24">
        <v>0</v>
      </c>
      <c r="P24" t="e">
        <f>VLOOKUP(PlanGrid[[#This Row],[Title]],'Spec Wattages'!$A$1:$C$973,3,FALSE)</f>
        <v>#N/A</v>
      </c>
      <c r="Q24" t="s">
        <v>706</v>
      </c>
      <c r="R24" t="s">
        <v>706</v>
      </c>
      <c r="S24" t="s">
        <v>51</v>
      </c>
    </row>
    <row r="25" spans="1:19" hidden="1" x14ac:dyDescent="0.25">
      <c r="A25">
        <v>1076</v>
      </c>
      <c r="B25" t="s">
        <v>423</v>
      </c>
      <c r="C25" t="s">
        <v>424</v>
      </c>
      <c r="D25" t="s">
        <v>426</v>
      </c>
      <c r="E25" s="50"/>
      <c r="F25" s="38"/>
      <c r="G25" s="39"/>
      <c r="H25" s="50">
        <f>PlanGrid[[#This Row],[Spec Wattage]]*PlanGrid[[#This Row],[Equipment Count]]</f>
        <v>0</v>
      </c>
      <c r="I25" s="50">
        <f>((PlanGrid[[#This Row],[Demand Watt]]*PlanGrid[[#This Row],[Utilization %]]*'Schedule-Building Info'!$N$16)/1000)</f>
        <v>0</v>
      </c>
      <c r="J25" s="57">
        <f>PlanGrid[[#This Row],[kWh/yr]]*' Elec Utility (kWh)'!$M$7</f>
        <v>0</v>
      </c>
      <c r="K25" s="49">
        <f>PlanGrid[[#This Row],[kWh/yr]]/'Schedule-Building Info'!$B$6</f>
        <v>0</v>
      </c>
      <c r="L25" s="50">
        <f>CONVERT(PlanGrid[[#This Row],[kWh/yr]],"Wh","BTU")</f>
        <v>0</v>
      </c>
      <c r="M25" s="38">
        <f>PlanGrid[[#This Row],[kBtu/yr]]/'Schedule-Building Info'!$B$6</f>
        <v>0</v>
      </c>
      <c r="N25" t="s">
        <v>1089</v>
      </c>
      <c r="O25">
        <v>0</v>
      </c>
      <c r="P25" t="e">
        <f>VLOOKUP(PlanGrid[[#This Row],[Title]],'Spec Wattages'!$A$1:$C$973,3,FALSE)</f>
        <v>#N/A</v>
      </c>
      <c r="Q25" t="s">
        <v>707</v>
      </c>
      <c r="R25" t="s">
        <v>707</v>
      </c>
      <c r="S25" t="s">
        <v>11</v>
      </c>
    </row>
    <row r="26" spans="1:19" hidden="1" x14ac:dyDescent="0.25">
      <c r="A26">
        <v>1088</v>
      </c>
      <c r="B26" t="s">
        <v>423</v>
      </c>
      <c r="C26" t="s">
        <v>424</v>
      </c>
      <c r="D26" t="s">
        <v>426</v>
      </c>
      <c r="E26" s="50"/>
      <c r="F26" s="38"/>
      <c r="G26" s="39"/>
      <c r="H26" s="50">
        <f>PlanGrid[[#This Row],[Spec Wattage]]*PlanGrid[[#This Row],[Equipment Count]]</f>
        <v>0</v>
      </c>
      <c r="I26" s="50">
        <f>((PlanGrid[[#This Row],[Demand Watt]]*PlanGrid[[#This Row],[Utilization %]]*'Schedule-Building Info'!$N$16)/1000)</f>
        <v>0</v>
      </c>
      <c r="J26" s="57">
        <f>PlanGrid[[#This Row],[kWh/yr]]*' Elec Utility (kWh)'!$M$7</f>
        <v>0</v>
      </c>
      <c r="K26" s="49">
        <f>PlanGrid[[#This Row],[kWh/yr]]/'Schedule-Building Info'!$B$6</f>
        <v>0</v>
      </c>
      <c r="L26" s="50">
        <f>CONVERT(PlanGrid[[#This Row],[kWh/yr]],"Wh","BTU")</f>
        <v>0</v>
      </c>
      <c r="M26" s="38">
        <f>PlanGrid[[#This Row],[kBtu/yr]]/'Schedule-Building Info'!$B$6</f>
        <v>0</v>
      </c>
      <c r="N26" t="s">
        <v>1089</v>
      </c>
      <c r="O26">
        <v>0</v>
      </c>
      <c r="P26" t="e">
        <f>VLOOKUP(PlanGrid[[#This Row],[Title]],'Spec Wattages'!$A$1:$C$973,3,FALSE)</f>
        <v>#N/A</v>
      </c>
      <c r="Q26" t="s">
        <v>708</v>
      </c>
      <c r="R26" t="s">
        <v>800</v>
      </c>
      <c r="S26" t="s">
        <v>11</v>
      </c>
    </row>
    <row r="27" spans="1:19" hidden="1" x14ac:dyDescent="0.25">
      <c r="A27">
        <v>1099</v>
      </c>
      <c r="B27" t="s">
        <v>423</v>
      </c>
      <c r="C27" t="s">
        <v>424</v>
      </c>
      <c r="E27" s="50"/>
      <c r="F27" s="38"/>
      <c r="G27" s="39"/>
      <c r="H27" s="50">
        <f>PlanGrid[[#This Row],[Spec Wattage]]*PlanGrid[[#This Row],[Equipment Count]]</f>
        <v>0</v>
      </c>
      <c r="I27" s="50">
        <f>((PlanGrid[[#This Row],[Demand Watt]]*PlanGrid[[#This Row],[Utilization %]]*'Schedule-Building Info'!$N$16)/1000)</f>
        <v>0</v>
      </c>
      <c r="J27" s="57">
        <f>PlanGrid[[#This Row],[kWh/yr]]*' Elec Utility (kWh)'!$M$7</f>
        <v>0</v>
      </c>
      <c r="K27" s="49">
        <f>PlanGrid[[#This Row],[kWh/yr]]/'Schedule-Building Info'!$B$6</f>
        <v>0</v>
      </c>
      <c r="L27" s="50">
        <f>CONVERT(PlanGrid[[#This Row],[kWh/yr]],"Wh","BTU")</f>
        <v>0</v>
      </c>
      <c r="M27" s="38">
        <f>PlanGrid[[#This Row],[kBtu/yr]]/'Schedule-Building Info'!$B$6</f>
        <v>0</v>
      </c>
      <c r="N27" t="s">
        <v>1089</v>
      </c>
      <c r="O27">
        <v>5</v>
      </c>
      <c r="P27" t="e">
        <f>VLOOKUP(PlanGrid[[#This Row],[Title]],'Spec Wattages'!$A$1:$C$973,3,FALSE)</f>
        <v>#N/A</v>
      </c>
      <c r="Q27" t="s">
        <v>709</v>
      </c>
      <c r="R27" t="s">
        <v>803</v>
      </c>
      <c r="S27" t="s">
        <v>11</v>
      </c>
    </row>
    <row r="28" spans="1:19" x14ac:dyDescent="0.25">
      <c r="A28">
        <v>284</v>
      </c>
      <c r="B28" t="s">
        <v>49</v>
      </c>
      <c r="C28" t="s">
        <v>103</v>
      </c>
      <c r="E28" s="50">
        <v>18642.5</v>
      </c>
      <c r="F28" s="38">
        <v>1</v>
      </c>
      <c r="G28" s="39">
        <v>0.9</v>
      </c>
      <c r="H28" s="50">
        <f>PlanGrid[[#This Row],[Spec Wattage]]*PlanGrid[[#This Row],[Equipment Count]]</f>
        <v>18642.5</v>
      </c>
      <c r="I28" s="50">
        <f>((PlanGrid[[#This Row],[Demand Watt]]*PlanGrid[[#This Row],[Utilization %]]*'Schedule-Building Info'!$N$16)/1000)</f>
        <v>91860.918749999997</v>
      </c>
      <c r="J28" s="57">
        <f>PlanGrid[[#This Row],[kWh/yr]]*' Elec Utility (kWh)'!$M$7</f>
        <v>9793.5993759007888</v>
      </c>
      <c r="K28" s="49">
        <f>PlanGrid[[#This Row],[kWh/yr]]/'Schedule-Building Info'!$B$6</f>
        <v>1.5106467587034813</v>
      </c>
      <c r="L28" s="50">
        <f>CONVERT(PlanGrid[[#This Row],[kWh/yr]],"Wh","BTU")</f>
        <v>313442.46532425814</v>
      </c>
      <c r="M28" s="38">
        <f>PlanGrid[[#This Row],[kBtu/yr]]/'Schedule-Building Info'!$B$6</f>
        <v>5.1545406983219282</v>
      </c>
      <c r="N28" t="s">
        <v>1091</v>
      </c>
      <c r="O28">
        <v>0</v>
      </c>
      <c r="P28" t="str">
        <f>VLOOKUP(PlanGrid[[#This Row],[Title]],'Spec Wattages'!$A$1:$C$973,3,FALSE)</f>
        <v>Mechanical</v>
      </c>
      <c r="Q28" t="s">
        <v>685</v>
      </c>
      <c r="R28" t="s">
        <v>1031</v>
      </c>
      <c r="S28" t="s">
        <v>11</v>
      </c>
    </row>
    <row r="29" spans="1:19" hidden="1" x14ac:dyDescent="0.25">
      <c r="A29">
        <v>1102</v>
      </c>
      <c r="B29" t="s">
        <v>423</v>
      </c>
      <c r="C29" t="s">
        <v>424</v>
      </c>
      <c r="E29" s="50"/>
      <c r="F29" s="38"/>
      <c r="G29" s="39"/>
      <c r="H29" s="50">
        <f>PlanGrid[[#This Row],[Spec Wattage]]*PlanGrid[[#This Row],[Equipment Count]]</f>
        <v>0</v>
      </c>
      <c r="I29" s="50">
        <f>((PlanGrid[[#This Row],[Demand Watt]]*PlanGrid[[#This Row],[Utilization %]]*'Schedule-Building Info'!$N$16)/1000)</f>
        <v>0</v>
      </c>
      <c r="J29" s="57">
        <f>PlanGrid[[#This Row],[kWh/yr]]*' Elec Utility (kWh)'!$M$7</f>
        <v>0</v>
      </c>
      <c r="K29" s="49">
        <f>PlanGrid[[#This Row],[kWh/yr]]/'Schedule-Building Info'!$B$6</f>
        <v>0</v>
      </c>
      <c r="L29" s="50">
        <f>CONVERT(PlanGrid[[#This Row],[kWh/yr]],"Wh","BTU")</f>
        <v>0</v>
      </c>
      <c r="M29" s="38">
        <f>PlanGrid[[#This Row],[kBtu/yr]]/'Schedule-Building Info'!$B$6</f>
        <v>0</v>
      </c>
      <c r="N29" t="s">
        <v>1089</v>
      </c>
      <c r="O29">
        <v>1</v>
      </c>
      <c r="P29" t="e">
        <f>VLOOKUP(PlanGrid[[#This Row],[Title]],'Spec Wattages'!$A$1:$C$973,3,FALSE)</f>
        <v>#N/A</v>
      </c>
      <c r="Q29" t="s">
        <v>711</v>
      </c>
      <c r="R29" t="s">
        <v>1022</v>
      </c>
      <c r="S29" t="s">
        <v>11</v>
      </c>
    </row>
    <row r="30" spans="1:19" hidden="1" x14ac:dyDescent="0.25">
      <c r="A30">
        <v>632</v>
      </c>
      <c r="B30" t="s">
        <v>423</v>
      </c>
      <c r="C30" t="s">
        <v>424</v>
      </c>
      <c r="E30" s="50"/>
      <c r="F30" s="38"/>
      <c r="G30" s="39"/>
      <c r="H30" s="50">
        <f>PlanGrid[[#This Row],[Spec Wattage]]*PlanGrid[[#This Row],[Equipment Count]]</f>
        <v>0</v>
      </c>
      <c r="I30" s="50">
        <f>((PlanGrid[[#This Row],[Demand Watt]]*PlanGrid[[#This Row],[Utilization %]]*'Schedule-Building Info'!$N$16)/1000)</f>
        <v>0</v>
      </c>
      <c r="J30" s="57">
        <f>PlanGrid[[#This Row],[kWh/yr]]*' Elec Utility (kWh)'!$M$7</f>
        <v>0</v>
      </c>
      <c r="K30" s="49">
        <f>PlanGrid[[#This Row],[kWh/yr]]/'Schedule-Building Info'!$B$6</f>
        <v>0</v>
      </c>
      <c r="L30" s="50">
        <f>CONVERT(PlanGrid[[#This Row],[kWh/yr]],"Wh","BTU")</f>
        <v>0</v>
      </c>
      <c r="M30" s="38">
        <f>PlanGrid[[#This Row],[kBtu/yr]]/'Schedule-Building Info'!$B$6</f>
        <v>0</v>
      </c>
      <c r="N30" t="s">
        <v>1090</v>
      </c>
      <c r="O30">
        <v>0</v>
      </c>
      <c r="P30" t="e">
        <f>VLOOKUP(PlanGrid[[#This Row],[Title]],'Spec Wattages'!$A$1:$C$973,3,FALSE)</f>
        <v>#N/A</v>
      </c>
      <c r="Q30" t="s">
        <v>712</v>
      </c>
      <c r="R30" t="s">
        <v>1038</v>
      </c>
      <c r="S30" t="s">
        <v>11</v>
      </c>
    </row>
    <row r="31" spans="1:19" hidden="1" x14ac:dyDescent="0.25">
      <c r="A31">
        <v>633</v>
      </c>
      <c r="B31" t="s">
        <v>423</v>
      </c>
      <c r="C31" t="s">
        <v>424</v>
      </c>
      <c r="D31" t="s">
        <v>425</v>
      </c>
      <c r="E31" s="50"/>
      <c r="F31" s="38"/>
      <c r="G31" s="39"/>
      <c r="H31" s="50">
        <f>PlanGrid[[#This Row],[Spec Wattage]]*PlanGrid[[#This Row],[Equipment Count]]</f>
        <v>0</v>
      </c>
      <c r="I31" s="50">
        <f>((PlanGrid[[#This Row],[Demand Watt]]*PlanGrid[[#This Row],[Utilization %]]*'Schedule-Building Info'!$N$16)/1000)</f>
        <v>0</v>
      </c>
      <c r="J31" s="57">
        <f>PlanGrid[[#This Row],[kWh/yr]]*' Elec Utility (kWh)'!$M$7</f>
        <v>0</v>
      </c>
      <c r="K31" s="49">
        <f>PlanGrid[[#This Row],[kWh/yr]]/'Schedule-Building Info'!$B$6</f>
        <v>0</v>
      </c>
      <c r="L31" s="50">
        <f>CONVERT(PlanGrid[[#This Row],[kWh/yr]],"Wh","BTU")</f>
        <v>0</v>
      </c>
      <c r="M31" s="38">
        <f>PlanGrid[[#This Row],[kBtu/yr]]/'Schedule-Building Info'!$B$6</f>
        <v>0</v>
      </c>
      <c r="N31" t="s">
        <v>1090</v>
      </c>
      <c r="O31">
        <v>0</v>
      </c>
      <c r="P31" t="e">
        <f>VLOOKUP(PlanGrid[[#This Row],[Title]],'Spec Wattages'!$A$1:$C$973,3,FALSE)</f>
        <v>#N/A</v>
      </c>
      <c r="Q31" t="s">
        <v>713</v>
      </c>
      <c r="R31" t="s">
        <v>713</v>
      </c>
      <c r="S31" t="s">
        <v>51</v>
      </c>
    </row>
    <row r="32" spans="1:19" hidden="1" x14ac:dyDescent="0.25">
      <c r="A32">
        <v>640</v>
      </c>
      <c r="B32" t="s">
        <v>423</v>
      </c>
      <c r="C32" t="s">
        <v>424</v>
      </c>
      <c r="E32" s="50"/>
      <c r="F32" s="38"/>
      <c r="G32" s="39"/>
      <c r="H32" s="50">
        <f>PlanGrid[[#This Row],[Spec Wattage]]*PlanGrid[[#This Row],[Equipment Count]]</f>
        <v>0</v>
      </c>
      <c r="I32" s="50">
        <f>((PlanGrid[[#This Row],[Demand Watt]]*PlanGrid[[#This Row],[Utilization %]]*'Schedule-Building Info'!$N$16)/1000)</f>
        <v>0</v>
      </c>
      <c r="J32" s="57">
        <f>PlanGrid[[#This Row],[kWh/yr]]*' Elec Utility (kWh)'!$M$7</f>
        <v>0</v>
      </c>
      <c r="K32" s="49">
        <f>PlanGrid[[#This Row],[kWh/yr]]/'Schedule-Building Info'!$B$6</f>
        <v>0</v>
      </c>
      <c r="L32" s="50">
        <f>CONVERT(PlanGrid[[#This Row],[kWh/yr]],"Wh","BTU")</f>
        <v>0</v>
      </c>
      <c r="M32" s="38">
        <f>PlanGrid[[#This Row],[kBtu/yr]]/'Schedule-Building Info'!$B$6</f>
        <v>0</v>
      </c>
      <c r="N32" t="s">
        <v>1090</v>
      </c>
      <c r="O32">
        <v>0</v>
      </c>
      <c r="P32" t="e">
        <f>VLOOKUP(PlanGrid[[#This Row],[Title]],'Spec Wattages'!$A$1:$C$973,3,FALSE)</f>
        <v>#N/A</v>
      </c>
      <c r="Q32" t="s">
        <v>714</v>
      </c>
      <c r="R32" t="s">
        <v>712</v>
      </c>
      <c r="S32" t="s">
        <v>11</v>
      </c>
    </row>
    <row r="33" spans="1:19" hidden="1" x14ac:dyDescent="0.25">
      <c r="A33">
        <v>645</v>
      </c>
      <c r="B33" t="s">
        <v>423</v>
      </c>
      <c r="C33" t="s">
        <v>424</v>
      </c>
      <c r="D33" t="s">
        <v>425</v>
      </c>
      <c r="E33" s="50"/>
      <c r="F33" s="38"/>
      <c r="G33" s="39"/>
      <c r="H33" s="50">
        <f>PlanGrid[[#This Row],[Spec Wattage]]*PlanGrid[[#This Row],[Equipment Count]]</f>
        <v>0</v>
      </c>
      <c r="I33" s="50">
        <f>((PlanGrid[[#This Row],[Demand Watt]]*PlanGrid[[#This Row],[Utilization %]]*'Schedule-Building Info'!$N$16)/1000)</f>
        <v>0</v>
      </c>
      <c r="J33" s="57">
        <f>PlanGrid[[#This Row],[kWh/yr]]*' Elec Utility (kWh)'!$M$7</f>
        <v>0</v>
      </c>
      <c r="K33" s="49">
        <f>PlanGrid[[#This Row],[kWh/yr]]/'Schedule-Building Info'!$B$6</f>
        <v>0</v>
      </c>
      <c r="L33" s="50">
        <f>CONVERT(PlanGrid[[#This Row],[kWh/yr]],"Wh","BTU")</f>
        <v>0</v>
      </c>
      <c r="M33" s="38">
        <f>PlanGrid[[#This Row],[kBtu/yr]]/'Schedule-Building Info'!$B$6</f>
        <v>0</v>
      </c>
      <c r="N33" t="s">
        <v>1090</v>
      </c>
      <c r="O33">
        <v>0</v>
      </c>
      <c r="P33" t="e">
        <f>VLOOKUP(PlanGrid[[#This Row],[Title]],'Spec Wattages'!$A$1:$C$973,3,FALSE)</f>
        <v>#N/A</v>
      </c>
      <c r="Q33" t="s">
        <v>715</v>
      </c>
      <c r="R33" t="s">
        <v>715</v>
      </c>
      <c r="S33" t="s">
        <v>51</v>
      </c>
    </row>
    <row r="34" spans="1:19" hidden="1" x14ac:dyDescent="0.25">
      <c r="A34">
        <v>650</v>
      </c>
      <c r="B34" t="s">
        <v>423</v>
      </c>
      <c r="C34" t="s">
        <v>424</v>
      </c>
      <c r="D34" t="s">
        <v>436</v>
      </c>
      <c r="E34" s="50"/>
      <c r="F34" s="38"/>
      <c r="G34" s="39"/>
      <c r="H34" s="50">
        <f>PlanGrid[[#This Row],[Spec Wattage]]*PlanGrid[[#This Row],[Equipment Count]]</f>
        <v>0</v>
      </c>
      <c r="I34" s="50">
        <f>((PlanGrid[[#This Row],[Demand Watt]]*PlanGrid[[#This Row],[Utilization %]]*'Schedule-Building Info'!$N$16)/1000)</f>
        <v>0</v>
      </c>
      <c r="J34" s="57">
        <f>PlanGrid[[#This Row],[kWh/yr]]*' Elec Utility (kWh)'!$M$7</f>
        <v>0</v>
      </c>
      <c r="K34" s="49">
        <f>PlanGrid[[#This Row],[kWh/yr]]/'Schedule-Building Info'!$B$6</f>
        <v>0</v>
      </c>
      <c r="L34" s="50">
        <f>CONVERT(PlanGrid[[#This Row],[kWh/yr]],"Wh","BTU")</f>
        <v>0</v>
      </c>
      <c r="M34" s="38">
        <f>PlanGrid[[#This Row],[kBtu/yr]]/'Schedule-Building Info'!$B$6</f>
        <v>0</v>
      </c>
      <c r="N34" t="s">
        <v>1090</v>
      </c>
      <c r="O34">
        <v>7</v>
      </c>
      <c r="P34" t="e">
        <f>VLOOKUP(PlanGrid[[#This Row],[Title]],'Spec Wattages'!$A$1:$C$973,3,FALSE)</f>
        <v>#N/A</v>
      </c>
      <c r="Q34" t="s">
        <v>716</v>
      </c>
      <c r="R34" t="s">
        <v>862</v>
      </c>
      <c r="S34" t="s">
        <v>51</v>
      </c>
    </row>
    <row r="35" spans="1:19" hidden="1" x14ac:dyDescent="0.25">
      <c r="A35">
        <v>653</v>
      </c>
      <c r="B35" t="s">
        <v>423</v>
      </c>
      <c r="C35" t="s">
        <v>424</v>
      </c>
      <c r="D35" t="s">
        <v>437</v>
      </c>
      <c r="E35" s="50"/>
      <c r="F35" s="38"/>
      <c r="G35" s="39"/>
      <c r="H35" s="50">
        <f>PlanGrid[[#This Row],[Spec Wattage]]*PlanGrid[[#This Row],[Equipment Count]]</f>
        <v>0</v>
      </c>
      <c r="I35" s="50">
        <f>((PlanGrid[[#This Row],[Demand Watt]]*PlanGrid[[#This Row],[Utilization %]]*'Schedule-Building Info'!$N$16)/1000)</f>
        <v>0</v>
      </c>
      <c r="J35" s="57">
        <f>PlanGrid[[#This Row],[kWh/yr]]*' Elec Utility (kWh)'!$M$7</f>
        <v>0</v>
      </c>
      <c r="K35" s="49">
        <f>PlanGrid[[#This Row],[kWh/yr]]/'Schedule-Building Info'!$B$6</f>
        <v>0</v>
      </c>
      <c r="L35" s="50">
        <f>CONVERT(PlanGrid[[#This Row],[kWh/yr]],"Wh","BTU")</f>
        <v>0</v>
      </c>
      <c r="M35" s="38">
        <f>PlanGrid[[#This Row],[kBtu/yr]]/'Schedule-Building Info'!$B$6</f>
        <v>0</v>
      </c>
      <c r="N35" t="s">
        <v>1090</v>
      </c>
      <c r="O35">
        <v>2</v>
      </c>
      <c r="P35" t="e">
        <f>VLOOKUP(PlanGrid[[#This Row],[Title]],'Spec Wattages'!$A$1:$C$973,3,FALSE)</f>
        <v>#N/A</v>
      </c>
      <c r="Q35" t="s">
        <v>717</v>
      </c>
      <c r="R35" t="s">
        <v>1039</v>
      </c>
      <c r="S35" t="s">
        <v>51</v>
      </c>
    </row>
    <row r="36" spans="1:19" hidden="1" x14ac:dyDescent="0.25">
      <c r="A36">
        <v>655</v>
      </c>
      <c r="B36" t="s">
        <v>423</v>
      </c>
      <c r="C36" t="s">
        <v>424</v>
      </c>
      <c r="D36" t="s">
        <v>425</v>
      </c>
      <c r="E36" s="50"/>
      <c r="F36" s="38"/>
      <c r="G36" s="39"/>
      <c r="H36" s="50">
        <f>PlanGrid[[#This Row],[Spec Wattage]]*PlanGrid[[#This Row],[Equipment Count]]</f>
        <v>0</v>
      </c>
      <c r="I36" s="50">
        <f>((PlanGrid[[#This Row],[Demand Watt]]*PlanGrid[[#This Row],[Utilization %]]*'Schedule-Building Info'!$N$16)/1000)</f>
        <v>0</v>
      </c>
      <c r="J36" s="57">
        <f>PlanGrid[[#This Row],[kWh/yr]]*' Elec Utility (kWh)'!$M$7</f>
        <v>0</v>
      </c>
      <c r="K36" s="49">
        <f>PlanGrid[[#This Row],[kWh/yr]]/'Schedule-Building Info'!$B$6</f>
        <v>0</v>
      </c>
      <c r="L36" s="50">
        <f>CONVERT(PlanGrid[[#This Row],[kWh/yr]],"Wh","BTU")</f>
        <v>0</v>
      </c>
      <c r="M36" s="38">
        <f>PlanGrid[[#This Row],[kBtu/yr]]/'Schedule-Building Info'!$B$6</f>
        <v>0</v>
      </c>
      <c r="N36" t="s">
        <v>1090</v>
      </c>
      <c r="O36">
        <v>0</v>
      </c>
      <c r="P36" t="e">
        <f>VLOOKUP(PlanGrid[[#This Row],[Title]],'Spec Wattages'!$A$1:$C$973,3,FALSE)</f>
        <v>#N/A</v>
      </c>
      <c r="Q36" t="s">
        <v>718</v>
      </c>
      <c r="R36" t="s">
        <v>718</v>
      </c>
      <c r="S36" t="s">
        <v>51</v>
      </c>
    </row>
    <row r="37" spans="1:19" hidden="1" x14ac:dyDescent="0.25">
      <c r="A37">
        <v>690</v>
      </c>
      <c r="B37" t="s">
        <v>423</v>
      </c>
      <c r="C37" t="s">
        <v>424</v>
      </c>
      <c r="D37" t="s">
        <v>425</v>
      </c>
      <c r="E37" s="50"/>
      <c r="F37" s="38"/>
      <c r="G37" s="39"/>
      <c r="H37" s="50">
        <f>PlanGrid[[#This Row],[Spec Wattage]]*PlanGrid[[#This Row],[Equipment Count]]</f>
        <v>0</v>
      </c>
      <c r="I37" s="50">
        <f>((PlanGrid[[#This Row],[Demand Watt]]*PlanGrid[[#This Row],[Utilization %]]*'Schedule-Building Info'!$N$16)/1000)</f>
        <v>0</v>
      </c>
      <c r="J37" s="57">
        <f>PlanGrid[[#This Row],[kWh/yr]]*' Elec Utility (kWh)'!$M$7</f>
        <v>0</v>
      </c>
      <c r="K37" s="49">
        <f>PlanGrid[[#This Row],[kWh/yr]]/'Schedule-Building Info'!$B$6</f>
        <v>0</v>
      </c>
      <c r="L37" s="50">
        <f>CONVERT(PlanGrid[[#This Row],[kWh/yr]],"Wh","BTU")</f>
        <v>0</v>
      </c>
      <c r="M37" s="38">
        <f>PlanGrid[[#This Row],[kBtu/yr]]/'Schedule-Building Info'!$B$6</f>
        <v>0</v>
      </c>
      <c r="N37" t="s">
        <v>1090</v>
      </c>
      <c r="O37">
        <v>0</v>
      </c>
      <c r="P37" t="e">
        <f>VLOOKUP(PlanGrid[[#This Row],[Title]],'Spec Wattages'!$A$1:$C$973,3,FALSE)</f>
        <v>#N/A</v>
      </c>
      <c r="Q37" t="s">
        <v>719</v>
      </c>
      <c r="R37" t="s">
        <v>720</v>
      </c>
      <c r="S37" t="s">
        <v>51</v>
      </c>
    </row>
    <row r="38" spans="1:19" hidden="1" x14ac:dyDescent="0.25">
      <c r="A38">
        <v>695</v>
      </c>
      <c r="B38" t="s">
        <v>423</v>
      </c>
      <c r="C38" t="s">
        <v>424</v>
      </c>
      <c r="E38" s="50"/>
      <c r="F38" s="38"/>
      <c r="G38" s="39"/>
      <c r="H38" s="50">
        <f>PlanGrid[[#This Row],[Spec Wattage]]*PlanGrid[[#This Row],[Equipment Count]]</f>
        <v>0</v>
      </c>
      <c r="I38" s="50">
        <f>((PlanGrid[[#This Row],[Demand Watt]]*PlanGrid[[#This Row],[Utilization %]]*'Schedule-Building Info'!$N$16)/1000)</f>
        <v>0</v>
      </c>
      <c r="J38" s="57">
        <f>PlanGrid[[#This Row],[kWh/yr]]*' Elec Utility (kWh)'!$M$7</f>
        <v>0</v>
      </c>
      <c r="K38" s="49">
        <f>PlanGrid[[#This Row],[kWh/yr]]/'Schedule-Building Info'!$B$6</f>
        <v>0</v>
      </c>
      <c r="L38" s="50">
        <f>CONVERT(PlanGrid[[#This Row],[kWh/yr]],"Wh","BTU")</f>
        <v>0</v>
      </c>
      <c r="M38" s="38">
        <f>PlanGrid[[#This Row],[kBtu/yr]]/'Schedule-Building Info'!$B$6</f>
        <v>0</v>
      </c>
      <c r="N38" t="s">
        <v>1090</v>
      </c>
      <c r="O38">
        <v>0</v>
      </c>
      <c r="P38" t="e">
        <f>VLOOKUP(PlanGrid[[#This Row],[Title]],'Spec Wattages'!$A$1:$C$973,3,FALSE)</f>
        <v>#N/A</v>
      </c>
      <c r="Q38" t="s">
        <v>720</v>
      </c>
      <c r="R38" t="s">
        <v>720</v>
      </c>
      <c r="S38" t="s">
        <v>11</v>
      </c>
    </row>
    <row r="39" spans="1:19" hidden="1" x14ac:dyDescent="0.25">
      <c r="A39">
        <v>718</v>
      </c>
      <c r="B39" t="s">
        <v>423</v>
      </c>
      <c r="C39" t="s">
        <v>424</v>
      </c>
      <c r="D39" t="s">
        <v>425</v>
      </c>
      <c r="E39" s="50"/>
      <c r="F39" s="38"/>
      <c r="G39" s="39"/>
      <c r="H39" s="50">
        <f>PlanGrid[[#This Row],[Spec Wattage]]*PlanGrid[[#This Row],[Equipment Count]]</f>
        <v>0</v>
      </c>
      <c r="I39" s="50">
        <f>((PlanGrid[[#This Row],[Demand Watt]]*PlanGrid[[#This Row],[Utilization %]]*'Schedule-Building Info'!$N$16)/1000)</f>
        <v>0</v>
      </c>
      <c r="J39" s="57">
        <f>PlanGrid[[#This Row],[kWh/yr]]*' Elec Utility (kWh)'!$M$7</f>
        <v>0</v>
      </c>
      <c r="K39" s="49">
        <f>PlanGrid[[#This Row],[kWh/yr]]/'Schedule-Building Info'!$B$6</f>
        <v>0</v>
      </c>
      <c r="L39" s="50">
        <f>CONVERT(PlanGrid[[#This Row],[kWh/yr]],"Wh","BTU")</f>
        <v>0</v>
      </c>
      <c r="M39" s="38">
        <f>PlanGrid[[#This Row],[kBtu/yr]]/'Schedule-Building Info'!$B$6</f>
        <v>0</v>
      </c>
      <c r="N39" t="s">
        <v>1090</v>
      </c>
      <c r="O39">
        <v>0</v>
      </c>
      <c r="P39" t="e">
        <f>VLOOKUP(PlanGrid[[#This Row],[Title]],'Spec Wattages'!$A$1:$C$973,3,FALSE)</f>
        <v>#N/A</v>
      </c>
      <c r="Q39" t="s">
        <v>721</v>
      </c>
      <c r="R39" t="s">
        <v>721</v>
      </c>
      <c r="S39" t="s">
        <v>51</v>
      </c>
    </row>
    <row r="40" spans="1:19" hidden="1" x14ac:dyDescent="0.25">
      <c r="A40">
        <v>735</v>
      </c>
      <c r="B40" t="s">
        <v>423</v>
      </c>
      <c r="C40" t="s">
        <v>424</v>
      </c>
      <c r="D40" t="s">
        <v>425</v>
      </c>
      <c r="E40" s="50"/>
      <c r="F40" s="38"/>
      <c r="G40" s="39"/>
      <c r="H40" s="50">
        <f>PlanGrid[[#This Row],[Spec Wattage]]*PlanGrid[[#This Row],[Equipment Count]]</f>
        <v>0</v>
      </c>
      <c r="I40" s="50">
        <f>((PlanGrid[[#This Row],[Demand Watt]]*PlanGrid[[#This Row],[Utilization %]]*'Schedule-Building Info'!$N$16)/1000)</f>
        <v>0</v>
      </c>
      <c r="J40" s="57">
        <f>PlanGrid[[#This Row],[kWh/yr]]*' Elec Utility (kWh)'!$M$7</f>
        <v>0</v>
      </c>
      <c r="K40" s="49">
        <f>PlanGrid[[#This Row],[kWh/yr]]/'Schedule-Building Info'!$B$6</f>
        <v>0</v>
      </c>
      <c r="L40" s="50">
        <f>CONVERT(PlanGrid[[#This Row],[kWh/yr]],"Wh","BTU")</f>
        <v>0</v>
      </c>
      <c r="M40" s="38">
        <f>PlanGrid[[#This Row],[kBtu/yr]]/'Schedule-Building Info'!$B$6</f>
        <v>0</v>
      </c>
      <c r="N40" t="s">
        <v>1090</v>
      </c>
      <c r="O40">
        <v>0</v>
      </c>
      <c r="P40" t="e">
        <f>VLOOKUP(PlanGrid[[#This Row],[Title]],'Spec Wattages'!$A$1:$C$973,3,FALSE)</f>
        <v>#N/A</v>
      </c>
      <c r="Q40" t="s">
        <v>723</v>
      </c>
      <c r="R40" t="s">
        <v>723</v>
      </c>
      <c r="S40" t="s">
        <v>51</v>
      </c>
    </row>
    <row r="41" spans="1:19" hidden="1" x14ac:dyDescent="0.25">
      <c r="A41">
        <v>747</v>
      </c>
      <c r="B41" t="s">
        <v>423</v>
      </c>
      <c r="C41" t="s">
        <v>424</v>
      </c>
      <c r="D41" t="s">
        <v>440</v>
      </c>
      <c r="E41" s="50"/>
      <c r="F41" s="38"/>
      <c r="G41" s="39"/>
      <c r="H41" s="50">
        <f>PlanGrid[[#This Row],[Spec Wattage]]*PlanGrid[[#This Row],[Equipment Count]]</f>
        <v>0</v>
      </c>
      <c r="I41" s="50">
        <f>((PlanGrid[[#This Row],[Demand Watt]]*PlanGrid[[#This Row],[Utilization %]]*'Schedule-Building Info'!$N$16)/1000)</f>
        <v>0</v>
      </c>
      <c r="J41" s="57">
        <f>PlanGrid[[#This Row],[kWh/yr]]*' Elec Utility (kWh)'!$M$7</f>
        <v>0</v>
      </c>
      <c r="K41" s="49">
        <f>PlanGrid[[#This Row],[kWh/yr]]/'Schedule-Building Info'!$B$6</f>
        <v>0</v>
      </c>
      <c r="L41" s="50">
        <f>CONVERT(PlanGrid[[#This Row],[kWh/yr]],"Wh","BTU")</f>
        <v>0</v>
      </c>
      <c r="M41" s="38">
        <f>PlanGrid[[#This Row],[kBtu/yr]]/'Schedule-Building Info'!$B$6</f>
        <v>0</v>
      </c>
      <c r="N41" t="s">
        <v>1090</v>
      </c>
      <c r="O41">
        <v>0</v>
      </c>
      <c r="P41" t="e">
        <f>VLOOKUP(PlanGrid[[#This Row],[Title]],'Spec Wattages'!$A$1:$C$973,3,FALSE)</f>
        <v>#N/A</v>
      </c>
      <c r="Q41" t="s">
        <v>725</v>
      </c>
      <c r="R41" t="s">
        <v>792</v>
      </c>
      <c r="S41" t="s">
        <v>11</v>
      </c>
    </row>
    <row r="42" spans="1:19" hidden="1" x14ac:dyDescent="0.25">
      <c r="A42">
        <v>749</v>
      </c>
      <c r="B42" t="s">
        <v>423</v>
      </c>
      <c r="C42" t="s">
        <v>424</v>
      </c>
      <c r="D42" t="s">
        <v>426</v>
      </c>
      <c r="E42" s="50"/>
      <c r="F42" s="38"/>
      <c r="G42" s="39"/>
      <c r="H42" s="50">
        <f>PlanGrid[[#This Row],[Spec Wattage]]*PlanGrid[[#This Row],[Equipment Count]]</f>
        <v>0</v>
      </c>
      <c r="I42" s="50">
        <f>((PlanGrid[[#This Row],[Demand Watt]]*PlanGrid[[#This Row],[Utilization %]]*'Schedule-Building Info'!$N$16)/1000)</f>
        <v>0</v>
      </c>
      <c r="J42" s="57">
        <f>PlanGrid[[#This Row],[kWh/yr]]*' Elec Utility (kWh)'!$M$7</f>
        <v>0</v>
      </c>
      <c r="K42" s="49">
        <f>PlanGrid[[#This Row],[kWh/yr]]/'Schedule-Building Info'!$B$6</f>
        <v>0</v>
      </c>
      <c r="L42" s="50">
        <f>CONVERT(PlanGrid[[#This Row],[kWh/yr]],"Wh","BTU")</f>
        <v>0</v>
      </c>
      <c r="M42" s="38">
        <f>PlanGrid[[#This Row],[kBtu/yr]]/'Schedule-Building Info'!$B$6</f>
        <v>0</v>
      </c>
      <c r="N42" t="s">
        <v>1090</v>
      </c>
      <c r="O42">
        <v>0</v>
      </c>
      <c r="P42" t="e">
        <f>VLOOKUP(PlanGrid[[#This Row],[Title]],'Spec Wattages'!$A$1:$C$973,3,FALSE)</f>
        <v>#N/A</v>
      </c>
      <c r="Q42" t="s">
        <v>726</v>
      </c>
      <c r="R42" t="s">
        <v>1040</v>
      </c>
      <c r="S42" t="s">
        <v>11</v>
      </c>
    </row>
    <row r="43" spans="1:19" hidden="1" x14ac:dyDescent="0.25">
      <c r="A43">
        <v>752</v>
      </c>
      <c r="B43" t="s">
        <v>423</v>
      </c>
      <c r="C43" t="s">
        <v>424</v>
      </c>
      <c r="D43" t="s">
        <v>425</v>
      </c>
      <c r="E43" s="50"/>
      <c r="F43" s="38"/>
      <c r="G43" s="39"/>
      <c r="H43" s="50">
        <f>PlanGrid[[#This Row],[Spec Wattage]]*PlanGrid[[#This Row],[Equipment Count]]</f>
        <v>0</v>
      </c>
      <c r="I43" s="50">
        <f>((PlanGrid[[#This Row],[Demand Watt]]*PlanGrid[[#This Row],[Utilization %]]*'Schedule-Building Info'!$N$16)/1000)</f>
        <v>0</v>
      </c>
      <c r="J43" s="57">
        <f>PlanGrid[[#This Row],[kWh/yr]]*' Elec Utility (kWh)'!$M$7</f>
        <v>0</v>
      </c>
      <c r="K43" s="49">
        <f>PlanGrid[[#This Row],[kWh/yr]]/'Schedule-Building Info'!$B$6</f>
        <v>0</v>
      </c>
      <c r="L43" s="50">
        <f>CONVERT(PlanGrid[[#This Row],[kWh/yr]],"Wh","BTU")</f>
        <v>0</v>
      </c>
      <c r="M43" s="38">
        <f>PlanGrid[[#This Row],[kBtu/yr]]/'Schedule-Building Info'!$B$6</f>
        <v>0</v>
      </c>
      <c r="N43" t="s">
        <v>1090</v>
      </c>
      <c r="O43">
        <v>0</v>
      </c>
      <c r="P43" t="e">
        <f>VLOOKUP(PlanGrid[[#This Row],[Title]],'Spec Wattages'!$A$1:$C$973,3,FALSE)</f>
        <v>#N/A</v>
      </c>
      <c r="Q43" t="s">
        <v>725</v>
      </c>
      <c r="R43" t="s">
        <v>725</v>
      </c>
      <c r="S43" t="s">
        <v>51</v>
      </c>
    </row>
    <row r="44" spans="1:19" hidden="1" x14ac:dyDescent="0.25">
      <c r="A44">
        <v>807</v>
      </c>
      <c r="B44" t="s">
        <v>423</v>
      </c>
      <c r="C44" t="s">
        <v>424</v>
      </c>
      <c r="D44" t="s">
        <v>425</v>
      </c>
      <c r="E44" s="50"/>
      <c r="F44" s="38"/>
      <c r="G44" s="39"/>
      <c r="H44" s="50">
        <f>PlanGrid[[#This Row],[Spec Wattage]]*PlanGrid[[#This Row],[Equipment Count]]</f>
        <v>0</v>
      </c>
      <c r="I44" s="50">
        <f>((PlanGrid[[#This Row],[Demand Watt]]*PlanGrid[[#This Row],[Utilization %]]*'Schedule-Building Info'!$N$16)/1000)</f>
        <v>0</v>
      </c>
      <c r="J44" s="57">
        <f>PlanGrid[[#This Row],[kWh/yr]]*' Elec Utility (kWh)'!$M$7</f>
        <v>0</v>
      </c>
      <c r="K44" s="49">
        <f>PlanGrid[[#This Row],[kWh/yr]]/'Schedule-Building Info'!$B$6</f>
        <v>0</v>
      </c>
      <c r="L44" s="50">
        <f>CONVERT(PlanGrid[[#This Row],[kWh/yr]],"Wh","BTU")</f>
        <v>0</v>
      </c>
      <c r="M44" s="38">
        <f>PlanGrid[[#This Row],[kBtu/yr]]/'Schedule-Building Info'!$B$6</f>
        <v>0</v>
      </c>
      <c r="N44" t="s">
        <v>1090</v>
      </c>
      <c r="O44">
        <v>0</v>
      </c>
      <c r="P44" t="e">
        <f>VLOOKUP(PlanGrid[[#This Row],[Title]],'Spec Wattages'!$A$1:$C$973,3,FALSE)</f>
        <v>#N/A</v>
      </c>
      <c r="Q44" t="s">
        <v>727</v>
      </c>
      <c r="R44" t="s">
        <v>727</v>
      </c>
      <c r="S44" t="s">
        <v>51</v>
      </c>
    </row>
    <row r="45" spans="1:19" hidden="1" x14ac:dyDescent="0.25">
      <c r="A45">
        <v>810</v>
      </c>
      <c r="B45" t="s">
        <v>423</v>
      </c>
      <c r="C45" t="s">
        <v>424</v>
      </c>
      <c r="D45" t="s">
        <v>425</v>
      </c>
      <c r="E45" s="50"/>
      <c r="F45" s="38"/>
      <c r="G45" s="39"/>
      <c r="H45" s="50">
        <f>PlanGrid[[#This Row],[Spec Wattage]]*PlanGrid[[#This Row],[Equipment Count]]</f>
        <v>0</v>
      </c>
      <c r="I45" s="50">
        <f>((PlanGrid[[#This Row],[Demand Watt]]*PlanGrid[[#This Row],[Utilization %]]*'Schedule-Building Info'!$N$16)/1000)</f>
        <v>0</v>
      </c>
      <c r="J45" s="57">
        <f>PlanGrid[[#This Row],[kWh/yr]]*' Elec Utility (kWh)'!$M$7</f>
        <v>0</v>
      </c>
      <c r="K45" s="49">
        <f>PlanGrid[[#This Row],[kWh/yr]]/'Schedule-Building Info'!$B$6</f>
        <v>0</v>
      </c>
      <c r="L45" s="50">
        <f>CONVERT(PlanGrid[[#This Row],[kWh/yr]],"Wh","BTU")</f>
        <v>0</v>
      </c>
      <c r="M45" s="38">
        <f>PlanGrid[[#This Row],[kBtu/yr]]/'Schedule-Building Info'!$B$6</f>
        <v>0</v>
      </c>
      <c r="N45" t="s">
        <v>1090</v>
      </c>
      <c r="O45">
        <v>0</v>
      </c>
      <c r="P45" t="e">
        <f>VLOOKUP(PlanGrid[[#This Row],[Title]],'Spec Wattages'!$A$1:$C$973,3,FALSE)</f>
        <v>#N/A</v>
      </c>
      <c r="Q45" t="s">
        <v>728</v>
      </c>
      <c r="R45" t="s">
        <v>728</v>
      </c>
      <c r="S45" t="s">
        <v>51</v>
      </c>
    </row>
    <row r="46" spans="1:19" hidden="1" x14ac:dyDescent="0.25">
      <c r="A46">
        <v>817</v>
      </c>
      <c r="B46" t="s">
        <v>423</v>
      </c>
      <c r="C46" t="s">
        <v>424</v>
      </c>
      <c r="D46" t="s">
        <v>425</v>
      </c>
      <c r="E46" s="50"/>
      <c r="F46" s="38"/>
      <c r="G46" s="39"/>
      <c r="H46" s="50">
        <f>PlanGrid[[#This Row],[Spec Wattage]]*PlanGrid[[#This Row],[Equipment Count]]</f>
        <v>0</v>
      </c>
      <c r="I46" s="50">
        <f>((PlanGrid[[#This Row],[Demand Watt]]*PlanGrid[[#This Row],[Utilization %]]*'Schedule-Building Info'!$N$16)/1000)</f>
        <v>0</v>
      </c>
      <c r="J46" s="57">
        <f>PlanGrid[[#This Row],[kWh/yr]]*' Elec Utility (kWh)'!$M$7</f>
        <v>0</v>
      </c>
      <c r="K46" s="49">
        <f>PlanGrid[[#This Row],[kWh/yr]]/'Schedule-Building Info'!$B$6</f>
        <v>0</v>
      </c>
      <c r="L46" s="50">
        <f>CONVERT(PlanGrid[[#This Row],[kWh/yr]],"Wh","BTU")</f>
        <v>0</v>
      </c>
      <c r="M46" s="38">
        <f>PlanGrid[[#This Row],[kBtu/yr]]/'Schedule-Building Info'!$B$6</f>
        <v>0</v>
      </c>
      <c r="N46" t="s">
        <v>1090</v>
      </c>
      <c r="O46">
        <v>0</v>
      </c>
      <c r="P46" t="e">
        <f>VLOOKUP(PlanGrid[[#This Row],[Title]],'Spec Wattages'!$A$1:$C$973,3,FALSE)</f>
        <v>#N/A</v>
      </c>
      <c r="Q46" t="s">
        <v>729</v>
      </c>
      <c r="R46" t="s">
        <v>729</v>
      </c>
      <c r="S46" t="s">
        <v>51</v>
      </c>
    </row>
    <row r="47" spans="1:19" hidden="1" x14ac:dyDescent="0.25">
      <c r="A47">
        <v>822</v>
      </c>
      <c r="B47" t="s">
        <v>423</v>
      </c>
      <c r="C47" t="s">
        <v>424</v>
      </c>
      <c r="D47" t="s">
        <v>425</v>
      </c>
      <c r="E47" s="50"/>
      <c r="F47" s="38"/>
      <c r="G47" s="39"/>
      <c r="H47" s="50">
        <f>PlanGrid[[#This Row],[Spec Wattage]]*PlanGrid[[#This Row],[Equipment Count]]</f>
        <v>0</v>
      </c>
      <c r="I47" s="50">
        <f>((PlanGrid[[#This Row],[Demand Watt]]*PlanGrid[[#This Row],[Utilization %]]*'Schedule-Building Info'!$N$16)/1000)</f>
        <v>0</v>
      </c>
      <c r="J47" s="57">
        <f>PlanGrid[[#This Row],[kWh/yr]]*' Elec Utility (kWh)'!$M$7</f>
        <v>0</v>
      </c>
      <c r="K47" s="49">
        <f>PlanGrid[[#This Row],[kWh/yr]]/'Schedule-Building Info'!$B$6</f>
        <v>0</v>
      </c>
      <c r="L47" s="50">
        <f>CONVERT(PlanGrid[[#This Row],[kWh/yr]],"Wh","BTU")</f>
        <v>0</v>
      </c>
      <c r="M47" s="38">
        <f>PlanGrid[[#This Row],[kBtu/yr]]/'Schedule-Building Info'!$B$6</f>
        <v>0</v>
      </c>
      <c r="N47" t="s">
        <v>1090</v>
      </c>
      <c r="O47">
        <v>0</v>
      </c>
      <c r="P47" t="e">
        <f>VLOOKUP(PlanGrid[[#This Row],[Title]],'Spec Wattages'!$A$1:$C$973,3,FALSE)</f>
        <v>#N/A</v>
      </c>
      <c r="Q47" t="s">
        <v>731</v>
      </c>
      <c r="R47" t="s">
        <v>731</v>
      </c>
      <c r="S47" t="s">
        <v>51</v>
      </c>
    </row>
    <row r="48" spans="1:19" hidden="1" x14ac:dyDescent="0.25">
      <c r="A48">
        <v>836</v>
      </c>
      <c r="B48" t="s">
        <v>423</v>
      </c>
      <c r="C48" t="s">
        <v>424</v>
      </c>
      <c r="D48" t="s">
        <v>426</v>
      </c>
      <c r="E48" s="50"/>
      <c r="F48" s="38"/>
      <c r="G48" s="39"/>
      <c r="H48" s="50">
        <f>PlanGrid[[#This Row],[Spec Wattage]]*PlanGrid[[#This Row],[Equipment Count]]</f>
        <v>0</v>
      </c>
      <c r="I48" s="50">
        <f>((PlanGrid[[#This Row],[Demand Watt]]*PlanGrid[[#This Row],[Utilization %]]*'Schedule-Building Info'!$N$16)/1000)</f>
        <v>0</v>
      </c>
      <c r="J48" s="57">
        <f>PlanGrid[[#This Row],[kWh/yr]]*' Elec Utility (kWh)'!$M$7</f>
        <v>0</v>
      </c>
      <c r="K48" s="49">
        <f>PlanGrid[[#This Row],[kWh/yr]]/'Schedule-Building Info'!$B$6</f>
        <v>0</v>
      </c>
      <c r="L48" s="50">
        <f>CONVERT(PlanGrid[[#This Row],[kWh/yr]],"Wh","BTU")</f>
        <v>0</v>
      </c>
      <c r="M48" s="38">
        <f>PlanGrid[[#This Row],[kBtu/yr]]/'Schedule-Building Info'!$B$6</f>
        <v>0</v>
      </c>
      <c r="N48" t="s">
        <v>1090</v>
      </c>
      <c r="O48">
        <v>0</v>
      </c>
      <c r="P48" t="e">
        <f>VLOOKUP(PlanGrid[[#This Row],[Title]],'Spec Wattages'!$A$1:$C$973,3,FALSE)</f>
        <v>#N/A</v>
      </c>
      <c r="Q48" t="s">
        <v>732</v>
      </c>
      <c r="R48" t="s">
        <v>1002</v>
      </c>
      <c r="S48" t="s">
        <v>11</v>
      </c>
    </row>
    <row r="49" spans="1:19" hidden="1" x14ac:dyDescent="0.25">
      <c r="A49">
        <v>857</v>
      </c>
      <c r="B49" t="s">
        <v>423</v>
      </c>
      <c r="C49" t="s">
        <v>424</v>
      </c>
      <c r="D49" t="s">
        <v>426</v>
      </c>
      <c r="E49" s="50"/>
      <c r="F49" s="38"/>
      <c r="G49" s="39"/>
      <c r="H49" s="50">
        <f>PlanGrid[[#This Row],[Spec Wattage]]*PlanGrid[[#This Row],[Equipment Count]]</f>
        <v>0</v>
      </c>
      <c r="I49" s="50">
        <f>((PlanGrid[[#This Row],[Demand Watt]]*PlanGrid[[#This Row],[Utilization %]]*'Schedule-Building Info'!$N$16)/1000)</f>
        <v>0</v>
      </c>
      <c r="J49" s="57">
        <f>PlanGrid[[#This Row],[kWh/yr]]*' Elec Utility (kWh)'!$M$7</f>
        <v>0</v>
      </c>
      <c r="K49" s="49">
        <f>PlanGrid[[#This Row],[kWh/yr]]/'Schedule-Building Info'!$B$6</f>
        <v>0</v>
      </c>
      <c r="L49" s="50">
        <f>CONVERT(PlanGrid[[#This Row],[kWh/yr]],"Wh","BTU")</f>
        <v>0</v>
      </c>
      <c r="M49" s="38">
        <f>PlanGrid[[#This Row],[kBtu/yr]]/'Schedule-Building Info'!$B$6</f>
        <v>0</v>
      </c>
      <c r="N49" t="s">
        <v>1090</v>
      </c>
      <c r="O49">
        <v>0</v>
      </c>
      <c r="P49" t="e">
        <f>VLOOKUP(PlanGrid[[#This Row],[Title]],'Spec Wattages'!$A$1:$C$973,3,FALSE)</f>
        <v>#N/A</v>
      </c>
      <c r="Q49" t="s">
        <v>735</v>
      </c>
      <c r="R49" t="s">
        <v>781</v>
      </c>
      <c r="S49" t="s">
        <v>11</v>
      </c>
    </row>
    <row r="50" spans="1:19" hidden="1" x14ac:dyDescent="0.25">
      <c r="A50">
        <v>866</v>
      </c>
      <c r="B50" t="s">
        <v>423</v>
      </c>
      <c r="C50" t="s">
        <v>424</v>
      </c>
      <c r="D50" t="s">
        <v>426</v>
      </c>
      <c r="E50" s="50"/>
      <c r="F50" s="38"/>
      <c r="G50" s="39"/>
      <c r="H50" s="50">
        <f>PlanGrid[[#This Row],[Spec Wattage]]*PlanGrid[[#This Row],[Equipment Count]]</f>
        <v>0</v>
      </c>
      <c r="I50" s="50">
        <f>((PlanGrid[[#This Row],[Demand Watt]]*PlanGrid[[#This Row],[Utilization %]]*'Schedule-Building Info'!$N$16)/1000)</f>
        <v>0</v>
      </c>
      <c r="J50" s="57">
        <f>PlanGrid[[#This Row],[kWh/yr]]*' Elec Utility (kWh)'!$M$7</f>
        <v>0</v>
      </c>
      <c r="K50" s="49">
        <f>PlanGrid[[#This Row],[kWh/yr]]/'Schedule-Building Info'!$B$6</f>
        <v>0</v>
      </c>
      <c r="L50" s="50">
        <f>CONVERT(PlanGrid[[#This Row],[kWh/yr]],"Wh","BTU")</f>
        <v>0</v>
      </c>
      <c r="M50" s="38">
        <f>PlanGrid[[#This Row],[kBtu/yr]]/'Schedule-Building Info'!$B$6</f>
        <v>0</v>
      </c>
      <c r="N50" t="s">
        <v>1090</v>
      </c>
      <c r="O50">
        <v>0</v>
      </c>
      <c r="P50" t="e">
        <f>VLOOKUP(PlanGrid[[#This Row],[Title]],'Spec Wattages'!$A$1:$C$973,3,FALSE)</f>
        <v>#N/A</v>
      </c>
      <c r="Q50" t="s">
        <v>737</v>
      </c>
      <c r="R50" t="s">
        <v>732</v>
      </c>
      <c r="S50" t="s">
        <v>11</v>
      </c>
    </row>
    <row r="51" spans="1:19" hidden="1" x14ac:dyDescent="0.25">
      <c r="A51">
        <v>879</v>
      </c>
      <c r="B51" t="s">
        <v>423</v>
      </c>
      <c r="C51" t="s">
        <v>424</v>
      </c>
      <c r="D51" t="s">
        <v>425</v>
      </c>
      <c r="E51" s="50"/>
      <c r="F51" s="38"/>
      <c r="G51" s="39"/>
      <c r="H51" s="50">
        <f>PlanGrid[[#This Row],[Spec Wattage]]*PlanGrid[[#This Row],[Equipment Count]]</f>
        <v>0</v>
      </c>
      <c r="I51" s="50">
        <f>((PlanGrid[[#This Row],[Demand Watt]]*PlanGrid[[#This Row],[Utilization %]]*'Schedule-Building Info'!$N$16)/1000)</f>
        <v>0</v>
      </c>
      <c r="J51" s="57">
        <f>PlanGrid[[#This Row],[kWh/yr]]*' Elec Utility (kWh)'!$M$7</f>
        <v>0</v>
      </c>
      <c r="K51" s="49">
        <f>PlanGrid[[#This Row],[kWh/yr]]/'Schedule-Building Info'!$B$6</f>
        <v>0</v>
      </c>
      <c r="L51" s="50">
        <f>CONVERT(PlanGrid[[#This Row],[kWh/yr]],"Wh","BTU")</f>
        <v>0</v>
      </c>
      <c r="M51" s="38">
        <f>PlanGrid[[#This Row],[kBtu/yr]]/'Schedule-Building Info'!$B$6</f>
        <v>0</v>
      </c>
      <c r="N51" t="s">
        <v>1090</v>
      </c>
      <c r="O51">
        <v>0</v>
      </c>
      <c r="P51" t="e">
        <f>VLOOKUP(PlanGrid[[#This Row],[Title]],'Spec Wattages'!$A$1:$C$973,3,FALSE)</f>
        <v>#N/A</v>
      </c>
      <c r="Q51" t="s">
        <v>738</v>
      </c>
      <c r="R51" t="s">
        <v>738</v>
      </c>
      <c r="S51" t="s">
        <v>51</v>
      </c>
    </row>
    <row r="52" spans="1:19" hidden="1" x14ac:dyDescent="0.25">
      <c r="A52">
        <v>5</v>
      </c>
      <c r="B52" t="s">
        <v>423</v>
      </c>
      <c r="C52" t="s">
        <v>424</v>
      </c>
      <c r="D52" t="s">
        <v>444</v>
      </c>
      <c r="E52" s="50"/>
      <c r="F52" s="38"/>
      <c r="G52" s="39"/>
      <c r="H52" s="50">
        <f>PlanGrid[[#This Row],[Spec Wattage]]*PlanGrid[[#This Row],[Equipment Count]]</f>
        <v>0</v>
      </c>
      <c r="I52" s="50">
        <f>((PlanGrid[[#This Row],[Demand Watt]]*PlanGrid[[#This Row],[Utilization %]]*'Schedule-Building Info'!$N$16)/1000)</f>
        <v>0</v>
      </c>
      <c r="J52" s="57">
        <f>PlanGrid[[#This Row],[kWh/yr]]*' Elec Utility (kWh)'!$M$7</f>
        <v>0</v>
      </c>
      <c r="K52" s="49">
        <f>PlanGrid[[#This Row],[kWh/yr]]/'Schedule-Building Info'!$B$6</f>
        <v>0</v>
      </c>
      <c r="L52" s="50">
        <f>CONVERT(PlanGrid[[#This Row],[kWh/yr]],"Wh","BTU")</f>
        <v>0</v>
      </c>
      <c r="M52" s="38">
        <f>PlanGrid[[#This Row],[kBtu/yr]]/'Schedule-Building Info'!$B$6</f>
        <v>0</v>
      </c>
      <c r="N52" t="s">
        <v>1091</v>
      </c>
      <c r="O52">
        <v>13</v>
      </c>
      <c r="P52" t="e">
        <f>VLOOKUP(PlanGrid[[#This Row],[Title]],'Spec Wattages'!$A$1:$C$973,3,FALSE)</f>
        <v>#N/A</v>
      </c>
      <c r="Q52" t="s">
        <v>685</v>
      </c>
      <c r="R52" t="s">
        <v>1041</v>
      </c>
      <c r="S52" t="s">
        <v>51</v>
      </c>
    </row>
    <row r="53" spans="1:19" hidden="1" x14ac:dyDescent="0.25">
      <c r="A53">
        <v>9</v>
      </c>
      <c r="B53" t="s">
        <v>423</v>
      </c>
      <c r="C53" t="s">
        <v>424</v>
      </c>
      <c r="D53" t="s">
        <v>445</v>
      </c>
      <c r="E53" s="50"/>
      <c r="F53" s="38"/>
      <c r="G53" s="39"/>
      <c r="H53" s="50">
        <f>PlanGrid[[#This Row],[Spec Wattage]]*PlanGrid[[#This Row],[Equipment Count]]</f>
        <v>0</v>
      </c>
      <c r="I53" s="50">
        <f>((PlanGrid[[#This Row],[Demand Watt]]*PlanGrid[[#This Row],[Utilization %]]*'Schedule-Building Info'!$N$16)/1000)</f>
        <v>0</v>
      </c>
      <c r="J53" s="57">
        <f>PlanGrid[[#This Row],[kWh/yr]]*' Elec Utility (kWh)'!$M$7</f>
        <v>0</v>
      </c>
      <c r="K53" s="49">
        <f>PlanGrid[[#This Row],[kWh/yr]]/'Schedule-Building Info'!$B$6</f>
        <v>0</v>
      </c>
      <c r="L53" s="50">
        <f>CONVERT(PlanGrid[[#This Row],[kWh/yr]],"Wh","BTU")</f>
        <v>0</v>
      </c>
      <c r="M53" s="38">
        <f>PlanGrid[[#This Row],[kBtu/yr]]/'Schedule-Building Info'!$B$6</f>
        <v>0</v>
      </c>
      <c r="N53" t="s">
        <v>1091</v>
      </c>
      <c r="O53">
        <v>1</v>
      </c>
      <c r="P53" t="e">
        <f>VLOOKUP(PlanGrid[[#This Row],[Title]],'Spec Wattages'!$A$1:$C$973,3,FALSE)</f>
        <v>#N/A</v>
      </c>
      <c r="Q53" t="s">
        <v>741</v>
      </c>
      <c r="R53" t="s">
        <v>929</v>
      </c>
      <c r="S53" t="s">
        <v>51</v>
      </c>
    </row>
    <row r="54" spans="1:19" hidden="1" x14ac:dyDescent="0.25">
      <c r="A54">
        <v>39</v>
      </c>
      <c r="B54" t="s">
        <v>423</v>
      </c>
      <c r="C54" t="s">
        <v>424</v>
      </c>
      <c r="D54" t="s">
        <v>425</v>
      </c>
      <c r="E54" s="50"/>
      <c r="F54" s="38"/>
      <c r="G54" s="39"/>
      <c r="H54" s="50">
        <f>PlanGrid[[#This Row],[Spec Wattage]]*PlanGrid[[#This Row],[Equipment Count]]</f>
        <v>0</v>
      </c>
      <c r="I54" s="50">
        <f>((PlanGrid[[#This Row],[Demand Watt]]*PlanGrid[[#This Row],[Utilization %]]*'Schedule-Building Info'!$N$16)/1000)</f>
        <v>0</v>
      </c>
      <c r="J54" s="57">
        <f>PlanGrid[[#This Row],[kWh/yr]]*' Elec Utility (kWh)'!$M$7</f>
        <v>0</v>
      </c>
      <c r="K54" s="49">
        <f>PlanGrid[[#This Row],[kWh/yr]]/'Schedule-Building Info'!$B$6</f>
        <v>0</v>
      </c>
      <c r="L54" s="50">
        <f>CONVERT(PlanGrid[[#This Row],[kWh/yr]],"Wh","BTU")</f>
        <v>0</v>
      </c>
      <c r="M54" s="38">
        <f>PlanGrid[[#This Row],[kBtu/yr]]/'Schedule-Building Info'!$B$6</f>
        <v>0</v>
      </c>
      <c r="N54" t="s">
        <v>1092</v>
      </c>
      <c r="O54">
        <v>0</v>
      </c>
      <c r="P54" t="e">
        <f>VLOOKUP(PlanGrid[[#This Row],[Title]],'Spec Wattages'!$A$1:$C$973,3,FALSE)</f>
        <v>#N/A</v>
      </c>
      <c r="Q54" t="s">
        <v>742</v>
      </c>
      <c r="R54" t="s">
        <v>742</v>
      </c>
      <c r="S54" t="s">
        <v>51</v>
      </c>
    </row>
    <row r="55" spans="1:19" hidden="1" x14ac:dyDescent="0.25">
      <c r="A55">
        <v>42</v>
      </c>
      <c r="B55" t="s">
        <v>423</v>
      </c>
      <c r="C55" t="s">
        <v>424</v>
      </c>
      <c r="E55" s="50"/>
      <c r="F55" s="38"/>
      <c r="G55" s="39"/>
      <c r="H55" s="50">
        <f>PlanGrid[[#This Row],[Spec Wattage]]*PlanGrid[[#This Row],[Equipment Count]]</f>
        <v>0</v>
      </c>
      <c r="I55" s="50">
        <f>((PlanGrid[[#This Row],[Demand Watt]]*PlanGrid[[#This Row],[Utilization %]]*'Schedule-Building Info'!$N$16)/1000)</f>
        <v>0</v>
      </c>
      <c r="J55" s="57">
        <f>PlanGrid[[#This Row],[kWh/yr]]*' Elec Utility (kWh)'!$M$7</f>
        <v>0</v>
      </c>
      <c r="K55" s="49">
        <f>PlanGrid[[#This Row],[kWh/yr]]/'Schedule-Building Info'!$B$6</f>
        <v>0</v>
      </c>
      <c r="L55" s="50">
        <f>CONVERT(PlanGrid[[#This Row],[kWh/yr]],"Wh","BTU")</f>
        <v>0</v>
      </c>
      <c r="M55" s="38">
        <f>PlanGrid[[#This Row],[kBtu/yr]]/'Schedule-Building Info'!$B$6</f>
        <v>0</v>
      </c>
      <c r="N55" t="s">
        <v>1092</v>
      </c>
      <c r="O55">
        <v>0</v>
      </c>
      <c r="P55" t="e">
        <f>VLOOKUP(PlanGrid[[#This Row],[Title]],'Spec Wattages'!$A$1:$C$973,3,FALSE)</f>
        <v>#N/A</v>
      </c>
      <c r="Q55" t="s">
        <v>743</v>
      </c>
      <c r="R55" t="s">
        <v>843</v>
      </c>
      <c r="S55" t="s">
        <v>11</v>
      </c>
    </row>
    <row r="56" spans="1:19" hidden="1" x14ac:dyDescent="0.25">
      <c r="A56">
        <v>60</v>
      </c>
      <c r="B56" t="s">
        <v>423</v>
      </c>
      <c r="C56" t="s">
        <v>424</v>
      </c>
      <c r="D56" t="s">
        <v>425</v>
      </c>
      <c r="E56" s="50"/>
      <c r="F56" s="38"/>
      <c r="G56" s="39"/>
      <c r="H56" s="50">
        <f>PlanGrid[[#This Row],[Spec Wattage]]*PlanGrid[[#This Row],[Equipment Count]]</f>
        <v>0</v>
      </c>
      <c r="I56" s="50">
        <f>((PlanGrid[[#This Row],[Demand Watt]]*PlanGrid[[#This Row],[Utilization %]]*'Schedule-Building Info'!$N$16)/1000)</f>
        <v>0</v>
      </c>
      <c r="J56" s="57">
        <f>PlanGrid[[#This Row],[kWh/yr]]*' Elec Utility (kWh)'!$M$7</f>
        <v>0</v>
      </c>
      <c r="K56" s="49">
        <f>PlanGrid[[#This Row],[kWh/yr]]/'Schedule-Building Info'!$B$6</f>
        <v>0</v>
      </c>
      <c r="L56" s="50">
        <f>CONVERT(PlanGrid[[#This Row],[kWh/yr]],"Wh","BTU")</f>
        <v>0</v>
      </c>
      <c r="M56" s="38">
        <f>PlanGrid[[#This Row],[kBtu/yr]]/'Schedule-Building Info'!$B$6</f>
        <v>0</v>
      </c>
      <c r="N56" t="s">
        <v>1092</v>
      </c>
      <c r="O56">
        <v>0</v>
      </c>
      <c r="P56" t="e">
        <f>VLOOKUP(PlanGrid[[#This Row],[Title]],'Spec Wattages'!$A$1:$C$973,3,FALSE)</f>
        <v>#N/A</v>
      </c>
      <c r="Q56" t="s">
        <v>744</v>
      </c>
      <c r="R56" t="s">
        <v>744</v>
      </c>
      <c r="S56" t="s">
        <v>51</v>
      </c>
    </row>
    <row r="57" spans="1:19" hidden="1" x14ac:dyDescent="0.25">
      <c r="A57">
        <v>113</v>
      </c>
      <c r="B57" t="s">
        <v>423</v>
      </c>
      <c r="C57" t="s">
        <v>424</v>
      </c>
      <c r="E57" s="50"/>
      <c r="F57" s="38"/>
      <c r="G57" s="39"/>
      <c r="H57" s="50">
        <f>PlanGrid[[#This Row],[Spec Wattage]]*PlanGrid[[#This Row],[Equipment Count]]</f>
        <v>0</v>
      </c>
      <c r="I57" s="50">
        <f>((PlanGrid[[#This Row],[Demand Watt]]*PlanGrid[[#This Row],[Utilization %]]*'Schedule-Building Info'!$N$16)/1000)</f>
        <v>0</v>
      </c>
      <c r="J57" s="57">
        <f>PlanGrid[[#This Row],[kWh/yr]]*' Elec Utility (kWh)'!$M$7</f>
        <v>0</v>
      </c>
      <c r="K57" s="49">
        <f>PlanGrid[[#This Row],[kWh/yr]]/'Schedule-Building Info'!$B$6</f>
        <v>0</v>
      </c>
      <c r="L57" s="50">
        <f>CONVERT(PlanGrid[[#This Row],[kWh/yr]],"Wh","BTU")</f>
        <v>0</v>
      </c>
      <c r="M57" s="38">
        <f>PlanGrid[[#This Row],[kBtu/yr]]/'Schedule-Building Info'!$B$6</f>
        <v>0</v>
      </c>
      <c r="N57" t="s">
        <v>1092</v>
      </c>
      <c r="O57">
        <v>0</v>
      </c>
      <c r="P57" t="e">
        <f>VLOOKUP(PlanGrid[[#This Row],[Title]],'Spec Wattages'!$A$1:$C$973,3,FALSE)</f>
        <v>#N/A</v>
      </c>
      <c r="Q57" t="s">
        <v>746</v>
      </c>
      <c r="R57" t="s">
        <v>747</v>
      </c>
      <c r="S57" t="s">
        <v>11</v>
      </c>
    </row>
    <row r="58" spans="1:19" hidden="1" x14ac:dyDescent="0.25">
      <c r="A58">
        <v>114</v>
      </c>
      <c r="B58" t="s">
        <v>423</v>
      </c>
      <c r="C58" t="s">
        <v>424</v>
      </c>
      <c r="D58" t="s">
        <v>425</v>
      </c>
      <c r="E58" s="50"/>
      <c r="F58" s="38"/>
      <c r="G58" s="39"/>
      <c r="H58" s="50">
        <f>PlanGrid[[#This Row],[Spec Wattage]]*PlanGrid[[#This Row],[Equipment Count]]</f>
        <v>0</v>
      </c>
      <c r="I58" s="50">
        <f>((PlanGrid[[#This Row],[Demand Watt]]*PlanGrid[[#This Row],[Utilization %]]*'Schedule-Building Info'!$N$16)/1000)</f>
        <v>0</v>
      </c>
      <c r="J58" s="57">
        <f>PlanGrid[[#This Row],[kWh/yr]]*' Elec Utility (kWh)'!$M$7</f>
        <v>0</v>
      </c>
      <c r="K58" s="49">
        <f>PlanGrid[[#This Row],[kWh/yr]]/'Schedule-Building Info'!$B$6</f>
        <v>0</v>
      </c>
      <c r="L58" s="50">
        <f>CONVERT(PlanGrid[[#This Row],[kWh/yr]],"Wh","BTU")</f>
        <v>0</v>
      </c>
      <c r="M58" s="38">
        <f>PlanGrid[[#This Row],[kBtu/yr]]/'Schedule-Building Info'!$B$6</f>
        <v>0</v>
      </c>
      <c r="N58" t="s">
        <v>1092</v>
      </c>
      <c r="O58">
        <v>0</v>
      </c>
      <c r="P58" t="e">
        <f>VLOOKUP(PlanGrid[[#This Row],[Title]],'Spec Wattages'!$A$1:$C$973,3,FALSE)</f>
        <v>#N/A</v>
      </c>
      <c r="Q58" t="s">
        <v>747</v>
      </c>
      <c r="R58" t="s">
        <v>747</v>
      </c>
      <c r="S58" t="s">
        <v>51</v>
      </c>
    </row>
    <row r="59" spans="1:19" hidden="1" x14ac:dyDescent="0.25">
      <c r="A59">
        <v>115</v>
      </c>
      <c r="B59" t="s">
        <v>423</v>
      </c>
      <c r="C59" t="s">
        <v>424</v>
      </c>
      <c r="E59" s="50"/>
      <c r="F59" s="38"/>
      <c r="G59" s="39"/>
      <c r="H59" s="50">
        <f>PlanGrid[[#This Row],[Spec Wattage]]*PlanGrid[[#This Row],[Equipment Count]]</f>
        <v>0</v>
      </c>
      <c r="I59" s="50">
        <f>((PlanGrid[[#This Row],[Demand Watt]]*PlanGrid[[#This Row],[Utilization %]]*'Schedule-Building Info'!$N$16)/1000)</f>
        <v>0</v>
      </c>
      <c r="J59" s="57">
        <f>PlanGrid[[#This Row],[kWh/yr]]*' Elec Utility (kWh)'!$M$7</f>
        <v>0</v>
      </c>
      <c r="K59" s="49">
        <f>PlanGrid[[#This Row],[kWh/yr]]/'Schedule-Building Info'!$B$6</f>
        <v>0</v>
      </c>
      <c r="L59" s="50">
        <f>CONVERT(PlanGrid[[#This Row],[kWh/yr]],"Wh","BTU")</f>
        <v>0</v>
      </c>
      <c r="M59" s="38">
        <f>PlanGrid[[#This Row],[kBtu/yr]]/'Schedule-Building Info'!$B$6</f>
        <v>0</v>
      </c>
      <c r="N59" t="s">
        <v>1092</v>
      </c>
      <c r="O59">
        <v>0</v>
      </c>
      <c r="P59" t="e">
        <f>VLOOKUP(PlanGrid[[#This Row],[Title]],'Spec Wattages'!$A$1:$C$973,3,FALSE)</f>
        <v>#N/A</v>
      </c>
      <c r="Q59" t="s">
        <v>748</v>
      </c>
      <c r="R59" t="s">
        <v>747</v>
      </c>
      <c r="S59" t="s">
        <v>11</v>
      </c>
    </row>
    <row r="60" spans="1:19" hidden="1" x14ac:dyDescent="0.25">
      <c r="A60">
        <v>116</v>
      </c>
      <c r="B60" t="s">
        <v>423</v>
      </c>
      <c r="C60" t="s">
        <v>424</v>
      </c>
      <c r="E60" s="50"/>
      <c r="F60" s="38"/>
      <c r="G60" s="39"/>
      <c r="H60" s="50">
        <f>PlanGrid[[#This Row],[Spec Wattage]]*PlanGrid[[#This Row],[Equipment Count]]</f>
        <v>0</v>
      </c>
      <c r="I60" s="50">
        <f>((PlanGrid[[#This Row],[Demand Watt]]*PlanGrid[[#This Row],[Utilization %]]*'Schedule-Building Info'!$N$16)/1000)</f>
        <v>0</v>
      </c>
      <c r="J60" s="57">
        <f>PlanGrid[[#This Row],[kWh/yr]]*' Elec Utility (kWh)'!$M$7</f>
        <v>0</v>
      </c>
      <c r="K60" s="49">
        <f>PlanGrid[[#This Row],[kWh/yr]]/'Schedule-Building Info'!$B$6</f>
        <v>0</v>
      </c>
      <c r="L60" s="50">
        <f>CONVERT(PlanGrid[[#This Row],[kWh/yr]],"Wh","BTU")</f>
        <v>0</v>
      </c>
      <c r="M60" s="38">
        <f>PlanGrid[[#This Row],[kBtu/yr]]/'Schedule-Building Info'!$B$6</f>
        <v>0</v>
      </c>
      <c r="N60" t="s">
        <v>1092</v>
      </c>
      <c r="O60">
        <v>0</v>
      </c>
      <c r="P60" t="e">
        <f>VLOOKUP(PlanGrid[[#This Row],[Title]],'Spec Wattages'!$A$1:$C$973,3,FALSE)</f>
        <v>#N/A</v>
      </c>
      <c r="Q60" t="s">
        <v>748</v>
      </c>
      <c r="R60" t="s">
        <v>747</v>
      </c>
      <c r="S60" t="s">
        <v>11</v>
      </c>
    </row>
    <row r="61" spans="1:19" hidden="1" x14ac:dyDescent="0.25">
      <c r="A61">
        <v>127</v>
      </c>
      <c r="B61" t="s">
        <v>423</v>
      </c>
      <c r="C61" t="s">
        <v>424</v>
      </c>
      <c r="D61" t="s">
        <v>425</v>
      </c>
      <c r="E61" s="50"/>
      <c r="F61" s="38"/>
      <c r="G61" s="39"/>
      <c r="H61" s="50">
        <f>PlanGrid[[#This Row],[Spec Wattage]]*PlanGrid[[#This Row],[Equipment Count]]</f>
        <v>0</v>
      </c>
      <c r="I61" s="50">
        <f>((PlanGrid[[#This Row],[Demand Watt]]*PlanGrid[[#This Row],[Utilization %]]*'Schedule-Building Info'!$N$16)/1000)</f>
        <v>0</v>
      </c>
      <c r="J61" s="57">
        <f>PlanGrid[[#This Row],[kWh/yr]]*' Elec Utility (kWh)'!$M$7</f>
        <v>0</v>
      </c>
      <c r="K61" s="49">
        <f>PlanGrid[[#This Row],[kWh/yr]]/'Schedule-Building Info'!$B$6</f>
        <v>0</v>
      </c>
      <c r="L61" s="50">
        <f>CONVERT(PlanGrid[[#This Row],[kWh/yr]],"Wh","BTU")</f>
        <v>0</v>
      </c>
      <c r="M61" s="38">
        <f>PlanGrid[[#This Row],[kBtu/yr]]/'Schedule-Building Info'!$B$6</f>
        <v>0</v>
      </c>
      <c r="N61" t="s">
        <v>1092</v>
      </c>
      <c r="O61">
        <v>0</v>
      </c>
      <c r="P61" t="e">
        <f>VLOOKUP(PlanGrid[[#This Row],[Title]],'Spec Wattages'!$A$1:$C$973,3,FALSE)</f>
        <v>#N/A</v>
      </c>
      <c r="Q61" t="s">
        <v>749</v>
      </c>
      <c r="R61" t="s">
        <v>749</v>
      </c>
      <c r="S61" t="s">
        <v>51</v>
      </c>
    </row>
    <row r="62" spans="1:19" hidden="1" x14ac:dyDescent="0.25">
      <c r="A62">
        <v>158</v>
      </c>
      <c r="B62" t="s">
        <v>423</v>
      </c>
      <c r="C62" t="s">
        <v>424</v>
      </c>
      <c r="D62" t="s">
        <v>425</v>
      </c>
      <c r="E62" s="50"/>
      <c r="F62" s="38"/>
      <c r="G62" s="39"/>
      <c r="H62" s="50">
        <f>PlanGrid[[#This Row],[Spec Wattage]]*PlanGrid[[#This Row],[Equipment Count]]</f>
        <v>0</v>
      </c>
      <c r="I62" s="50">
        <f>((PlanGrid[[#This Row],[Demand Watt]]*PlanGrid[[#This Row],[Utilization %]]*'Schedule-Building Info'!$N$16)/1000)</f>
        <v>0</v>
      </c>
      <c r="J62" s="57">
        <f>PlanGrid[[#This Row],[kWh/yr]]*' Elec Utility (kWh)'!$M$7</f>
        <v>0</v>
      </c>
      <c r="K62" s="49">
        <f>PlanGrid[[#This Row],[kWh/yr]]/'Schedule-Building Info'!$B$6</f>
        <v>0</v>
      </c>
      <c r="L62" s="50">
        <f>CONVERT(PlanGrid[[#This Row],[kWh/yr]],"Wh","BTU")</f>
        <v>0</v>
      </c>
      <c r="M62" s="38">
        <f>PlanGrid[[#This Row],[kBtu/yr]]/'Schedule-Building Info'!$B$6</f>
        <v>0</v>
      </c>
      <c r="N62" t="s">
        <v>1092</v>
      </c>
      <c r="O62">
        <v>0</v>
      </c>
      <c r="P62" t="e">
        <f>VLOOKUP(PlanGrid[[#This Row],[Title]],'Spec Wattages'!$A$1:$C$973,3,FALSE)</f>
        <v>#N/A</v>
      </c>
      <c r="Q62" t="s">
        <v>748</v>
      </c>
      <c r="R62" t="s">
        <v>748</v>
      </c>
      <c r="S62" t="s">
        <v>51</v>
      </c>
    </row>
    <row r="63" spans="1:19" hidden="1" x14ac:dyDescent="0.25">
      <c r="A63">
        <v>164</v>
      </c>
      <c r="B63" t="s">
        <v>423</v>
      </c>
      <c r="C63" t="s">
        <v>424</v>
      </c>
      <c r="E63" s="50"/>
      <c r="F63" s="38"/>
      <c r="G63" s="39"/>
      <c r="H63" s="50">
        <f>PlanGrid[[#This Row],[Spec Wattage]]*PlanGrid[[#This Row],[Equipment Count]]</f>
        <v>0</v>
      </c>
      <c r="I63" s="50">
        <f>((PlanGrid[[#This Row],[Demand Watt]]*PlanGrid[[#This Row],[Utilization %]]*'Schedule-Building Info'!$N$16)/1000)</f>
        <v>0</v>
      </c>
      <c r="J63" s="57">
        <f>PlanGrid[[#This Row],[kWh/yr]]*' Elec Utility (kWh)'!$M$7</f>
        <v>0</v>
      </c>
      <c r="K63" s="49">
        <f>PlanGrid[[#This Row],[kWh/yr]]/'Schedule-Building Info'!$B$6</f>
        <v>0</v>
      </c>
      <c r="L63" s="50">
        <f>CONVERT(PlanGrid[[#This Row],[kWh/yr]],"Wh","BTU")</f>
        <v>0</v>
      </c>
      <c r="M63" s="38">
        <f>PlanGrid[[#This Row],[kBtu/yr]]/'Schedule-Building Info'!$B$6</f>
        <v>0</v>
      </c>
      <c r="N63" t="s">
        <v>1092</v>
      </c>
      <c r="O63">
        <v>0</v>
      </c>
      <c r="P63" t="e">
        <f>VLOOKUP(PlanGrid[[#This Row],[Title]],'Spec Wattages'!$A$1:$C$973,3,FALSE)</f>
        <v>#N/A</v>
      </c>
      <c r="Q63" t="s">
        <v>751</v>
      </c>
      <c r="R63" t="s">
        <v>860</v>
      </c>
      <c r="S63" t="s">
        <v>11</v>
      </c>
    </row>
    <row r="64" spans="1:19" hidden="1" x14ac:dyDescent="0.25">
      <c r="A64">
        <v>193</v>
      </c>
      <c r="B64" t="s">
        <v>423</v>
      </c>
      <c r="C64" t="s">
        <v>424</v>
      </c>
      <c r="E64" s="50"/>
      <c r="F64" s="38"/>
      <c r="G64" s="39"/>
      <c r="H64" s="50">
        <f>PlanGrid[[#This Row],[Spec Wattage]]*PlanGrid[[#This Row],[Equipment Count]]</f>
        <v>0</v>
      </c>
      <c r="I64" s="50">
        <f>((PlanGrid[[#This Row],[Demand Watt]]*PlanGrid[[#This Row],[Utilization %]]*'Schedule-Building Info'!$N$16)/1000)</f>
        <v>0</v>
      </c>
      <c r="J64" s="57">
        <f>PlanGrid[[#This Row],[kWh/yr]]*' Elec Utility (kWh)'!$M$7</f>
        <v>0</v>
      </c>
      <c r="K64" s="49">
        <f>PlanGrid[[#This Row],[kWh/yr]]/'Schedule-Building Info'!$B$6</f>
        <v>0</v>
      </c>
      <c r="L64" s="50">
        <f>CONVERT(PlanGrid[[#This Row],[kWh/yr]],"Wh","BTU")</f>
        <v>0</v>
      </c>
      <c r="M64" s="38">
        <f>PlanGrid[[#This Row],[kBtu/yr]]/'Schedule-Building Info'!$B$6</f>
        <v>0</v>
      </c>
      <c r="N64" t="s">
        <v>1092</v>
      </c>
      <c r="O64">
        <v>0</v>
      </c>
      <c r="P64" t="e">
        <f>VLOOKUP(PlanGrid[[#This Row],[Title]],'Spec Wattages'!$A$1:$C$973,3,FALSE)</f>
        <v>#N/A</v>
      </c>
      <c r="Q64" t="s">
        <v>752</v>
      </c>
      <c r="R64" t="s">
        <v>751</v>
      </c>
      <c r="S64" t="s">
        <v>11</v>
      </c>
    </row>
    <row r="65" spans="1:19" hidden="1" x14ac:dyDescent="0.25">
      <c r="A65">
        <v>216</v>
      </c>
      <c r="B65" t="s">
        <v>423</v>
      </c>
      <c r="C65" t="s">
        <v>424</v>
      </c>
      <c r="D65" t="s">
        <v>425</v>
      </c>
      <c r="E65" s="50"/>
      <c r="F65" s="38"/>
      <c r="G65" s="39"/>
      <c r="H65" s="50">
        <f>PlanGrid[[#This Row],[Spec Wattage]]*PlanGrid[[#This Row],[Equipment Count]]</f>
        <v>0</v>
      </c>
      <c r="I65" s="50">
        <f>((PlanGrid[[#This Row],[Demand Watt]]*PlanGrid[[#This Row],[Utilization %]]*'Schedule-Building Info'!$N$16)/1000)</f>
        <v>0</v>
      </c>
      <c r="J65" s="57">
        <f>PlanGrid[[#This Row],[kWh/yr]]*' Elec Utility (kWh)'!$M$7</f>
        <v>0</v>
      </c>
      <c r="K65" s="49">
        <f>PlanGrid[[#This Row],[kWh/yr]]/'Schedule-Building Info'!$B$6</f>
        <v>0</v>
      </c>
      <c r="L65" s="50">
        <f>CONVERT(PlanGrid[[#This Row],[kWh/yr]],"Wh","BTU")</f>
        <v>0</v>
      </c>
      <c r="M65" s="38">
        <f>PlanGrid[[#This Row],[kBtu/yr]]/'Schedule-Building Info'!$B$6</f>
        <v>0</v>
      </c>
      <c r="N65" t="s">
        <v>1092</v>
      </c>
      <c r="O65">
        <v>0</v>
      </c>
      <c r="P65" t="e">
        <f>VLOOKUP(PlanGrid[[#This Row],[Title]],'Spec Wattages'!$A$1:$C$973,3,FALSE)</f>
        <v>#N/A</v>
      </c>
      <c r="Q65" t="s">
        <v>754</v>
      </c>
      <c r="R65" t="s">
        <v>754</v>
      </c>
      <c r="S65" t="s">
        <v>51</v>
      </c>
    </row>
    <row r="66" spans="1:19" hidden="1" x14ac:dyDescent="0.25">
      <c r="A66">
        <v>254</v>
      </c>
      <c r="B66" t="s">
        <v>423</v>
      </c>
      <c r="C66" t="s">
        <v>424</v>
      </c>
      <c r="D66" t="s">
        <v>425</v>
      </c>
      <c r="E66" s="50"/>
      <c r="F66" s="38"/>
      <c r="G66" s="39"/>
      <c r="H66" s="50">
        <f>PlanGrid[[#This Row],[Spec Wattage]]*PlanGrid[[#This Row],[Equipment Count]]</f>
        <v>0</v>
      </c>
      <c r="I66" s="50">
        <f>((PlanGrid[[#This Row],[Demand Watt]]*PlanGrid[[#This Row],[Utilization %]]*'Schedule-Building Info'!$N$16)/1000)</f>
        <v>0</v>
      </c>
      <c r="J66" s="57">
        <f>PlanGrid[[#This Row],[kWh/yr]]*' Elec Utility (kWh)'!$M$7</f>
        <v>0</v>
      </c>
      <c r="K66" s="49">
        <f>PlanGrid[[#This Row],[kWh/yr]]/'Schedule-Building Info'!$B$6</f>
        <v>0</v>
      </c>
      <c r="L66" s="50">
        <f>CONVERT(PlanGrid[[#This Row],[kWh/yr]],"Wh","BTU")</f>
        <v>0</v>
      </c>
      <c r="M66" s="38">
        <f>PlanGrid[[#This Row],[kBtu/yr]]/'Schedule-Building Info'!$B$6</f>
        <v>0</v>
      </c>
      <c r="N66" t="s">
        <v>1092</v>
      </c>
      <c r="O66">
        <v>0</v>
      </c>
      <c r="P66" t="e">
        <f>VLOOKUP(PlanGrid[[#This Row],[Title]],'Spec Wattages'!$A$1:$C$973,3,FALSE)</f>
        <v>#N/A</v>
      </c>
      <c r="Q66" t="s">
        <v>755</v>
      </c>
      <c r="R66" t="s">
        <v>755</v>
      </c>
      <c r="S66" t="s">
        <v>51</v>
      </c>
    </row>
    <row r="67" spans="1:19" hidden="1" x14ac:dyDescent="0.25">
      <c r="A67">
        <v>264</v>
      </c>
      <c r="B67" t="s">
        <v>423</v>
      </c>
      <c r="C67" t="s">
        <v>424</v>
      </c>
      <c r="D67" t="s">
        <v>425</v>
      </c>
      <c r="E67" s="50"/>
      <c r="F67" s="38"/>
      <c r="G67" s="39"/>
      <c r="H67" s="50">
        <f>PlanGrid[[#This Row],[Spec Wattage]]*PlanGrid[[#This Row],[Equipment Count]]</f>
        <v>0</v>
      </c>
      <c r="I67" s="50">
        <f>((PlanGrid[[#This Row],[Demand Watt]]*PlanGrid[[#This Row],[Utilization %]]*'Schedule-Building Info'!$N$16)/1000)</f>
        <v>0</v>
      </c>
      <c r="J67" s="57">
        <f>PlanGrid[[#This Row],[kWh/yr]]*' Elec Utility (kWh)'!$M$7</f>
        <v>0</v>
      </c>
      <c r="K67" s="49">
        <f>PlanGrid[[#This Row],[kWh/yr]]/'Schedule-Building Info'!$B$6</f>
        <v>0</v>
      </c>
      <c r="L67" s="50">
        <f>CONVERT(PlanGrid[[#This Row],[kWh/yr]],"Wh","BTU")</f>
        <v>0</v>
      </c>
      <c r="M67" s="38">
        <f>PlanGrid[[#This Row],[kBtu/yr]]/'Schedule-Building Info'!$B$6</f>
        <v>0</v>
      </c>
      <c r="N67" t="s">
        <v>1092</v>
      </c>
      <c r="O67">
        <v>0</v>
      </c>
      <c r="P67" t="e">
        <f>VLOOKUP(PlanGrid[[#This Row],[Title]],'Spec Wattages'!$A$1:$C$973,3,FALSE)</f>
        <v>#N/A</v>
      </c>
      <c r="Q67" t="s">
        <v>756</v>
      </c>
      <c r="R67" t="s">
        <v>756</v>
      </c>
      <c r="S67" t="s">
        <v>51</v>
      </c>
    </row>
    <row r="68" spans="1:19" hidden="1" x14ac:dyDescent="0.25">
      <c r="A68">
        <v>287</v>
      </c>
      <c r="B68" t="s">
        <v>423</v>
      </c>
      <c r="C68" t="s">
        <v>424</v>
      </c>
      <c r="E68" s="50"/>
      <c r="F68" s="38"/>
      <c r="G68" s="39"/>
      <c r="H68" s="50">
        <f>PlanGrid[[#This Row],[Spec Wattage]]*PlanGrid[[#This Row],[Equipment Count]]</f>
        <v>0</v>
      </c>
      <c r="I68" s="50">
        <f>((PlanGrid[[#This Row],[Demand Watt]]*PlanGrid[[#This Row],[Utilization %]]*'Schedule-Building Info'!$N$16)/1000)</f>
        <v>0</v>
      </c>
      <c r="J68" s="57">
        <f>PlanGrid[[#This Row],[kWh/yr]]*' Elec Utility (kWh)'!$M$7</f>
        <v>0</v>
      </c>
      <c r="K68" s="49">
        <f>PlanGrid[[#This Row],[kWh/yr]]/'Schedule-Building Info'!$B$6</f>
        <v>0</v>
      </c>
      <c r="L68" s="50">
        <f>CONVERT(PlanGrid[[#This Row],[kWh/yr]],"Wh","BTU")</f>
        <v>0</v>
      </c>
      <c r="M68" s="38">
        <f>PlanGrid[[#This Row],[kBtu/yr]]/'Schedule-Building Info'!$B$6</f>
        <v>0</v>
      </c>
      <c r="N68" t="s">
        <v>1092</v>
      </c>
      <c r="O68">
        <v>0</v>
      </c>
      <c r="P68" t="e">
        <f>VLOOKUP(PlanGrid[[#This Row],[Title]],'Spec Wattages'!$A$1:$C$973,3,FALSE)</f>
        <v>#N/A</v>
      </c>
      <c r="Q68" t="s">
        <v>757</v>
      </c>
      <c r="R68" t="s">
        <v>1042</v>
      </c>
      <c r="S68" t="s">
        <v>11</v>
      </c>
    </row>
    <row r="69" spans="1:19" hidden="1" x14ac:dyDescent="0.25">
      <c r="A69">
        <v>342</v>
      </c>
      <c r="B69" t="s">
        <v>423</v>
      </c>
      <c r="C69" t="s">
        <v>424</v>
      </c>
      <c r="E69" s="50"/>
      <c r="F69" s="38"/>
      <c r="G69" s="39"/>
      <c r="H69" s="50">
        <f>PlanGrid[[#This Row],[Spec Wattage]]*PlanGrid[[#This Row],[Equipment Count]]</f>
        <v>0</v>
      </c>
      <c r="I69" s="50">
        <f>((PlanGrid[[#This Row],[Demand Watt]]*PlanGrid[[#This Row],[Utilization %]]*'Schedule-Building Info'!$N$16)/1000)</f>
        <v>0</v>
      </c>
      <c r="J69" s="57">
        <f>PlanGrid[[#This Row],[kWh/yr]]*' Elec Utility (kWh)'!$M$7</f>
        <v>0</v>
      </c>
      <c r="K69" s="49">
        <f>PlanGrid[[#This Row],[kWh/yr]]/'Schedule-Building Info'!$B$6</f>
        <v>0</v>
      </c>
      <c r="L69" s="50">
        <f>CONVERT(PlanGrid[[#This Row],[kWh/yr]],"Wh","BTU")</f>
        <v>0</v>
      </c>
      <c r="M69" s="38">
        <f>PlanGrid[[#This Row],[kBtu/yr]]/'Schedule-Building Info'!$B$6</f>
        <v>0</v>
      </c>
      <c r="N69" t="s">
        <v>1092</v>
      </c>
      <c r="O69">
        <v>0</v>
      </c>
      <c r="P69" t="e">
        <f>VLOOKUP(PlanGrid[[#This Row],[Title]],'Spec Wattages'!$A$1:$C$973,3,FALSE)</f>
        <v>#N/A</v>
      </c>
      <c r="Q69" t="s">
        <v>758</v>
      </c>
      <c r="R69" t="s">
        <v>1043</v>
      </c>
      <c r="S69" t="s">
        <v>11</v>
      </c>
    </row>
    <row r="70" spans="1:19" hidden="1" x14ac:dyDescent="0.25">
      <c r="A70">
        <v>343</v>
      </c>
      <c r="B70" t="s">
        <v>423</v>
      </c>
      <c r="C70" t="s">
        <v>424</v>
      </c>
      <c r="E70" s="50"/>
      <c r="F70" s="38"/>
      <c r="G70" s="39"/>
      <c r="H70" s="50">
        <f>PlanGrid[[#This Row],[Spec Wattage]]*PlanGrid[[#This Row],[Equipment Count]]</f>
        <v>0</v>
      </c>
      <c r="I70" s="50">
        <f>((PlanGrid[[#This Row],[Demand Watt]]*PlanGrid[[#This Row],[Utilization %]]*'Schedule-Building Info'!$N$16)/1000)</f>
        <v>0</v>
      </c>
      <c r="J70" s="57">
        <f>PlanGrid[[#This Row],[kWh/yr]]*' Elec Utility (kWh)'!$M$7</f>
        <v>0</v>
      </c>
      <c r="K70" s="49">
        <f>PlanGrid[[#This Row],[kWh/yr]]/'Schedule-Building Info'!$B$6</f>
        <v>0</v>
      </c>
      <c r="L70" s="50">
        <f>CONVERT(PlanGrid[[#This Row],[kWh/yr]],"Wh","BTU")</f>
        <v>0</v>
      </c>
      <c r="M70" s="38">
        <f>PlanGrid[[#This Row],[kBtu/yr]]/'Schedule-Building Info'!$B$6</f>
        <v>0</v>
      </c>
      <c r="N70" t="s">
        <v>1092</v>
      </c>
      <c r="O70">
        <v>0</v>
      </c>
      <c r="P70" t="e">
        <f>VLOOKUP(PlanGrid[[#This Row],[Title]],'Spec Wattages'!$A$1:$C$973,3,FALSE)</f>
        <v>#N/A</v>
      </c>
      <c r="Q70" t="s">
        <v>759</v>
      </c>
      <c r="R70" t="s">
        <v>1043</v>
      </c>
      <c r="S70" t="s">
        <v>11</v>
      </c>
    </row>
    <row r="71" spans="1:19" hidden="1" x14ac:dyDescent="0.25">
      <c r="A71">
        <v>385</v>
      </c>
      <c r="B71" t="s">
        <v>423</v>
      </c>
      <c r="C71" t="s">
        <v>424</v>
      </c>
      <c r="E71" s="50"/>
      <c r="F71" s="38"/>
      <c r="G71" s="39"/>
      <c r="H71" s="50">
        <f>PlanGrid[[#This Row],[Spec Wattage]]*PlanGrid[[#This Row],[Equipment Count]]</f>
        <v>0</v>
      </c>
      <c r="I71" s="50">
        <f>((PlanGrid[[#This Row],[Demand Watt]]*PlanGrid[[#This Row],[Utilization %]]*'Schedule-Building Info'!$N$16)/1000)</f>
        <v>0</v>
      </c>
      <c r="J71" s="57">
        <f>PlanGrid[[#This Row],[kWh/yr]]*' Elec Utility (kWh)'!$M$7</f>
        <v>0</v>
      </c>
      <c r="K71" s="49">
        <f>PlanGrid[[#This Row],[kWh/yr]]/'Schedule-Building Info'!$B$6</f>
        <v>0</v>
      </c>
      <c r="L71" s="50">
        <f>CONVERT(PlanGrid[[#This Row],[kWh/yr]],"Wh","BTU")</f>
        <v>0</v>
      </c>
      <c r="M71" s="38">
        <f>PlanGrid[[#This Row],[kBtu/yr]]/'Schedule-Building Info'!$B$6</f>
        <v>0</v>
      </c>
      <c r="N71" t="s">
        <v>1092</v>
      </c>
      <c r="O71">
        <v>0</v>
      </c>
      <c r="P71" t="e">
        <f>VLOOKUP(PlanGrid[[#This Row],[Title]],'Spec Wattages'!$A$1:$C$973,3,FALSE)</f>
        <v>#N/A</v>
      </c>
      <c r="Q71" t="s">
        <v>761</v>
      </c>
      <c r="R71" t="s">
        <v>1044</v>
      </c>
      <c r="S71" t="s">
        <v>11</v>
      </c>
    </row>
    <row r="72" spans="1:19" hidden="1" x14ac:dyDescent="0.25">
      <c r="A72">
        <v>403</v>
      </c>
      <c r="B72" t="s">
        <v>423</v>
      </c>
      <c r="C72" t="s">
        <v>424</v>
      </c>
      <c r="E72" s="50"/>
      <c r="F72" s="38"/>
      <c r="G72" s="39"/>
      <c r="H72" s="50">
        <f>PlanGrid[[#This Row],[Spec Wattage]]*PlanGrid[[#This Row],[Equipment Count]]</f>
        <v>0</v>
      </c>
      <c r="I72" s="50">
        <f>((PlanGrid[[#This Row],[Demand Watt]]*PlanGrid[[#This Row],[Utilization %]]*'Schedule-Building Info'!$N$16)/1000)</f>
        <v>0</v>
      </c>
      <c r="J72" s="57">
        <f>PlanGrid[[#This Row],[kWh/yr]]*' Elec Utility (kWh)'!$M$7</f>
        <v>0</v>
      </c>
      <c r="K72" s="49">
        <f>PlanGrid[[#This Row],[kWh/yr]]/'Schedule-Building Info'!$B$6</f>
        <v>0</v>
      </c>
      <c r="L72" s="50">
        <f>CONVERT(PlanGrid[[#This Row],[kWh/yr]],"Wh","BTU")</f>
        <v>0</v>
      </c>
      <c r="M72" s="38">
        <f>PlanGrid[[#This Row],[kBtu/yr]]/'Schedule-Building Info'!$B$6</f>
        <v>0</v>
      </c>
      <c r="N72" t="s">
        <v>1092</v>
      </c>
      <c r="O72">
        <v>0</v>
      </c>
      <c r="P72" t="e">
        <f>VLOOKUP(PlanGrid[[#This Row],[Title]],'Spec Wattages'!$A$1:$C$973,3,FALSE)</f>
        <v>#N/A</v>
      </c>
      <c r="Q72" t="s">
        <v>762</v>
      </c>
      <c r="R72" t="s">
        <v>986</v>
      </c>
      <c r="S72" t="s">
        <v>11</v>
      </c>
    </row>
    <row r="73" spans="1:19" hidden="1" x14ac:dyDescent="0.25">
      <c r="A73">
        <v>424</v>
      </c>
      <c r="B73" t="s">
        <v>423</v>
      </c>
      <c r="C73" t="s">
        <v>424</v>
      </c>
      <c r="D73" t="s">
        <v>425</v>
      </c>
      <c r="E73" s="50"/>
      <c r="F73" s="38"/>
      <c r="G73" s="39"/>
      <c r="H73" s="50">
        <f>PlanGrid[[#This Row],[Spec Wattage]]*PlanGrid[[#This Row],[Equipment Count]]</f>
        <v>0</v>
      </c>
      <c r="I73" s="50">
        <f>((PlanGrid[[#This Row],[Demand Watt]]*PlanGrid[[#This Row],[Utilization %]]*'Schedule-Building Info'!$N$16)/1000)</f>
        <v>0</v>
      </c>
      <c r="J73" s="57">
        <f>PlanGrid[[#This Row],[kWh/yr]]*' Elec Utility (kWh)'!$M$7</f>
        <v>0</v>
      </c>
      <c r="K73" s="49">
        <f>PlanGrid[[#This Row],[kWh/yr]]/'Schedule-Building Info'!$B$6</f>
        <v>0</v>
      </c>
      <c r="L73" s="50">
        <f>CONVERT(PlanGrid[[#This Row],[kWh/yr]],"Wh","BTU")</f>
        <v>0</v>
      </c>
      <c r="M73" s="38">
        <f>PlanGrid[[#This Row],[kBtu/yr]]/'Schedule-Building Info'!$B$6</f>
        <v>0</v>
      </c>
      <c r="N73" t="s">
        <v>1092</v>
      </c>
      <c r="O73">
        <v>0</v>
      </c>
      <c r="P73" t="e">
        <f>VLOOKUP(PlanGrid[[#This Row],[Title]],'Spec Wattages'!$A$1:$C$973,3,FALSE)</f>
        <v>#N/A</v>
      </c>
      <c r="Q73" t="s">
        <v>764</v>
      </c>
      <c r="R73" t="s">
        <v>764</v>
      </c>
      <c r="S73" t="s">
        <v>51</v>
      </c>
    </row>
    <row r="74" spans="1:19" hidden="1" x14ac:dyDescent="0.25">
      <c r="A74">
        <v>437</v>
      </c>
      <c r="B74" t="s">
        <v>423</v>
      </c>
      <c r="C74" t="s">
        <v>424</v>
      </c>
      <c r="D74" t="s">
        <v>425</v>
      </c>
      <c r="E74" s="50"/>
      <c r="F74" s="38"/>
      <c r="G74" s="39"/>
      <c r="H74" s="50">
        <f>PlanGrid[[#This Row],[Spec Wattage]]*PlanGrid[[#This Row],[Equipment Count]]</f>
        <v>0</v>
      </c>
      <c r="I74" s="50">
        <f>((PlanGrid[[#This Row],[Demand Watt]]*PlanGrid[[#This Row],[Utilization %]]*'Schedule-Building Info'!$N$16)/1000)</f>
        <v>0</v>
      </c>
      <c r="J74" s="57">
        <f>PlanGrid[[#This Row],[kWh/yr]]*' Elec Utility (kWh)'!$M$7</f>
        <v>0</v>
      </c>
      <c r="K74" s="49">
        <f>PlanGrid[[#This Row],[kWh/yr]]/'Schedule-Building Info'!$B$6</f>
        <v>0</v>
      </c>
      <c r="L74" s="50">
        <f>CONVERT(PlanGrid[[#This Row],[kWh/yr]],"Wh","BTU")</f>
        <v>0</v>
      </c>
      <c r="M74" s="38">
        <f>PlanGrid[[#This Row],[kBtu/yr]]/'Schedule-Building Info'!$B$6</f>
        <v>0</v>
      </c>
      <c r="N74" t="s">
        <v>1092</v>
      </c>
      <c r="O74">
        <v>0</v>
      </c>
      <c r="P74" t="e">
        <f>VLOOKUP(PlanGrid[[#This Row],[Title]],'Spec Wattages'!$A$1:$C$973,3,FALSE)</f>
        <v>#N/A</v>
      </c>
      <c r="Q74" t="s">
        <v>765</v>
      </c>
      <c r="R74" t="s">
        <v>765</v>
      </c>
      <c r="S74" t="s">
        <v>51</v>
      </c>
    </row>
    <row r="75" spans="1:19" hidden="1" x14ac:dyDescent="0.25">
      <c r="A75">
        <v>440</v>
      </c>
      <c r="B75" t="s">
        <v>423</v>
      </c>
      <c r="C75" t="s">
        <v>424</v>
      </c>
      <c r="E75" s="50"/>
      <c r="F75" s="38"/>
      <c r="G75" s="39"/>
      <c r="H75" s="50">
        <f>PlanGrid[[#This Row],[Spec Wattage]]*PlanGrid[[#This Row],[Equipment Count]]</f>
        <v>0</v>
      </c>
      <c r="I75" s="50">
        <f>((PlanGrid[[#This Row],[Demand Watt]]*PlanGrid[[#This Row],[Utilization %]]*'Schedule-Building Info'!$N$16)/1000)</f>
        <v>0</v>
      </c>
      <c r="J75" s="57">
        <f>PlanGrid[[#This Row],[kWh/yr]]*' Elec Utility (kWh)'!$M$7</f>
        <v>0</v>
      </c>
      <c r="K75" s="49">
        <f>PlanGrid[[#This Row],[kWh/yr]]/'Schedule-Building Info'!$B$6</f>
        <v>0</v>
      </c>
      <c r="L75" s="50">
        <f>CONVERT(PlanGrid[[#This Row],[kWh/yr]],"Wh","BTU")</f>
        <v>0</v>
      </c>
      <c r="M75" s="38">
        <f>PlanGrid[[#This Row],[kBtu/yr]]/'Schedule-Building Info'!$B$6</f>
        <v>0</v>
      </c>
      <c r="N75" t="s">
        <v>1092</v>
      </c>
      <c r="O75">
        <v>0</v>
      </c>
      <c r="P75" t="e">
        <f>VLOOKUP(PlanGrid[[#This Row],[Title]],'Spec Wattages'!$A$1:$C$973,3,FALSE)</f>
        <v>#N/A</v>
      </c>
      <c r="Q75" t="s">
        <v>766</v>
      </c>
      <c r="R75" t="s">
        <v>903</v>
      </c>
      <c r="S75" t="s">
        <v>11</v>
      </c>
    </row>
    <row r="76" spans="1:19" hidden="1" x14ac:dyDescent="0.25">
      <c r="A76">
        <v>461</v>
      </c>
      <c r="B76" t="s">
        <v>423</v>
      </c>
      <c r="C76" t="s">
        <v>424</v>
      </c>
      <c r="E76" s="50"/>
      <c r="F76" s="38"/>
      <c r="G76" s="39"/>
      <c r="H76" s="50">
        <f>PlanGrid[[#This Row],[Spec Wattage]]*PlanGrid[[#This Row],[Equipment Count]]</f>
        <v>0</v>
      </c>
      <c r="I76" s="50">
        <f>((PlanGrid[[#This Row],[Demand Watt]]*PlanGrid[[#This Row],[Utilization %]]*'Schedule-Building Info'!$N$16)/1000)</f>
        <v>0</v>
      </c>
      <c r="J76" s="57">
        <f>PlanGrid[[#This Row],[kWh/yr]]*' Elec Utility (kWh)'!$M$7</f>
        <v>0</v>
      </c>
      <c r="K76" s="49">
        <f>PlanGrid[[#This Row],[kWh/yr]]/'Schedule-Building Info'!$B$6</f>
        <v>0</v>
      </c>
      <c r="L76" s="50">
        <f>CONVERT(PlanGrid[[#This Row],[kWh/yr]],"Wh","BTU")</f>
        <v>0</v>
      </c>
      <c r="M76" s="38">
        <f>PlanGrid[[#This Row],[kBtu/yr]]/'Schedule-Building Info'!$B$6</f>
        <v>0</v>
      </c>
      <c r="N76" t="s">
        <v>1092</v>
      </c>
      <c r="O76">
        <v>0</v>
      </c>
      <c r="P76" t="e">
        <f>VLOOKUP(PlanGrid[[#This Row],[Title]],'Spec Wattages'!$A$1:$C$973,3,FALSE)</f>
        <v>#N/A</v>
      </c>
      <c r="Q76" t="s">
        <v>767</v>
      </c>
      <c r="R76" t="s">
        <v>950</v>
      </c>
      <c r="S76" t="s">
        <v>11</v>
      </c>
    </row>
    <row r="77" spans="1:19" hidden="1" x14ac:dyDescent="0.25">
      <c r="A77">
        <v>464</v>
      </c>
      <c r="B77" t="s">
        <v>423</v>
      </c>
      <c r="C77" t="s">
        <v>424</v>
      </c>
      <c r="E77" s="50"/>
      <c r="F77" s="38"/>
      <c r="G77" s="39"/>
      <c r="H77" s="50">
        <f>PlanGrid[[#This Row],[Spec Wattage]]*PlanGrid[[#This Row],[Equipment Count]]</f>
        <v>0</v>
      </c>
      <c r="I77" s="50">
        <f>((PlanGrid[[#This Row],[Demand Watt]]*PlanGrid[[#This Row],[Utilization %]]*'Schedule-Building Info'!$N$16)/1000)</f>
        <v>0</v>
      </c>
      <c r="J77" s="57">
        <f>PlanGrid[[#This Row],[kWh/yr]]*' Elec Utility (kWh)'!$M$7</f>
        <v>0</v>
      </c>
      <c r="K77" s="49">
        <f>PlanGrid[[#This Row],[kWh/yr]]/'Schedule-Building Info'!$B$6</f>
        <v>0</v>
      </c>
      <c r="L77" s="50">
        <f>CONVERT(PlanGrid[[#This Row],[kWh/yr]],"Wh","BTU")</f>
        <v>0</v>
      </c>
      <c r="M77" s="38">
        <f>PlanGrid[[#This Row],[kBtu/yr]]/'Schedule-Building Info'!$B$6</f>
        <v>0</v>
      </c>
      <c r="N77" t="s">
        <v>1092</v>
      </c>
      <c r="O77">
        <v>0</v>
      </c>
      <c r="P77" t="e">
        <f>VLOOKUP(PlanGrid[[#This Row],[Title]],'Spec Wattages'!$A$1:$C$973,3,FALSE)</f>
        <v>#N/A</v>
      </c>
      <c r="Q77" t="s">
        <v>767</v>
      </c>
      <c r="R77" t="s">
        <v>1045</v>
      </c>
      <c r="S77" t="s">
        <v>11</v>
      </c>
    </row>
    <row r="78" spans="1:19" hidden="1" x14ac:dyDescent="0.25">
      <c r="A78">
        <v>488</v>
      </c>
      <c r="B78" t="s">
        <v>423</v>
      </c>
      <c r="C78" t="s">
        <v>424</v>
      </c>
      <c r="E78" s="50"/>
      <c r="F78" s="38"/>
      <c r="G78" s="39"/>
      <c r="H78" s="50">
        <f>PlanGrid[[#This Row],[Spec Wattage]]*PlanGrid[[#This Row],[Equipment Count]]</f>
        <v>0</v>
      </c>
      <c r="I78" s="50">
        <f>((PlanGrid[[#This Row],[Demand Watt]]*PlanGrid[[#This Row],[Utilization %]]*'Schedule-Building Info'!$N$16)/1000)</f>
        <v>0</v>
      </c>
      <c r="J78" s="57">
        <f>PlanGrid[[#This Row],[kWh/yr]]*' Elec Utility (kWh)'!$M$7</f>
        <v>0</v>
      </c>
      <c r="K78" s="49">
        <f>PlanGrid[[#This Row],[kWh/yr]]/'Schedule-Building Info'!$B$6</f>
        <v>0</v>
      </c>
      <c r="L78" s="50">
        <f>CONVERT(PlanGrid[[#This Row],[kWh/yr]],"Wh","BTU")</f>
        <v>0</v>
      </c>
      <c r="M78" s="38">
        <f>PlanGrid[[#This Row],[kBtu/yr]]/'Schedule-Building Info'!$B$6</f>
        <v>0</v>
      </c>
      <c r="N78" t="s">
        <v>1092</v>
      </c>
      <c r="O78">
        <v>0</v>
      </c>
      <c r="P78" t="e">
        <f>VLOOKUP(PlanGrid[[#This Row],[Title]],'Spec Wattages'!$A$1:$C$973,3,FALSE)</f>
        <v>#N/A</v>
      </c>
      <c r="Q78" t="s">
        <v>769</v>
      </c>
      <c r="R78" t="s">
        <v>976</v>
      </c>
      <c r="S78" t="s">
        <v>11</v>
      </c>
    </row>
    <row r="79" spans="1:19" hidden="1" x14ac:dyDescent="0.25">
      <c r="A79">
        <v>499</v>
      </c>
      <c r="B79" t="s">
        <v>423</v>
      </c>
      <c r="C79" t="s">
        <v>424</v>
      </c>
      <c r="E79" s="50"/>
      <c r="F79" s="38"/>
      <c r="G79" s="39"/>
      <c r="H79" s="50">
        <f>PlanGrid[[#This Row],[Spec Wattage]]*PlanGrid[[#This Row],[Equipment Count]]</f>
        <v>0</v>
      </c>
      <c r="I79" s="50">
        <f>((PlanGrid[[#This Row],[Demand Watt]]*PlanGrid[[#This Row],[Utilization %]]*'Schedule-Building Info'!$N$16)/1000)</f>
        <v>0</v>
      </c>
      <c r="J79" s="57">
        <f>PlanGrid[[#This Row],[kWh/yr]]*' Elec Utility (kWh)'!$M$7</f>
        <v>0</v>
      </c>
      <c r="K79" s="49">
        <f>PlanGrid[[#This Row],[kWh/yr]]/'Schedule-Building Info'!$B$6</f>
        <v>0</v>
      </c>
      <c r="L79" s="50">
        <f>CONVERT(PlanGrid[[#This Row],[kWh/yr]],"Wh","BTU")</f>
        <v>0</v>
      </c>
      <c r="M79" s="38">
        <f>PlanGrid[[#This Row],[kBtu/yr]]/'Schedule-Building Info'!$B$6</f>
        <v>0</v>
      </c>
      <c r="N79" t="s">
        <v>1092</v>
      </c>
      <c r="O79">
        <v>0</v>
      </c>
      <c r="P79" t="e">
        <f>VLOOKUP(PlanGrid[[#This Row],[Title]],'Spec Wattages'!$A$1:$C$973,3,FALSE)</f>
        <v>#N/A</v>
      </c>
      <c r="Q79" t="s">
        <v>770</v>
      </c>
      <c r="R79" t="s">
        <v>767</v>
      </c>
      <c r="S79" t="s">
        <v>11</v>
      </c>
    </row>
    <row r="80" spans="1:19" hidden="1" x14ac:dyDescent="0.25">
      <c r="A80">
        <v>520</v>
      </c>
      <c r="B80" t="s">
        <v>423</v>
      </c>
      <c r="C80" t="s">
        <v>424</v>
      </c>
      <c r="D80" t="s">
        <v>425</v>
      </c>
      <c r="E80" s="50"/>
      <c r="F80" s="38"/>
      <c r="G80" s="39"/>
      <c r="H80" s="50">
        <f>PlanGrid[[#This Row],[Spec Wattage]]*PlanGrid[[#This Row],[Equipment Count]]</f>
        <v>0</v>
      </c>
      <c r="I80" s="50">
        <f>((PlanGrid[[#This Row],[Demand Watt]]*PlanGrid[[#This Row],[Utilization %]]*'Schedule-Building Info'!$N$16)/1000)</f>
        <v>0</v>
      </c>
      <c r="J80" s="57">
        <f>PlanGrid[[#This Row],[kWh/yr]]*' Elec Utility (kWh)'!$M$7</f>
        <v>0</v>
      </c>
      <c r="K80" s="49">
        <f>PlanGrid[[#This Row],[kWh/yr]]/'Schedule-Building Info'!$B$6</f>
        <v>0</v>
      </c>
      <c r="L80" s="50">
        <f>CONVERT(PlanGrid[[#This Row],[kWh/yr]],"Wh","BTU")</f>
        <v>0</v>
      </c>
      <c r="M80" s="38">
        <f>PlanGrid[[#This Row],[kBtu/yr]]/'Schedule-Building Info'!$B$6</f>
        <v>0</v>
      </c>
      <c r="N80" t="s">
        <v>1092</v>
      </c>
      <c r="O80">
        <v>0</v>
      </c>
      <c r="P80" t="e">
        <f>VLOOKUP(PlanGrid[[#This Row],[Title]],'Spec Wattages'!$A$1:$C$973,3,FALSE)</f>
        <v>#N/A</v>
      </c>
      <c r="Q80" t="s">
        <v>771</v>
      </c>
      <c r="R80" t="s">
        <v>771</v>
      </c>
      <c r="S80" t="s">
        <v>51</v>
      </c>
    </row>
    <row r="81" spans="1:19" hidden="1" x14ac:dyDescent="0.25">
      <c r="A81">
        <v>529</v>
      </c>
      <c r="B81" t="s">
        <v>423</v>
      </c>
      <c r="C81" t="s">
        <v>424</v>
      </c>
      <c r="E81" s="50"/>
      <c r="F81" s="38"/>
      <c r="G81" s="39"/>
      <c r="H81" s="50">
        <f>PlanGrid[[#This Row],[Spec Wattage]]*PlanGrid[[#This Row],[Equipment Count]]</f>
        <v>0</v>
      </c>
      <c r="I81" s="50">
        <f>((PlanGrid[[#This Row],[Demand Watt]]*PlanGrid[[#This Row],[Utilization %]]*'Schedule-Building Info'!$N$16)/1000)</f>
        <v>0</v>
      </c>
      <c r="J81" s="57">
        <f>PlanGrid[[#This Row],[kWh/yr]]*' Elec Utility (kWh)'!$M$7</f>
        <v>0</v>
      </c>
      <c r="K81" s="49">
        <f>PlanGrid[[#This Row],[kWh/yr]]/'Schedule-Building Info'!$B$6</f>
        <v>0</v>
      </c>
      <c r="L81" s="50">
        <f>CONVERT(PlanGrid[[#This Row],[kWh/yr]],"Wh","BTU")</f>
        <v>0</v>
      </c>
      <c r="M81" s="38">
        <f>PlanGrid[[#This Row],[kBtu/yr]]/'Schedule-Building Info'!$B$6</f>
        <v>0</v>
      </c>
      <c r="N81" t="s">
        <v>1092</v>
      </c>
      <c r="O81">
        <v>0</v>
      </c>
      <c r="P81" t="e">
        <f>VLOOKUP(PlanGrid[[#This Row],[Title]],'Spec Wattages'!$A$1:$C$973,3,FALSE)</f>
        <v>#N/A</v>
      </c>
      <c r="Q81" t="s">
        <v>772</v>
      </c>
      <c r="R81" t="s">
        <v>909</v>
      </c>
      <c r="S81" t="s">
        <v>11</v>
      </c>
    </row>
    <row r="82" spans="1:19" hidden="1" x14ac:dyDescent="0.25">
      <c r="A82">
        <v>537</v>
      </c>
      <c r="B82" t="s">
        <v>423</v>
      </c>
      <c r="C82" t="s">
        <v>424</v>
      </c>
      <c r="D82" t="s">
        <v>425</v>
      </c>
      <c r="E82" s="50"/>
      <c r="F82" s="38"/>
      <c r="G82" s="39"/>
      <c r="H82" s="50">
        <f>PlanGrid[[#This Row],[Spec Wattage]]*PlanGrid[[#This Row],[Equipment Count]]</f>
        <v>0</v>
      </c>
      <c r="I82" s="50">
        <f>((PlanGrid[[#This Row],[Demand Watt]]*PlanGrid[[#This Row],[Utilization %]]*'Schedule-Building Info'!$N$16)/1000)</f>
        <v>0</v>
      </c>
      <c r="J82" s="57">
        <f>PlanGrid[[#This Row],[kWh/yr]]*' Elec Utility (kWh)'!$M$7</f>
        <v>0</v>
      </c>
      <c r="K82" s="49">
        <f>PlanGrid[[#This Row],[kWh/yr]]/'Schedule-Building Info'!$B$6</f>
        <v>0</v>
      </c>
      <c r="L82" s="50">
        <f>CONVERT(PlanGrid[[#This Row],[kWh/yr]],"Wh","BTU")</f>
        <v>0</v>
      </c>
      <c r="M82" s="38">
        <f>PlanGrid[[#This Row],[kBtu/yr]]/'Schedule-Building Info'!$B$6</f>
        <v>0</v>
      </c>
      <c r="N82" t="s">
        <v>1092</v>
      </c>
      <c r="O82">
        <v>0</v>
      </c>
      <c r="P82" t="e">
        <f>VLOOKUP(PlanGrid[[#This Row],[Title]],'Spec Wattages'!$A$1:$C$973,3,FALSE)</f>
        <v>#N/A</v>
      </c>
      <c r="Q82" t="s">
        <v>769</v>
      </c>
      <c r="R82" t="s">
        <v>769</v>
      </c>
      <c r="S82" t="s">
        <v>51</v>
      </c>
    </row>
    <row r="83" spans="1:19" hidden="1" x14ac:dyDescent="0.25">
      <c r="A83">
        <v>588</v>
      </c>
      <c r="B83" t="s">
        <v>423</v>
      </c>
      <c r="C83" t="s">
        <v>424</v>
      </c>
      <c r="D83" t="s">
        <v>425</v>
      </c>
      <c r="E83" s="50"/>
      <c r="F83" s="38"/>
      <c r="G83" s="39"/>
      <c r="H83" s="50">
        <f>PlanGrid[[#This Row],[Spec Wattage]]*PlanGrid[[#This Row],[Equipment Count]]</f>
        <v>0</v>
      </c>
      <c r="I83" s="50">
        <f>((PlanGrid[[#This Row],[Demand Watt]]*PlanGrid[[#This Row],[Utilization %]]*'Schedule-Building Info'!$N$16)/1000)</f>
        <v>0</v>
      </c>
      <c r="J83" s="57">
        <f>PlanGrid[[#This Row],[kWh/yr]]*' Elec Utility (kWh)'!$M$7</f>
        <v>0</v>
      </c>
      <c r="K83" s="49">
        <f>PlanGrid[[#This Row],[kWh/yr]]/'Schedule-Building Info'!$B$6</f>
        <v>0</v>
      </c>
      <c r="L83" s="50">
        <f>CONVERT(PlanGrid[[#This Row],[kWh/yr]],"Wh","BTU")</f>
        <v>0</v>
      </c>
      <c r="M83" s="38">
        <f>PlanGrid[[#This Row],[kBtu/yr]]/'Schedule-Building Info'!$B$6</f>
        <v>0</v>
      </c>
      <c r="N83" t="s">
        <v>1092</v>
      </c>
      <c r="O83">
        <v>0</v>
      </c>
      <c r="P83" t="e">
        <f>VLOOKUP(PlanGrid[[#This Row],[Title]],'Spec Wattages'!$A$1:$C$973,3,FALSE)</f>
        <v>#N/A</v>
      </c>
      <c r="Q83" t="s">
        <v>774</v>
      </c>
      <c r="R83" t="s">
        <v>774</v>
      </c>
      <c r="S83" t="s">
        <v>51</v>
      </c>
    </row>
    <row r="84" spans="1:19" hidden="1" x14ac:dyDescent="0.25">
      <c r="A84">
        <v>603</v>
      </c>
      <c r="B84" t="s">
        <v>423</v>
      </c>
      <c r="C84" t="s">
        <v>424</v>
      </c>
      <c r="E84" s="50"/>
      <c r="F84" s="38"/>
      <c r="G84" s="39"/>
      <c r="H84" s="50">
        <f>PlanGrid[[#This Row],[Spec Wattage]]*PlanGrid[[#This Row],[Equipment Count]]</f>
        <v>0</v>
      </c>
      <c r="I84" s="50">
        <f>((PlanGrid[[#This Row],[Demand Watt]]*PlanGrid[[#This Row],[Utilization %]]*'Schedule-Building Info'!$N$16)/1000)</f>
        <v>0</v>
      </c>
      <c r="J84" s="57">
        <f>PlanGrid[[#This Row],[kWh/yr]]*' Elec Utility (kWh)'!$M$7</f>
        <v>0</v>
      </c>
      <c r="K84" s="49">
        <f>PlanGrid[[#This Row],[kWh/yr]]/'Schedule-Building Info'!$B$6</f>
        <v>0</v>
      </c>
      <c r="L84" s="50">
        <f>CONVERT(PlanGrid[[#This Row],[kWh/yr]],"Wh","BTU")</f>
        <v>0</v>
      </c>
      <c r="M84" s="38">
        <f>PlanGrid[[#This Row],[kBtu/yr]]/'Schedule-Building Info'!$B$6</f>
        <v>0</v>
      </c>
      <c r="N84" t="s">
        <v>1092</v>
      </c>
      <c r="O84">
        <v>0</v>
      </c>
      <c r="P84" t="e">
        <f>VLOOKUP(PlanGrid[[#This Row],[Title]],'Spec Wattages'!$A$1:$C$973,3,FALSE)</f>
        <v>#N/A</v>
      </c>
      <c r="Q84" t="s">
        <v>775</v>
      </c>
      <c r="R84" t="s">
        <v>1018</v>
      </c>
      <c r="S84" t="s">
        <v>11</v>
      </c>
    </row>
    <row r="85" spans="1:19" x14ac:dyDescent="0.25">
      <c r="A85">
        <v>438</v>
      </c>
      <c r="B85" t="s">
        <v>413</v>
      </c>
      <c r="C85" t="s">
        <v>103</v>
      </c>
      <c r="D85" t="s">
        <v>422</v>
      </c>
      <c r="E85" s="50">
        <v>250</v>
      </c>
      <c r="F85" s="38">
        <v>1</v>
      </c>
      <c r="G85" s="39">
        <v>0.9</v>
      </c>
      <c r="H85" s="50">
        <f>PlanGrid[[#This Row],[Spec Wattage]]*PlanGrid[[#This Row],[Equipment Count]]</f>
        <v>250</v>
      </c>
      <c r="I85" s="50">
        <f>((PlanGrid[[#This Row],[Demand Watt]]*PlanGrid[[#This Row],[Utilization %]]*'Schedule-Building Info'!$N$16)/1000)</f>
        <v>1231.875</v>
      </c>
      <c r="J85" s="57">
        <f>PlanGrid[[#This Row],[kWh/yr]]*' Elec Utility (kWh)'!$M$7</f>
        <v>131.33430838005617</v>
      </c>
      <c r="K85" s="49">
        <f>PlanGrid[[#This Row],[kWh/yr]]/'Schedule-Building Info'!$B$6</f>
        <v>2.0258103241296517E-2</v>
      </c>
      <c r="L85" s="50">
        <f>CONVERT(PlanGrid[[#This Row],[kWh/yr]],"Wh","BTU")</f>
        <v>4203.3319743094835</v>
      </c>
      <c r="M85" s="38">
        <f>PlanGrid[[#This Row],[kBtu/yr]]/'Schedule-Building Info'!$B$6</f>
        <v>6.9123517477831964E-2</v>
      </c>
      <c r="N85" t="s">
        <v>1092</v>
      </c>
      <c r="O85">
        <v>0</v>
      </c>
      <c r="P85" t="str">
        <f>VLOOKUP(PlanGrid[[#This Row],[Title]],'Spec Wattages'!$A$1:$C$973,3,FALSE)</f>
        <v>Mechanical</v>
      </c>
      <c r="Q85" t="s">
        <v>687</v>
      </c>
      <c r="R85" t="s">
        <v>1033</v>
      </c>
      <c r="S85" t="s">
        <v>51</v>
      </c>
    </row>
    <row r="86" spans="1:19" x14ac:dyDescent="0.25">
      <c r="A86">
        <v>1100</v>
      </c>
      <c r="B86" t="s">
        <v>423</v>
      </c>
      <c r="C86" t="s">
        <v>424</v>
      </c>
      <c r="D86" t="s">
        <v>435</v>
      </c>
      <c r="E86" s="50">
        <v>120</v>
      </c>
      <c r="F86" s="38">
        <v>1</v>
      </c>
      <c r="G86" s="39">
        <v>1.6</v>
      </c>
      <c r="H86" s="50">
        <f>PlanGrid[[#This Row],[Spec Wattage]]*PlanGrid[[#This Row],[Equipment Count]]</f>
        <v>120</v>
      </c>
      <c r="I86" s="50">
        <f>((PlanGrid[[#This Row],[Demand Watt]]*PlanGrid[[#This Row],[Utilization %]]*'Schedule-Building Info'!$N$16)/1000)</f>
        <v>1051.2</v>
      </c>
      <c r="J86" s="57">
        <f>PlanGrid[[#This Row],[kWh/yr]]*' Elec Utility (kWh)'!$M$7</f>
        <v>112.07194315098127</v>
      </c>
      <c r="K86" s="49">
        <f>PlanGrid[[#This Row],[kWh/yr]]/'Schedule-Building Info'!$B$6</f>
        <v>1.7286914765906363E-2</v>
      </c>
      <c r="L86" s="50">
        <f>CONVERT(PlanGrid[[#This Row],[kWh/yr]],"Wh","BTU")</f>
        <v>3586.8432847440922</v>
      </c>
      <c r="M86" s="38">
        <f>PlanGrid[[#This Row],[kBtu/yr]]/'Schedule-Building Info'!$B$6</f>
        <v>5.8985401581083265E-2</v>
      </c>
      <c r="N86" t="s">
        <v>1089</v>
      </c>
      <c r="O86">
        <v>1</v>
      </c>
      <c r="P86" t="s">
        <v>87</v>
      </c>
      <c r="Q86" t="s">
        <v>710</v>
      </c>
      <c r="R86" t="s">
        <v>803</v>
      </c>
      <c r="S86" t="s">
        <v>11</v>
      </c>
    </row>
    <row r="87" spans="1:19" x14ac:dyDescent="0.25">
      <c r="A87">
        <v>937</v>
      </c>
      <c r="B87" t="s">
        <v>439</v>
      </c>
      <c r="C87" t="s">
        <v>25</v>
      </c>
      <c r="E87" s="50">
        <f>VLOOKUP(PlanGrid[[#This Row],[Title]],'Spec Wattages'!$A$1:$C$973,2,FALSE)</f>
        <v>1000</v>
      </c>
      <c r="F87" s="38">
        <v>1</v>
      </c>
      <c r="G87" s="39">
        <v>0.05</v>
      </c>
      <c r="H87" s="50">
        <f>PlanGrid[[#This Row],[Spec Wattage]]*PlanGrid[[#This Row],[Equipment Count]]</f>
        <v>1000</v>
      </c>
      <c r="I87" s="50">
        <f>((PlanGrid[[#This Row],[Demand Watt]]*PlanGrid[[#This Row],[Utilization %]]*'Schedule-Building Info'!$N$16)/1000)</f>
        <v>273.75</v>
      </c>
      <c r="J87" s="57">
        <f>PlanGrid[[#This Row],[kWh/yr]]*' Elec Utility (kWh)'!$M$7</f>
        <v>29.185401862234706</v>
      </c>
      <c r="K87" s="49">
        <f>PlanGrid[[#This Row],[kWh/yr]]/'Schedule-Building Info'!$B$6</f>
        <v>4.501800720288115E-3</v>
      </c>
      <c r="L87" s="50">
        <f>CONVERT(PlanGrid[[#This Row],[kWh/yr]],"Wh","BTU")</f>
        <v>934.07377206877402</v>
      </c>
      <c r="M87" s="38">
        <f>PlanGrid[[#This Row],[kBtu/yr]]/'Schedule-Building Info'!$B$6</f>
        <v>1.5360781661740434E-2</v>
      </c>
      <c r="N87" t="s">
        <v>1089</v>
      </c>
      <c r="O87">
        <v>0</v>
      </c>
      <c r="P87" t="str">
        <f>VLOOKUP(PlanGrid[[#This Row],[Title]],'Spec Wattages'!$A$1:$C$973,3,FALSE)</f>
        <v>Plug Load</v>
      </c>
      <c r="Q87" t="s">
        <v>724</v>
      </c>
      <c r="R87" t="s">
        <v>724</v>
      </c>
      <c r="S87" t="s">
        <v>11</v>
      </c>
    </row>
    <row r="88" spans="1:19" x14ac:dyDescent="0.25">
      <c r="A88">
        <v>938</v>
      </c>
      <c r="B88" t="s">
        <v>439</v>
      </c>
      <c r="C88" t="s">
        <v>25</v>
      </c>
      <c r="E88" s="50">
        <f>VLOOKUP(PlanGrid[[#This Row],[Title]],'Spec Wattages'!$A$1:$C$973,2,FALSE)</f>
        <v>1000</v>
      </c>
      <c r="F88" s="38">
        <v>1</v>
      </c>
      <c r="G88" s="39">
        <v>0.05</v>
      </c>
      <c r="H88" s="50">
        <f>PlanGrid[[#This Row],[Spec Wattage]]*PlanGrid[[#This Row],[Equipment Count]]</f>
        <v>1000</v>
      </c>
      <c r="I88" s="50">
        <f>((PlanGrid[[#This Row],[Demand Watt]]*PlanGrid[[#This Row],[Utilization %]]*'Schedule-Building Info'!$N$16)/1000)</f>
        <v>273.75</v>
      </c>
      <c r="J88" s="57">
        <f>PlanGrid[[#This Row],[kWh/yr]]*' Elec Utility (kWh)'!$M$7</f>
        <v>29.185401862234706</v>
      </c>
      <c r="K88" s="49">
        <f>PlanGrid[[#This Row],[kWh/yr]]/'Schedule-Building Info'!$B$6</f>
        <v>4.501800720288115E-3</v>
      </c>
      <c r="L88" s="50">
        <f>CONVERT(PlanGrid[[#This Row],[kWh/yr]],"Wh","BTU")</f>
        <v>934.07377206877402</v>
      </c>
      <c r="M88" s="38">
        <f>PlanGrid[[#This Row],[kBtu/yr]]/'Schedule-Building Info'!$B$6</f>
        <v>1.5360781661740434E-2</v>
      </c>
      <c r="N88" t="s">
        <v>1089</v>
      </c>
      <c r="O88">
        <v>0</v>
      </c>
      <c r="P88" t="str">
        <f>VLOOKUP(PlanGrid[[#This Row],[Title]],'Spec Wattages'!$A$1:$C$973,3,FALSE)</f>
        <v>Plug Load</v>
      </c>
      <c r="Q88" t="s">
        <v>724</v>
      </c>
      <c r="R88" t="s">
        <v>724</v>
      </c>
      <c r="S88" t="s">
        <v>11</v>
      </c>
    </row>
    <row r="89" spans="1:19" x14ac:dyDescent="0.25">
      <c r="A89">
        <v>1094</v>
      </c>
      <c r="B89" t="s">
        <v>439</v>
      </c>
      <c r="C89" t="s">
        <v>25</v>
      </c>
      <c r="E89" s="50">
        <f>VLOOKUP(PlanGrid[[#This Row],[Title]],'Spec Wattages'!$A$1:$C$973,2,FALSE)</f>
        <v>1000</v>
      </c>
      <c r="F89" s="38">
        <v>1</v>
      </c>
      <c r="G89" s="39">
        <v>0.05</v>
      </c>
      <c r="H89" s="50">
        <f>PlanGrid[[#This Row],[Spec Wattage]]*PlanGrid[[#This Row],[Equipment Count]]</f>
        <v>1000</v>
      </c>
      <c r="I89" s="50">
        <f>((PlanGrid[[#This Row],[Demand Watt]]*PlanGrid[[#This Row],[Utilization %]]*'Schedule-Building Info'!$N$16)/1000)</f>
        <v>273.75</v>
      </c>
      <c r="J89" s="57">
        <f>PlanGrid[[#This Row],[kWh/yr]]*' Elec Utility (kWh)'!$M$7</f>
        <v>29.185401862234706</v>
      </c>
      <c r="K89" s="49">
        <f>PlanGrid[[#This Row],[kWh/yr]]/'Schedule-Building Info'!$B$6</f>
        <v>4.501800720288115E-3</v>
      </c>
      <c r="L89" s="50">
        <f>CONVERT(PlanGrid[[#This Row],[kWh/yr]],"Wh","BTU")</f>
        <v>934.07377206877402</v>
      </c>
      <c r="M89" s="38">
        <f>PlanGrid[[#This Row],[kBtu/yr]]/'Schedule-Building Info'!$B$6</f>
        <v>1.5360781661740434E-2</v>
      </c>
      <c r="N89" t="s">
        <v>1089</v>
      </c>
      <c r="O89">
        <v>1</v>
      </c>
      <c r="P89" t="str">
        <f>VLOOKUP(PlanGrid[[#This Row],[Title]],'Spec Wattages'!$A$1:$C$973,3,FALSE)</f>
        <v>Plug Load</v>
      </c>
      <c r="Q89" t="s">
        <v>801</v>
      </c>
      <c r="R89" t="s">
        <v>1016</v>
      </c>
      <c r="S89" t="s">
        <v>11</v>
      </c>
    </row>
    <row r="90" spans="1:19" x14ac:dyDescent="0.25">
      <c r="A90">
        <v>710</v>
      </c>
      <c r="B90" t="s">
        <v>439</v>
      </c>
      <c r="C90" t="s">
        <v>25</v>
      </c>
      <c r="E90" s="50">
        <f>VLOOKUP(PlanGrid[[#This Row],[Title]],'Spec Wattages'!$A$1:$C$973,2,FALSE)</f>
        <v>1000</v>
      </c>
      <c r="F90" s="38">
        <v>1</v>
      </c>
      <c r="G90" s="39">
        <v>0.05</v>
      </c>
      <c r="H90" s="58">
        <f>PlanGrid[[#This Row],[Spec Wattage]]*PlanGrid[[#This Row],[Equipment Count]]</f>
        <v>1000</v>
      </c>
      <c r="I90" s="50">
        <f>((PlanGrid[[#This Row],[Demand Watt]]*PlanGrid[[#This Row],[Utilization %]]*'Schedule-Building Info'!$N$16)/1000)</f>
        <v>273.75</v>
      </c>
      <c r="J90" s="57">
        <f>PlanGrid[[#This Row],[kWh/yr]]*' Elec Utility (kWh)'!$M$7</f>
        <v>29.185401862234706</v>
      </c>
      <c r="K90" s="38">
        <f>PlanGrid[[#This Row],[kWh/yr]]/'Schedule-Building Info'!$B$6</f>
        <v>4.501800720288115E-3</v>
      </c>
      <c r="L90" s="50">
        <f>CONVERT(PlanGrid[[#This Row],[kWh/yr]],"Wh","BTU")</f>
        <v>934.07377206877402</v>
      </c>
      <c r="M90" s="38">
        <f>PlanGrid[[#This Row],[kBtu/yr]]/'Schedule-Building Info'!$B$6</f>
        <v>1.5360781661740434E-2</v>
      </c>
      <c r="N90" t="s">
        <v>1090</v>
      </c>
      <c r="O90">
        <v>0</v>
      </c>
      <c r="P90" t="str">
        <f>VLOOKUP(PlanGrid[[#This Row],[Title]],'Spec Wattages'!$A$1:$C$973,3,FALSE)</f>
        <v>Plug Load</v>
      </c>
      <c r="Q90" t="s">
        <v>845</v>
      </c>
      <c r="R90" t="s">
        <v>845</v>
      </c>
      <c r="S90" t="s">
        <v>51</v>
      </c>
    </row>
    <row r="91" spans="1:19" x14ac:dyDescent="0.25">
      <c r="A91">
        <v>776</v>
      </c>
      <c r="B91" t="s">
        <v>439</v>
      </c>
      <c r="C91" t="s">
        <v>25</v>
      </c>
      <c r="E91" s="50">
        <f>VLOOKUP(PlanGrid[[#This Row],[Title]],'Spec Wattages'!$A$1:$C$973,2,FALSE)</f>
        <v>1000</v>
      </c>
      <c r="F91" s="38">
        <v>1</v>
      </c>
      <c r="G91" s="39">
        <v>0.05</v>
      </c>
      <c r="H91" s="58">
        <f>PlanGrid[[#This Row],[Spec Wattage]]*PlanGrid[[#This Row],[Equipment Count]]</f>
        <v>1000</v>
      </c>
      <c r="I91" s="50">
        <f>((PlanGrid[[#This Row],[Demand Watt]]*PlanGrid[[#This Row],[Utilization %]]*'Schedule-Building Info'!$N$16)/1000)</f>
        <v>273.75</v>
      </c>
      <c r="J91" s="57">
        <f>PlanGrid[[#This Row],[kWh/yr]]*' Elec Utility (kWh)'!$M$7</f>
        <v>29.185401862234706</v>
      </c>
      <c r="K91" s="38">
        <f>PlanGrid[[#This Row],[kWh/yr]]/'Schedule-Building Info'!$B$6</f>
        <v>4.501800720288115E-3</v>
      </c>
      <c r="L91" s="50">
        <f>CONVERT(PlanGrid[[#This Row],[kWh/yr]],"Wh","BTU")</f>
        <v>934.07377206877402</v>
      </c>
      <c r="M91" s="38">
        <f>PlanGrid[[#This Row],[kBtu/yr]]/'Schedule-Building Info'!$B$6</f>
        <v>1.5360781661740434E-2</v>
      </c>
      <c r="N91" t="s">
        <v>1090</v>
      </c>
      <c r="O91">
        <v>2</v>
      </c>
      <c r="P91" t="str">
        <f>VLOOKUP(PlanGrid[[#This Row],[Title]],'Spec Wattages'!$A$1:$C$973,3,FALSE)</f>
        <v>Plug Load</v>
      </c>
      <c r="Q91" t="s">
        <v>879</v>
      </c>
      <c r="R91" t="s">
        <v>825</v>
      </c>
      <c r="S91" t="s">
        <v>11</v>
      </c>
    </row>
    <row r="92" spans="1:19" x14ac:dyDescent="0.25">
      <c r="A92">
        <v>875</v>
      </c>
      <c r="B92" t="s">
        <v>439</v>
      </c>
      <c r="C92" t="s">
        <v>25</v>
      </c>
      <c r="E92" s="50">
        <f>VLOOKUP(PlanGrid[[#This Row],[Title]],'Spec Wattages'!$A$1:$C$973,2,FALSE)</f>
        <v>1000</v>
      </c>
      <c r="F92" s="38">
        <v>1</v>
      </c>
      <c r="G92" s="39">
        <v>0.05</v>
      </c>
      <c r="H92" s="58">
        <f>PlanGrid[[#This Row],[Spec Wattage]]*PlanGrid[[#This Row],[Equipment Count]]</f>
        <v>1000</v>
      </c>
      <c r="I92" s="50">
        <f>((PlanGrid[[#This Row],[Demand Watt]]*PlanGrid[[#This Row],[Utilization %]]*'Schedule-Building Info'!$N$16)/1000)</f>
        <v>273.75</v>
      </c>
      <c r="J92" s="57">
        <f>PlanGrid[[#This Row],[kWh/yr]]*' Elec Utility (kWh)'!$M$7</f>
        <v>29.185401862234706</v>
      </c>
      <c r="K92" s="38">
        <f>PlanGrid[[#This Row],[kWh/yr]]/'Schedule-Building Info'!$B$6</f>
        <v>4.501800720288115E-3</v>
      </c>
      <c r="L92" s="50">
        <f>CONVERT(PlanGrid[[#This Row],[kWh/yr]],"Wh","BTU")</f>
        <v>934.07377206877402</v>
      </c>
      <c r="M92" s="38">
        <f>PlanGrid[[#This Row],[kBtu/yr]]/'Schedule-Building Info'!$B$6</f>
        <v>1.5360781661740434E-2</v>
      </c>
      <c r="N92" t="s">
        <v>1090</v>
      </c>
      <c r="O92">
        <v>0</v>
      </c>
      <c r="P92" t="str">
        <f>VLOOKUP(PlanGrid[[#This Row],[Title]],'Spec Wattages'!$A$1:$C$973,3,FALSE)</f>
        <v>Plug Load</v>
      </c>
      <c r="Q92" t="s">
        <v>838</v>
      </c>
      <c r="R92" t="s">
        <v>838</v>
      </c>
      <c r="S92" t="s">
        <v>51</v>
      </c>
    </row>
    <row r="93" spans="1:19" x14ac:dyDescent="0.25">
      <c r="A93">
        <v>77</v>
      </c>
      <c r="B93" t="s">
        <v>439</v>
      </c>
      <c r="C93" t="s">
        <v>25</v>
      </c>
      <c r="E93" s="50">
        <f>VLOOKUP(PlanGrid[[#This Row],[Title]],'Spec Wattages'!$A$1:$C$973,2,FALSE)</f>
        <v>1000</v>
      </c>
      <c r="F93" s="38">
        <v>1</v>
      </c>
      <c r="G93" s="39">
        <v>0.05</v>
      </c>
      <c r="H93" s="58">
        <f>PlanGrid[[#This Row],[Spec Wattage]]*PlanGrid[[#This Row],[Equipment Count]]</f>
        <v>1000</v>
      </c>
      <c r="I93" s="50">
        <f>((PlanGrid[[#This Row],[Demand Watt]]*PlanGrid[[#This Row],[Utilization %]]*'Schedule-Building Info'!$N$16)/1000)</f>
        <v>273.75</v>
      </c>
      <c r="J93" s="57">
        <f>PlanGrid[[#This Row],[kWh/yr]]*' Elec Utility (kWh)'!$M$7</f>
        <v>29.185401862234706</v>
      </c>
      <c r="K93" s="38">
        <f>PlanGrid[[#This Row],[kWh/yr]]/'Schedule-Building Info'!$B$6</f>
        <v>4.501800720288115E-3</v>
      </c>
      <c r="L93" s="50">
        <f>CONVERT(PlanGrid[[#This Row],[kWh/yr]],"Wh","BTU")</f>
        <v>934.07377206877402</v>
      </c>
      <c r="M93" s="38">
        <f>PlanGrid[[#This Row],[kBtu/yr]]/'Schedule-Building Info'!$B$6</f>
        <v>1.5360781661740434E-2</v>
      </c>
      <c r="N93" t="s">
        <v>1092</v>
      </c>
      <c r="O93">
        <v>0</v>
      </c>
      <c r="P93" t="str">
        <f>VLOOKUP(PlanGrid[[#This Row],[Title]],'Spec Wattages'!$A$1:$C$973,3,FALSE)</f>
        <v>Plug Load</v>
      </c>
      <c r="Q93" t="s">
        <v>935</v>
      </c>
      <c r="R93" t="s">
        <v>941</v>
      </c>
      <c r="S93" t="s">
        <v>11</v>
      </c>
    </row>
    <row r="94" spans="1:19" x14ac:dyDescent="0.25">
      <c r="A94">
        <v>99</v>
      </c>
      <c r="B94" t="s">
        <v>439</v>
      </c>
      <c r="C94" t="s">
        <v>25</v>
      </c>
      <c r="E94" s="50">
        <f>VLOOKUP(PlanGrid[[#This Row],[Title]],'Spec Wattages'!$A$1:$C$973,2,FALSE)</f>
        <v>1000</v>
      </c>
      <c r="F94" s="38">
        <v>1</v>
      </c>
      <c r="G94" s="39">
        <v>0.05</v>
      </c>
      <c r="H94" s="58">
        <f>PlanGrid[[#This Row],[Spec Wattage]]*PlanGrid[[#This Row],[Equipment Count]]</f>
        <v>1000</v>
      </c>
      <c r="I94" s="50">
        <f>((PlanGrid[[#This Row],[Demand Watt]]*PlanGrid[[#This Row],[Utilization %]]*'Schedule-Building Info'!$N$16)/1000)</f>
        <v>273.75</v>
      </c>
      <c r="J94" s="57">
        <f>PlanGrid[[#This Row],[kWh/yr]]*' Elec Utility (kWh)'!$M$7</f>
        <v>29.185401862234706</v>
      </c>
      <c r="K94" s="38">
        <f>PlanGrid[[#This Row],[kWh/yr]]/'Schedule-Building Info'!$B$6</f>
        <v>4.501800720288115E-3</v>
      </c>
      <c r="L94" s="50">
        <f>CONVERT(PlanGrid[[#This Row],[kWh/yr]],"Wh","BTU")</f>
        <v>934.07377206877402</v>
      </c>
      <c r="M94" s="38">
        <f>PlanGrid[[#This Row],[kBtu/yr]]/'Schedule-Building Info'!$B$6</f>
        <v>1.5360781661740434E-2</v>
      </c>
      <c r="N94" t="s">
        <v>1092</v>
      </c>
      <c r="O94">
        <v>0</v>
      </c>
      <c r="P94" t="str">
        <f>VLOOKUP(PlanGrid[[#This Row],[Title]],'Spec Wattages'!$A$1:$C$973,3,FALSE)</f>
        <v>Plug Load</v>
      </c>
      <c r="Q94" t="s">
        <v>855</v>
      </c>
      <c r="R94" t="s">
        <v>852</v>
      </c>
      <c r="S94" t="s">
        <v>11</v>
      </c>
    </row>
    <row r="95" spans="1:19" x14ac:dyDescent="0.25">
      <c r="A95">
        <v>148</v>
      </c>
      <c r="B95" t="s">
        <v>439</v>
      </c>
      <c r="C95" t="s">
        <v>25</v>
      </c>
      <c r="E95" s="50">
        <f>VLOOKUP(PlanGrid[[#This Row],[Title]],'Spec Wattages'!$A$1:$C$973,2,FALSE)</f>
        <v>1000</v>
      </c>
      <c r="F95" s="38">
        <v>1</v>
      </c>
      <c r="G95" s="39">
        <v>0.05</v>
      </c>
      <c r="H95" s="58">
        <f>PlanGrid[[#This Row],[Spec Wattage]]*PlanGrid[[#This Row],[Equipment Count]]</f>
        <v>1000</v>
      </c>
      <c r="I95" s="50">
        <f>((PlanGrid[[#This Row],[Demand Watt]]*PlanGrid[[#This Row],[Utilization %]]*'Schedule-Building Info'!$N$16)/1000)</f>
        <v>273.75</v>
      </c>
      <c r="J95" s="57">
        <f>PlanGrid[[#This Row],[kWh/yr]]*' Elec Utility (kWh)'!$M$7</f>
        <v>29.185401862234706</v>
      </c>
      <c r="K95" s="38">
        <f>PlanGrid[[#This Row],[kWh/yr]]/'Schedule-Building Info'!$B$6</f>
        <v>4.501800720288115E-3</v>
      </c>
      <c r="L95" s="50">
        <f>CONVERT(PlanGrid[[#This Row],[kWh/yr]],"Wh","BTU")</f>
        <v>934.07377206877402</v>
      </c>
      <c r="M95" s="38">
        <f>PlanGrid[[#This Row],[kBtu/yr]]/'Schedule-Building Info'!$B$6</f>
        <v>1.5360781661740434E-2</v>
      </c>
      <c r="N95" t="s">
        <v>1092</v>
      </c>
      <c r="O95">
        <v>0</v>
      </c>
      <c r="P95" t="str">
        <f>VLOOKUP(PlanGrid[[#This Row],[Title]],'Spec Wattages'!$A$1:$C$973,3,FALSE)</f>
        <v>Plug Load</v>
      </c>
      <c r="Q95" t="s">
        <v>857</v>
      </c>
      <c r="R95" t="s">
        <v>746</v>
      </c>
      <c r="S95" t="s">
        <v>11</v>
      </c>
    </row>
    <row r="96" spans="1:19" x14ac:dyDescent="0.25">
      <c r="A96">
        <v>226</v>
      </c>
      <c r="B96" t="s">
        <v>439</v>
      </c>
      <c r="C96" t="s">
        <v>25</v>
      </c>
      <c r="E96" s="50">
        <f>VLOOKUP(PlanGrid[[#This Row],[Title]],'Spec Wattages'!$A$1:$C$973,2,FALSE)</f>
        <v>1000</v>
      </c>
      <c r="F96" s="38">
        <v>1</v>
      </c>
      <c r="G96" s="39">
        <v>0.05</v>
      </c>
      <c r="H96" s="58">
        <f>PlanGrid[[#This Row],[Spec Wattage]]*PlanGrid[[#This Row],[Equipment Count]]</f>
        <v>1000</v>
      </c>
      <c r="I96" s="50">
        <f>((PlanGrid[[#This Row],[Demand Watt]]*PlanGrid[[#This Row],[Utilization %]]*'Schedule-Building Info'!$N$16)/1000)</f>
        <v>273.75</v>
      </c>
      <c r="J96" s="57">
        <f>PlanGrid[[#This Row],[kWh/yr]]*' Elec Utility (kWh)'!$M$7</f>
        <v>29.185401862234706</v>
      </c>
      <c r="K96" s="38">
        <f>PlanGrid[[#This Row],[kWh/yr]]/'Schedule-Building Info'!$B$6</f>
        <v>4.501800720288115E-3</v>
      </c>
      <c r="L96" s="50">
        <f>CONVERT(PlanGrid[[#This Row],[kWh/yr]],"Wh","BTU")</f>
        <v>934.07377206877402</v>
      </c>
      <c r="M96" s="38">
        <f>PlanGrid[[#This Row],[kBtu/yr]]/'Schedule-Building Info'!$B$6</f>
        <v>1.5360781661740434E-2</v>
      </c>
      <c r="N96" t="s">
        <v>1092</v>
      </c>
      <c r="O96">
        <v>0</v>
      </c>
      <c r="P96" t="str">
        <f>VLOOKUP(PlanGrid[[#This Row],[Title]],'Spec Wattages'!$A$1:$C$973,3,FALSE)</f>
        <v>Plug Load</v>
      </c>
      <c r="Q96" t="s">
        <v>940</v>
      </c>
      <c r="R96" t="s">
        <v>939</v>
      </c>
      <c r="S96" t="s">
        <v>11</v>
      </c>
    </row>
    <row r="97" spans="1:19" x14ac:dyDescent="0.25">
      <c r="A97">
        <v>239</v>
      </c>
      <c r="B97" t="s">
        <v>439</v>
      </c>
      <c r="C97" t="s">
        <v>25</v>
      </c>
      <c r="E97" s="50">
        <f>VLOOKUP(PlanGrid[[#This Row],[Title]],'Spec Wattages'!$A$1:$C$973,2,FALSE)</f>
        <v>1000</v>
      </c>
      <c r="F97" s="38">
        <v>1</v>
      </c>
      <c r="G97" s="39">
        <v>0.05</v>
      </c>
      <c r="H97" s="58">
        <f>PlanGrid[[#This Row],[Spec Wattage]]*PlanGrid[[#This Row],[Equipment Count]]</f>
        <v>1000</v>
      </c>
      <c r="I97" s="50">
        <f>((PlanGrid[[#This Row],[Demand Watt]]*PlanGrid[[#This Row],[Utilization %]]*'Schedule-Building Info'!$N$16)/1000)</f>
        <v>273.75</v>
      </c>
      <c r="J97" s="57">
        <f>PlanGrid[[#This Row],[kWh/yr]]*' Elec Utility (kWh)'!$M$7</f>
        <v>29.185401862234706</v>
      </c>
      <c r="K97" s="38">
        <f>PlanGrid[[#This Row],[kWh/yr]]/'Schedule-Building Info'!$B$6</f>
        <v>4.501800720288115E-3</v>
      </c>
      <c r="L97" s="50">
        <f>CONVERT(PlanGrid[[#This Row],[kWh/yr]],"Wh","BTU")</f>
        <v>934.07377206877402</v>
      </c>
      <c r="M97" s="38">
        <f>PlanGrid[[#This Row],[kBtu/yr]]/'Schedule-Building Info'!$B$6</f>
        <v>1.5360781661740434E-2</v>
      </c>
      <c r="N97" t="s">
        <v>1092</v>
      </c>
      <c r="O97">
        <v>0</v>
      </c>
      <c r="P97" t="str">
        <f>VLOOKUP(PlanGrid[[#This Row],[Title]],'Spec Wattages'!$A$1:$C$973,3,FALSE)</f>
        <v>Plug Load</v>
      </c>
      <c r="Q97" t="s">
        <v>972</v>
      </c>
      <c r="R97" t="s">
        <v>790</v>
      </c>
      <c r="S97" t="s">
        <v>11</v>
      </c>
    </row>
    <row r="98" spans="1:19" x14ac:dyDescent="0.25">
      <c r="A98">
        <v>303</v>
      </c>
      <c r="B98" t="s">
        <v>439</v>
      </c>
      <c r="C98" t="s">
        <v>25</v>
      </c>
      <c r="E98" s="50">
        <f>VLOOKUP(PlanGrid[[#This Row],[Title]],'Spec Wattages'!$A$1:$C$973,2,FALSE)</f>
        <v>1000</v>
      </c>
      <c r="F98" s="38">
        <v>1</v>
      </c>
      <c r="G98" s="39">
        <v>0.05</v>
      </c>
      <c r="H98" s="58">
        <f>PlanGrid[[#This Row],[Spec Wattage]]*PlanGrid[[#This Row],[Equipment Count]]</f>
        <v>1000</v>
      </c>
      <c r="I98" s="50">
        <f>((PlanGrid[[#This Row],[Demand Watt]]*PlanGrid[[#This Row],[Utilization %]]*'Schedule-Building Info'!$N$16)/1000)</f>
        <v>273.75</v>
      </c>
      <c r="J98" s="57">
        <f>PlanGrid[[#This Row],[kWh/yr]]*' Elec Utility (kWh)'!$M$7</f>
        <v>29.185401862234706</v>
      </c>
      <c r="K98" s="38">
        <f>PlanGrid[[#This Row],[kWh/yr]]/'Schedule-Building Info'!$B$6</f>
        <v>4.501800720288115E-3</v>
      </c>
      <c r="L98" s="50">
        <f>CONVERT(PlanGrid[[#This Row],[kWh/yr]],"Wh","BTU")</f>
        <v>934.07377206877402</v>
      </c>
      <c r="M98" s="38">
        <f>PlanGrid[[#This Row],[kBtu/yr]]/'Schedule-Building Info'!$B$6</f>
        <v>1.5360781661740434E-2</v>
      </c>
      <c r="N98" t="s">
        <v>1092</v>
      </c>
      <c r="O98">
        <v>0</v>
      </c>
      <c r="P98" t="str">
        <f>VLOOKUP(PlanGrid[[#This Row],[Title]],'Spec Wattages'!$A$1:$C$973,3,FALSE)</f>
        <v>Plug Load</v>
      </c>
      <c r="Q98" t="s">
        <v>984</v>
      </c>
      <c r="R98" t="s">
        <v>1042</v>
      </c>
      <c r="S98" t="s">
        <v>11</v>
      </c>
    </row>
    <row r="99" spans="1:19" x14ac:dyDescent="0.25">
      <c r="A99">
        <v>307</v>
      </c>
      <c r="B99" t="s">
        <v>439</v>
      </c>
      <c r="C99" t="s">
        <v>25</v>
      </c>
      <c r="E99" s="50">
        <f>VLOOKUP(PlanGrid[[#This Row],[Title]],'Spec Wattages'!$A$1:$C$973,2,FALSE)</f>
        <v>1000</v>
      </c>
      <c r="F99" s="38">
        <v>1</v>
      </c>
      <c r="G99" s="39">
        <v>0.05</v>
      </c>
      <c r="H99" s="58">
        <f>PlanGrid[[#This Row],[Spec Wattage]]*PlanGrid[[#This Row],[Equipment Count]]</f>
        <v>1000</v>
      </c>
      <c r="I99" s="50">
        <f>((PlanGrid[[#This Row],[Demand Watt]]*PlanGrid[[#This Row],[Utilization %]]*'Schedule-Building Info'!$N$16)/1000)</f>
        <v>273.75</v>
      </c>
      <c r="J99" s="57">
        <f>PlanGrid[[#This Row],[kWh/yr]]*' Elec Utility (kWh)'!$M$7</f>
        <v>29.185401862234706</v>
      </c>
      <c r="K99" s="38">
        <f>PlanGrid[[#This Row],[kWh/yr]]/'Schedule-Building Info'!$B$6</f>
        <v>4.501800720288115E-3</v>
      </c>
      <c r="L99" s="50">
        <f>CONVERT(PlanGrid[[#This Row],[kWh/yr]],"Wh","BTU")</f>
        <v>934.07377206877402</v>
      </c>
      <c r="M99" s="38">
        <f>PlanGrid[[#This Row],[kBtu/yr]]/'Schedule-Building Info'!$B$6</f>
        <v>1.5360781661740434E-2</v>
      </c>
      <c r="N99" t="s">
        <v>1092</v>
      </c>
      <c r="O99">
        <v>0</v>
      </c>
      <c r="P99" t="str">
        <f>VLOOKUP(PlanGrid[[#This Row],[Title]],'Spec Wattages'!$A$1:$C$973,3,FALSE)</f>
        <v>Plug Load</v>
      </c>
      <c r="Q99" t="s">
        <v>990</v>
      </c>
      <c r="R99" t="s">
        <v>1042</v>
      </c>
      <c r="S99" t="s">
        <v>11</v>
      </c>
    </row>
    <row r="100" spans="1:19" x14ac:dyDescent="0.25">
      <c r="A100">
        <v>308</v>
      </c>
      <c r="B100" t="s">
        <v>439</v>
      </c>
      <c r="C100" t="s">
        <v>25</v>
      </c>
      <c r="E100" s="50">
        <f>VLOOKUP(PlanGrid[[#This Row],[Title]],'Spec Wattages'!$A$1:$C$973,2,FALSE)</f>
        <v>1000</v>
      </c>
      <c r="F100" s="38">
        <v>1</v>
      </c>
      <c r="G100" s="39">
        <v>0.05</v>
      </c>
      <c r="H100" s="58">
        <f>PlanGrid[[#This Row],[Spec Wattage]]*PlanGrid[[#This Row],[Equipment Count]]</f>
        <v>1000</v>
      </c>
      <c r="I100" s="50">
        <f>((PlanGrid[[#This Row],[Demand Watt]]*PlanGrid[[#This Row],[Utilization %]]*'Schedule-Building Info'!$N$16)/1000)</f>
        <v>273.75</v>
      </c>
      <c r="J100" s="57">
        <f>PlanGrid[[#This Row],[kWh/yr]]*' Elec Utility (kWh)'!$M$7</f>
        <v>29.185401862234706</v>
      </c>
      <c r="K100" s="38">
        <f>PlanGrid[[#This Row],[kWh/yr]]/'Schedule-Building Info'!$B$6</f>
        <v>4.501800720288115E-3</v>
      </c>
      <c r="L100" s="50">
        <f>CONVERT(PlanGrid[[#This Row],[kWh/yr]],"Wh","BTU")</f>
        <v>934.07377206877402</v>
      </c>
      <c r="M100" s="38">
        <f>PlanGrid[[#This Row],[kBtu/yr]]/'Schedule-Building Info'!$B$6</f>
        <v>1.5360781661740434E-2</v>
      </c>
      <c r="N100" t="s">
        <v>1092</v>
      </c>
      <c r="O100">
        <v>0</v>
      </c>
      <c r="P100" t="str">
        <f>VLOOKUP(PlanGrid[[#This Row],[Title]],'Spec Wattages'!$A$1:$C$973,3,FALSE)</f>
        <v>Plug Load</v>
      </c>
      <c r="Q100" t="s">
        <v>990</v>
      </c>
      <c r="R100" t="s">
        <v>1042</v>
      </c>
      <c r="S100" t="s">
        <v>11</v>
      </c>
    </row>
    <row r="101" spans="1:19" x14ac:dyDescent="0.25">
      <c r="A101">
        <v>405</v>
      </c>
      <c r="B101" t="s">
        <v>439</v>
      </c>
      <c r="C101" t="s">
        <v>25</v>
      </c>
      <c r="E101" s="50">
        <f>VLOOKUP(PlanGrid[[#This Row],[Title]],'Spec Wattages'!$A$1:$C$973,2,FALSE)</f>
        <v>1000</v>
      </c>
      <c r="F101" s="38">
        <v>1</v>
      </c>
      <c r="G101" s="39">
        <v>0.05</v>
      </c>
      <c r="H101" s="58">
        <f>PlanGrid[[#This Row],[Spec Wattage]]*PlanGrid[[#This Row],[Equipment Count]]</f>
        <v>1000</v>
      </c>
      <c r="I101" s="50">
        <f>((PlanGrid[[#This Row],[Demand Watt]]*PlanGrid[[#This Row],[Utilization %]]*'Schedule-Building Info'!$N$16)/1000)</f>
        <v>273.75</v>
      </c>
      <c r="J101" s="57">
        <f>PlanGrid[[#This Row],[kWh/yr]]*' Elec Utility (kWh)'!$M$7</f>
        <v>29.185401862234706</v>
      </c>
      <c r="K101" s="38">
        <f>PlanGrid[[#This Row],[kWh/yr]]/'Schedule-Building Info'!$B$6</f>
        <v>4.501800720288115E-3</v>
      </c>
      <c r="L101" s="50">
        <f>CONVERT(PlanGrid[[#This Row],[kWh/yr]],"Wh","BTU")</f>
        <v>934.07377206877402</v>
      </c>
      <c r="M101" s="38">
        <f>PlanGrid[[#This Row],[kBtu/yr]]/'Schedule-Building Info'!$B$6</f>
        <v>1.5360781661740434E-2</v>
      </c>
      <c r="N101" t="s">
        <v>1092</v>
      </c>
      <c r="O101">
        <v>0</v>
      </c>
      <c r="P101" t="str">
        <f>VLOOKUP(PlanGrid[[#This Row],[Title]],'Spec Wattages'!$A$1:$C$973,3,FALSE)</f>
        <v>Plug Load</v>
      </c>
      <c r="Q101" t="s">
        <v>986</v>
      </c>
      <c r="R101" t="s">
        <v>986</v>
      </c>
      <c r="S101" t="s">
        <v>51</v>
      </c>
    </row>
    <row r="102" spans="1:19" x14ac:dyDescent="0.25">
      <c r="A102">
        <v>531</v>
      </c>
      <c r="B102" t="s">
        <v>439</v>
      </c>
      <c r="C102" t="s">
        <v>25</v>
      </c>
      <c r="E102" s="50">
        <f>VLOOKUP(PlanGrid[[#This Row],[Title]],'Spec Wattages'!$A$1:$C$973,2,FALSE)</f>
        <v>1000</v>
      </c>
      <c r="F102" s="38">
        <v>1</v>
      </c>
      <c r="G102" s="39">
        <v>0.05</v>
      </c>
      <c r="H102" s="58">
        <f>PlanGrid[[#This Row],[Spec Wattage]]*PlanGrid[[#This Row],[Equipment Count]]</f>
        <v>1000</v>
      </c>
      <c r="I102" s="50">
        <f>((PlanGrid[[#This Row],[Demand Watt]]*PlanGrid[[#This Row],[Utilization %]]*'Schedule-Building Info'!$N$16)/1000)</f>
        <v>273.75</v>
      </c>
      <c r="J102" s="57">
        <f>PlanGrid[[#This Row],[kWh/yr]]*' Elec Utility (kWh)'!$M$7</f>
        <v>29.185401862234706</v>
      </c>
      <c r="K102" s="38">
        <f>PlanGrid[[#This Row],[kWh/yr]]/'Schedule-Building Info'!$B$6</f>
        <v>4.501800720288115E-3</v>
      </c>
      <c r="L102" s="50">
        <f>CONVERT(PlanGrid[[#This Row],[kWh/yr]],"Wh","BTU")</f>
        <v>934.07377206877402</v>
      </c>
      <c r="M102" s="38">
        <f>PlanGrid[[#This Row],[kBtu/yr]]/'Schedule-Building Info'!$B$6</f>
        <v>1.5360781661740434E-2</v>
      </c>
      <c r="N102" t="s">
        <v>1092</v>
      </c>
      <c r="O102">
        <v>0</v>
      </c>
      <c r="P102" t="str">
        <f>VLOOKUP(PlanGrid[[#This Row],[Title]],'Spec Wattages'!$A$1:$C$973,3,FALSE)</f>
        <v>Plug Load</v>
      </c>
      <c r="Q102" t="s">
        <v>774</v>
      </c>
      <c r="R102" t="s">
        <v>909</v>
      </c>
      <c r="S102" t="s">
        <v>11</v>
      </c>
    </row>
    <row r="103" spans="1:19" x14ac:dyDescent="0.25">
      <c r="A103">
        <v>572</v>
      </c>
      <c r="B103" t="s">
        <v>439</v>
      </c>
      <c r="C103" t="s">
        <v>25</v>
      </c>
      <c r="E103" s="50">
        <f>VLOOKUP(PlanGrid[[#This Row],[Title]],'Spec Wattages'!$A$1:$C$973,2,FALSE)</f>
        <v>1000</v>
      </c>
      <c r="F103" s="38">
        <v>1</v>
      </c>
      <c r="G103" s="39">
        <v>0.05</v>
      </c>
      <c r="H103" s="58">
        <f>PlanGrid[[#This Row],[Spec Wattage]]*PlanGrid[[#This Row],[Equipment Count]]</f>
        <v>1000</v>
      </c>
      <c r="I103" s="50">
        <f>((PlanGrid[[#This Row],[Demand Watt]]*PlanGrid[[#This Row],[Utilization %]]*'Schedule-Building Info'!$N$16)/1000)</f>
        <v>273.75</v>
      </c>
      <c r="J103" s="57">
        <f>PlanGrid[[#This Row],[kWh/yr]]*' Elec Utility (kWh)'!$M$7</f>
        <v>29.185401862234706</v>
      </c>
      <c r="K103" s="38">
        <f>PlanGrid[[#This Row],[kWh/yr]]/'Schedule-Building Info'!$B$6</f>
        <v>4.501800720288115E-3</v>
      </c>
      <c r="L103" s="50">
        <f>CONVERT(PlanGrid[[#This Row],[kWh/yr]],"Wh","BTU")</f>
        <v>934.07377206877402</v>
      </c>
      <c r="M103" s="38">
        <f>PlanGrid[[#This Row],[kBtu/yr]]/'Schedule-Building Info'!$B$6</f>
        <v>1.5360781661740434E-2</v>
      </c>
      <c r="N103" t="s">
        <v>1092</v>
      </c>
      <c r="O103">
        <v>0</v>
      </c>
      <c r="P103" t="str">
        <f>VLOOKUP(PlanGrid[[#This Row],[Title]],'Spec Wattages'!$A$1:$C$973,3,FALSE)</f>
        <v>Plug Load</v>
      </c>
      <c r="Q103" t="s">
        <v>911</v>
      </c>
      <c r="R103" t="s">
        <v>911</v>
      </c>
      <c r="S103" t="s">
        <v>51</v>
      </c>
    </row>
    <row r="104" spans="1:19" x14ac:dyDescent="0.25">
      <c r="A104">
        <v>602</v>
      </c>
      <c r="B104" t="s">
        <v>439</v>
      </c>
      <c r="C104" t="s">
        <v>25</v>
      </c>
      <c r="E104" s="50">
        <f>VLOOKUP(PlanGrid[[#This Row],[Title]],'Spec Wattages'!$A$1:$C$973,2,FALSE)</f>
        <v>1000</v>
      </c>
      <c r="F104" s="38">
        <v>1</v>
      </c>
      <c r="G104" s="39">
        <v>0.05</v>
      </c>
      <c r="H104" s="58">
        <f>PlanGrid[[#This Row],[Spec Wattage]]*PlanGrid[[#This Row],[Equipment Count]]</f>
        <v>1000</v>
      </c>
      <c r="I104" s="50">
        <f>((PlanGrid[[#This Row],[Demand Watt]]*PlanGrid[[#This Row],[Utilization %]]*'Schedule-Building Info'!$N$16)/1000)</f>
        <v>273.75</v>
      </c>
      <c r="J104" s="57">
        <f>PlanGrid[[#This Row],[kWh/yr]]*' Elec Utility (kWh)'!$M$7</f>
        <v>29.185401862234706</v>
      </c>
      <c r="K104" s="38">
        <f>PlanGrid[[#This Row],[kWh/yr]]/'Schedule-Building Info'!$B$6</f>
        <v>4.501800720288115E-3</v>
      </c>
      <c r="L104" s="50">
        <f>CONVERT(PlanGrid[[#This Row],[kWh/yr]],"Wh","BTU")</f>
        <v>934.07377206877402</v>
      </c>
      <c r="M104" s="38">
        <f>PlanGrid[[#This Row],[kBtu/yr]]/'Schedule-Building Info'!$B$6</f>
        <v>1.5360781661740434E-2</v>
      </c>
      <c r="N104" t="s">
        <v>1092</v>
      </c>
      <c r="O104">
        <v>0</v>
      </c>
      <c r="P104" t="str">
        <f>VLOOKUP(PlanGrid[[#This Row],[Title]],'Spec Wattages'!$A$1:$C$973,3,FALSE)</f>
        <v>Plug Load</v>
      </c>
      <c r="Q104" t="s">
        <v>1018</v>
      </c>
      <c r="R104" t="s">
        <v>1018</v>
      </c>
      <c r="S104" t="s">
        <v>51</v>
      </c>
    </row>
    <row r="105" spans="1:19" x14ac:dyDescent="0.25">
      <c r="A105">
        <v>1062</v>
      </c>
      <c r="B105" t="s">
        <v>448</v>
      </c>
      <c r="C105" t="s">
        <v>449</v>
      </c>
      <c r="E105" s="50">
        <v>100</v>
      </c>
      <c r="F105" s="38">
        <v>1</v>
      </c>
      <c r="G105" s="39">
        <v>0.1</v>
      </c>
      <c r="H105" s="50">
        <f>PlanGrid[[#This Row],[Spec Wattage]]*PlanGrid[[#This Row],[Equipment Count]]</f>
        <v>100</v>
      </c>
      <c r="I105" s="50">
        <f>((PlanGrid[[#This Row],[Demand Watt]]*PlanGrid[[#This Row],[Utilization %]]*'Schedule-Building Info'!$N$16)/1000)</f>
        <v>54.75</v>
      </c>
      <c r="J105" s="57">
        <f>PlanGrid[[#This Row],[kWh/yr]]*' Elec Utility (kWh)'!$M$7</f>
        <v>5.8370803724469411</v>
      </c>
      <c r="K105" s="49">
        <f>PlanGrid[[#This Row],[kWh/yr]]/'Schedule-Building Info'!$B$6</f>
        <v>9.0036014405762304E-4</v>
      </c>
      <c r="L105" s="50">
        <f>CONVERT(PlanGrid[[#This Row],[kWh/yr]],"Wh","BTU")</f>
        <v>186.8147544137548</v>
      </c>
      <c r="M105" s="38">
        <f>PlanGrid[[#This Row],[kBtu/yr]]/'Schedule-Building Info'!$B$6</f>
        <v>3.0721563323480865E-3</v>
      </c>
      <c r="N105" t="s">
        <v>1089</v>
      </c>
      <c r="O105">
        <v>0</v>
      </c>
      <c r="P105" t="s">
        <v>87</v>
      </c>
      <c r="Q105" t="s">
        <v>776</v>
      </c>
      <c r="R105" t="s">
        <v>776</v>
      </c>
      <c r="S105" t="s">
        <v>51</v>
      </c>
    </row>
    <row r="106" spans="1:19" x14ac:dyDescent="0.25">
      <c r="A106">
        <v>1084</v>
      </c>
      <c r="B106" t="s">
        <v>448</v>
      </c>
      <c r="C106" t="s">
        <v>449</v>
      </c>
      <c r="E106" s="50">
        <v>100</v>
      </c>
      <c r="F106" s="38">
        <v>1</v>
      </c>
      <c r="G106" s="39">
        <v>0.1</v>
      </c>
      <c r="H106" s="50">
        <f>PlanGrid[[#This Row],[Spec Wattage]]*PlanGrid[[#This Row],[Equipment Count]]</f>
        <v>100</v>
      </c>
      <c r="I106" s="50">
        <f>((PlanGrid[[#This Row],[Demand Watt]]*PlanGrid[[#This Row],[Utilization %]]*'Schedule-Building Info'!$N$16)/1000)</f>
        <v>54.75</v>
      </c>
      <c r="J106" s="57">
        <f>PlanGrid[[#This Row],[kWh/yr]]*' Elec Utility (kWh)'!$M$7</f>
        <v>5.8370803724469411</v>
      </c>
      <c r="K106" s="49">
        <f>PlanGrid[[#This Row],[kWh/yr]]/'Schedule-Building Info'!$B$6</f>
        <v>9.0036014405762304E-4</v>
      </c>
      <c r="L106" s="50">
        <f>CONVERT(PlanGrid[[#This Row],[kWh/yr]],"Wh","BTU")</f>
        <v>186.8147544137548</v>
      </c>
      <c r="M106" s="38">
        <f>PlanGrid[[#This Row],[kBtu/yr]]/'Schedule-Building Info'!$B$6</f>
        <v>3.0721563323480865E-3</v>
      </c>
      <c r="N106" t="s">
        <v>1089</v>
      </c>
      <c r="O106">
        <v>0</v>
      </c>
      <c r="P106" t="s">
        <v>87</v>
      </c>
      <c r="Q106" t="s">
        <v>777</v>
      </c>
      <c r="R106" t="s">
        <v>777</v>
      </c>
      <c r="S106" t="s">
        <v>11</v>
      </c>
    </row>
    <row r="107" spans="1:19" x14ac:dyDescent="0.25">
      <c r="A107">
        <v>713</v>
      </c>
      <c r="B107" t="s">
        <v>448</v>
      </c>
      <c r="C107" t="s">
        <v>449</v>
      </c>
      <c r="E107" s="50">
        <v>100</v>
      </c>
      <c r="F107" s="38">
        <v>1</v>
      </c>
      <c r="G107" s="39">
        <v>0.1</v>
      </c>
      <c r="H107" s="50">
        <f>PlanGrid[[#This Row],[Spec Wattage]]*PlanGrid[[#This Row],[Equipment Count]]</f>
        <v>100</v>
      </c>
      <c r="I107" s="50">
        <f>((PlanGrid[[#This Row],[Demand Watt]]*PlanGrid[[#This Row],[Utilization %]]*'Schedule-Building Info'!$N$16)/1000)</f>
        <v>54.75</v>
      </c>
      <c r="J107" s="57">
        <f>PlanGrid[[#This Row],[kWh/yr]]*' Elec Utility (kWh)'!$M$7</f>
        <v>5.8370803724469411</v>
      </c>
      <c r="K107" s="49">
        <f>PlanGrid[[#This Row],[kWh/yr]]/'Schedule-Building Info'!$B$6</f>
        <v>9.0036014405762304E-4</v>
      </c>
      <c r="L107" s="50">
        <f>CONVERT(PlanGrid[[#This Row],[kWh/yr]],"Wh","BTU")</f>
        <v>186.8147544137548</v>
      </c>
      <c r="M107" s="38">
        <f>PlanGrid[[#This Row],[kBtu/yr]]/'Schedule-Building Info'!$B$6</f>
        <v>3.0721563323480865E-3</v>
      </c>
      <c r="N107" t="s">
        <v>1090</v>
      </c>
      <c r="O107">
        <v>0</v>
      </c>
      <c r="P107" t="s">
        <v>87</v>
      </c>
      <c r="Q107" t="s">
        <v>778</v>
      </c>
      <c r="R107" t="s">
        <v>778</v>
      </c>
      <c r="S107" t="s">
        <v>51</v>
      </c>
    </row>
    <row r="108" spans="1:19" x14ac:dyDescent="0.25">
      <c r="A108">
        <v>769</v>
      </c>
      <c r="B108" t="s">
        <v>448</v>
      </c>
      <c r="C108" t="s">
        <v>449</v>
      </c>
      <c r="E108" s="50">
        <v>100</v>
      </c>
      <c r="F108" s="38">
        <v>1</v>
      </c>
      <c r="G108" s="39">
        <v>0.1</v>
      </c>
      <c r="H108" s="50">
        <f>PlanGrid[[#This Row],[Spec Wattage]]*PlanGrid[[#This Row],[Equipment Count]]</f>
        <v>100</v>
      </c>
      <c r="I108" s="50">
        <f>((PlanGrid[[#This Row],[Demand Watt]]*PlanGrid[[#This Row],[Utilization %]]*'Schedule-Building Info'!$N$16)/1000)</f>
        <v>54.75</v>
      </c>
      <c r="J108" s="57">
        <f>PlanGrid[[#This Row],[kWh/yr]]*' Elec Utility (kWh)'!$M$7</f>
        <v>5.8370803724469411</v>
      </c>
      <c r="K108" s="49">
        <f>PlanGrid[[#This Row],[kWh/yr]]/'Schedule-Building Info'!$B$6</f>
        <v>9.0036014405762304E-4</v>
      </c>
      <c r="L108" s="50">
        <f>CONVERT(PlanGrid[[#This Row],[kWh/yr]],"Wh","BTU")</f>
        <v>186.8147544137548</v>
      </c>
      <c r="M108" s="38">
        <f>PlanGrid[[#This Row],[kBtu/yr]]/'Schedule-Building Info'!$B$6</f>
        <v>3.0721563323480865E-3</v>
      </c>
      <c r="N108" t="s">
        <v>1090</v>
      </c>
      <c r="O108">
        <v>0</v>
      </c>
      <c r="P108" t="s">
        <v>87</v>
      </c>
      <c r="Q108" t="s">
        <v>779</v>
      </c>
      <c r="R108" t="s">
        <v>779</v>
      </c>
      <c r="S108" t="s">
        <v>51</v>
      </c>
    </row>
    <row r="109" spans="1:19" x14ac:dyDescent="0.25">
      <c r="A109">
        <v>858</v>
      </c>
      <c r="B109" t="s">
        <v>448</v>
      </c>
      <c r="C109" t="s">
        <v>449</v>
      </c>
      <c r="E109" s="50">
        <v>100</v>
      </c>
      <c r="F109" s="38">
        <v>1</v>
      </c>
      <c r="G109" s="39">
        <v>0.1</v>
      </c>
      <c r="H109" s="50">
        <f>PlanGrid[[#This Row],[Spec Wattage]]*PlanGrid[[#This Row],[Equipment Count]]</f>
        <v>100</v>
      </c>
      <c r="I109" s="50">
        <f>((PlanGrid[[#This Row],[Demand Watt]]*PlanGrid[[#This Row],[Utilization %]]*'Schedule-Building Info'!$N$16)/1000)</f>
        <v>54.75</v>
      </c>
      <c r="J109" s="57">
        <f>PlanGrid[[#This Row],[kWh/yr]]*' Elec Utility (kWh)'!$M$7</f>
        <v>5.8370803724469411</v>
      </c>
      <c r="K109" s="49">
        <f>PlanGrid[[#This Row],[kWh/yr]]/'Schedule-Building Info'!$B$6</f>
        <v>9.0036014405762304E-4</v>
      </c>
      <c r="L109" s="50">
        <f>CONVERT(PlanGrid[[#This Row],[kWh/yr]],"Wh","BTU")</f>
        <v>186.8147544137548</v>
      </c>
      <c r="M109" s="38">
        <f>PlanGrid[[#This Row],[kBtu/yr]]/'Schedule-Building Info'!$B$6</f>
        <v>3.0721563323480865E-3</v>
      </c>
      <c r="N109" t="s">
        <v>1090</v>
      </c>
      <c r="O109">
        <v>0</v>
      </c>
      <c r="P109" t="s">
        <v>87</v>
      </c>
      <c r="Q109" t="s">
        <v>781</v>
      </c>
      <c r="R109" t="s">
        <v>781</v>
      </c>
      <c r="S109" t="s">
        <v>51</v>
      </c>
    </row>
    <row r="110" spans="1:19" x14ac:dyDescent="0.25">
      <c r="A110">
        <v>21</v>
      </c>
      <c r="B110" t="s">
        <v>448</v>
      </c>
      <c r="C110" t="s">
        <v>449</v>
      </c>
      <c r="D110" t="s">
        <v>39</v>
      </c>
      <c r="E110" s="50">
        <v>100</v>
      </c>
      <c r="F110" s="38">
        <v>1</v>
      </c>
      <c r="G110" s="39">
        <v>0.1</v>
      </c>
      <c r="H110" s="50">
        <f>PlanGrid[[#This Row],[Spec Wattage]]*PlanGrid[[#This Row],[Equipment Count]]</f>
        <v>100</v>
      </c>
      <c r="I110" s="50">
        <f>((PlanGrid[[#This Row],[Demand Watt]]*PlanGrid[[#This Row],[Utilization %]]*'Schedule-Building Info'!$N$16)/1000)</f>
        <v>54.75</v>
      </c>
      <c r="J110" s="57">
        <f>PlanGrid[[#This Row],[kWh/yr]]*' Elec Utility (kWh)'!$M$7</f>
        <v>5.8370803724469411</v>
      </c>
      <c r="K110" s="49">
        <f>PlanGrid[[#This Row],[kWh/yr]]/'Schedule-Building Info'!$B$6</f>
        <v>9.0036014405762304E-4</v>
      </c>
      <c r="L110" s="50">
        <f>CONVERT(PlanGrid[[#This Row],[kWh/yr]],"Wh","BTU")</f>
        <v>186.8147544137548</v>
      </c>
      <c r="M110" s="38">
        <f>PlanGrid[[#This Row],[kBtu/yr]]/'Schedule-Building Info'!$B$6</f>
        <v>3.0721563323480865E-3</v>
      </c>
      <c r="N110" t="s">
        <v>1092</v>
      </c>
      <c r="O110">
        <v>0</v>
      </c>
      <c r="P110" t="s">
        <v>87</v>
      </c>
      <c r="Q110" t="s">
        <v>783</v>
      </c>
      <c r="R110" t="s">
        <v>931</v>
      </c>
      <c r="S110" t="s">
        <v>11</v>
      </c>
    </row>
    <row r="111" spans="1:19" x14ac:dyDescent="0.25">
      <c r="A111">
        <v>413</v>
      </c>
      <c r="B111" t="s">
        <v>448</v>
      </c>
      <c r="C111" t="s">
        <v>449</v>
      </c>
      <c r="E111" s="50">
        <v>100</v>
      </c>
      <c r="F111" s="38">
        <v>1</v>
      </c>
      <c r="G111" s="39">
        <v>0.1</v>
      </c>
      <c r="H111" s="50">
        <f>PlanGrid[[#This Row],[Spec Wattage]]*PlanGrid[[#This Row],[Equipment Count]]</f>
        <v>100</v>
      </c>
      <c r="I111" s="50">
        <f>((PlanGrid[[#This Row],[Demand Watt]]*PlanGrid[[#This Row],[Utilization %]]*'Schedule-Building Info'!$N$16)/1000)</f>
        <v>54.75</v>
      </c>
      <c r="J111" s="57">
        <f>PlanGrid[[#This Row],[kWh/yr]]*' Elec Utility (kWh)'!$M$7</f>
        <v>5.8370803724469411</v>
      </c>
      <c r="K111" s="49">
        <f>PlanGrid[[#This Row],[kWh/yr]]/'Schedule-Building Info'!$B$6</f>
        <v>9.0036014405762304E-4</v>
      </c>
      <c r="L111" s="50">
        <f>CONVERT(PlanGrid[[#This Row],[kWh/yr]],"Wh","BTU")</f>
        <v>186.8147544137548</v>
      </c>
      <c r="M111" s="38">
        <f>PlanGrid[[#This Row],[kBtu/yr]]/'Schedule-Building Info'!$B$6</f>
        <v>3.0721563323480865E-3</v>
      </c>
      <c r="N111" t="s">
        <v>1092</v>
      </c>
      <c r="O111">
        <v>0</v>
      </c>
      <c r="P111" t="s">
        <v>87</v>
      </c>
      <c r="Q111" t="s">
        <v>784</v>
      </c>
      <c r="R111" t="s">
        <v>784</v>
      </c>
      <c r="S111" t="s">
        <v>51</v>
      </c>
    </row>
    <row r="112" spans="1:19" x14ac:dyDescent="0.25">
      <c r="A112">
        <v>1000</v>
      </c>
      <c r="B112" t="s">
        <v>20</v>
      </c>
      <c r="C112" t="s">
        <v>416</v>
      </c>
      <c r="D112" t="s">
        <v>446</v>
      </c>
      <c r="E112" s="50">
        <f>VLOOKUP(PlanGrid[[#This Row],[Title]],'Spec Wattages'!$A$1:$C$973,2,FALSE)</f>
        <v>50</v>
      </c>
      <c r="F112" s="38">
        <v>1</v>
      </c>
      <c r="G112" s="39">
        <v>0.9</v>
      </c>
      <c r="H112" s="50">
        <f>PlanGrid[[#This Row],[Spec Wattage]]*PlanGrid[[#This Row],[Equipment Count]]</f>
        <v>50</v>
      </c>
      <c r="I112" s="50">
        <f>((PlanGrid[[#This Row],[Demand Watt]]*PlanGrid[[#This Row],[Utilization %]]*'Schedule-Building Info'!$N$16)/1000)</f>
        <v>246.375</v>
      </c>
      <c r="J112" s="57">
        <f>PlanGrid[[#This Row],[kWh/yr]]*' Elec Utility (kWh)'!$M$7</f>
        <v>26.266861676011235</v>
      </c>
      <c r="K112" s="49">
        <f>PlanGrid[[#This Row],[kWh/yr]]/'Schedule-Building Info'!$B$6</f>
        <v>4.0516206482593036E-3</v>
      </c>
      <c r="L112" s="50">
        <f>CONVERT(PlanGrid[[#This Row],[kWh/yr]],"Wh","BTU")</f>
        <v>840.66639486189661</v>
      </c>
      <c r="M112" s="38">
        <f>PlanGrid[[#This Row],[kBtu/yr]]/'Schedule-Building Info'!$B$6</f>
        <v>1.3824703495566391E-2</v>
      </c>
      <c r="N112" t="s">
        <v>1089</v>
      </c>
      <c r="O112">
        <v>0</v>
      </c>
      <c r="P112" t="str">
        <f>VLOOKUP(PlanGrid[[#This Row],[Title]],'Spec Wattages'!$A$1:$C$973,3,FALSE)</f>
        <v>Plug Load</v>
      </c>
      <c r="Q112" t="s">
        <v>763</v>
      </c>
      <c r="R112" t="s">
        <v>1037</v>
      </c>
      <c r="S112" t="s">
        <v>11</v>
      </c>
    </row>
    <row r="113" spans="1:19" x14ac:dyDescent="0.25">
      <c r="A113">
        <v>885</v>
      </c>
      <c r="B113" t="s">
        <v>20</v>
      </c>
      <c r="C113" t="s">
        <v>416</v>
      </c>
      <c r="E113" s="50">
        <f>VLOOKUP(PlanGrid[[#This Row],[Title]],'Spec Wattages'!$A$1:$C$973,2,FALSE)</f>
        <v>50</v>
      </c>
      <c r="F113" s="38">
        <v>1</v>
      </c>
      <c r="G113" s="39">
        <v>0.9</v>
      </c>
      <c r="H113" s="50">
        <f>PlanGrid[[#This Row],[Spec Wattage]]*PlanGrid[[#This Row],[Equipment Count]]</f>
        <v>50</v>
      </c>
      <c r="I113" s="50">
        <f>((PlanGrid[[#This Row],[Demand Watt]]*PlanGrid[[#This Row],[Utilization %]]*'Schedule-Building Info'!$N$16)/1000)</f>
        <v>246.375</v>
      </c>
      <c r="J113" s="57">
        <f>PlanGrid[[#This Row],[kWh/yr]]*' Elec Utility (kWh)'!$M$7</f>
        <v>26.266861676011235</v>
      </c>
      <c r="K113" s="49">
        <f>PlanGrid[[#This Row],[kWh/yr]]/'Schedule-Building Info'!$B$6</f>
        <v>4.0516206482593036E-3</v>
      </c>
      <c r="L113" s="50">
        <f>CONVERT(PlanGrid[[#This Row],[kWh/yr]],"Wh","BTU")</f>
        <v>840.66639486189661</v>
      </c>
      <c r="M113" s="38">
        <f>PlanGrid[[#This Row],[kBtu/yr]]/'Schedule-Building Info'!$B$6</f>
        <v>1.3824703495566391E-2</v>
      </c>
      <c r="N113" t="s">
        <v>1089</v>
      </c>
      <c r="O113">
        <v>0</v>
      </c>
      <c r="P113" t="str">
        <f>VLOOKUP(PlanGrid[[#This Row],[Title]],'Spec Wattages'!$A$1:$C$973,3,FALSE)</f>
        <v>Plug Load</v>
      </c>
      <c r="Q113" t="s">
        <v>682</v>
      </c>
      <c r="R113" t="s">
        <v>682</v>
      </c>
      <c r="S113" t="s">
        <v>11</v>
      </c>
    </row>
    <row r="114" spans="1:19" x14ac:dyDescent="0.25">
      <c r="A114">
        <v>895</v>
      </c>
      <c r="B114" t="s">
        <v>20</v>
      </c>
      <c r="C114" t="s">
        <v>416</v>
      </c>
      <c r="E114" s="50">
        <f>VLOOKUP(PlanGrid[[#This Row],[Title]],'Spec Wattages'!$A$1:$C$973,2,FALSE)</f>
        <v>50</v>
      </c>
      <c r="F114" s="38">
        <v>1</v>
      </c>
      <c r="G114" s="39">
        <v>0.9</v>
      </c>
      <c r="H114" s="50">
        <f>PlanGrid[[#This Row],[Spec Wattage]]*PlanGrid[[#This Row],[Equipment Count]]</f>
        <v>50</v>
      </c>
      <c r="I114" s="50">
        <f>((PlanGrid[[#This Row],[Demand Watt]]*PlanGrid[[#This Row],[Utilization %]]*'Schedule-Building Info'!$N$16)/1000)</f>
        <v>246.375</v>
      </c>
      <c r="J114" s="57">
        <f>PlanGrid[[#This Row],[kWh/yr]]*' Elec Utility (kWh)'!$M$7</f>
        <v>26.266861676011235</v>
      </c>
      <c r="K114" s="49">
        <f>PlanGrid[[#This Row],[kWh/yr]]/'Schedule-Building Info'!$B$6</f>
        <v>4.0516206482593036E-3</v>
      </c>
      <c r="L114" s="50">
        <f>CONVERT(PlanGrid[[#This Row],[kWh/yr]],"Wh","BTU")</f>
        <v>840.66639486189661</v>
      </c>
      <c r="M114" s="38">
        <f>PlanGrid[[#This Row],[kBtu/yr]]/'Schedule-Building Info'!$B$6</f>
        <v>1.3824703495566391E-2</v>
      </c>
      <c r="N114" t="s">
        <v>1089</v>
      </c>
      <c r="O114">
        <v>0</v>
      </c>
      <c r="P114" t="str">
        <f>VLOOKUP(PlanGrid[[#This Row],[Title]],'Spec Wattages'!$A$1:$C$973,3,FALSE)</f>
        <v>Plug Load</v>
      </c>
      <c r="Q114" t="s">
        <v>692</v>
      </c>
      <c r="R114" t="s">
        <v>692</v>
      </c>
      <c r="S114" t="s">
        <v>51</v>
      </c>
    </row>
    <row r="115" spans="1:19" x14ac:dyDescent="0.25">
      <c r="A115">
        <v>899</v>
      </c>
      <c r="B115" t="s">
        <v>20</v>
      </c>
      <c r="C115" t="s">
        <v>416</v>
      </c>
      <c r="E115" s="50">
        <f>VLOOKUP(PlanGrid[[#This Row],[Title]],'Spec Wattages'!$A$1:$C$973,2,FALSE)</f>
        <v>50</v>
      </c>
      <c r="F115" s="38">
        <v>1</v>
      </c>
      <c r="G115" s="39">
        <v>0.9</v>
      </c>
      <c r="H115" s="50">
        <f>PlanGrid[[#This Row],[Spec Wattage]]*PlanGrid[[#This Row],[Equipment Count]]</f>
        <v>50</v>
      </c>
      <c r="I115" s="50">
        <f>((PlanGrid[[#This Row],[Demand Watt]]*PlanGrid[[#This Row],[Utilization %]]*'Schedule-Building Info'!$N$16)/1000)</f>
        <v>246.375</v>
      </c>
      <c r="J115" s="57">
        <f>PlanGrid[[#This Row],[kWh/yr]]*' Elec Utility (kWh)'!$M$7</f>
        <v>26.266861676011235</v>
      </c>
      <c r="K115" s="49">
        <f>PlanGrid[[#This Row],[kWh/yr]]/'Schedule-Building Info'!$B$6</f>
        <v>4.0516206482593036E-3</v>
      </c>
      <c r="L115" s="50">
        <f>CONVERT(PlanGrid[[#This Row],[kWh/yr]],"Wh","BTU")</f>
        <v>840.66639486189661</v>
      </c>
      <c r="M115" s="38">
        <f>PlanGrid[[#This Row],[kBtu/yr]]/'Schedule-Building Info'!$B$6</f>
        <v>1.3824703495566391E-2</v>
      </c>
      <c r="N115" t="s">
        <v>1089</v>
      </c>
      <c r="O115">
        <v>0</v>
      </c>
      <c r="P115" t="str">
        <f>VLOOKUP(PlanGrid[[#This Row],[Title]],'Spec Wattages'!$A$1:$C$973,3,FALSE)</f>
        <v>Plug Load</v>
      </c>
      <c r="Q115" t="s">
        <v>689</v>
      </c>
      <c r="R115" t="s">
        <v>689</v>
      </c>
      <c r="S115" t="s">
        <v>11</v>
      </c>
    </row>
    <row r="116" spans="1:19" x14ac:dyDescent="0.25">
      <c r="A116">
        <v>900</v>
      </c>
      <c r="B116" t="s">
        <v>20</v>
      </c>
      <c r="C116" t="s">
        <v>416</v>
      </c>
      <c r="E116" s="50">
        <f>VLOOKUP(PlanGrid[[#This Row],[Title]],'Spec Wattages'!$A$1:$C$973,2,FALSE)</f>
        <v>50</v>
      </c>
      <c r="F116" s="38">
        <v>1</v>
      </c>
      <c r="G116" s="39">
        <v>0.9</v>
      </c>
      <c r="H116" s="50">
        <f>PlanGrid[[#This Row],[Spec Wattage]]*PlanGrid[[#This Row],[Equipment Count]]</f>
        <v>50</v>
      </c>
      <c r="I116" s="50">
        <f>((PlanGrid[[#This Row],[Demand Watt]]*PlanGrid[[#This Row],[Utilization %]]*'Schedule-Building Info'!$N$16)/1000)</f>
        <v>246.375</v>
      </c>
      <c r="J116" s="57">
        <f>PlanGrid[[#This Row],[kWh/yr]]*' Elec Utility (kWh)'!$M$7</f>
        <v>26.266861676011235</v>
      </c>
      <c r="K116" s="49">
        <f>PlanGrid[[#This Row],[kWh/yr]]/'Schedule-Building Info'!$B$6</f>
        <v>4.0516206482593036E-3</v>
      </c>
      <c r="L116" s="50">
        <f>CONVERT(PlanGrid[[#This Row],[kWh/yr]],"Wh","BTU")</f>
        <v>840.66639486189661</v>
      </c>
      <c r="M116" s="38">
        <f>PlanGrid[[#This Row],[kBtu/yr]]/'Schedule-Building Info'!$B$6</f>
        <v>1.3824703495566391E-2</v>
      </c>
      <c r="N116" t="s">
        <v>1089</v>
      </c>
      <c r="O116">
        <v>0</v>
      </c>
      <c r="P116" t="str">
        <f>VLOOKUP(PlanGrid[[#This Row],[Title]],'Spec Wattages'!$A$1:$C$973,3,FALSE)</f>
        <v>Plug Load</v>
      </c>
      <c r="Q116" t="s">
        <v>689</v>
      </c>
      <c r="R116" t="s">
        <v>689</v>
      </c>
      <c r="S116" t="s">
        <v>11</v>
      </c>
    </row>
    <row r="117" spans="1:19" x14ac:dyDescent="0.25">
      <c r="A117">
        <v>901</v>
      </c>
      <c r="B117" t="s">
        <v>20</v>
      </c>
      <c r="C117" t="s">
        <v>416</v>
      </c>
      <c r="E117" s="50">
        <f>VLOOKUP(PlanGrid[[#This Row],[Title]],'Spec Wattages'!$A$1:$C$973,2,FALSE)</f>
        <v>50</v>
      </c>
      <c r="F117" s="38">
        <v>1</v>
      </c>
      <c r="G117" s="39">
        <v>0.9</v>
      </c>
      <c r="H117" s="50">
        <f>PlanGrid[[#This Row],[Spec Wattage]]*PlanGrid[[#This Row],[Equipment Count]]</f>
        <v>50</v>
      </c>
      <c r="I117" s="50">
        <f>((PlanGrid[[#This Row],[Demand Watt]]*PlanGrid[[#This Row],[Utilization %]]*'Schedule-Building Info'!$N$16)/1000)</f>
        <v>246.375</v>
      </c>
      <c r="J117" s="57">
        <f>PlanGrid[[#This Row],[kWh/yr]]*' Elec Utility (kWh)'!$M$7</f>
        <v>26.266861676011235</v>
      </c>
      <c r="K117" s="49">
        <f>PlanGrid[[#This Row],[kWh/yr]]/'Schedule-Building Info'!$B$6</f>
        <v>4.0516206482593036E-3</v>
      </c>
      <c r="L117" s="50">
        <f>CONVERT(PlanGrid[[#This Row],[kWh/yr]],"Wh","BTU")</f>
        <v>840.66639486189661</v>
      </c>
      <c r="M117" s="38">
        <f>PlanGrid[[#This Row],[kBtu/yr]]/'Schedule-Building Info'!$B$6</f>
        <v>1.3824703495566391E-2</v>
      </c>
      <c r="N117" t="s">
        <v>1089</v>
      </c>
      <c r="O117">
        <v>0</v>
      </c>
      <c r="P117" t="str">
        <f>VLOOKUP(PlanGrid[[#This Row],[Title]],'Spec Wattages'!$A$1:$C$973,3,FALSE)</f>
        <v>Plug Load</v>
      </c>
      <c r="Q117" t="s">
        <v>689</v>
      </c>
      <c r="R117" t="s">
        <v>689</v>
      </c>
      <c r="S117" t="s">
        <v>11</v>
      </c>
    </row>
    <row r="118" spans="1:19" x14ac:dyDescent="0.25">
      <c r="A118">
        <v>152</v>
      </c>
      <c r="B118" t="s">
        <v>22</v>
      </c>
      <c r="C118" t="s">
        <v>466</v>
      </c>
      <c r="D118" t="s">
        <v>503</v>
      </c>
      <c r="E118" s="50">
        <v>9</v>
      </c>
      <c r="F118" s="38">
        <v>1</v>
      </c>
      <c r="G118" s="39">
        <v>1</v>
      </c>
      <c r="H118" s="58">
        <f>PlanGrid[[#This Row],[Spec Wattage]]*PlanGrid[[#This Row],[Equipment Count]]</f>
        <v>9</v>
      </c>
      <c r="I118" s="50">
        <f>((PlanGrid[[#This Row],[Demand Watt]]*PlanGrid[[#This Row],[Utilization %]]*'Schedule-Building Info'!$N$16)/1000)</f>
        <v>49.274999999999999</v>
      </c>
      <c r="J118" s="57">
        <f>PlanGrid[[#This Row],[kWh/yr]]*' Elec Utility (kWh)'!$M$7</f>
        <v>5.253372335202247</v>
      </c>
      <c r="K118" s="38">
        <f>PlanGrid[[#This Row],[kWh/yr]]/'Schedule-Building Info'!$B$6</f>
        <v>8.1032412965186072E-4</v>
      </c>
      <c r="L118" s="50">
        <f>CONVERT(PlanGrid[[#This Row],[kWh/yr]],"Wh","BTU")</f>
        <v>168.13327897237932</v>
      </c>
      <c r="M118" s="38">
        <f>PlanGrid[[#This Row],[kBtu/yr]]/'Schedule-Building Info'!$B$6</f>
        <v>2.7649406991132777E-3</v>
      </c>
      <c r="N118" t="s">
        <v>1092</v>
      </c>
      <c r="O118">
        <v>0</v>
      </c>
      <c r="P118" t="str">
        <f>VLOOKUP(PlanGrid[[#This Row],[Title]],'Spec Wattages'!$A$1:$C$973,3,FALSE)</f>
        <v>Lighting</v>
      </c>
      <c r="Q118" t="s">
        <v>746</v>
      </c>
      <c r="R118" t="s">
        <v>746</v>
      </c>
      <c r="S118" t="s">
        <v>51</v>
      </c>
    </row>
    <row r="119" spans="1:19" x14ac:dyDescent="0.25">
      <c r="A119">
        <v>954</v>
      </c>
      <c r="B119" t="s">
        <v>20</v>
      </c>
      <c r="C119" t="s">
        <v>416</v>
      </c>
      <c r="E119" s="50">
        <f>VLOOKUP(PlanGrid[[#This Row],[Title]],'Spec Wattages'!$A$1:$C$973,2,FALSE)</f>
        <v>50</v>
      </c>
      <c r="F119" s="38">
        <v>1</v>
      </c>
      <c r="G119" s="39">
        <v>0.9</v>
      </c>
      <c r="H119" s="50">
        <f>PlanGrid[[#This Row],[Spec Wattage]]*PlanGrid[[#This Row],[Equipment Count]]</f>
        <v>50</v>
      </c>
      <c r="I119" s="50">
        <f>((PlanGrid[[#This Row],[Demand Watt]]*PlanGrid[[#This Row],[Utilization %]]*'Schedule-Building Info'!$N$16)/1000)</f>
        <v>246.375</v>
      </c>
      <c r="J119" s="57">
        <f>PlanGrid[[#This Row],[kWh/yr]]*' Elec Utility (kWh)'!$M$7</f>
        <v>26.266861676011235</v>
      </c>
      <c r="K119" s="49">
        <f>PlanGrid[[#This Row],[kWh/yr]]/'Schedule-Building Info'!$B$6</f>
        <v>4.0516206482593036E-3</v>
      </c>
      <c r="L119" s="50">
        <f>CONVERT(PlanGrid[[#This Row],[kWh/yr]],"Wh","BTU")</f>
        <v>840.66639486189661</v>
      </c>
      <c r="M119" s="38">
        <f>PlanGrid[[#This Row],[kBtu/yr]]/'Schedule-Building Info'!$B$6</f>
        <v>1.3824703495566391E-2</v>
      </c>
      <c r="N119" t="s">
        <v>1089</v>
      </c>
      <c r="O119">
        <v>0</v>
      </c>
      <c r="P119" t="str">
        <f>VLOOKUP(PlanGrid[[#This Row],[Title]],'Spec Wattages'!$A$1:$C$973,3,FALSE)</f>
        <v>Plug Load</v>
      </c>
      <c r="Q119" t="s">
        <v>736</v>
      </c>
      <c r="R119" t="s">
        <v>736</v>
      </c>
      <c r="S119" t="s">
        <v>51</v>
      </c>
    </row>
    <row r="120" spans="1:19" x14ac:dyDescent="0.25">
      <c r="A120">
        <v>958</v>
      </c>
      <c r="B120" t="s">
        <v>20</v>
      </c>
      <c r="C120" t="s">
        <v>416</v>
      </c>
      <c r="E120" s="50">
        <f>VLOOKUP(PlanGrid[[#This Row],[Title]],'Spec Wattages'!$A$1:$C$973,2,FALSE)</f>
        <v>50</v>
      </c>
      <c r="F120" s="38">
        <v>1</v>
      </c>
      <c r="G120" s="39">
        <v>0.9</v>
      </c>
      <c r="H120" s="50">
        <f>PlanGrid[[#This Row],[Spec Wattage]]*PlanGrid[[#This Row],[Equipment Count]]</f>
        <v>50</v>
      </c>
      <c r="I120" s="50">
        <f>((PlanGrid[[#This Row],[Demand Watt]]*PlanGrid[[#This Row],[Utilization %]]*'Schedule-Building Info'!$N$16)/1000)</f>
        <v>246.375</v>
      </c>
      <c r="J120" s="57">
        <f>PlanGrid[[#This Row],[kWh/yr]]*' Elec Utility (kWh)'!$M$7</f>
        <v>26.266861676011235</v>
      </c>
      <c r="K120" s="49">
        <f>PlanGrid[[#This Row],[kWh/yr]]/'Schedule-Building Info'!$B$6</f>
        <v>4.0516206482593036E-3</v>
      </c>
      <c r="L120" s="50">
        <f>CONVERT(PlanGrid[[#This Row],[kWh/yr]],"Wh","BTU")</f>
        <v>840.66639486189661</v>
      </c>
      <c r="M120" s="38">
        <f>PlanGrid[[#This Row],[kBtu/yr]]/'Schedule-Building Info'!$B$6</f>
        <v>1.3824703495566391E-2</v>
      </c>
      <c r="N120" t="s">
        <v>1089</v>
      </c>
      <c r="O120">
        <v>0</v>
      </c>
      <c r="P120" t="str">
        <f>VLOOKUP(PlanGrid[[#This Row],[Title]],'Spec Wattages'!$A$1:$C$973,3,FALSE)</f>
        <v>Plug Load</v>
      </c>
      <c r="Q120" t="s">
        <v>736</v>
      </c>
      <c r="R120" t="s">
        <v>736</v>
      </c>
      <c r="S120" t="s">
        <v>11</v>
      </c>
    </row>
    <row r="121" spans="1:19" x14ac:dyDescent="0.25">
      <c r="A121">
        <v>982</v>
      </c>
      <c r="B121" t="s">
        <v>43</v>
      </c>
      <c r="C121" t="s">
        <v>44</v>
      </c>
      <c r="D121" t="s">
        <v>548</v>
      </c>
      <c r="E121" s="50">
        <v>9</v>
      </c>
      <c r="F121" s="38">
        <v>1</v>
      </c>
      <c r="G121" s="39">
        <v>1</v>
      </c>
      <c r="H121" s="58">
        <f>PlanGrid[[#This Row],[Spec Wattage]]*PlanGrid[[#This Row],[Equipment Count]]</f>
        <v>9</v>
      </c>
      <c r="I121" s="50">
        <f>((PlanGrid[[#This Row],[Demand Watt]]*PlanGrid[[#This Row],[Utilization %]]*'Schedule-Building Info'!$N$16)/1000)</f>
        <v>49.274999999999999</v>
      </c>
      <c r="J121" s="57">
        <f>PlanGrid[[#This Row],[kWh/yr]]*' Elec Utility (kWh)'!$M$7</f>
        <v>5.253372335202247</v>
      </c>
      <c r="K121" s="38">
        <f>PlanGrid[[#This Row],[kWh/yr]]/'Schedule-Building Info'!$B$6</f>
        <v>8.1032412965186072E-4</v>
      </c>
      <c r="L121" s="50">
        <f>CONVERT(PlanGrid[[#This Row],[kWh/yr]],"Wh","BTU")</f>
        <v>168.13327897237932</v>
      </c>
      <c r="M121" s="38">
        <f>PlanGrid[[#This Row],[kBtu/yr]]/'Schedule-Building Info'!$B$6</f>
        <v>2.7649406991132777E-3</v>
      </c>
      <c r="N121" t="s">
        <v>1089</v>
      </c>
      <c r="O121">
        <v>0</v>
      </c>
      <c r="P121" t="str">
        <f>VLOOKUP(PlanGrid[[#This Row],[Title]],'Spec Wattages'!$A$1:$C$973,3,FALSE)</f>
        <v>Lighting</v>
      </c>
      <c r="Q121" t="s">
        <v>750</v>
      </c>
      <c r="R121" t="s">
        <v>734</v>
      </c>
      <c r="S121" t="s">
        <v>51</v>
      </c>
    </row>
    <row r="122" spans="1:19" x14ac:dyDescent="0.25">
      <c r="A122">
        <v>967</v>
      </c>
      <c r="B122" t="s">
        <v>20</v>
      </c>
      <c r="C122" t="s">
        <v>416</v>
      </c>
      <c r="E122" s="50">
        <f>VLOOKUP(PlanGrid[[#This Row],[Title]],'Spec Wattages'!$A$1:$C$973,2,FALSE)</f>
        <v>50</v>
      </c>
      <c r="F122" s="38">
        <v>1</v>
      </c>
      <c r="G122" s="39">
        <v>0.9</v>
      </c>
      <c r="H122" s="50">
        <f>PlanGrid[[#This Row],[Spec Wattage]]*PlanGrid[[#This Row],[Equipment Count]]</f>
        <v>50</v>
      </c>
      <c r="I122" s="50">
        <f>((PlanGrid[[#This Row],[Demand Watt]]*PlanGrid[[#This Row],[Utilization %]]*'Schedule-Building Info'!$N$16)/1000)</f>
        <v>246.375</v>
      </c>
      <c r="J122" s="57">
        <f>PlanGrid[[#This Row],[kWh/yr]]*' Elec Utility (kWh)'!$M$7</f>
        <v>26.266861676011235</v>
      </c>
      <c r="K122" s="49">
        <f>PlanGrid[[#This Row],[kWh/yr]]/'Schedule-Building Info'!$B$6</f>
        <v>4.0516206482593036E-3</v>
      </c>
      <c r="L122" s="50">
        <f>CONVERT(PlanGrid[[#This Row],[kWh/yr]],"Wh","BTU")</f>
        <v>840.66639486189661</v>
      </c>
      <c r="M122" s="38">
        <f>PlanGrid[[#This Row],[kBtu/yr]]/'Schedule-Building Info'!$B$6</f>
        <v>1.3824703495566391E-2</v>
      </c>
      <c r="N122" t="s">
        <v>1089</v>
      </c>
      <c r="O122">
        <v>0</v>
      </c>
      <c r="P122" t="str">
        <f>VLOOKUP(PlanGrid[[#This Row],[Title]],'Spec Wattages'!$A$1:$C$973,3,FALSE)</f>
        <v>Plug Load</v>
      </c>
      <c r="Q122" t="s">
        <v>740</v>
      </c>
      <c r="R122" t="s">
        <v>740</v>
      </c>
      <c r="S122" t="s">
        <v>51</v>
      </c>
    </row>
    <row r="123" spans="1:19" x14ac:dyDescent="0.25">
      <c r="A123">
        <v>968</v>
      </c>
      <c r="B123" t="s">
        <v>20</v>
      </c>
      <c r="C123" t="s">
        <v>416</v>
      </c>
      <c r="E123" s="50">
        <f>VLOOKUP(PlanGrid[[#This Row],[Title]],'Spec Wattages'!$A$1:$C$973,2,FALSE)</f>
        <v>50</v>
      </c>
      <c r="F123" s="38">
        <v>1</v>
      </c>
      <c r="G123" s="39">
        <v>0.9</v>
      </c>
      <c r="H123" s="50">
        <f>PlanGrid[[#This Row],[Spec Wattage]]*PlanGrid[[#This Row],[Equipment Count]]</f>
        <v>50</v>
      </c>
      <c r="I123" s="50">
        <f>((PlanGrid[[#This Row],[Demand Watt]]*PlanGrid[[#This Row],[Utilization %]]*'Schedule-Building Info'!$N$16)/1000)</f>
        <v>246.375</v>
      </c>
      <c r="J123" s="57">
        <f>PlanGrid[[#This Row],[kWh/yr]]*' Elec Utility (kWh)'!$M$7</f>
        <v>26.266861676011235</v>
      </c>
      <c r="K123" s="49">
        <f>PlanGrid[[#This Row],[kWh/yr]]/'Schedule-Building Info'!$B$6</f>
        <v>4.0516206482593036E-3</v>
      </c>
      <c r="L123" s="50">
        <f>CONVERT(PlanGrid[[#This Row],[kWh/yr]],"Wh","BTU")</f>
        <v>840.66639486189661</v>
      </c>
      <c r="M123" s="38">
        <f>PlanGrid[[#This Row],[kBtu/yr]]/'Schedule-Building Info'!$B$6</f>
        <v>1.3824703495566391E-2</v>
      </c>
      <c r="N123" t="s">
        <v>1089</v>
      </c>
      <c r="O123">
        <v>0</v>
      </c>
      <c r="P123" t="str">
        <f>VLOOKUP(PlanGrid[[#This Row],[Title]],'Spec Wattages'!$A$1:$C$973,3,FALSE)</f>
        <v>Plug Load</v>
      </c>
      <c r="Q123" t="s">
        <v>745</v>
      </c>
      <c r="R123" t="s">
        <v>745</v>
      </c>
      <c r="S123" t="s">
        <v>11</v>
      </c>
    </row>
    <row r="124" spans="1:19" x14ac:dyDescent="0.25">
      <c r="A124">
        <v>979</v>
      </c>
      <c r="B124" t="s">
        <v>20</v>
      </c>
      <c r="C124" t="s">
        <v>416</v>
      </c>
      <c r="E124" s="50">
        <f>VLOOKUP(PlanGrid[[#This Row],[Title]],'Spec Wattages'!$A$1:$C$973,2,FALSE)</f>
        <v>50</v>
      </c>
      <c r="F124" s="38">
        <v>1</v>
      </c>
      <c r="G124" s="39">
        <v>0.9</v>
      </c>
      <c r="H124" s="50">
        <f>PlanGrid[[#This Row],[Spec Wattage]]*PlanGrid[[#This Row],[Equipment Count]]</f>
        <v>50</v>
      </c>
      <c r="I124" s="50">
        <f>((PlanGrid[[#This Row],[Demand Watt]]*PlanGrid[[#This Row],[Utilization %]]*'Schedule-Building Info'!$N$16)/1000)</f>
        <v>246.375</v>
      </c>
      <c r="J124" s="57">
        <f>PlanGrid[[#This Row],[kWh/yr]]*' Elec Utility (kWh)'!$M$7</f>
        <v>26.266861676011235</v>
      </c>
      <c r="K124" s="49">
        <f>PlanGrid[[#This Row],[kWh/yr]]/'Schedule-Building Info'!$B$6</f>
        <v>4.0516206482593036E-3</v>
      </c>
      <c r="L124" s="50">
        <f>CONVERT(PlanGrid[[#This Row],[kWh/yr]],"Wh","BTU")</f>
        <v>840.66639486189661</v>
      </c>
      <c r="M124" s="38">
        <f>PlanGrid[[#This Row],[kBtu/yr]]/'Schedule-Building Info'!$B$6</f>
        <v>1.3824703495566391E-2</v>
      </c>
      <c r="N124" t="s">
        <v>1089</v>
      </c>
      <c r="O124">
        <v>0</v>
      </c>
      <c r="P124" t="str">
        <f>VLOOKUP(PlanGrid[[#This Row],[Title]],'Spec Wattages'!$A$1:$C$973,3,FALSE)</f>
        <v>Plug Load</v>
      </c>
      <c r="Q124" t="s">
        <v>750</v>
      </c>
      <c r="R124" t="s">
        <v>750</v>
      </c>
      <c r="S124" t="s">
        <v>51</v>
      </c>
    </row>
    <row r="125" spans="1:19" x14ac:dyDescent="0.25">
      <c r="A125">
        <v>980</v>
      </c>
      <c r="B125" t="s">
        <v>20</v>
      </c>
      <c r="C125" t="s">
        <v>416</v>
      </c>
      <c r="E125" s="50">
        <f>VLOOKUP(PlanGrid[[#This Row],[Title]],'Spec Wattages'!$A$1:$C$973,2,FALSE)</f>
        <v>50</v>
      </c>
      <c r="F125" s="38">
        <v>1</v>
      </c>
      <c r="G125" s="39">
        <v>0.9</v>
      </c>
      <c r="H125" s="50">
        <f>PlanGrid[[#This Row],[Spec Wattage]]*PlanGrid[[#This Row],[Equipment Count]]</f>
        <v>50</v>
      </c>
      <c r="I125" s="50">
        <f>((PlanGrid[[#This Row],[Demand Watt]]*PlanGrid[[#This Row],[Utilization %]]*'Schedule-Building Info'!$N$16)/1000)</f>
        <v>246.375</v>
      </c>
      <c r="J125" s="57">
        <f>PlanGrid[[#This Row],[kWh/yr]]*' Elec Utility (kWh)'!$M$7</f>
        <v>26.266861676011235</v>
      </c>
      <c r="K125" s="49">
        <f>PlanGrid[[#This Row],[kWh/yr]]/'Schedule-Building Info'!$B$6</f>
        <v>4.0516206482593036E-3</v>
      </c>
      <c r="L125" s="50">
        <f>CONVERT(PlanGrid[[#This Row],[kWh/yr]],"Wh","BTU")</f>
        <v>840.66639486189661</v>
      </c>
      <c r="M125" s="38">
        <f>PlanGrid[[#This Row],[kBtu/yr]]/'Schedule-Building Info'!$B$6</f>
        <v>1.3824703495566391E-2</v>
      </c>
      <c r="N125" t="s">
        <v>1089</v>
      </c>
      <c r="O125">
        <v>0</v>
      </c>
      <c r="P125" t="str">
        <f>VLOOKUP(PlanGrid[[#This Row],[Title]],'Spec Wattages'!$A$1:$C$973,3,FALSE)</f>
        <v>Plug Load</v>
      </c>
      <c r="Q125" t="s">
        <v>750</v>
      </c>
      <c r="R125" t="s">
        <v>750</v>
      </c>
      <c r="S125" t="s">
        <v>11</v>
      </c>
    </row>
    <row r="126" spans="1:19" x14ac:dyDescent="0.25">
      <c r="A126">
        <v>983</v>
      </c>
      <c r="B126" t="s">
        <v>20</v>
      </c>
      <c r="C126" t="s">
        <v>416</v>
      </c>
      <c r="E126" s="50">
        <f>VLOOKUP(PlanGrid[[#This Row],[Title]],'Spec Wattages'!$A$1:$C$973,2,FALSE)</f>
        <v>50</v>
      </c>
      <c r="F126" s="38">
        <v>1</v>
      </c>
      <c r="G126" s="39">
        <v>0.9</v>
      </c>
      <c r="H126" s="50">
        <f>PlanGrid[[#This Row],[Spec Wattage]]*PlanGrid[[#This Row],[Equipment Count]]</f>
        <v>50</v>
      </c>
      <c r="I126" s="50">
        <f>((PlanGrid[[#This Row],[Demand Watt]]*PlanGrid[[#This Row],[Utilization %]]*'Schedule-Building Info'!$N$16)/1000)</f>
        <v>246.375</v>
      </c>
      <c r="J126" s="57">
        <f>PlanGrid[[#This Row],[kWh/yr]]*' Elec Utility (kWh)'!$M$7</f>
        <v>26.266861676011235</v>
      </c>
      <c r="K126" s="49">
        <f>PlanGrid[[#This Row],[kWh/yr]]/'Schedule-Building Info'!$B$6</f>
        <v>4.0516206482593036E-3</v>
      </c>
      <c r="L126" s="50">
        <f>CONVERT(PlanGrid[[#This Row],[kWh/yr]],"Wh","BTU")</f>
        <v>840.66639486189661</v>
      </c>
      <c r="M126" s="38">
        <f>PlanGrid[[#This Row],[kBtu/yr]]/'Schedule-Building Info'!$B$6</f>
        <v>1.3824703495566391E-2</v>
      </c>
      <c r="N126" t="s">
        <v>1089</v>
      </c>
      <c r="O126">
        <v>0</v>
      </c>
      <c r="P126" t="str">
        <f>VLOOKUP(PlanGrid[[#This Row],[Title]],'Spec Wattages'!$A$1:$C$973,3,FALSE)</f>
        <v>Plug Load</v>
      </c>
      <c r="Q126" t="s">
        <v>753</v>
      </c>
      <c r="R126" t="s">
        <v>753</v>
      </c>
      <c r="S126" t="s">
        <v>11</v>
      </c>
    </row>
    <row r="127" spans="1:19" x14ac:dyDescent="0.25">
      <c r="A127">
        <v>993</v>
      </c>
      <c r="B127" t="s">
        <v>20</v>
      </c>
      <c r="C127" t="s">
        <v>416</v>
      </c>
      <c r="E127" s="50">
        <f>VLOOKUP(PlanGrid[[#This Row],[Title]],'Spec Wattages'!$A$1:$C$973,2,FALSE)</f>
        <v>50</v>
      </c>
      <c r="F127" s="38">
        <v>1</v>
      </c>
      <c r="G127" s="39">
        <v>0.9</v>
      </c>
      <c r="H127" s="50">
        <f>PlanGrid[[#This Row],[Spec Wattage]]*PlanGrid[[#This Row],[Equipment Count]]</f>
        <v>50</v>
      </c>
      <c r="I127" s="50">
        <f>((PlanGrid[[#This Row],[Demand Watt]]*PlanGrid[[#This Row],[Utilization %]]*'Schedule-Building Info'!$N$16)/1000)</f>
        <v>246.375</v>
      </c>
      <c r="J127" s="57">
        <f>PlanGrid[[#This Row],[kWh/yr]]*' Elec Utility (kWh)'!$M$7</f>
        <v>26.266861676011235</v>
      </c>
      <c r="K127" s="49">
        <f>PlanGrid[[#This Row],[kWh/yr]]/'Schedule-Building Info'!$B$6</f>
        <v>4.0516206482593036E-3</v>
      </c>
      <c r="L127" s="50">
        <f>CONVERT(PlanGrid[[#This Row],[kWh/yr]],"Wh","BTU")</f>
        <v>840.66639486189661</v>
      </c>
      <c r="M127" s="38">
        <f>PlanGrid[[#This Row],[kBtu/yr]]/'Schedule-Building Info'!$B$6</f>
        <v>1.3824703495566391E-2</v>
      </c>
      <c r="N127" t="s">
        <v>1089</v>
      </c>
      <c r="O127">
        <v>0</v>
      </c>
      <c r="P127" t="str">
        <f>VLOOKUP(PlanGrid[[#This Row],[Title]],'Spec Wattages'!$A$1:$C$973,3,FALSE)</f>
        <v>Plug Load</v>
      </c>
      <c r="Q127" t="s">
        <v>739</v>
      </c>
      <c r="R127" t="s">
        <v>739</v>
      </c>
      <c r="S127" t="s">
        <v>51</v>
      </c>
    </row>
    <row r="128" spans="1:19" x14ac:dyDescent="0.25">
      <c r="A128">
        <v>997</v>
      </c>
      <c r="B128" t="s">
        <v>20</v>
      </c>
      <c r="C128" t="s">
        <v>416</v>
      </c>
      <c r="E128" s="50">
        <f>VLOOKUP(PlanGrid[[#This Row],[Title]],'Spec Wattages'!$A$1:$C$973,2,FALSE)</f>
        <v>50</v>
      </c>
      <c r="F128" s="38">
        <v>1</v>
      </c>
      <c r="G128" s="39">
        <v>0.9</v>
      </c>
      <c r="H128" s="50">
        <f>PlanGrid[[#This Row],[Spec Wattage]]*PlanGrid[[#This Row],[Equipment Count]]</f>
        <v>50</v>
      </c>
      <c r="I128" s="50">
        <f>((PlanGrid[[#This Row],[Demand Watt]]*PlanGrid[[#This Row],[Utilization %]]*'Schedule-Building Info'!$N$16)/1000)</f>
        <v>246.375</v>
      </c>
      <c r="J128" s="57">
        <f>PlanGrid[[#This Row],[kWh/yr]]*' Elec Utility (kWh)'!$M$7</f>
        <v>26.266861676011235</v>
      </c>
      <c r="K128" s="49">
        <f>PlanGrid[[#This Row],[kWh/yr]]/'Schedule-Building Info'!$B$6</f>
        <v>4.0516206482593036E-3</v>
      </c>
      <c r="L128" s="50">
        <f>CONVERT(PlanGrid[[#This Row],[kWh/yr]],"Wh","BTU")</f>
        <v>840.66639486189661</v>
      </c>
      <c r="M128" s="38">
        <f>PlanGrid[[#This Row],[kBtu/yr]]/'Schedule-Building Info'!$B$6</f>
        <v>1.3824703495566391E-2</v>
      </c>
      <c r="N128" t="s">
        <v>1089</v>
      </c>
      <c r="O128">
        <v>0</v>
      </c>
      <c r="P128" t="str">
        <f>VLOOKUP(PlanGrid[[#This Row],[Title]],'Spec Wattages'!$A$1:$C$973,3,FALSE)</f>
        <v>Plug Load</v>
      </c>
      <c r="Q128" t="s">
        <v>760</v>
      </c>
      <c r="R128" t="s">
        <v>1037</v>
      </c>
      <c r="S128" t="s">
        <v>11</v>
      </c>
    </row>
    <row r="129" spans="1:19" x14ac:dyDescent="0.25">
      <c r="A129">
        <v>972</v>
      </c>
      <c r="B129" t="s">
        <v>43</v>
      </c>
      <c r="C129" t="s">
        <v>44</v>
      </c>
      <c r="D129" t="s">
        <v>546</v>
      </c>
      <c r="E129" s="50">
        <v>9</v>
      </c>
      <c r="F129" s="38">
        <v>1</v>
      </c>
      <c r="G129" s="39">
        <v>1</v>
      </c>
      <c r="H129" s="58">
        <f>PlanGrid[[#This Row],[Spec Wattage]]*PlanGrid[[#This Row],[Equipment Count]]</f>
        <v>9</v>
      </c>
      <c r="I129" s="50">
        <f>((PlanGrid[[#This Row],[Demand Watt]]*PlanGrid[[#This Row],[Utilization %]]*'Schedule-Building Info'!$N$16)/1000)</f>
        <v>49.274999999999999</v>
      </c>
      <c r="J129" s="57">
        <f>PlanGrid[[#This Row],[kWh/yr]]*' Elec Utility (kWh)'!$M$7</f>
        <v>5.253372335202247</v>
      </c>
      <c r="K129" s="38">
        <f>PlanGrid[[#This Row],[kWh/yr]]/'Schedule-Building Info'!$B$6</f>
        <v>8.1032412965186072E-4</v>
      </c>
      <c r="L129" s="50">
        <f>CONVERT(PlanGrid[[#This Row],[kWh/yr]],"Wh","BTU")</f>
        <v>168.13327897237932</v>
      </c>
      <c r="M129" s="38">
        <f>PlanGrid[[#This Row],[kBtu/yr]]/'Schedule-Building Info'!$B$6</f>
        <v>2.7649406991132777E-3</v>
      </c>
      <c r="N129" t="s">
        <v>1089</v>
      </c>
      <c r="O129">
        <v>0</v>
      </c>
      <c r="P129" t="str">
        <f>VLOOKUP(PlanGrid[[#This Row],[Title]],'Spec Wattages'!$A$1:$C$973,3,FALSE)</f>
        <v>Lighting</v>
      </c>
      <c r="Q129" t="s">
        <v>745</v>
      </c>
      <c r="R129" t="s">
        <v>701</v>
      </c>
      <c r="S129" t="s">
        <v>51</v>
      </c>
    </row>
    <row r="130" spans="1:19" x14ac:dyDescent="0.25">
      <c r="A130">
        <v>1008</v>
      </c>
      <c r="B130" t="s">
        <v>20</v>
      </c>
      <c r="C130" t="s">
        <v>416</v>
      </c>
      <c r="E130" s="50">
        <f>VLOOKUP(PlanGrid[[#This Row],[Title]],'Spec Wattages'!$A$1:$C$973,2,FALSE)</f>
        <v>50</v>
      </c>
      <c r="F130" s="38">
        <v>1</v>
      </c>
      <c r="G130" s="39">
        <v>0.9</v>
      </c>
      <c r="H130" s="50">
        <f>PlanGrid[[#This Row],[Spec Wattage]]*PlanGrid[[#This Row],[Equipment Count]]</f>
        <v>50</v>
      </c>
      <c r="I130" s="50">
        <f>((PlanGrid[[#This Row],[Demand Watt]]*PlanGrid[[#This Row],[Utilization %]]*'Schedule-Building Info'!$N$16)/1000)</f>
        <v>246.375</v>
      </c>
      <c r="J130" s="57">
        <f>PlanGrid[[#This Row],[kWh/yr]]*' Elec Utility (kWh)'!$M$7</f>
        <v>26.266861676011235</v>
      </c>
      <c r="K130" s="49">
        <f>PlanGrid[[#This Row],[kWh/yr]]/'Schedule-Building Info'!$B$6</f>
        <v>4.0516206482593036E-3</v>
      </c>
      <c r="L130" s="50">
        <f>CONVERT(PlanGrid[[#This Row],[kWh/yr]],"Wh","BTU")</f>
        <v>840.66639486189661</v>
      </c>
      <c r="M130" s="38">
        <f>PlanGrid[[#This Row],[kBtu/yr]]/'Schedule-Building Info'!$B$6</f>
        <v>1.3824703495566391E-2</v>
      </c>
      <c r="N130" t="s">
        <v>1089</v>
      </c>
      <c r="O130">
        <v>0</v>
      </c>
      <c r="P130" t="str">
        <f>VLOOKUP(PlanGrid[[#This Row],[Title]],'Spec Wattages'!$A$1:$C$973,3,FALSE)</f>
        <v>Plug Load</v>
      </c>
      <c r="Q130" t="s">
        <v>768</v>
      </c>
      <c r="R130" t="s">
        <v>768</v>
      </c>
      <c r="S130" t="s">
        <v>11</v>
      </c>
    </row>
    <row r="131" spans="1:19" x14ac:dyDescent="0.25">
      <c r="A131">
        <v>1017</v>
      </c>
      <c r="B131" t="s">
        <v>20</v>
      </c>
      <c r="C131" t="s">
        <v>416</v>
      </c>
      <c r="E131" s="50">
        <f>VLOOKUP(PlanGrid[[#This Row],[Title]],'Spec Wattages'!$A$1:$C$973,2,FALSE)</f>
        <v>50</v>
      </c>
      <c r="F131" s="38">
        <v>1</v>
      </c>
      <c r="G131" s="39">
        <v>0.9</v>
      </c>
      <c r="H131" s="50">
        <f>PlanGrid[[#This Row],[Spec Wattage]]*PlanGrid[[#This Row],[Equipment Count]]</f>
        <v>50</v>
      </c>
      <c r="I131" s="50">
        <f>((PlanGrid[[#This Row],[Demand Watt]]*PlanGrid[[#This Row],[Utilization %]]*'Schedule-Building Info'!$N$16)/1000)</f>
        <v>246.375</v>
      </c>
      <c r="J131" s="57">
        <f>PlanGrid[[#This Row],[kWh/yr]]*' Elec Utility (kWh)'!$M$7</f>
        <v>26.266861676011235</v>
      </c>
      <c r="K131" s="49">
        <f>PlanGrid[[#This Row],[kWh/yr]]/'Schedule-Building Info'!$B$6</f>
        <v>4.0516206482593036E-3</v>
      </c>
      <c r="L131" s="50">
        <f>CONVERT(PlanGrid[[#This Row],[kWh/yr]],"Wh","BTU")</f>
        <v>840.66639486189661</v>
      </c>
      <c r="M131" s="38">
        <f>PlanGrid[[#This Row],[kBtu/yr]]/'Schedule-Building Info'!$B$6</f>
        <v>1.3824703495566391E-2</v>
      </c>
      <c r="N131" t="s">
        <v>1089</v>
      </c>
      <c r="O131">
        <v>0</v>
      </c>
      <c r="P131" t="str">
        <f>VLOOKUP(PlanGrid[[#This Row],[Title]],'Spec Wattages'!$A$1:$C$973,3,FALSE)</f>
        <v>Plug Load</v>
      </c>
      <c r="Q131" t="s">
        <v>760</v>
      </c>
      <c r="R131" t="s">
        <v>760</v>
      </c>
      <c r="S131" t="s">
        <v>11</v>
      </c>
    </row>
    <row r="132" spans="1:19" x14ac:dyDescent="0.25">
      <c r="A132">
        <v>1019</v>
      </c>
      <c r="B132" t="s">
        <v>20</v>
      </c>
      <c r="C132" t="s">
        <v>416</v>
      </c>
      <c r="E132" s="50">
        <f>VLOOKUP(PlanGrid[[#This Row],[Title]],'Spec Wattages'!$A$1:$C$973,2,FALSE)</f>
        <v>50</v>
      </c>
      <c r="F132" s="38">
        <v>1</v>
      </c>
      <c r="G132" s="39">
        <v>0.9</v>
      </c>
      <c r="H132" s="50">
        <f>PlanGrid[[#This Row],[Spec Wattage]]*PlanGrid[[#This Row],[Equipment Count]]</f>
        <v>50</v>
      </c>
      <c r="I132" s="50">
        <f>((PlanGrid[[#This Row],[Demand Watt]]*PlanGrid[[#This Row],[Utilization %]]*'Schedule-Building Info'!$N$16)/1000)</f>
        <v>246.375</v>
      </c>
      <c r="J132" s="57">
        <f>PlanGrid[[#This Row],[kWh/yr]]*' Elec Utility (kWh)'!$M$7</f>
        <v>26.266861676011235</v>
      </c>
      <c r="K132" s="49">
        <f>PlanGrid[[#This Row],[kWh/yr]]/'Schedule-Building Info'!$B$6</f>
        <v>4.0516206482593036E-3</v>
      </c>
      <c r="L132" s="50">
        <f>CONVERT(PlanGrid[[#This Row],[kWh/yr]],"Wh","BTU")</f>
        <v>840.66639486189661</v>
      </c>
      <c r="M132" s="38">
        <f>PlanGrid[[#This Row],[kBtu/yr]]/'Schedule-Building Info'!$B$6</f>
        <v>1.3824703495566391E-2</v>
      </c>
      <c r="N132" t="s">
        <v>1089</v>
      </c>
      <c r="O132">
        <v>0</v>
      </c>
      <c r="P132" t="str">
        <f>VLOOKUP(PlanGrid[[#This Row],[Title]],'Spec Wattages'!$A$1:$C$973,3,FALSE)</f>
        <v>Plug Load</v>
      </c>
      <c r="Q132" t="s">
        <v>760</v>
      </c>
      <c r="R132" t="s">
        <v>760</v>
      </c>
      <c r="S132" t="s">
        <v>51</v>
      </c>
    </row>
    <row r="133" spans="1:19" x14ac:dyDescent="0.25">
      <c r="A133">
        <v>1023</v>
      </c>
      <c r="B133" t="s">
        <v>20</v>
      </c>
      <c r="C133" t="s">
        <v>416</v>
      </c>
      <c r="E133" s="50">
        <f>VLOOKUP(PlanGrid[[#This Row],[Title]],'Spec Wattages'!$A$1:$C$973,2,FALSE)</f>
        <v>50</v>
      </c>
      <c r="F133" s="38">
        <v>1</v>
      </c>
      <c r="G133" s="39">
        <v>0.9</v>
      </c>
      <c r="H133" s="50">
        <f>PlanGrid[[#This Row],[Spec Wattage]]*PlanGrid[[#This Row],[Equipment Count]]</f>
        <v>50</v>
      </c>
      <c r="I133" s="50">
        <f>((PlanGrid[[#This Row],[Demand Watt]]*PlanGrid[[#This Row],[Utilization %]]*'Schedule-Building Info'!$N$16)/1000)</f>
        <v>246.375</v>
      </c>
      <c r="J133" s="57">
        <f>PlanGrid[[#This Row],[kWh/yr]]*' Elec Utility (kWh)'!$M$7</f>
        <v>26.266861676011235</v>
      </c>
      <c r="K133" s="49">
        <f>PlanGrid[[#This Row],[kWh/yr]]/'Schedule-Building Info'!$B$6</f>
        <v>4.0516206482593036E-3</v>
      </c>
      <c r="L133" s="50">
        <f>CONVERT(PlanGrid[[#This Row],[kWh/yr]],"Wh","BTU")</f>
        <v>840.66639486189661</v>
      </c>
      <c r="M133" s="38">
        <f>PlanGrid[[#This Row],[kBtu/yr]]/'Schedule-Building Info'!$B$6</f>
        <v>1.3824703495566391E-2</v>
      </c>
      <c r="N133" t="s">
        <v>1089</v>
      </c>
      <c r="O133">
        <v>0</v>
      </c>
      <c r="P133" t="str">
        <f>VLOOKUP(PlanGrid[[#This Row],[Title]],'Spec Wattages'!$A$1:$C$973,3,FALSE)</f>
        <v>Plug Load</v>
      </c>
      <c r="Q133" t="s">
        <v>773</v>
      </c>
      <c r="R133" t="s">
        <v>760</v>
      </c>
      <c r="S133" t="s">
        <v>11</v>
      </c>
    </row>
    <row r="134" spans="1:19" x14ac:dyDescent="0.25">
      <c r="A134">
        <v>1030</v>
      </c>
      <c r="B134" t="s">
        <v>20</v>
      </c>
      <c r="C134" t="s">
        <v>416</v>
      </c>
      <c r="E134" s="50">
        <f>VLOOKUP(PlanGrid[[#This Row],[Title]],'Spec Wattages'!$A$1:$C$973,2,FALSE)</f>
        <v>50</v>
      </c>
      <c r="F134" s="38">
        <v>1</v>
      </c>
      <c r="G134" s="39">
        <v>0.9</v>
      </c>
      <c r="H134" s="50">
        <f>PlanGrid[[#This Row],[Spec Wattage]]*PlanGrid[[#This Row],[Equipment Count]]</f>
        <v>50</v>
      </c>
      <c r="I134" s="50">
        <f>((PlanGrid[[#This Row],[Demand Watt]]*PlanGrid[[#This Row],[Utilization %]]*'Schedule-Building Info'!$N$16)/1000)</f>
        <v>246.375</v>
      </c>
      <c r="J134" s="57">
        <f>PlanGrid[[#This Row],[kWh/yr]]*' Elec Utility (kWh)'!$M$7</f>
        <v>26.266861676011235</v>
      </c>
      <c r="K134" s="49">
        <f>PlanGrid[[#This Row],[kWh/yr]]/'Schedule-Building Info'!$B$6</f>
        <v>4.0516206482593036E-3</v>
      </c>
      <c r="L134" s="50">
        <f>CONVERT(PlanGrid[[#This Row],[kWh/yr]],"Wh","BTU")</f>
        <v>840.66639486189661</v>
      </c>
      <c r="M134" s="38">
        <f>PlanGrid[[#This Row],[kBtu/yr]]/'Schedule-Building Info'!$B$6</f>
        <v>1.3824703495566391E-2</v>
      </c>
      <c r="N134" t="s">
        <v>1089</v>
      </c>
      <c r="O134">
        <v>0</v>
      </c>
      <c r="P134" t="str">
        <f>VLOOKUP(PlanGrid[[#This Row],[Title]],'Spec Wattages'!$A$1:$C$973,3,FALSE)</f>
        <v>Plug Load</v>
      </c>
      <c r="Q134" t="s">
        <v>780</v>
      </c>
      <c r="R134" t="s">
        <v>780</v>
      </c>
      <c r="S134" t="s">
        <v>11</v>
      </c>
    </row>
    <row r="135" spans="1:19" x14ac:dyDescent="0.25">
      <c r="A135">
        <v>1038</v>
      </c>
      <c r="B135" t="s">
        <v>20</v>
      </c>
      <c r="C135" t="s">
        <v>416</v>
      </c>
      <c r="E135" s="50">
        <f>VLOOKUP(PlanGrid[[#This Row],[Title]],'Spec Wattages'!$A$1:$C$973,2,FALSE)</f>
        <v>50</v>
      </c>
      <c r="F135" s="38">
        <v>1</v>
      </c>
      <c r="G135" s="39">
        <v>0.9</v>
      </c>
      <c r="H135" s="50">
        <f>PlanGrid[[#This Row],[Spec Wattage]]*PlanGrid[[#This Row],[Equipment Count]]</f>
        <v>50</v>
      </c>
      <c r="I135" s="50">
        <f>((PlanGrid[[#This Row],[Demand Watt]]*PlanGrid[[#This Row],[Utilization %]]*'Schedule-Building Info'!$N$16)/1000)</f>
        <v>246.375</v>
      </c>
      <c r="J135" s="57">
        <f>PlanGrid[[#This Row],[kWh/yr]]*' Elec Utility (kWh)'!$M$7</f>
        <v>26.266861676011235</v>
      </c>
      <c r="K135" s="49">
        <f>PlanGrid[[#This Row],[kWh/yr]]/'Schedule-Building Info'!$B$6</f>
        <v>4.0516206482593036E-3</v>
      </c>
      <c r="L135" s="50">
        <f>CONVERT(PlanGrid[[#This Row],[kWh/yr]],"Wh","BTU")</f>
        <v>840.66639486189661</v>
      </c>
      <c r="M135" s="38">
        <f>PlanGrid[[#This Row],[kBtu/yr]]/'Schedule-Building Info'!$B$6</f>
        <v>1.3824703495566391E-2</v>
      </c>
      <c r="N135" t="s">
        <v>1089</v>
      </c>
      <c r="O135">
        <v>0</v>
      </c>
      <c r="P135" t="str">
        <f>VLOOKUP(PlanGrid[[#This Row],[Title]],'Spec Wattages'!$A$1:$C$973,3,FALSE)</f>
        <v>Plug Load</v>
      </c>
      <c r="Q135" t="s">
        <v>782</v>
      </c>
      <c r="R135" t="s">
        <v>763</v>
      </c>
      <c r="S135" t="s">
        <v>11</v>
      </c>
    </row>
    <row r="136" spans="1:19" x14ac:dyDescent="0.25">
      <c r="A136">
        <v>1063</v>
      </c>
      <c r="B136" t="s">
        <v>20</v>
      </c>
      <c r="C136" t="s">
        <v>416</v>
      </c>
      <c r="E136" s="50">
        <f>VLOOKUP(PlanGrid[[#This Row],[Title]],'Spec Wattages'!$A$1:$C$973,2,FALSE)</f>
        <v>50</v>
      </c>
      <c r="F136" s="38">
        <v>1</v>
      </c>
      <c r="G136" s="39">
        <v>0.9</v>
      </c>
      <c r="H136" s="50">
        <f>PlanGrid[[#This Row],[Spec Wattage]]*PlanGrid[[#This Row],[Equipment Count]]</f>
        <v>50</v>
      </c>
      <c r="I136" s="50">
        <f>((PlanGrid[[#This Row],[Demand Watt]]*PlanGrid[[#This Row],[Utilization %]]*'Schedule-Building Info'!$N$16)/1000)</f>
        <v>246.375</v>
      </c>
      <c r="J136" s="57">
        <f>PlanGrid[[#This Row],[kWh/yr]]*' Elec Utility (kWh)'!$M$7</f>
        <v>26.266861676011235</v>
      </c>
      <c r="K136" s="49">
        <f>PlanGrid[[#This Row],[kWh/yr]]/'Schedule-Building Info'!$B$6</f>
        <v>4.0516206482593036E-3</v>
      </c>
      <c r="L136" s="50">
        <f>CONVERT(PlanGrid[[#This Row],[kWh/yr]],"Wh","BTU")</f>
        <v>840.66639486189661</v>
      </c>
      <c r="M136" s="38">
        <f>PlanGrid[[#This Row],[kBtu/yr]]/'Schedule-Building Info'!$B$6</f>
        <v>1.3824703495566391E-2</v>
      </c>
      <c r="N136" t="s">
        <v>1089</v>
      </c>
      <c r="O136">
        <v>0</v>
      </c>
      <c r="P136" t="str">
        <f>VLOOKUP(PlanGrid[[#This Row],[Title]],'Spec Wattages'!$A$1:$C$973,3,FALSE)</f>
        <v>Plug Load</v>
      </c>
      <c r="Q136" t="s">
        <v>776</v>
      </c>
      <c r="R136" t="s">
        <v>776</v>
      </c>
      <c r="S136" t="s">
        <v>51</v>
      </c>
    </row>
    <row r="137" spans="1:19" x14ac:dyDescent="0.25">
      <c r="A137">
        <v>665</v>
      </c>
      <c r="B137" t="s">
        <v>20</v>
      </c>
      <c r="C137" t="s">
        <v>416</v>
      </c>
      <c r="E137" s="50">
        <f>VLOOKUP(PlanGrid[[#This Row],[Title]],'Spec Wattages'!$A$1:$C$973,2,FALSE)</f>
        <v>50</v>
      </c>
      <c r="F137" s="38">
        <v>1</v>
      </c>
      <c r="G137" s="39">
        <v>0.9</v>
      </c>
      <c r="H137" s="50">
        <f>PlanGrid[[#This Row],[Spec Wattage]]*PlanGrid[[#This Row],[Equipment Count]]</f>
        <v>50</v>
      </c>
      <c r="I137" s="50">
        <f>((PlanGrid[[#This Row],[Demand Watt]]*PlanGrid[[#This Row],[Utilization %]]*'Schedule-Building Info'!$N$16)/1000)</f>
        <v>246.375</v>
      </c>
      <c r="J137" s="57">
        <f>PlanGrid[[#This Row],[kWh/yr]]*' Elec Utility (kWh)'!$M$7</f>
        <v>26.266861676011235</v>
      </c>
      <c r="K137" s="49">
        <f>PlanGrid[[#This Row],[kWh/yr]]/'Schedule-Building Info'!$B$6</f>
        <v>4.0516206482593036E-3</v>
      </c>
      <c r="L137" s="50">
        <f>CONVERT(PlanGrid[[#This Row],[kWh/yr]],"Wh","BTU")</f>
        <v>840.66639486189661</v>
      </c>
      <c r="M137" s="38">
        <f>PlanGrid[[#This Row],[kBtu/yr]]/'Schedule-Building Info'!$B$6</f>
        <v>1.3824703495566391E-2</v>
      </c>
      <c r="N137" t="s">
        <v>1090</v>
      </c>
      <c r="O137">
        <v>0</v>
      </c>
      <c r="P137" t="str">
        <f>VLOOKUP(PlanGrid[[#This Row],[Title]],'Spec Wattages'!$A$1:$C$973,3,FALSE)</f>
        <v>Plug Load</v>
      </c>
      <c r="Q137" t="s">
        <v>831</v>
      </c>
      <c r="R137" t="s">
        <v>831</v>
      </c>
      <c r="S137" t="s">
        <v>51</v>
      </c>
    </row>
    <row r="138" spans="1:19" x14ac:dyDescent="0.25">
      <c r="A138">
        <v>669</v>
      </c>
      <c r="B138" t="s">
        <v>20</v>
      </c>
      <c r="C138" t="s">
        <v>416</v>
      </c>
      <c r="E138" s="50">
        <f>VLOOKUP(PlanGrid[[#This Row],[Title]],'Spec Wattages'!$A$1:$C$973,2,FALSE)</f>
        <v>50</v>
      </c>
      <c r="F138" s="38">
        <v>1</v>
      </c>
      <c r="G138" s="39">
        <v>0.9</v>
      </c>
      <c r="H138" s="50">
        <f>PlanGrid[[#This Row],[Spec Wattage]]*PlanGrid[[#This Row],[Equipment Count]]</f>
        <v>50</v>
      </c>
      <c r="I138" s="50">
        <f>((PlanGrid[[#This Row],[Demand Watt]]*PlanGrid[[#This Row],[Utilization %]]*'Schedule-Building Info'!$N$16)/1000)</f>
        <v>246.375</v>
      </c>
      <c r="J138" s="57">
        <f>PlanGrid[[#This Row],[kWh/yr]]*' Elec Utility (kWh)'!$M$7</f>
        <v>26.266861676011235</v>
      </c>
      <c r="K138" s="49">
        <f>PlanGrid[[#This Row],[kWh/yr]]/'Schedule-Building Info'!$B$6</f>
        <v>4.0516206482593036E-3</v>
      </c>
      <c r="L138" s="50">
        <f>CONVERT(PlanGrid[[#This Row],[kWh/yr]],"Wh","BTU")</f>
        <v>840.66639486189661</v>
      </c>
      <c r="M138" s="38">
        <f>PlanGrid[[#This Row],[kBtu/yr]]/'Schedule-Building Info'!$B$6</f>
        <v>1.3824703495566391E-2</v>
      </c>
      <c r="N138" t="s">
        <v>1090</v>
      </c>
      <c r="O138">
        <v>0</v>
      </c>
      <c r="P138" t="str">
        <f>VLOOKUP(PlanGrid[[#This Row],[Title]],'Spec Wattages'!$A$1:$C$973,3,FALSE)</f>
        <v>Plug Load</v>
      </c>
      <c r="Q138" t="s">
        <v>833</v>
      </c>
      <c r="R138" t="s">
        <v>833</v>
      </c>
      <c r="S138" t="s">
        <v>11</v>
      </c>
    </row>
    <row r="139" spans="1:19" x14ac:dyDescent="0.25">
      <c r="A139">
        <v>670</v>
      </c>
      <c r="B139" t="s">
        <v>20</v>
      </c>
      <c r="C139" t="s">
        <v>416</v>
      </c>
      <c r="E139" s="50">
        <f>VLOOKUP(PlanGrid[[#This Row],[Title]],'Spec Wattages'!$A$1:$C$973,2,FALSE)</f>
        <v>50</v>
      </c>
      <c r="F139" s="38">
        <v>1</v>
      </c>
      <c r="G139" s="39">
        <v>0.9</v>
      </c>
      <c r="H139" s="50">
        <f>PlanGrid[[#This Row],[Spec Wattage]]*PlanGrid[[#This Row],[Equipment Count]]</f>
        <v>50</v>
      </c>
      <c r="I139" s="50">
        <f>((PlanGrid[[#This Row],[Demand Watt]]*PlanGrid[[#This Row],[Utilization %]]*'Schedule-Building Info'!$N$16)/1000)</f>
        <v>246.375</v>
      </c>
      <c r="J139" s="57">
        <f>PlanGrid[[#This Row],[kWh/yr]]*' Elec Utility (kWh)'!$M$7</f>
        <v>26.266861676011235</v>
      </c>
      <c r="K139" s="49">
        <f>PlanGrid[[#This Row],[kWh/yr]]/'Schedule-Building Info'!$B$6</f>
        <v>4.0516206482593036E-3</v>
      </c>
      <c r="L139" s="50">
        <f>CONVERT(PlanGrid[[#This Row],[kWh/yr]],"Wh","BTU")</f>
        <v>840.66639486189661</v>
      </c>
      <c r="M139" s="38">
        <f>PlanGrid[[#This Row],[kBtu/yr]]/'Schedule-Building Info'!$B$6</f>
        <v>1.3824703495566391E-2</v>
      </c>
      <c r="N139" t="s">
        <v>1090</v>
      </c>
      <c r="O139">
        <v>0</v>
      </c>
      <c r="P139" t="str">
        <f>VLOOKUP(PlanGrid[[#This Row],[Title]],'Spec Wattages'!$A$1:$C$973,3,FALSE)</f>
        <v>Plug Load</v>
      </c>
      <c r="Q139" t="s">
        <v>833</v>
      </c>
      <c r="R139" t="s">
        <v>833</v>
      </c>
      <c r="S139" t="s">
        <v>11</v>
      </c>
    </row>
    <row r="140" spans="1:19" x14ac:dyDescent="0.25">
      <c r="A140">
        <v>671</v>
      </c>
      <c r="B140" t="s">
        <v>20</v>
      </c>
      <c r="C140" t="s">
        <v>416</v>
      </c>
      <c r="E140" s="50">
        <f>VLOOKUP(PlanGrid[[#This Row],[Title]],'Spec Wattages'!$A$1:$C$973,2,FALSE)</f>
        <v>50</v>
      </c>
      <c r="F140" s="38">
        <v>1</v>
      </c>
      <c r="G140" s="39">
        <v>0.9</v>
      </c>
      <c r="H140" s="50">
        <f>PlanGrid[[#This Row],[Spec Wattage]]*PlanGrid[[#This Row],[Equipment Count]]</f>
        <v>50</v>
      </c>
      <c r="I140" s="50">
        <f>((PlanGrid[[#This Row],[Demand Watt]]*PlanGrid[[#This Row],[Utilization %]]*'Schedule-Building Info'!$N$16)/1000)</f>
        <v>246.375</v>
      </c>
      <c r="J140" s="57">
        <f>PlanGrid[[#This Row],[kWh/yr]]*' Elec Utility (kWh)'!$M$7</f>
        <v>26.266861676011235</v>
      </c>
      <c r="K140" s="49">
        <f>PlanGrid[[#This Row],[kWh/yr]]/'Schedule-Building Info'!$B$6</f>
        <v>4.0516206482593036E-3</v>
      </c>
      <c r="L140" s="50">
        <f>CONVERT(PlanGrid[[#This Row],[kWh/yr]],"Wh","BTU")</f>
        <v>840.66639486189661</v>
      </c>
      <c r="M140" s="38">
        <f>PlanGrid[[#This Row],[kBtu/yr]]/'Schedule-Building Info'!$B$6</f>
        <v>1.3824703495566391E-2</v>
      </c>
      <c r="N140" t="s">
        <v>1090</v>
      </c>
      <c r="O140">
        <v>0</v>
      </c>
      <c r="P140" t="str">
        <f>VLOOKUP(PlanGrid[[#This Row],[Title]],'Spec Wattages'!$A$1:$C$973,3,FALSE)</f>
        <v>Plug Load</v>
      </c>
      <c r="Q140" t="s">
        <v>833</v>
      </c>
      <c r="R140" t="s">
        <v>833</v>
      </c>
      <c r="S140" t="s">
        <v>11</v>
      </c>
    </row>
    <row r="141" spans="1:19" x14ac:dyDescent="0.25">
      <c r="A141">
        <v>681</v>
      </c>
      <c r="B141" t="s">
        <v>20</v>
      </c>
      <c r="C141" t="s">
        <v>416</v>
      </c>
      <c r="E141" s="50">
        <f>VLOOKUP(PlanGrid[[#This Row],[Title]],'Spec Wattages'!$A$1:$C$973,2,FALSE)</f>
        <v>50</v>
      </c>
      <c r="F141" s="38">
        <v>1</v>
      </c>
      <c r="G141" s="39">
        <v>0.9</v>
      </c>
      <c r="H141" s="50">
        <f>PlanGrid[[#This Row],[Spec Wattage]]*PlanGrid[[#This Row],[Equipment Count]]</f>
        <v>50</v>
      </c>
      <c r="I141" s="50">
        <f>((PlanGrid[[#This Row],[Demand Watt]]*PlanGrid[[#This Row],[Utilization %]]*'Schedule-Building Info'!$N$16)/1000)</f>
        <v>246.375</v>
      </c>
      <c r="J141" s="57">
        <f>PlanGrid[[#This Row],[kWh/yr]]*' Elec Utility (kWh)'!$M$7</f>
        <v>26.266861676011235</v>
      </c>
      <c r="K141" s="49">
        <f>PlanGrid[[#This Row],[kWh/yr]]/'Schedule-Building Info'!$B$6</f>
        <v>4.0516206482593036E-3</v>
      </c>
      <c r="L141" s="50">
        <f>CONVERT(PlanGrid[[#This Row],[kWh/yr]],"Wh","BTU")</f>
        <v>840.66639486189661</v>
      </c>
      <c r="M141" s="38">
        <f>PlanGrid[[#This Row],[kBtu/yr]]/'Schedule-Building Info'!$B$6</f>
        <v>1.3824703495566391E-2</v>
      </c>
      <c r="N141" t="s">
        <v>1090</v>
      </c>
      <c r="O141">
        <v>0</v>
      </c>
      <c r="P141" t="str">
        <f>VLOOKUP(PlanGrid[[#This Row],[Title]],'Spec Wattages'!$A$1:$C$973,3,FALSE)</f>
        <v>Plug Load</v>
      </c>
      <c r="Q141" t="s">
        <v>808</v>
      </c>
      <c r="R141" t="s">
        <v>808</v>
      </c>
      <c r="S141" t="s">
        <v>11</v>
      </c>
    </row>
    <row r="142" spans="1:19" x14ac:dyDescent="0.25">
      <c r="A142">
        <v>696</v>
      </c>
      <c r="B142" t="s">
        <v>20</v>
      </c>
      <c r="C142" t="s">
        <v>416</v>
      </c>
      <c r="E142" s="50">
        <f>VLOOKUP(PlanGrid[[#This Row],[Title]],'Spec Wattages'!$A$1:$C$973,2,FALSE)</f>
        <v>50</v>
      </c>
      <c r="F142" s="38">
        <v>1</v>
      </c>
      <c r="G142" s="39">
        <v>0.9</v>
      </c>
      <c r="H142" s="50">
        <f>PlanGrid[[#This Row],[Spec Wattage]]*PlanGrid[[#This Row],[Equipment Count]]</f>
        <v>50</v>
      </c>
      <c r="I142" s="50">
        <f>((PlanGrid[[#This Row],[Demand Watt]]*PlanGrid[[#This Row],[Utilization %]]*'Schedule-Building Info'!$N$16)/1000)</f>
        <v>246.375</v>
      </c>
      <c r="J142" s="57">
        <f>PlanGrid[[#This Row],[kWh/yr]]*' Elec Utility (kWh)'!$M$7</f>
        <v>26.266861676011235</v>
      </c>
      <c r="K142" s="49">
        <f>PlanGrid[[#This Row],[kWh/yr]]/'Schedule-Building Info'!$B$6</f>
        <v>4.0516206482593036E-3</v>
      </c>
      <c r="L142" s="50">
        <f>CONVERT(PlanGrid[[#This Row],[kWh/yr]],"Wh","BTU")</f>
        <v>840.66639486189661</v>
      </c>
      <c r="M142" s="38">
        <f>PlanGrid[[#This Row],[kBtu/yr]]/'Schedule-Building Info'!$B$6</f>
        <v>1.3824703495566391E-2</v>
      </c>
      <c r="N142" t="s">
        <v>1090</v>
      </c>
      <c r="O142">
        <v>0</v>
      </c>
      <c r="P142" t="str">
        <f>VLOOKUP(PlanGrid[[#This Row],[Title]],'Spec Wattages'!$A$1:$C$973,3,FALSE)</f>
        <v>Plug Load</v>
      </c>
      <c r="Q142" t="s">
        <v>720</v>
      </c>
      <c r="R142" t="s">
        <v>720</v>
      </c>
      <c r="S142" t="s">
        <v>51</v>
      </c>
    </row>
    <row r="143" spans="1:19" x14ac:dyDescent="0.25">
      <c r="A143">
        <v>703</v>
      </c>
      <c r="B143" t="s">
        <v>20</v>
      </c>
      <c r="C143" t="s">
        <v>416</v>
      </c>
      <c r="E143" s="50">
        <f>VLOOKUP(PlanGrid[[#This Row],[Title]],'Spec Wattages'!$A$1:$C$973,2,FALSE)</f>
        <v>50</v>
      </c>
      <c r="F143" s="38">
        <v>1</v>
      </c>
      <c r="G143" s="39">
        <v>0.9</v>
      </c>
      <c r="H143" s="50">
        <f>PlanGrid[[#This Row],[Spec Wattage]]*PlanGrid[[#This Row],[Equipment Count]]</f>
        <v>50</v>
      </c>
      <c r="I143" s="50">
        <f>((PlanGrid[[#This Row],[Demand Watt]]*PlanGrid[[#This Row],[Utilization %]]*'Schedule-Building Info'!$N$16)/1000)</f>
        <v>246.375</v>
      </c>
      <c r="J143" s="57">
        <f>PlanGrid[[#This Row],[kWh/yr]]*' Elec Utility (kWh)'!$M$7</f>
        <v>26.266861676011235</v>
      </c>
      <c r="K143" s="49">
        <f>PlanGrid[[#This Row],[kWh/yr]]/'Schedule-Building Info'!$B$6</f>
        <v>4.0516206482593036E-3</v>
      </c>
      <c r="L143" s="50">
        <f>CONVERT(PlanGrid[[#This Row],[kWh/yr]],"Wh","BTU")</f>
        <v>840.66639486189661</v>
      </c>
      <c r="M143" s="38">
        <f>PlanGrid[[#This Row],[kBtu/yr]]/'Schedule-Building Info'!$B$6</f>
        <v>1.3824703495566391E-2</v>
      </c>
      <c r="N143" t="s">
        <v>1090</v>
      </c>
      <c r="O143">
        <v>0</v>
      </c>
      <c r="P143" t="str">
        <f>VLOOKUP(PlanGrid[[#This Row],[Title]],'Spec Wattages'!$A$1:$C$973,3,FALSE)</f>
        <v>Plug Load</v>
      </c>
      <c r="Q143" t="s">
        <v>811</v>
      </c>
      <c r="R143" t="s">
        <v>811</v>
      </c>
      <c r="S143" t="s">
        <v>51</v>
      </c>
    </row>
    <row r="144" spans="1:19" x14ac:dyDescent="0.25">
      <c r="A144">
        <v>708</v>
      </c>
      <c r="B144" t="s">
        <v>20</v>
      </c>
      <c r="C144" t="s">
        <v>416</v>
      </c>
      <c r="E144" s="50">
        <f>VLOOKUP(PlanGrid[[#This Row],[Title]],'Spec Wattages'!$A$1:$C$973,2,FALSE)</f>
        <v>50</v>
      </c>
      <c r="F144" s="38">
        <v>1</v>
      </c>
      <c r="G144" s="39">
        <v>0.9</v>
      </c>
      <c r="H144" s="38">
        <f>PlanGrid[[#This Row],[Spec Wattage]]*PlanGrid[[#This Row],[Equipment Count]]</f>
        <v>50</v>
      </c>
      <c r="I144" s="38">
        <f>((PlanGrid[[#This Row],[Demand Watt]]*PlanGrid[[#This Row],[Utilization %]]*'Schedule-Building Info'!$N$16)/1000)</f>
        <v>246.375</v>
      </c>
      <c r="J144" s="57">
        <f>PlanGrid[[#This Row],[kWh/yr]]*' Elec Utility (kWh)'!$M$7</f>
        <v>26.266861676011235</v>
      </c>
      <c r="K144" s="38">
        <f>PlanGrid[[#This Row],[kWh/yr]]/'Schedule-Building Info'!$B$6</f>
        <v>4.0516206482593036E-3</v>
      </c>
      <c r="L144" s="50">
        <f>CONVERT(PlanGrid[[#This Row],[kWh/yr]],"Wh","BTU")</f>
        <v>840.66639486189661</v>
      </c>
      <c r="M144" s="38">
        <f>PlanGrid[[#This Row],[kBtu/yr]]/'Schedule-Building Info'!$B$6</f>
        <v>1.3824703495566391E-2</v>
      </c>
      <c r="N144" t="s">
        <v>1090</v>
      </c>
      <c r="O144">
        <v>0</v>
      </c>
      <c r="P144" t="str">
        <f>VLOOKUP(PlanGrid[[#This Row],[Title]],'Spec Wattages'!$A$1:$C$973,3,FALSE)</f>
        <v>Plug Load</v>
      </c>
      <c r="Q144" t="s">
        <v>813</v>
      </c>
      <c r="R144" t="s">
        <v>813</v>
      </c>
      <c r="S144" t="s">
        <v>51</v>
      </c>
    </row>
    <row r="145" spans="1:19" x14ac:dyDescent="0.25">
      <c r="A145" s="3">
        <v>739</v>
      </c>
      <c r="B145" t="s">
        <v>20</v>
      </c>
      <c r="C145" t="s">
        <v>416</v>
      </c>
      <c r="E145" s="50">
        <f>VLOOKUP(PlanGrid[[#This Row],[Title]],'Spec Wattages'!$A$1:$C$973,2,FALSE)</f>
        <v>50</v>
      </c>
      <c r="F145" s="38">
        <v>1</v>
      </c>
      <c r="G145" s="39">
        <v>0.9</v>
      </c>
      <c r="H145" s="58">
        <f>PlanGrid[[#This Row],[Spec Wattage]]*PlanGrid[[#This Row],[Equipment Count]]</f>
        <v>50</v>
      </c>
      <c r="I145" s="50">
        <f>((PlanGrid[[#This Row],[Demand Watt]]*PlanGrid[[#This Row],[Utilization %]]*'Schedule-Building Info'!$N$16)/1000)</f>
        <v>246.375</v>
      </c>
      <c r="J145" s="57">
        <f>PlanGrid[[#This Row],[kWh/yr]]*' Elec Utility (kWh)'!$M$7</f>
        <v>26.266861676011235</v>
      </c>
      <c r="K145" s="38">
        <f>PlanGrid[[#This Row],[kWh/yr]]/'Schedule-Building Info'!$B$6</f>
        <v>4.0516206482593036E-3</v>
      </c>
      <c r="L145" s="50">
        <f>CONVERT(PlanGrid[[#This Row],[kWh/yr]],"Wh","BTU")</f>
        <v>840.66639486189661</v>
      </c>
      <c r="M145" s="38">
        <f>PlanGrid[[#This Row],[kBtu/yr]]/'Schedule-Building Info'!$B$6</f>
        <v>1.3824703495566391E-2</v>
      </c>
      <c r="N145" t="s">
        <v>1090</v>
      </c>
      <c r="O145">
        <v>0</v>
      </c>
      <c r="P145" t="str">
        <f>VLOOKUP(PlanGrid[[#This Row],[Title]],'Spec Wattages'!$A$1:$C$973,3,FALSE)</f>
        <v>Plug Load</v>
      </c>
      <c r="Q145" t="s">
        <v>862</v>
      </c>
      <c r="R145" t="s">
        <v>862</v>
      </c>
      <c r="S145" t="s">
        <v>11</v>
      </c>
    </row>
    <row r="146" spans="1:19" x14ac:dyDescent="0.25">
      <c r="A146">
        <v>756</v>
      </c>
      <c r="B146" t="s">
        <v>20</v>
      </c>
      <c r="C146" t="s">
        <v>416</v>
      </c>
      <c r="E146" s="50">
        <f>VLOOKUP(PlanGrid[[#This Row],[Title]],'Spec Wattages'!$A$1:$C$973,2,FALSE)</f>
        <v>50</v>
      </c>
      <c r="F146" s="38">
        <v>1</v>
      </c>
      <c r="G146" s="39">
        <v>0.9</v>
      </c>
      <c r="H146" s="58">
        <f>PlanGrid[[#This Row],[Spec Wattage]]*PlanGrid[[#This Row],[Equipment Count]]</f>
        <v>50</v>
      </c>
      <c r="I146" s="50">
        <f>((PlanGrid[[#This Row],[Demand Watt]]*PlanGrid[[#This Row],[Utilization %]]*'Schedule-Building Info'!$N$16)/1000)</f>
        <v>246.375</v>
      </c>
      <c r="J146" s="57">
        <f>PlanGrid[[#This Row],[kWh/yr]]*' Elec Utility (kWh)'!$M$7</f>
        <v>26.266861676011235</v>
      </c>
      <c r="K146" s="38">
        <f>PlanGrid[[#This Row],[kWh/yr]]/'Schedule-Building Info'!$B$6</f>
        <v>4.0516206482593036E-3</v>
      </c>
      <c r="L146" s="50">
        <f>CONVERT(PlanGrid[[#This Row],[kWh/yr]],"Wh","BTU")</f>
        <v>840.66639486189661</v>
      </c>
      <c r="M146" s="38">
        <f>PlanGrid[[#This Row],[kBtu/yr]]/'Schedule-Building Info'!$B$6</f>
        <v>1.3824703495566391E-2</v>
      </c>
      <c r="N146" t="s">
        <v>1090</v>
      </c>
      <c r="O146">
        <v>0</v>
      </c>
      <c r="P146" t="str">
        <f>VLOOKUP(PlanGrid[[#This Row],[Title]],'Spec Wattages'!$A$1:$C$973,3,FALSE)</f>
        <v>Plug Load</v>
      </c>
      <c r="Q146" t="s">
        <v>726</v>
      </c>
      <c r="R146" t="s">
        <v>726</v>
      </c>
      <c r="S146" t="s">
        <v>11</v>
      </c>
    </row>
    <row r="147" spans="1:19" x14ac:dyDescent="0.25">
      <c r="A147">
        <v>757</v>
      </c>
      <c r="B147" t="s">
        <v>20</v>
      </c>
      <c r="C147" t="s">
        <v>416</v>
      </c>
      <c r="E147" s="50">
        <f>VLOOKUP(PlanGrid[[#This Row],[Title]],'Spec Wattages'!$A$1:$C$973,2,FALSE)</f>
        <v>50</v>
      </c>
      <c r="F147" s="38">
        <v>1</v>
      </c>
      <c r="G147" s="39">
        <v>0.9</v>
      </c>
      <c r="H147" s="58">
        <f>PlanGrid[[#This Row],[Spec Wattage]]*PlanGrid[[#This Row],[Equipment Count]]</f>
        <v>50</v>
      </c>
      <c r="I147" s="50">
        <f>((PlanGrid[[#This Row],[Demand Watt]]*PlanGrid[[#This Row],[Utilization %]]*'Schedule-Building Info'!$N$16)/1000)</f>
        <v>246.375</v>
      </c>
      <c r="J147" s="57">
        <f>PlanGrid[[#This Row],[kWh/yr]]*' Elec Utility (kWh)'!$M$7</f>
        <v>26.266861676011235</v>
      </c>
      <c r="K147" s="38">
        <f>PlanGrid[[#This Row],[kWh/yr]]/'Schedule-Building Info'!$B$6</f>
        <v>4.0516206482593036E-3</v>
      </c>
      <c r="L147" s="50">
        <f>CONVERT(PlanGrid[[#This Row],[kWh/yr]],"Wh","BTU")</f>
        <v>840.66639486189661</v>
      </c>
      <c r="M147" s="38">
        <f>PlanGrid[[#This Row],[kBtu/yr]]/'Schedule-Building Info'!$B$6</f>
        <v>1.3824703495566391E-2</v>
      </c>
      <c r="N147" t="s">
        <v>1090</v>
      </c>
      <c r="O147">
        <v>0</v>
      </c>
      <c r="P147" t="str">
        <f>VLOOKUP(PlanGrid[[#This Row],[Title]],'Spec Wattages'!$A$1:$C$973,3,FALSE)</f>
        <v>Plug Load</v>
      </c>
      <c r="Q147" t="s">
        <v>726</v>
      </c>
      <c r="R147" t="s">
        <v>726</v>
      </c>
      <c r="S147" t="s">
        <v>11</v>
      </c>
    </row>
    <row r="148" spans="1:19" x14ac:dyDescent="0.25">
      <c r="A148">
        <v>773</v>
      </c>
      <c r="B148" t="s">
        <v>20</v>
      </c>
      <c r="C148" t="s">
        <v>416</v>
      </c>
      <c r="E148" s="50">
        <f>VLOOKUP(PlanGrid[[#This Row],[Title]],'Spec Wattages'!$A$1:$C$973,2,FALSE)</f>
        <v>50</v>
      </c>
      <c r="F148" s="38">
        <v>1</v>
      </c>
      <c r="G148" s="39">
        <v>0.9</v>
      </c>
      <c r="H148" s="58">
        <f>PlanGrid[[#This Row],[Spec Wattage]]*PlanGrid[[#This Row],[Equipment Count]]</f>
        <v>50</v>
      </c>
      <c r="I148" s="50">
        <f>((PlanGrid[[#This Row],[Demand Watt]]*PlanGrid[[#This Row],[Utilization %]]*'Schedule-Building Info'!$N$16)/1000)</f>
        <v>246.375</v>
      </c>
      <c r="J148" s="57">
        <f>PlanGrid[[#This Row],[kWh/yr]]*' Elec Utility (kWh)'!$M$7</f>
        <v>26.266861676011235</v>
      </c>
      <c r="K148" s="38">
        <f>PlanGrid[[#This Row],[kWh/yr]]/'Schedule-Building Info'!$B$6</f>
        <v>4.0516206482593036E-3</v>
      </c>
      <c r="L148" s="50">
        <f>CONVERT(PlanGrid[[#This Row],[kWh/yr]],"Wh","BTU")</f>
        <v>840.66639486189661</v>
      </c>
      <c r="M148" s="38">
        <f>PlanGrid[[#This Row],[kBtu/yr]]/'Schedule-Building Info'!$B$6</f>
        <v>1.3824703495566391E-2</v>
      </c>
      <c r="N148" t="s">
        <v>1090</v>
      </c>
      <c r="O148">
        <v>0</v>
      </c>
      <c r="P148" t="str">
        <f>VLOOKUP(PlanGrid[[#This Row],[Title]],'Spec Wattages'!$A$1:$C$973,3,FALSE)</f>
        <v>Plug Load</v>
      </c>
      <c r="Q148" t="s">
        <v>878</v>
      </c>
      <c r="R148" t="s">
        <v>878</v>
      </c>
      <c r="S148" t="s">
        <v>11</v>
      </c>
    </row>
    <row r="149" spans="1:19" x14ac:dyDescent="0.25">
      <c r="A149">
        <v>780</v>
      </c>
      <c r="B149" t="s">
        <v>20</v>
      </c>
      <c r="C149" t="s">
        <v>416</v>
      </c>
      <c r="E149" s="50">
        <f>VLOOKUP(PlanGrid[[#This Row],[Title]],'Spec Wattages'!$A$1:$C$973,2,FALSE)</f>
        <v>50</v>
      </c>
      <c r="F149" s="38">
        <v>1</v>
      </c>
      <c r="G149" s="39">
        <v>0.9</v>
      </c>
      <c r="H149" s="58">
        <f>PlanGrid[[#This Row],[Spec Wattage]]*PlanGrid[[#This Row],[Equipment Count]]</f>
        <v>50</v>
      </c>
      <c r="I149" s="50">
        <f>((PlanGrid[[#This Row],[Demand Watt]]*PlanGrid[[#This Row],[Utilization %]]*'Schedule-Building Info'!$N$16)/1000)</f>
        <v>246.375</v>
      </c>
      <c r="J149" s="57">
        <f>PlanGrid[[#This Row],[kWh/yr]]*' Elec Utility (kWh)'!$M$7</f>
        <v>26.266861676011235</v>
      </c>
      <c r="K149" s="38">
        <f>PlanGrid[[#This Row],[kWh/yr]]/'Schedule-Building Info'!$B$6</f>
        <v>4.0516206482593036E-3</v>
      </c>
      <c r="L149" s="50">
        <f>CONVERT(PlanGrid[[#This Row],[kWh/yr]],"Wh","BTU")</f>
        <v>840.66639486189661</v>
      </c>
      <c r="M149" s="38">
        <f>PlanGrid[[#This Row],[kBtu/yr]]/'Schedule-Building Info'!$B$6</f>
        <v>1.3824703495566391E-2</v>
      </c>
      <c r="N149" t="s">
        <v>1090</v>
      </c>
      <c r="O149">
        <v>0</v>
      </c>
      <c r="P149" t="str">
        <f>VLOOKUP(PlanGrid[[#This Row],[Title]],'Spec Wattages'!$A$1:$C$973,3,FALSE)</f>
        <v>Plug Load</v>
      </c>
      <c r="Q149" t="s">
        <v>882</v>
      </c>
      <c r="R149" t="s">
        <v>883</v>
      </c>
      <c r="S149" t="s">
        <v>11</v>
      </c>
    </row>
    <row r="150" spans="1:19" x14ac:dyDescent="0.25">
      <c r="A150">
        <v>790</v>
      </c>
      <c r="B150" t="s">
        <v>20</v>
      </c>
      <c r="C150" t="s">
        <v>416</v>
      </c>
      <c r="E150" s="50">
        <f>VLOOKUP(PlanGrid[[#This Row],[Title]],'Spec Wattages'!$A$1:$C$973,2,FALSE)</f>
        <v>50</v>
      </c>
      <c r="F150" s="38">
        <v>1</v>
      </c>
      <c r="G150" s="39">
        <v>0.9</v>
      </c>
      <c r="H150" s="58">
        <f>PlanGrid[[#This Row],[Spec Wattage]]*PlanGrid[[#This Row],[Equipment Count]]</f>
        <v>50</v>
      </c>
      <c r="I150" s="50">
        <f>((PlanGrid[[#This Row],[Demand Watt]]*PlanGrid[[#This Row],[Utilization %]]*'Schedule-Building Info'!$N$16)/1000)</f>
        <v>246.375</v>
      </c>
      <c r="J150" s="57">
        <f>PlanGrid[[#This Row],[kWh/yr]]*' Elec Utility (kWh)'!$M$7</f>
        <v>26.266861676011235</v>
      </c>
      <c r="K150" s="38">
        <f>PlanGrid[[#This Row],[kWh/yr]]/'Schedule-Building Info'!$B$6</f>
        <v>4.0516206482593036E-3</v>
      </c>
      <c r="L150" s="50">
        <f>CONVERT(PlanGrid[[#This Row],[kWh/yr]],"Wh","BTU")</f>
        <v>840.66639486189661</v>
      </c>
      <c r="M150" s="38">
        <f>PlanGrid[[#This Row],[kBtu/yr]]/'Schedule-Building Info'!$B$6</f>
        <v>1.3824703495566391E-2</v>
      </c>
      <c r="N150" t="s">
        <v>1090</v>
      </c>
      <c r="O150">
        <v>0</v>
      </c>
      <c r="P150" t="str">
        <f>VLOOKUP(PlanGrid[[#This Row],[Title]],'Spec Wattages'!$A$1:$C$973,3,FALSE)</f>
        <v>Plug Load</v>
      </c>
      <c r="Q150" t="s">
        <v>889</v>
      </c>
      <c r="R150" t="s">
        <v>889</v>
      </c>
      <c r="S150" t="s">
        <v>11</v>
      </c>
    </row>
    <row r="151" spans="1:19" x14ac:dyDescent="0.25">
      <c r="A151">
        <v>798</v>
      </c>
      <c r="B151" t="s">
        <v>20</v>
      </c>
      <c r="C151" t="s">
        <v>416</v>
      </c>
      <c r="E151" s="50">
        <f>VLOOKUP(PlanGrid[[#This Row],[Title]],'Spec Wattages'!$A$1:$C$973,2,FALSE)</f>
        <v>50</v>
      </c>
      <c r="F151" s="38">
        <v>1</v>
      </c>
      <c r="G151" s="39">
        <v>0.9</v>
      </c>
      <c r="H151" s="58">
        <f>PlanGrid[[#This Row],[Spec Wattage]]*PlanGrid[[#This Row],[Equipment Count]]</f>
        <v>50</v>
      </c>
      <c r="I151" s="50">
        <f>((PlanGrid[[#This Row],[Demand Watt]]*PlanGrid[[#This Row],[Utilization %]]*'Schedule-Building Info'!$N$16)/1000)</f>
        <v>246.375</v>
      </c>
      <c r="J151" s="57">
        <f>PlanGrid[[#This Row],[kWh/yr]]*' Elec Utility (kWh)'!$M$7</f>
        <v>26.266861676011235</v>
      </c>
      <c r="K151" s="38">
        <f>PlanGrid[[#This Row],[kWh/yr]]/'Schedule-Building Info'!$B$6</f>
        <v>4.0516206482593036E-3</v>
      </c>
      <c r="L151" s="50">
        <f>CONVERT(PlanGrid[[#This Row],[kWh/yr]],"Wh","BTU")</f>
        <v>840.66639486189661</v>
      </c>
      <c r="M151" s="38">
        <f>PlanGrid[[#This Row],[kBtu/yr]]/'Schedule-Building Info'!$B$6</f>
        <v>1.3824703495566391E-2</v>
      </c>
      <c r="N151" t="s">
        <v>1090</v>
      </c>
      <c r="O151">
        <v>0</v>
      </c>
      <c r="P151" t="str">
        <f>VLOOKUP(PlanGrid[[#This Row],[Title]],'Spec Wattages'!$A$1:$C$973,3,FALSE)</f>
        <v>Plug Load</v>
      </c>
      <c r="Q151" t="s">
        <v>896</v>
      </c>
      <c r="R151" t="s">
        <v>896</v>
      </c>
      <c r="S151" t="s">
        <v>11</v>
      </c>
    </row>
    <row r="152" spans="1:19" x14ac:dyDescent="0.25">
      <c r="A152">
        <v>818</v>
      </c>
      <c r="B152" t="s">
        <v>20</v>
      </c>
      <c r="C152" t="s">
        <v>416</v>
      </c>
      <c r="E152" s="50">
        <f>VLOOKUP(PlanGrid[[#This Row],[Title]],'Spec Wattages'!$A$1:$C$973,2,FALSE)</f>
        <v>50</v>
      </c>
      <c r="F152" s="38">
        <v>1</v>
      </c>
      <c r="G152" s="39">
        <v>0.9</v>
      </c>
      <c r="H152" s="58">
        <f>PlanGrid[[#This Row],[Spec Wattage]]*PlanGrid[[#This Row],[Equipment Count]]</f>
        <v>50</v>
      </c>
      <c r="I152" s="50">
        <f>((PlanGrid[[#This Row],[Demand Watt]]*PlanGrid[[#This Row],[Utilization %]]*'Schedule-Building Info'!$N$16)/1000)</f>
        <v>246.375</v>
      </c>
      <c r="J152" s="57">
        <f>PlanGrid[[#This Row],[kWh/yr]]*' Elec Utility (kWh)'!$M$7</f>
        <v>26.266861676011235</v>
      </c>
      <c r="K152" s="38">
        <f>PlanGrid[[#This Row],[kWh/yr]]/'Schedule-Building Info'!$B$6</f>
        <v>4.0516206482593036E-3</v>
      </c>
      <c r="L152" s="50">
        <f>CONVERT(PlanGrid[[#This Row],[kWh/yr]],"Wh","BTU")</f>
        <v>840.66639486189661</v>
      </c>
      <c r="M152" s="38">
        <f>PlanGrid[[#This Row],[kBtu/yr]]/'Schedule-Building Info'!$B$6</f>
        <v>1.3824703495566391E-2</v>
      </c>
      <c r="N152" t="s">
        <v>1090</v>
      </c>
      <c r="O152">
        <v>0</v>
      </c>
      <c r="P152" t="str">
        <f>VLOOKUP(PlanGrid[[#This Row],[Title]],'Spec Wattages'!$A$1:$C$973,3,FALSE)</f>
        <v>Plug Load</v>
      </c>
      <c r="Q152" t="s">
        <v>904</v>
      </c>
      <c r="R152" t="s">
        <v>729</v>
      </c>
      <c r="S152" t="s">
        <v>11</v>
      </c>
    </row>
    <row r="153" spans="1:19" x14ac:dyDescent="0.25">
      <c r="A153">
        <v>843</v>
      </c>
      <c r="B153" t="s">
        <v>20</v>
      </c>
      <c r="C153" t="s">
        <v>416</v>
      </c>
      <c r="E153" s="50">
        <f>VLOOKUP(PlanGrid[[#This Row],[Title]],'Spec Wattages'!$A$1:$C$973,2,FALSE)</f>
        <v>50</v>
      </c>
      <c r="F153" s="38">
        <v>1</v>
      </c>
      <c r="G153" s="39">
        <v>0.9</v>
      </c>
      <c r="H153" s="58">
        <f>PlanGrid[[#This Row],[Spec Wattage]]*PlanGrid[[#This Row],[Equipment Count]]</f>
        <v>50</v>
      </c>
      <c r="I153" s="50">
        <f>((PlanGrid[[#This Row],[Demand Watt]]*PlanGrid[[#This Row],[Utilization %]]*'Schedule-Building Info'!$N$16)/1000)</f>
        <v>246.375</v>
      </c>
      <c r="J153" s="57">
        <f>PlanGrid[[#This Row],[kWh/yr]]*' Elec Utility (kWh)'!$M$7</f>
        <v>26.266861676011235</v>
      </c>
      <c r="K153" s="38">
        <f>PlanGrid[[#This Row],[kWh/yr]]/'Schedule-Building Info'!$B$6</f>
        <v>4.0516206482593036E-3</v>
      </c>
      <c r="L153" s="50">
        <f>CONVERT(PlanGrid[[#This Row],[kWh/yr]],"Wh","BTU")</f>
        <v>840.66639486189661</v>
      </c>
      <c r="M153" s="38">
        <f>PlanGrid[[#This Row],[kBtu/yr]]/'Schedule-Building Info'!$B$6</f>
        <v>1.3824703495566391E-2</v>
      </c>
      <c r="N153" t="s">
        <v>1090</v>
      </c>
      <c r="O153">
        <v>0</v>
      </c>
      <c r="P153" t="str">
        <f>VLOOKUP(PlanGrid[[#This Row],[Title]],'Spec Wattages'!$A$1:$C$973,3,FALSE)</f>
        <v>Plug Load</v>
      </c>
      <c r="Q153" t="s">
        <v>915</v>
      </c>
      <c r="R153" t="s">
        <v>915</v>
      </c>
      <c r="S153" t="s">
        <v>11</v>
      </c>
    </row>
    <row r="154" spans="1:19" x14ac:dyDescent="0.25">
      <c r="A154">
        <v>844</v>
      </c>
      <c r="B154" t="s">
        <v>20</v>
      </c>
      <c r="C154" t="s">
        <v>416</v>
      </c>
      <c r="E154" s="50">
        <f>VLOOKUP(PlanGrid[[#This Row],[Title]],'Spec Wattages'!$A$1:$C$973,2,FALSE)</f>
        <v>50</v>
      </c>
      <c r="F154" s="38">
        <v>1</v>
      </c>
      <c r="G154" s="39">
        <v>0.9</v>
      </c>
      <c r="H154" s="58">
        <f>PlanGrid[[#This Row],[Spec Wattage]]*PlanGrid[[#This Row],[Equipment Count]]</f>
        <v>50</v>
      </c>
      <c r="I154" s="50">
        <f>((PlanGrid[[#This Row],[Demand Watt]]*PlanGrid[[#This Row],[Utilization %]]*'Schedule-Building Info'!$N$16)/1000)</f>
        <v>246.375</v>
      </c>
      <c r="J154" s="57">
        <f>PlanGrid[[#This Row],[kWh/yr]]*' Elec Utility (kWh)'!$M$7</f>
        <v>26.266861676011235</v>
      </c>
      <c r="K154" s="38">
        <f>PlanGrid[[#This Row],[kWh/yr]]/'Schedule-Building Info'!$B$6</f>
        <v>4.0516206482593036E-3</v>
      </c>
      <c r="L154" s="50">
        <f>CONVERT(PlanGrid[[#This Row],[kWh/yr]],"Wh","BTU")</f>
        <v>840.66639486189661</v>
      </c>
      <c r="M154" s="38">
        <f>PlanGrid[[#This Row],[kBtu/yr]]/'Schedule-Building Info'!$B$6</f>
        <v>1.3824703495566391E-2</v>
      </c>
      <c r="N154" t="s">
        <v>1090</v>
      </c>
      <c r="O154">
        <v>0</v>
      </c>
      <c r="P154" t="str">
        <f>VLOOKUP(PlanGrid[[#This Row],[Title]],'Spec Wattages'!$A$1:$C$973,3,FALSE)</f>
        <v>Plug Load</v>
      </c>
      <c r="Q154" t="s">
        <v>915</v>
      </c>
      <c r="R154" t="s">
        <v>915</v>
      </c>
      <c r="S154" t="s">
        <v>51</v>
      </c>
    </row>
    <row r="155" spans="1:19" x14ac:dyDescent="0.25">
      <c r="A155">
        <v>856</v>
      </c>
      <c r="B155" t="s">
        <v>20</v>
      </c>
      <c r="C155" t="s">
        <v>416</v>
      </c>
      <c r="E155" s="50">
        <f>VLOOKUP(PlanGrid[[#This Row],[Title]],'Spec Wattages'!$A$1:$C$973,2,FALSE)</f>
        <v>50</v>
      </c>
      <c r="F155" s="38">
        <v>1</v>
      </c>
      <c r="G155" s="39">
        <v>0.9</v>
      </c>
      <c r="H155" s="58">
        <f>PlanGrid[[#This Row],[Spec Wattage]]*PlanGrid[[#This Row],[Equipment Count]]</f>
        <v>50</v>
      </c>
      <c r="I155" s="50">
        <f>((PlanGrid[[#This Row],[Demand Watt]]*PlanGrid[[#This Row],[Utilization %]]*'Schedule-Building Info'!$N$16)/1000)</f>
        <v>246.375</v>
      </c>
      <c r="J155" s="57">
        <f>PlanGrid[[#This Row],[kWh/yr]]*' Elec Utility (kWh)'!$M$7</f>
        <v>26.266861676011235</v>
      </c>
      <c r="K155" s="38">
        <f>PlanGrid[[#This Row],[kWh/yr]]/'Schedule-Building Info'!$B$6</f>
        <v>4.0516206482593036E-3</v>
      </c>
      <c r="L155" s="50">
        <f>CONVERT(PlanGrid[[#This Row],[kWh/yr]],"Wh","BTU")</f>
        <v>840.66639486189661</v>
      </c>
      <c r="M155" s="38">
        <f>PlanGrid[[#This Row],[kBtu/yr]]/'Schedule-Building Info'!$B$6</f>
        <v>1.3824703495566391E-2</v>
      </c>
      <c r="N155" t="s">
        <v>1090</v>
      </c>
      <c r="O155">
        <v>0</v>
      </c>
      <c r="P155" t="str">
        <f>VLOOKUP(PlanGrid[[#This Row],[Title]],'Spec Wattages'!$A$1:$C$973,3,FALSE)</f>
        <v>Plug Load</v>
      </c>
      <c r="Q155" t="s">
        <v>781</v>
      </c>
      <c r="R155" t="s">
        <v>781</v>
      </c>
      <c r="S155" t="s">
        <v>11</v>
      </c>
    </row>
    <row r="156" spans="1:19" x14ac:dyDescent="0.25">
      <c r="A156">
        <v>862</v>
      </c>
      <c r="B156" t="s">
        <v>20</v>
      </c>
      <c r="C156" t="s">
        <v>416</v>
      </c>
      <c r="E156" s="50">
        <f>VLOOKUP(PlanGrid[[#This Row],[Title]],'Spec Wattages'!$A$1:$C$973,2,FALSE)</f>
        <v>50</v>
      </c>
      <c r="F156" s="38">
        <v>1</v>
      </c>
      <c r="G156" s="39">
        <v>0.9</v>
      </c>
      <c r="H156" s="58">
        <f>PlanGrid[[#This Row],[Spec Wattage]]*PlanGrid[[#This Row],[Equipment Count]]</f>
        <v>50</v>
      </c>
      <c r="I156" s="50">
        <f>((PlanGrid[[#This Row],[Demand Watt]]*PlanGrid[[#This Row],[Utilization %]]*'Schedule-Building Info'!$N$16)/1000)</f>
        <v>246.375</v>
      </c>
      <c r="J156" s="57">
        <f>PlanGrid[[#This Row],[kWh/yr]]*' Elec Utility (kWh)'!$M$7</f>
        <v>26.266861676011235</v>
      </c>
      <c r="K156" s="38">
        <f>PlanGrid[[#This Row],[kWh/yr]]/'Schedule-Building Info'!$B$6</f>
        <v>4.0516206482593036E-3</v>
      </c>
      <c r="L156" s="50">
        <f>CONVERT(PlanGrid[[#This Row],[kWh/yr]],"Wh","BTU")</f>
        <v>840.66639486189661</v>
      </c>
      <c r="M156" s="38">
        <f>PlanGrid[[#This Row],[kBtu/yr]]/'Schedule-Building Info'!$B$6</f>
        <v>1.3824703495566391E-2</v>
      </c>
      <c r="N156" t="s">
        <v>1090</v>
      </c>
      <c r="O156">
        <v>0</v>
      </c>
      <c r="P156" t="str">
        <f>VLOOKUP(PlanGrid[[#This Row],[Title]],'Spec Wattages'!$A$1:$C$973,3,FALSE)</f>
        <v>Plug Load</v>
      </c>
      <c r="Q156" t="s">
        <v>781</v>
      </c>
      <c r="R156" t="s">
        <v>781</v>
      </c>
      <c r="S156" t="s">
        <v>51</v>
      </c>
    </row>
    <row r="157" spans="1:19" x14ac:dyDescent="0.25">
      <c r="A157">
        <v>878</v>
      </c>
      <c r="B157" t="s">
        <v>20</v>
      </c>
      <c r="C157" t="s">
        <v>416</v>
      </c>
      <c r="E157" s="50">
        <f>VLOOKUP(PlanGrid[[#This Row],[Title]],'Spec Wattages'!$A$1:$C$973,2,FALSE)</f>
        <v>50</v>
      </c>
      <c r="F157" s="38">
        <v>1</v>
      </c>
      <c r="G157" s="39">
        <v>0.9</v>
      </c>
      <c r="H157" s="58">
        <f>PlanGrid[[#This Row],[Spec Wattage]]*PlanGrid[[#This Row],[Equipment Count]]</f>
        <v>50</v>
      </c>
      <c r="I157" s="50">
        <f>((PlanGrid[[#This Row],[Demand Watt]]*PlanGrid[[#This Row],[Utilization %]]*'Schedule-Building Info'!$N$16)/1000)</f>
        <v>246.375</v>
      </c>
      <c r="J157" s="57">
        <f>PlanGrid[[#This Row],[kWh/yr]]*' Elec Utility (kWh)'!$M$7</f>
        <v>26.266861676011235</v>
      </c>
      <c r="K157" s="38">
        <f>PlanGrid[[#This Row],[kWh/yr]]/'Schedule-Building Info'!$B$6</f>
        <v>4.0516206482593036E-3</v>
      </c>
      <c r="L157" s="50">
        <f>CONVERT(PlanGrid[[#This Row],[kWh/yr]],"Wh","BTU")</f>
        <v>840.66639486189661</v>
      </c>
      <c r="M157" s="38">
        <f>PlanGrid[[#This Row],[kBtu/yr]]/'Schedule-Building Info'!$B$6</f>
        <v>1.3824703495566391E-2</v>
      </c>
      <c r="N157" t="s">
        <v>1090</v>
      </c>
      <c r="O157">
        <v>0</v>
      </c>
      <c r="P157" t="str">
        <f>VLOOKUP(PlanGrid[[#This Row],[Title]],'Spec Wattages'!$A$1:$C$973,3,FALSE)</f>
        <v>Plug Load</v>
      </c>
      <c r="Q157" t="s">
        <v>678</v>
      </c>
      <c r="R157" t="s">
        <v>738</v>
      </c>
      <c r="S157" t="s">
        <v>11</v>
      </c>
    </row>
    <row r="158" spans="1:19" x14ac:dyDescent="0.25">
      <c r="A158">
        <v>880</v>
      </c>
      <c r="B158" t="s">
        <v>20</v>
      </c>
      <c r="C158" t="s">
        <v>416</v>
      </c>
      <c r="E158" s="50">
        <f>VLOOKUP(PlanGrid[[#This Row],[Title]],'Spec Wattages'!$A$1:$C$973,2,FALSE)</f>
        <v>50</v>
      </c>
      <c r="F158" s="38">
        <v>1</v>
      </c>
      <c r="G158" s="39">
        <v>0.9</v>
      </c>
      <c r="H158" s="58">
        <f>PlanGrid[[#This Row],[Spec Wattage]]*PlanGrid[[#This Row],[Equipment Count]]</f>
        <v>50</v>
      </c>
      <c r="I158" s="50">
        <f>((PlanGrid[[#This Row],[Demand Watt]]*PlanGrid[[#This Row],[Utilization %]]*'Schedule-Building Info'!$N$16)/1000)</f>
        <v>246.375</v>
      </c>
      <c r="J158" s="57">
        <f>PlanGrid[[#This Row],[kWh/yr]]*' Elec Utility (kWh)'!$M$7</f>
        <v>26.266861676011235</v>
      </c>
      <c r="K158" s="38">
        <f>PlanGrid[[#This Row],[kWh/yr]]/'Schedule-Building Info'!$B$6</f>
        <v>4.0516206482593036E-3</v>
      </c>
      <c r="L158" s="50">
        <f>CONVERT(PlanGrid[[#This Row],[kWh/yr]],"Wh","BTU")</f>
        <v>840.66639486189661</v>
      </c>
      <c r="M158" s="38">
        <f>PlanGrid[[#This Row],[kBtu/yr]]/'Schedule-Building Info'!$B$6</f>
        <v>1.3824703495566391E-2</v>
      </c>
      <c r="N158" t="s">
        <v>1090</v>
      </c>
      <c r="O158">
        <v>0</v>
      </c>
      <c r="P158" t="str">
        <f>VLOOKUP(PlanGrid[[#This Row],[Title]],'Spec Wattages'!$A$1:$C$973,3,FALSE)</f>
        <v>Plug Load</v>
      </c>
      <c r="Q158" t="s">
        <v>681</v>
      </c>
      <c r="R158" t="s">
        <v>1062</v>
      </c>
      <c r="S158" t="s">
        <v>11</v>
      </c>
    </row>
    <row r="159" spans="1:19" x14ac:dyDescent="0.25">
      <c r="A159">
        <v>19</v>
      </c>
      <c r="B159" t="s">
        <v>20</v>
      </c>
      <c r="C159" t="s">
        <v>416</v>
      </c>
      <c r="E159" s="50">
        <f>VLOOKUP(PlanGrid[[#This Row],[Title]],'Spec Wattages'!$A$1:$C$973,2,FALSE)</f>
        <v>50</v>
      </c>
      <c r="F159" s="38">
        <v>1</v>
      </c>
      <c r="G159" s="39">
        <v>0.9</v>
      </c>
      <c r="H159" s="58">
        <f>PlanGrid[[#This Row],[Spec Wattage]]*PlanGrid[[#This Row],[Equipment Count]]</f>
        <v>50</v>
      </c>
      <c r="I159" s="50">
        <f>((PlanGrid[[#This Row],[Demand Watt]]*PlanGrid[[#This Row],[Utilization %]]*'Schedule-Building Info'!$N$16)/1000)</f>
        <v>246.375</v>
      </c>
      <c r="J159" s="57">
        <f>PlanGrid[[#This Row],[kWh/yr]]*' Elec Utility (kWh)'!$M$7</f>
        <v>26.266861676011235</v>
      </c>
      <c r="K159" s="38">
        <f>PlanGrid[[#This Row],[kWh/yr]]/'Schedule-Building Info'!$B$6</f>
        <v>4.0516206482593036E-3</v>
      </c>
      <c r="L159" s="50">
        <f>CONVERT(PlanGrid[[#This Row],[kWh/yr]],"Wh","BTU")</f>
        <v>840.66639486189661</v>
      </c>
      <c r="M159" s="38">
        <f>PlanGrid[[#This Row],[kBtu/yr]]/'Schedule-Building Info'!$B$6</f>
        <v>1.3824703495566391E-2</v>
      </c>
      <c r="N159" t="s">
        <v>1092</v>
      </c>
      <c r="O159">
        <v>0</v>
      </c>
      <c r="P159" t="str">
        <f>VLOOKUP(PlanGrid[[#This Row],[Title]],'Spec Wattages'!$A$1:$C$973,3,FALSE)</f>
        <v>Plug Load</v>
      </c>
      <c r="Q159" t="s">
        <v>783</v>
      </c>
      <c r="R159" t="s">
        <v>931</v>
      </c>
      <c r="S159" t="s">
        <v>11</v>
      </c>
    </row>
    <row r="160" spans="1:19" x14ac:dyDescent="0.25">
      <c r="A160">
        <v>24</v>
      </c>
      <c r="B160" t="s">
        <v>20</v>
      </c>
      <c r="C160" t="s">
        <v>416</v>
      </c>
      <c r="E160" s="50">
        <f>VLOOKUP(PlanGrid[[#This Row],[Title]],'Spec Wattages'!$A$1:$C$973,2,FALSE)</f>
        <v>50</v>
      </c>
      <c r="F160" s="38">
        <v>1</v>
      </c>
      <c r="G160" s="39">
        <v>0.9</v>
      </c>
      <c r="H160" s="58">
        <f>PlanGrid[[#This Row],[Spec Wattage]]*PlanGrid[[#This Row],[Equipment Count]]</f>
        <v>50</v>
      </c>
      <c r="I160" s="50">
        <f>((PlanGrid[[#This Row],[Demand Watt]]*PlanGrid[[#This Row],[Utilization %]]*'Schedule-Building Info'!$N$16)/1000)</f>
        <v>246.375</v>
      </c>
      <c r="J160" s="57">
        <f>PlanGrid[[#This Row],[kWh/yr]]*' Elec Utility (kWh)'!$M$7</f>
        <v>26.266861676011235</v>
      </c>
      <c r="K160" s="38">
        <f>PlanGrid[[#This Row],[kWh/yr]]/'Schedule-Building Info'!$B$6</f>
        <v>4.0516206482593036E-3</v>
      </c>
      <c r="L160" s="50">
        <f>CONVERT(PlanGrid[[#This Row],[kWh/yr]],"Wh","BTU")</f>
        <v>840.66639486189661</v>
      </c>
      <c r="M160" s="38">
        <f>PlanGrid[[#This Row],[kBtu/yr]]/'Schedule-Building Info'!$B$6</f>
        <v>1.3824703495566391E-2</v>
      </c>
      <c r="N160" t="s">
        <v>1092</v>
      </c>
      <c r="O160">
        <v>0</v>
      </c>
      <c r="P160" t="str">
        <f>VLOOKUP(PlanGrid[[#This Row],[Title]],'Spec Wattages'!$A$1:$C$973,3,FALSE)</f>
        <v>Plug Load</v>
      </c>
      <c r="Q160" t="s">
        <v>931</v>
      </c>
      <c r="R160" t="s">
        <v>931</v>
      </c>
      <c r="S160" t="s">
        <v>51</v>
      </c>
    </row>
    <row r="161" spans="1:19" x14ac:dyDescent="0.25">
      <c r="A161">
        <v>33</v>
      </c>
      <c r="B161" t="s">
        <v>20</v>
      </c>
      <c r="C161" t="s">
        <v>416</v>
      </c>
      <c r="E161" s="50">
        <f>VLOOKUP(PlanGrid[[#This Row],[Title]],'Spec Wattages'!$A$1:$C$973,2,FALSE)</f>
        <v>50</v>
      </c>
      <c r="F161" s="38">
        <v>1</v>
      </c>
      <c r="G161" s="39">
        <v>0.9</v>
      </c>
      <c r="H161" s="58">
        <f>PlanGrid[[#This Row],[Spec Wattage]]*PlanGrid[[#This Row],[Equipment Count]]</f>
        <v>50</v>
      </c>
      <c r="I161" s="50">
        <f>((PlanGrid[[#This Row],[Demand Watt]]*PlanGrid[[#This Row],[Utilization %]]*'Schedule-Building Info'!$N$16)/1000)</f>
        <v>246.375</v>
      </c>
      <c r="J161" s="57">
        <f>PlanGrid[[#This Row],[kWh/yr]]*' Elec Utility (kWh)'!$M$7</f>
        <v>26.266861676011235</v>
      </c>
      <c r="K161" s="38">
        <f>PlanGrid[[#This Row],[kWh/yr]]/'Schedule-Building Info'!$B$6</f>
        <v>4.0516206482593036E-3</v>
      </c>
      <c r="L161" s="50">
        <f>CONVERT(PlanGrid[[#This Row],[kWh/yr]],"Wh","BTU")</f>
        <v>840.66639486189661</v>
      </c>
      <c r="M161" s="38">
        <f>PlanGrid[[#This Row],[kBtu/yr]]/'Schedule-Building Info'!$B$6</f>
        <v>1.3824703495566391E-2</v>
      </c>
      <c r="N161" t="s">
        <v>1092</v>
      </c>
      <c r="O161">
        <v>0</v>
      </c>
      <c r="P161" t="str">
        <f>VLOOKUP(PlanGrid[[#This Row],[Title]],'Spec Wattages'!$A$1:$C$973,3,FALSE)</f>
        <v>Plug Load</v>
      </c>
      <c r="Q161" t="s">
        <v>933</v>
      </c>
      <c r="R161" t="s">
        <v>933</v>
      </c>
      <c r="S161" t="s">
        <v>51</v>
      </c>
    </row>
    <row r="162" spans="1:19" x14ac:dyDescent="0.25">
      <c r="A162">
        <v>37</v>
      </c>
      <c r="B162" t="s">
        <v>20</v>
      </c>
      <c r="C162" t="s">
        <v>416</v>
      </c>
      <c r="E162" s="50">
        <f>VLOOKUP(PlanGrid[[#This Row],[Title]],'Spec Wattages'!$A$1:$C$973,2,FALSE)</f>
        <v>50</v>
      </c>
      <c r="F162" s="38">
        <v>1</v>
      </c>
      <c r="G162" s="39">
        <v>0.9</v>
      </c>
      <c r="H162" s="58">
        <f>PlanGrid[[#This Row],[Spec Wattage]]*PlanGrid[[#This Row],[Equipment Count]]</f>
        <v>50</v>
      </c>
      <c r="I162" s="50">
        <f>((PlanGrid[[#This Row],[Demand Watt]]*PlanGrid[[#This Row],[Utilization %]]*'Schedule-Building Info'!$N$16)/1000)</f>
        <v>246.375</v>
      </c>
      <c r="J162" s="57">
        <f>PlanGrid[[#This Row],[kWh/yr]]*' Elec Utility (kWh)'!$M$7</f>
        <v>26.266861676011235</v>
      </c>
      <c r="K162" s="38">
        <f>PlanGrid[[#This Row],[kWh/yr]]/'Schedule-Building Info'!$B$6</f>
        <v>4.0516206482593036E-3</v>
      </c>
      <c r="L162" s="50">
        <f>CONVERT(PlanGrid[[#This Row],[kWh/yr]],"Wh","BTU")</f>
        <v>840.66639486189661</v>
      </c>
      <c r="M162" s="38">
        <f>PlanGrid[[#This Row],[kBtu/yr]]/'Schedule-Building Info'!$B$6</f>
        <v>1.3824703495566391E-2</v>
      </c>
      <c r="N162" t="s">
        <v>1092</v>
      </c>
      <c r="O162">
        <v>0</v>
      </c>
      <c r="P162" t="str">
        <f>VLOOKUP(PlanGrid[[#This Row],[Title]],'Spec Wattages'!$A$1:$C$973,3,FALSE)</f>
        <v>Plug Load</v>
      </c>
      <c r="Q162" t="s">
        <v>934</v>
      </c>
      <c r="R162" t="s">
        <v>742</v>
      </c>
      <c r="S162" t="s">
        <v>11</v>
      </c>
    </row>
    <row r="163" spans="1:19" x14ac:dyDescent="0.25">
      <c r="A163">
        <v>63</v>
      </c>
      <c r="B163" t="s">
        <v>20</v>
      </c>
      <c r="C163" t="s">
        <v>416</v>
      </c>
      <c r="E163" s="50">
        <f>VLOOKUP(PlanGrid[[#This Row],[Title]],'Spec Wattages'!$A$1:$C$973,2,FALSE)</f>
        <v>50</v>
      </c>
      <c r="F163" s="38">
        <v>1</v>
      </c>
      <c r="G163" s="39">
        <v>0.9</v>
      </c>
      <c r="H163" s="58">
        <f>PlanGrid[[#This Row],[Spec Wattage]]*PlanGrid[[#This Row],[Equipment Count]]</f>
        <v>50</v>
      </c>
      <c r="I163" s="50">
        <f>((PlanGrid[[#This Row],[Demand Watt]]*PlanGrid[[#This Row],[Utilization %]]*'Schedule-Building Info'!$N$16)/1000)</f>
        <v>246.375</v>
      </c>
      <c r="J163" s="57">
        <f>PlanGrid[[#This Row],[kWh/yr]]*' Elec Utility (kWh)'!$M$7</f>
        <v>26.266861676011235</v>
      </c>
      <c r="K163" s="38">
        <f>PlanGrid[[#This Row],[kWh/yr]]/'Schedule-Building Info'!$B$6</f>
        <v>4.0516206482593036E-3</v>
      </c>
      <c r="L163" s="50">
        <f>CONVERT(PlanGrid[[#This Row],[kWh/yr]],"Wh","BTU")</f>
        <v>840.66639486189661</v>
      </c>
      <c r="M163" s="38">
        <f>PlanGrid[[#This Row],[kBtu/yr]]/'Schedule-Building Info'!$B$6</f>
        <v>1.3824703495566391E-2</v>
      </c>
      <c r="N163" t="s">
        <v>1092</v>
      </c>
      <c r="O163">
        <v>0</v>
      </c>
      <c r="P163" t="str">
        <f>VLOOKUP(PlanGrid[[#This Row],[Title]],'Spec Wattages'!$A$1:$C$973,3,FALSE)</f>
        <v>Plug Load</v>
      </c>
      <c r="Q163" t="s">
        <v>847</v>
      </c>
      <c r="R163" t="s">
        <v>847</v>
      </c>
      <c r="S163" t="s">
        <v>51</v>
      </c>
    </row>
    <row r="164" spans="1:19" x14ac:dyDescent="0.25">
      <c r="A164">
        <v>67</v>
      </c>
      <c r="B164" t="s">
        <v>20</v>
      </c>
      <c r="C164" t="s">
        <v>416</v>
      </c>
      <c r="E164" s="50">
        <f>VLOOKUP(PlanGrid[[#This Row],[Title]],'Spec Wattages'!$A$1:$C$973,2,FALSE)</f>
        <v>50</v>
      </c>
      <c r="F164" s="38">
        <v>1</v>
      </c>
      <c r="G164" s="39">
        <v>0.9</v>
      </c>
      <c r="H164" s="58">
        <f>PlanGrid[[#This Row],[Spec Wattage]]*PlanGrid[[#This Row],[Equipment Count]]</f>
        <v>50</v>
      </c>
      <c r="I164" s="50">
        <f>((PlanGrid[[#This Row],[Demand Watt]]*PlanGrid[[#This Row],[Utilization %]]*'Schedule-Building Info'!$N$16)/1000)</f>
        <v>246.375</v>
      </c>
      <c r="J164" s="57">
        <f>PlanGrid[[#This Row],[kWh/yr]]*' Elec Utility (kWh)'!$M$7</f>
        <v>26.266861676011235</v>
      </c>
      <c r="K164" s="38">
        <f>PlanGrid[[#This Row],[kWh/yr]]/'Schedule-Building Info'!$B$6</f>
        <v>4.0516206482593036E-3</v>
      </c>
      <c r="L164" s="50">
        <f>CONVERT(PlanGrid[[#This Row],[kWh/yr]],"Wh","BTU")</f>
        <v>840.66639486189661</v>
      </c>
      <c r="M164" s="38">
        <f>PlanGrid[[#This Row],[kBtu/yr]]/'Schedule-Building Info'!$B$6</f>
        <v>1.3824703495566391E-2</v>
      </c>
      <c r="N164" t="s">
        <v>1092</v>
      </c>
      <c r="O164">
        <v>0</v>
      </c>
      <c r="P164" t="str">
        <f>VLOOKUP(PlanGrid[[#This Row],[Title]],'Spec Wattages'!$A$1:$C$973,3,FALSE)</f>
        <v>Plug Load</v>
      </c>
      <c r="Q164" t="s">
        <v>851</v>
      </c>
      <c r="R164" t="s">
        <v>932</v>
      </c>
      <c r="S164" t="s">
        <v>11</v>
      </c>
    </row>
    <row r="165" spans="1:19" x14ac:dyDescent="0.25">
      <c r="A165">
        <v>70</v>
      </c>
      <c r="B165" t="s">
        <v>20</v>
      </c>
      <c r="C165" t="s">
        <v>416</v>
      </c>
      <c r="E165" s="50">
        <f>VLOOKUP(PlanGrid[[#This Row],[Title]],'Spec Wattages'!$A$1:$C$973,2,FALSE)</f>
        <v>50</v>
      </c>
      <c r="F165" s="38">
        <v>1</v>
      </c>
      <c r="G165" s="39">
        <v>0.9</v>
      </c>
      <c r="H165" s="58">
        <f>PlanGrid[[#This Row],[Spec Wattage]]*PlanGrid[[#This Row],[Equipment Count]]</f>
        <v>50</v>
      </c>
      <c r="I165" s="50">
        <f>((PlanGrid[[#This Row],[Demand Watt]]*PlanGrid[[#This Row],[Utilization %]]*'Schedule-Building Info'!$N$16)/1000)</f>
        <v>246.375</v>
      </c>
      <c r="J165" s="57">
        <f>PlanGrid[[#This Row],[kWh/yr]]*' Elec Utility (kWh)'!$M$7</f>
        <v>26.266861676011235</v>
      </c>
      <c r="K165" s="38">
        <f>PlanGrid[[#This Row],[kWh/yr]]/'Schedule-Building Info'!$B$6</f>
        <v>4.0516206482593036E-3</v>
      </c>
      <c r="L165" s="50">
        <f>CONVERT(PlanGrid[[#This Row],[kWh/yr]],"Wh","BTU")</f>
        <v>840.66639486189661</v>
      </c>
      <c r="M165" s="38">
        <f>PlanGrid[[#This Row],[kBtu/yr]]/'Schedule-Building Info'!$B$6</f>
        <v>1.3824703495566391E-2</v>
      </c>
      <c r="N165" t="s">
        <v>1092</v>
      </c>
      <c r="O165">
        <v>0</v>
      </c>
      <c r="P165" t="str">
        <f>VLOOKUP(PlanGrid[[#This Row],[Title]],'Spec Wattages'!$A$1:$C$973,3,FALSE)</f>
        <v>Plug Load</v>
      </c>
      <c r="Q165" t="s">
        <v>852</v>
      </c>
      <c r="R165" t="s">
        <v>849</v>
      </c>
      <c r="S165" t="s">
        <v>11</v>
      </c>
    </row>
    <row r="166" spans="1:19" x14ac:dyDescent="0.25">
      <c r="A166">
        <v>81</v>
      </c>
      <c r="B166" t="s">
        <v>20</v>
      </c>
      <c r="C166" t="s">
        <v>416</v>
      </c>
      <c r="E166" s="50">
        <f>VLOOKUP(PlanGrid[[#This Row],[Title]],'Spec Wattages'!$A$1:$C$973,2,FALSE)</f>
        <v>50</v>
      </c>
      <c r="F166" s="38">
        <v>1</v>
      </c>
      <c r="G166" s="39">
        <v>0.9</v>
      </c>
      <c r="H166" s="58">
        <f>PlanGrid[[#This Row],[Spec Wattage]]*PlanGrid[[#This Row],[Equipment Count]]</f>
        <v>50</v>
      </c>
      <c r="I166" s="50">
        <f>((PlanGrid[[#This Row],[Demand Watt]]*PlanGrid[[#This Row],[Utilization %]]*'Schedule-Building Info'!$N$16)/1000)</f>
        <v>246.375</v>
      </c>
      <c r="J166" s="57">
        <f>PlanGrid[[#This Row],[kWh/yr]]*' Elec Utility (kWh)'!$M$7</f>
        <v>26.266861676011235</v>
      </c>
      <c r="K166" s="38">
        <f>PlanGrid[[#This Row],[kWh/yr]]/'Schedule-Building Info'!$B$6</f>
        <v>4.0516206482593036E-3</v>
      </c>
      <c r="L166" s="50">
        <f>CONVERT(PlanGrid[[#This Row],[kWh/yr]],"Wh","BTU")</f>
        <v>840.66639486189661</v>
      </c>
      <c r="M166" s="38">
        <f>PlanGrid[[#This Row],[kBtu/yr]]/'Schedule-Building Info'!$B$6</f>
        <v>1.3824703495566391E-2</v>
      </c>
      <c r="N166" t="s">
        <v>1092</v>
      </c>
      <c r="O166">
        <v>0</v>
      </c>
      <c r="P166" t="str">
        <f>VLOOKUP(PlanGrid[[#This Row],[Title]],'Spec Wattages'!$A$1:$C$973,3,FALSE)</f>
        <v>Plug Load</v>
      </c>
      <c r="Q166" t="s">
        <v>942</v>
      </c>
      <c r="R166" t="s">
        <v>942</v>
      </c>
      <c r="S166" t="s">
        <v>51</v>
      </c>
    </row>
    <row r="167" spans="1:19" x14ac:dyDescent="0.25">
      <c r="A167">
        <v>98</v>
      </c>
      <c r="B167" t="s">
        <v>20</v>
      </c>
      <c r="C167" t="s">
        <v>416</v>
      </c>
      <c r="E167" s="50">
        <f>VLOOKUP(PlanGrid[[#This Row],[Title]],'Spec Wattages'!$A$1:$C$973,2,FALSE)</f>
        <v>50</v>
      </c>
      <c r="F167" s="38">
        <v>1</v>
      </c>
      <c r="G167" s="39">
        <v>0.9</v>
      </c>
      <c r="H167" s="58">
        <f>PlanGrid[[#This Row],[Spec Wattage]]*PlanGrid[[#This Row],[Equipment Count]]</f>
        <v>50</v>
      </c>
      <c r="I167" s="50">
        <f>((PlanGrid[[#This Row],[Demand Watt]]*PlanGrid[[#This Row],[Utilization %]]*'Schedule-Building Info'!$N$16)/1000)</f>
        <v>246.375</v>
      </c>
      <c r="J167" s="57">
        <f>PlanGrid[[#This Row],[kWh/yr]]*' Elec Utility (kWh)'!$M$7</f>
        <v>26.266861676011235</v>
      </c>
      <c r="K167" s="38">
        <f>PlanGrid[[#This Row],[kWh/yr]]/'Schedule-Building Info'!$B$6</f>
        <v>4.0516206482593036E-3</v>
      </c>
      <c r="L167" s="50">
        <f>CONVERT(PlanGrid[[#This Row],[kWh/yr]],"Wh","BTU")</f>
        <v>840.66639486189661</v>
      </c>
      <c r="M167" s="38">
        <f>PlanGrid[[#This Row],[kBtu/yr]]/'Schedule-Building Info'!$B$6</f>
        <v>1.3824703495566391E-2</v>
      </c>
      <c r="N167" t="s">
        <v>1092</v>
      </c>
      <c r="O167">
        <v>0</v>
      </c>
      <c r="P167" t="str">
        <f>VLOOKUP(PlanGrid[[#This Row],[Title]],'Spec Wattages'!$A$1:$C$973,3,FALSE)</f>
        <v>Plug Load</v>
      </c>
      <c r="Q167" t="s">
        <v>855</v>
      </c>
      <c r="R167" t="s">
        <v>852</v>
      </c>
      <c r="S167" t="s">
        <v>11</v>
      </c>
    </row>
    <row r="168" spans="1:19" x14ac:dyDescent="0.25">
      <c r="A168">
        <v>100</v>
      </c>
      <c r="B168" t="s">
        <v>20</v>
      </c>
      <c r="C168" t="s">
        <v>416</v>
      </c>
      <c r="E168" s="50">
        <f>VLOOKUP(PlanGrid[[#This Row],[Title]],'Spec Wattages'!$A$1:$C$973,2,FALSE)</f>
        <v>50</v>
      </c>
      <c r="F168" s="38">
        <v>1</v>
      </c>
      <c r="G168" s="39">
        <v>0.9</v>
      </c>
      <c r="H168" s="58">
        <f>PlanGrid[[#This Row],[Spec Wattage]]*PlanGrid[[#This Row],[Equipment Count]]</f>
        <v>50</v>
      </c>
      <c r="I168" s="50">
        <f>((PlanGrid[[#This Row],[Demand Watt]]*PlanGrid[[#This Row],[Utilization %]]*'Schedule-Building Info'!$N$16)/1000)</f>
        <v>246.375</v>
      </c>
      <c r="J168" s="57">
        <f>PlanGrid[[#This Row],[kWh/yr]]*' Elec Utility (kWh)'!$M$7</f>
        <v>26.266861676011235</v>
      </c>
      <c r="K168" s="38">
        <f>PlanGrid[[#This Row],[kWh/yr]]/'Schedule-Building Info'!$B$6</f>
        <v>4.0516206482593036E-3</v>
      </c>
      <c r="L168" s="50">
        <f>CONVERT(PlanGrid[[#This Row],[kWh/yr]],"Wh","BTU")</f>
        <v>840.66639486189661</v>
      </c>
      <c r="M168" s="38">
        <f>PlanGrid[[#This Row],[kBtu/yr]]/'Schedule-Building Info'!$B$6</f>
        <v>1.3824703495566391E-2</v>
      </c>
      <c r="N168" t="s">
        <v>1092</v>
      </c>
      <c r="O168">
        <v>0</v>
      </c>
      <c r="P168" t="str">
        <f>VLOOKUP(PlanGrid[[#This Row],[Title]],'Spec Wattages'!$A$1:$C$973,3,FALSE)</f>
        <v>Plug Load</v>
      </c>
      <c r="Q168" t="s">
        <v>935</v>
      </c>
      <c r="R168" t="s">
        <v>935</v>
      </c>
      <c r="S168" t="s">
        <v>51</v>
      </c>
    </row>
    <row r="169" spans="1:19" x14ac:dyDescent="0.25">
      <c r="A169">
        <v>106</v>
      </c>
      <c r="B169" t="s">
        <v>20</v>
      </c>
      <c r="C169" t="s">
        <v>416</v>
      </c>
      <c r="E169" s="50">
        <f>VLOOKUP(PlanGrid[[#This Row],[Title]],'Spec Wattages'!$A$1:$C$973,2,FALSE)</f>
        <v>50</v>
      </c>
      <c r="F169" s="38">
        <v>1</v>
      </c>
      <c r="G169" s="39">
        <v>0.9</v>
      </c>
      <c r="H169" s="58">
        <f>PlanGrid[[#This Row],[Spec Wattage]]*PlanGrid[[#This Row],[Equipment Count]]</f>
        <v>50</v>
      </c>
      <c r="I169" s="50">
        <f>((PlanGrid[[#This Row],[Demand Watt]]*PlanGrid[[#This Row],[Utilization %]]*'Schedule-Building Info'!$N$16)/1000)</f>
        <v>246.375</v>
      </c>
      <c r="J169" s="57">
        <f>PlanGrid[[#This Row],[kWh/yr]]*' Elec Utility (kWh)'!$M$7</f>
        <v>26.266861676011235</v>
      </c>
      <c r="K169" s="38">
        <f>PlanGrid[[#This Row],[kWh/yr]]/'Schedule-Building Info'!$B$6</f>
        <v>4.0516206482593036E-3</v>
      </c>
      <c r="L169" s="50">
        <f>CONVERT(PlanGrid[[#This Row],[kWh/yr]],"Wh","BTU")</f>
        <v>840.66639486189661</v>
      </c>
      <c r="M169" s="38">
        <f>PlanGrid[[#This Row],[kBtu/yr]]/'Schedule-Building Info'!$B$6</f>
        <v>1.3824703495566391E-2</v>
      </c>
      <c r="N169" t="s">
        <v>1092</v>
      </c>
      <c r="O169">
        <v>0</v>
      </c>
      <c r="P169" t="str">
        <f>VLOOKUP(PlanGrid[[#This Row],[Title]],'Spec Wattages'!$A$1:$C$973,3,FALSE)</f>
        <v>Plug Load</v>
      </c>
      <c r="Q169" t="s">
        <v>853</v>
      </c>
      <c r="R169" t="s">
        <v>853</v>
      </c>
      <c r="S169" t="s">
        <v>51</v>
      </c>
    </row>
    <row r="170" spans="1:19" x14ac:dyDescent="0.25">
      <c r="A170">
        <v>118</v>
      </c>
      <c r="B170" t="s">
        <v>20</v>
      </c>
      <c r="C170" t="s">
        <v>416</v>
      </c>
      <c r="E170" s="50">
        <f>VLOOKUP(PlanGrid[[#This Row],[Title]],'Spec Wattages'!$A$1:$C$973,2,FALSE)</f>
        <v>50</v>
      </c>
      <c r="F170" s="38">
        <v>1</v>
      </c>
      <c r="G170" s="39">
        <v>0.9</v>
      </c>
      <c r="H170" s="58">
        <f>PlanGrid[[#This Row],[Spec Wattage]]*PlanGrid[[#This Row],[Equipment Count]]</f>
        <v>50</v>
      </c>
      <c r="I170" s="50">
        <f>((PlanGrid[[#This Row],[Demand Watt]]*PlanGrid[[#This Row],[Utilization %]]*'Schedule-Building Info'!$N$16)/1000)</f>
        <v>246.375</v>
      </c>
      <c r="J170" s="57">
        <f>PlanGrid[[#This Row],[kWh/yr]]*' Elec Utility (kWh)'!$M$7</f>
        <v>26.266861676011235</v>
      </c>
      <c r="K170" s="38">
        <f>PlanGrid[[#This Row],[kWh/yr]]/'Schedule-Building Info'!$B$6</f>
        <v>4.0516206482593036E-3</v>
      </c>
      <c r="L170" s="50">
        <f>CONVERT(PlanGrid[[#This Row],[kWh/yr]],"Wh","BTU")</f>
        <v>840.66639486189661</v>
      </c>
      <c r="M170" s="38">
        <f>PlanGrid[[#This Row],[kBtu/yr]]/'Schedule-Building Info'!$B$6</f>
        <v>1.3824703495566391E-2</v>
      </c>
      <c r="N170" t="s">
        <v>1092</v>
      </c>
      <c r="O170">
        <v>0</v>
      </c>
      <c r="P170" t="str">
        <f>VLOOKUP(PlanGrid[[#This Row],[Title]],'Spec Wattages'!$A$1:$C$973,3,FALSE)</f>
        <v>Plug Load</v>
      </c>
      <c r="Q170" t="s">
        <v>748</v>
      </c>
      <c r="R170" t="s">
        <v>747</v>
      </c>
      <c r="S170" t="s">
        <v>11</v>
      </c>
    </row>
    <row r="171" spans="1:19" x14ac:dyDescent="0.25">
      <c r="A171">
        <v>124</v>
      </c>
      <c r="B171" t="s">
        <v>20</v>
      </c>
      <c r="C171" t="s">
        <v>416</v>
      </c>
      <c r="E171" s="50">
        <f>VLOOKUP(PlanGrid[[#This Row],[Title]],'Spec Wattages'!$A$1:$C$973,2,FALSE)</f>
        <v>50</v>
      </c>
      <c r="F171" s="38">
        <v>1</v>
      </c>
      <c r="G171" s="39">
        <v>0.9</v>
      </c>
      <c r="H171" s="58">
        <f>PlanGrid[[#This Row],[Spec Wattage]]*PlanGrid[[#This Row],[Equipment Count]]</f>
        <v>50</v>
      </c>
      <c r="I171" s="50">
        <f>((PlanGrid[[#This Row],[Demand Watt]]*PlanGrid[[#This Row],[Utilization %]]*'Schedule-Building Info'!$N$16)/1000)</f>
        <v>246.375</v>
      </c>
      <c r="J171" s="57">
        <f>PlanGrid[[#This Row],[kWh/yr]]*' Elec Utility (kWh)'!$M$7</f>
        <v>26.266861676011235</v>
      </c>
      <c r="K171" s="38">
        <f>PlanGrid[[#This Row],[kWh/yr]]/'Schedule-Building Info'!$B$6</f>
        <v>4.0516206482593036E-3</v>
      </c>
      <c r="L171" s="50">
        <f>CONVERT(PlanGrid[[#This Row],[kWh/yr]],"Wh","BTU")</f>
        <v>840.66639486189661</v>
      </c>
      <c r="M171" s="38">
        <f>PlanGrid[[#This Row],[kBtu/yr]]/'Schedule-Building Info'!$B$6</f>
        <v>1.3824703495566391E-2</v>
      </c>
      <c r="N171" t="s">
        <v>1092</v>
      </c>
      <c r="O171">
        <v>0</v>
      </c>
      <c r="P171" t="str">
        <f>VLOOKUP(PlanGrid[[#This Row],[Title]],'Spec Wattages'!$A$1:$C$973,3,FALSE)</f>
        <v>Plug Load</v>
      </c>
      <c r="Q171" t="s">
        <v>949</v>
      </c>
      <c r="R171" t="s">
        <v>949</v>
      </c>
      <c r="S171" t="s">
        <v>51</v>
      </c>
    </row>
    <row r="172" spans="1:19" x14ac:dyDescent="0.25">
      <c r="A172">
        <v>132</v>
      </c>
      <c r="B172" t="s">
        <v>20</v>
      </c>
      <c r="C172" t="s">
        <v>416</v>
      </c>
      <c r="E172" s="50">
        <f>VLOOKUP(PlanGrid[[#This Row],[Title]],'Spec Wattages'!$A$1:$C$973,2,FALSE)</f>
        <v>50</v>
      </c>
      <c r="F172" s="38">
        <v>1</v>
      </c>
      <c r="G172" s="39">
        <v>0.9</v>
      </c>
      <c r="H172" s="58">
        <f>PlanGrid[[#This Row],[Spec Wattage]]*PlanGrid[[#This Row],[Equipment Count]]</f>
        <v>50</v>
      </c>
      <c r="I172" s="50">
        <f>((PlanGrid[[#This Row],[Demand Watt]]*PlanGrid[[#This Row],[Utilization %]]*'Schedule-Building Info'!$N$16)/1000)</f>
        <v>246.375</v>
      </c>
      <c r="J172" s="57">
        <f>PlanGrid[[#This Row],[kWh/yr]]*' Elec Utility (kWh)'!$M$7</f>
        <v>26.266861676011235</v>
      </c>
      <c r="K172" s="38">
        <f>PlanGrid[[#This Row],[kWh/yr]]/'Schedule-Building Info'!$B$6</f>
        <v>4.0516206482593036E-3</v>
      </c>
      <c r="L172" s="50">
        <f>CONVERT(PlanGrid[[#This Row],[kWh/yr]],"Wh","BTU")</f>
        <v>840.66639486189661</v>
      </c>
      <c r="M172" s="38">
        <f>PlanGrid[[#This Row],[kBtu/yr]]/'Schedule-Building Info'!$B$6</f>
        <v>1.3824703495566391E-2</v>
      </c>
      <c r="N172" t="s">
        <v>1092</v>
      </c>
      <c r="O172">
        <v>0</v>
      </c>
      <c r="P172" t="str">
        <f>VLOOKUP(PlanGrid[[#This Row],[Title]],'Spec Wattages'!$A$1:$C$973,3,FALSE)</f>
        <v>Plug Load</v>
      </c>
      <c r="Q172" t="s">
        <v>937</v>
      </c>
      <c r="R172" t="s">
        <v>937</v>
      </c>
      <c r="S172" t="s">
        <v>51</v>
      </c>
    </row>
    <row r="173" spans="1:19" x14ac:dyDescent="0.25">
      <c r="A173">
        <v>141</v>
      </c>
      <c r="B173" t="s">
        <v>20</v>
      </c>
      <c r="C173" t="s">
        <v>416</v>
      </c>
      <c r="E173" s="50">
        <f>VLOOKUP(PlanGrid[[#This Row],[Title]],'Spec Wattages'!$A$1:$C$973,2,FALSE)</f>
        <v>50</v>
      </c>
      <c r="F173" s="38">
        <v>1</v>
      </c>
      <c r="G173" s="39">
        <v>0.9</v>
      </c>
      <c r="H173" s="58">
        <f>PlanGrid[[#This Row],[Spec Wattage]]*PlanGrid[[#This Row],[Equipment Count]]</f>
        <v>50</v>
      </c>
      <c r="I173" s="50">
        <f>((PlanGrid[[#This Row],[Demand Watt]]*PlanGrid[[#This Row],[Utilization %]]*'Schedule-Building Info'!$N$16)/1000)</f>
        <v>246.375</v>
      </c>
      <c r="J173" s="57">
        <f>PlanGrid[[#This Row],[kWh/yr]]*' Elec Utility (kWh)'!$M$7</f>
        <v>26.266861676011235</v>
      </c>
      <c r="K173" s="38">
        <f>PlanGrid[[#This Row],[kWh/yr]]/'Schedule-Building Info'!$B$6</f>
        <v>4.0516206482593036E-3</v>
      </c>
      <c r="L173" s="50">
        <f>CONVERT(PlanGrid[[#This Row],[kWh/yr]],"Wh","BTU")</f>
        <v>840.66639486189661</v>
      </c>
      <c r="M173" s="38">
        <f>PlanGrid[[#This Row],[kBtu/yr]]/'Schedule-Building Info'!$B$6</f>
        <v>1.3824703495566391E-2</v>
      </c>
      <c r="N173" t="s">
        <v>1092</v>
      </c>
      <c r="O173">
        <v>0</v>
      </c>
      <c r="P173" t="str">
        <f>VLOOKUP(PlanGrid[[#This Row],[Title]],'Spec Wattages'!$A$1:$C$973,3,FALSE)</f>
        <v>Plug Load</v>
      </c>
      <c r="Q173" t="s">
        <v>855</v>
      </c>
      <c r="R173" t="s">
        <v>855</v>
      </c>
      <c r="S173" t="s">
        <v>51</v>
      </c>
    </row>
    <row r="174" spans="1:19" x14ac:dyDescent="0.25">
      <c r="A174">
        <v>142</v>
      </c>
      <c r="B174" t="s">
        <v>20</v>
      </c>
      <c r="C174" t="s">
        <v>416</v>
      </c>
      <c r="E174" s="50">
        <f>VLOOKUP(PlanGrid[[#This Row],[Title]],'Spec Wattages'!$A$1:$C$973,2,FALSE)</f>
        <v>50</v>
      </c>
      <c r="F174" s="38">
        <v>1</v>
      </c>
      <c r="G174" s="39">
        <v>0.9</v>
      </c>
      <c r="H174" s="58">
        <f>PlanGrid[[#This Row],[Spec Wattage]]*PlanGrid[[#This Row],[Equipment Count]]</f>
        <v>50</v>
      </c>
      <c r="I174" s="50">
        <f>((PlanGrid[[#This Row],[Demand Watt]]*PlanGrid[[#This Row],[Utilization %]]*'Schedule-Building Info'!$N$16)/1000)</f>
        <v>246.375</v>
      </c>
      <c r="J174" s="57">
        <f>PlanGrid[[#This Row],[kWh/yr]]*' Elec Utility (kWh)'!$M$7</f>
        <v>26.266861676011235</v>
      </c>
      <c r="K174" s="38">
        <f>PlanGrid[[#This Row],[kWh/yr]]/'Schedule-Building Info'!$B$6</f>
        <v>4.0516206482593036E-3</v>
      </c>
      <c r="L174" s="50">
        <f>CONVERT(PlanGrid[[#This Row],[kWh/yr]],"Wh","BTU")</f>
        <v>840.66639486189661</v>
      </c>
      <c r="M174" s="38">
        <f>PlanGrid[[#This Row],[kBtu/yr]]/'Schedule-Building Info'!$B$6</f>
        <v>1.3824703495566391E-2</v>
      </c>
      <c r="N174" t="s">
        <v>1092</v>
      </c>
      <c r="O174">
        <v>0</v>
      </c>
      <c r="P174" t="str">
        <f>VLOOKUP(PlanGrid[[#This Row],[Title]],'Spec Wattages'!$A$1:$C$973,3,FALSE)</f>
        <v>Plug Load</v>
      </c>
      <c r="Q174" t="s">
        <v>861</v>
      </c>
      <c r="R174" t="s">
        <v>855</v>
      </c>
      <c r="S174" t="s">
        <v>11</v>
      </c>
    </row>
    <row r="175" spans="1:19" x14ac:dyDescent="0.25">
      <c r="A175">
        <v>151</v>
      </c>
      <c r="B175" t="s">
        <v>20</v>
      </c>
      <c r="C175" t="s">
        <v>416</v>
      </c>
      <c r="E175" s="50">
        <f>VLOOKUP(PlanGrid[[#This Row],[Title]],'Spec Wattages'!$A$1:$C$973,2,FALSE)</f>
        <v>50</v>
      </c>
      <c r="F175" s="38">
        <v>1</v>
      </c>
      <c r="G175" s="39">
        <v>0.9</v>
      </c>
      <c r="H175" s="58">
        <f>PlanGrid[[#This Row],[Spec Wattage]]*PlanGrid[[#This Row],[Equipment Count]]</f>
        <v>50</v>
      </c>
      <c r="I175" s="50">
        <f>((PlanGrid[[#This Row],[Demand Watt]]*PlanGrid[[#This Row],[Utilization %]]*'Schedule-Building Info'!$N$16)/1000)</f>
        <v>246.375</v>
      </c>
      <c r="J175" s="57">
        <f>PlanGrid[[#This Row],[kWh/yr]]*' Elec Utility (kWh)'!$M$7</f>
        <v>26.266861676011235</v>
      </c>
      <c r="K175" s="38">
        <f>PlanGrid[[#This Row],[kWh/yr]]/'Schedule-Building Info'!$B$6</f>
        <v>4.0516206482593036E-3</v>
      </c>
      <c r="L175" s="50">
        <f>CONVERT(PlanGrid[[#This Row],[kWh/yr]],"Wh","BTU")</f>
        <v>840.66639486189661</v>
      </c>
      <c r="M175" s="38">
        <f>PlanGrid[[#This Row],[kBtu/yr]]/'Schedule-Building Info'!$B$6</f>
        <v>1.3824703495566391E-2</v>
      </c>
      <c r="N175" t="s">
        <v>1092</v>
      </c>
      <c r="O175">
        <v>0</v>
      </c>
      <c r="P175" t="str">
        <f>VLOOKUP(PlanGrid[[#This Row],[Title]],'Spec Wattages'!$A$1:$C$973,3,FALSE)</f>
        <v>Plug Load</v>
      </c>
      <c r="Q175" t="s">
        <v>746</v>
      </c>
      <c r="R175" t="s">
        <v>746</v>
      </c>
      <c r="S175" t="s">
        <v>51</v>
      </c>
    </row>
    <row r="176" spans="1:19" x14ac:dyDescent="0.25">
      <c r="A176">
        <v>161</v>
      </c>
      <c r="B176" t="s">
        <v>20</v>
      </c>
      <c r="C176" t="s">
        <v>416</v>
      </c>
      <c r="E176" s="50">
        <f>VLOOKUP(PlanGrid[[#This Row],[Title]],'Spec Wattages'!$A$1:$C$973,2,FALSE)</f>
        <v>50</v>
      </c>
      <c r="F176" s="38">
        <v>1</v>
      </c>
      <c r="G176" s="39">
        <v>0.9</v>
      </c>
      <c r="H176" s="58">
        <f>PlanGrid[[#This Row],[Spec Wattage]]*PlanGrid[[#This Row],[Equipment Count]]</f>
        <v>50</v>
      </c>
      <c r="I176" s="50">
        <f>((PlanGrid[[#This Row],[Demand Watt]]*PlanGrid[[#This Row],[Utilization %]]*'Schedule-Building Info'!$N$16)/1000)</f>
        <v>246.375</v>
      </c>
      <c r="J176" s="57">
        <f>PlanGrid[[#This Row],[kWh/yr]]*' Elec Utility (kWh)'!$M$7</f>
        <v>26.266861676011235</v>
      </c>
      <c r="K176" s="38">
        <f>PlanGrid[[#This Row],[kWh/yr]]/'Schedule-Building Info'!$B$6</f>
        <v>4.0516206482593036E-3</v>
      </c>
      <c r="L176" s="50">
        <f>CONVERT(PlanGrid[[#This Row],[kWh/yr]],"Wh","BTU")</f>
        <v>840.66639486189661</v>
      </c>
      <c r="M176" s="38">
        <f>PlanGrid[[#This Row],[kBtu/yr]]/'Schedule-Building Info'!$B$6</f>
        <v>1.3824703495566391E-2</v>
      </c>
      <c r="N176" t="s">
        <v>1092</v>
      </c>
      <c r="O176">
        <v>0</v>
      </c>
      <c r="P176" t="str">
        <f>VLOOKUP(PlanGrid[[#This Row],[Title]],'Spec Wattages'!$A$1:$C$973,3,FALSE)</f>
        <v>Plug Load</v>
      </c>
      <c r="Q176" t="s">
        <v>938</v>
      </c>
      <c r="R176" t="s">
        <v>860</v>
      </c>
      <c r="S176" t="s">
        <v>11</v>
      </c>
    </row>
    <row r="177" spans="1:19" x14ac:dyDescent="0.25">
      <c r="A177">
        <v>167</v>
      </c>
      <c r="B177" t="s">
        <v>20</v>
      </c>
      <c r="C177" t="s">
        <v>416</v>
      </c>
      <c r="E177" s="50">
        <f>VLOOKUP(PlanGrid[[#This Row],[Title]],'Spec Wattages'!$A$1:$C$973,2,FALSE)</f>
        <v>50</v>
      </c>
      <c r="F177" s="38">
        <v>1</v>
      </c>
      <c r="G177" s="39">
        <v>0.9</v>
      </c>
      <c r="H177" s="58">
        <f>PlanGrid[[#This Row],[Spec Wattage]]*PlanGrid[[#This Row],[Equipment Count]]</f>
        <v>50</v>
      </c>
      <c r="I177" s="50">
        <f>((PlanGrid[[#This Row],[Demand Watt]]*PlanGrid[[#This Row],[Utilization %]]*'Schedule-Building Info'!$N$16)/1000)</f>
        <v>246.375</v>
      </c>
      <c r="J177" s="57">
        <f>PlanGrid[[#This Row],[kWh/yr]]*' Elec Utility (kWh)'!$M$7</f>
        <v>26.266861676011235</v>
      </c>
      <c r="K177" s="38">
        <f>PlanGrid[[#This Row],[kWh/yr]]/'Schedule-Building Info'!$B$6</f>
        <v>4.0516206482593036E-3</v>
      </c>
      <c r="L177" s="50">
        <f>CONVERT(PlanGrid[[#This Row],[kWh/yr]],"Wh","BTU")</f>
        <v>840.66639486189661</v>
      </c>
      <c r="M177" s="38">
        <f>PlanGrid[[#This Row],[kBtu/yr]]/'Schedule-Building Info'!$B$6</f>
        <v>1.3824703495566391E-2</v>
      </c>
      <c r="N177" t="s">
        <v>1092</v>
      </c>
      <c r="O177">
        <v>0</v>
      </c>
      <c r="P177" t="str">
        <f>VLOOKUP(PlanGrid[[#This Row],[Title]],'Spec Wattages'!$A$1:$C$973,3,FALSE)</f>
        <v>Plug Load</v>
      </c>
      <c r="Q177" t="s">
        <v>751</v>
      </c>
      <c r="R177" t="s">
        <v>854</v>
      </c>
      <c r="S177" t="s">
        <v>11</v>
      </c>
    </row>
    <row r="178" spans="1:19" x14ac:dyDescent="0.25">
      <c r="A178">
        <v>170</v>
      </c>
      <c r="B178" t="s">
        <v>20</v>
      </c>
      <c r="C178" t="s">
        <v>416</v>
      </c>
      <c r="E178" s="50">
        <f>VLOOKUP(PlanGrid[[#This Row],[Title]],'Spec Wattages'!$A$1:$C$973,2,FALSE)</f>
        <v>50</v>
      </c>
      <c r="F178" s="38">
        <v>1</v>
      </c>
      <c r="G178" s="39">
        <v>0.9</v>
      </c>
      <c r="H178" s="58">
        <f>PlanGrid[[#This Row],[Spec Wattage]]*PlanGrid[[#This Row],[Equipment Count]]</f>
        <v>50</v>
      </c>
      <c r="I178" s="50">
        <f>((PlanGrid[[#This Row],[Demand Watt]]*PlanGrid[[#This Row],[Utilization %]]*'Schedule-Building Info'!$N$16)/1000)</f>
        <v>246.375</v>
      </c>
      <c r="J178" s="57">
        <f>PlanGrid[[#This Row],[kWh/yr]]*' Elec Utility (kWh)'!$M$7</f>
        <v>26.266861676011235</v>
      </c>
      <c r="K178" s="38">
        <f>PlanGrid[[#This Row],[kWh/yr]]/'Schedule-Building Info'!$B$6</f>
        <v>4.0516206482593036E-3</v>
      </c>
      <c r="L178" s="50">
        <f>CONVERT(PlanGrid[[#This Row],[kWh/yr]],"Wh","BTU")</f>
        <v>840.66639486189661</v>
      </c>
      <c r="M178" s="38">
        <f>PlanGrid[[#This Row],[kBtu/yr]]/'Schedule-Building Info'!$B$6</f>
        <v>1.3824703495566391E-2</v>
      </c>
      <c r="N178" t="s">
        <v>1092</v>
      </c>
      <c r="O178">
        <v>0</v>
      </c>
      <c r="P178" t="str">
        <f>VLOOKUP(PlanGrid[[#This Row],[Title]],'Spec Wattages'!$A$1:$C$973,3,FALSE)</f>
        <v>Plug Load</v>
      </c>
      <c r="Q178" t="s">
        <v>854</v>
      </c>
      <c r="R178" t="s">
        <v>854</v>
      </c>
      <c r="S178" t="s">
        <v>51</v>
      </c>
    </row>
    <row r="179" spans="1:19" x14ac:dyDescent="0.25">
      <c r="A179">
        <v>177</v>
      </c>
      <c r="B179" t="s">
        <v>20</v>
      </c>
      <c r="C179" t="s">
        <v>416</v>
      </c>
      <c r="E179" s="50">
        <f>VLOOKUP(PlanGrid[[#This Row],[Title]],'Spec Wattages'!$A$1:$C$973,2,FALSE)</f>
        <v>50</v>
      </c>
      <c r="F179" s="38">
        <v>1</v>
      </c>
      <c r="G179" s="39">
        <v>0.9</v>
      </c>
      <c r="H179" s="58">
        <f>PlanGrid[[#This Row],[Spec Wattage]]*PlanGrid[[#This Row],[Equipment Count]]</f>
        <v>50</v>
      </c>
      <c r="I179" s="50">
        <f>((PlanGrid[[#This Row],[Demand Watt]]*PlanGrid[[#This Row],[Utilization %]]*'Schedule-Building Info'!$N$16)/1000)</f>
        <v>246.375</v>
      </c>
      <c r="J179" s="57">
        <f>PlanGrid[[#This Row],[kWh/yr]]*' Elec Utility (kWh)'!$M$7</f>
        <v>26.266861676011235</v>
      </c>
      <c r="K179" s="38">
        <f>PlanGrid[[#This Row],[kWh/yr]]/'Schedule-Building Info'!$B$6</f>
        <v>4.0516206482593036E-3</v>
      </c>
      <c r="L179" s="50">
        <f>CONVERT(PlanGrid[[#This Row],[kWh/yr]],"Wh","BTU")</f>
        <v>840.66639486189661</v>
      </c>
      <c r="M179" s="38">
        <f>PlanGrid[[#This Row],[kBtu/yr]]/'Schedule-Building Info'!$B$6</f>
        <v>1.3824703495566391E-2</v>
      </c>
      <c r="N179" t="s">
        <v>1092</v>
      </c>
      <c r="O179">
        <v>0</v>
      </c>
      <c r="P179" t="str">
        <f>VLOOKUP(PlanGrid[[#This Row],[Title]],'Spec Wattages'!$A$1:$C$973,3,FALSE)</f>
        <v>Plug Load</v>
      </c>
      <c r="Q179" t="s">
        <v>754</v>
      </c>
      <c r="R179" t="s">
        <v>857</v>
      </c>
      <c r="S179" t="s">
        <v>11</v>
      </c>
    </row>
    <row r="180" spans="1:19" x14ac:dyDescent="0.25">
      <c r="A180">
        <v>186</v>
      </c>
      <c r="B180" t="s">
        <v>20</v>
      </c>
      <c r="C180" t="s">
        <v>416</v>
      </c>
      <c r="E180" s="50">
        <f>VLOOKUP(PlanGrid[[#This Row],[Title]],'Spec Wattages'!$A$1:$C$973,2,FALSE)</f>
        <v>50</v>
      </c>
      <c r="F180" s="38">
        <v>1</v>
      </c>
      <c r="G180" s="39">
        <v>0.9</v>
      </c>
      <c r="H180" s="58">
        <f>PlanGrid[[#This Row],[Spec Wattage]]*PlanGrid[[#This Row],[Equipment Count]]</f>
        <v>50</v>
      </c>
      <c r="I180" s="50">
        <f>((PlanGrid[[#This Row],[Demand Watt]]*PlanGrid[[#This Row],[Utilization %]]*'Schedule-Building Info'!$N$16)/1000)</f>
        <v>246.375</v>
      </c>
      <c r="J180" s="57">
        <f>PlanGrid[[#This Row],[kWh/yr]]*' Elec Utility (kWh)'!$M$7</f>
        <v>26.266861676011235</v>
      </c>
      <c r="K180" s="38">
        <f>PlanGrid[[#This Row],[kWh/yr]]/'Schedule-Building Info'!$B$6</f>
        <v>4.0516206482593036E-3</v>
      </c>
      <c r="L180" s="50">
        <f>CONVERT(PlanGrid[[#This Row],[kWh/yr]],"Wh","BTU")</f>
        <v>840.66639486189661</v>
      </c>
      <c r="M180" s="38">
        <f>PlanGrid[[#This Row],[kBtu/yr]]/'Schedule-Building Info'!$B$6</f>
        <v>1.3824703495566391E-2</v>
      </c>
      <c r="N180" t="s">
        <v>1092</v>
      </c>
      <c r="O180">
        <v>0</v>
      </c>
      <c r="P180" t="str">
        <f>VLOOKUP(PlanGrid[[#This Row],[Title]],'Spec Wattages'!$A$1:$C$973,3,FALSE)</f>
        <v>Plug Load</v>
      </c>
      <c r="Q180" t="s">
        <v>938</v>
      </c>
      <c r="R180" t="s">
        <v>938</v>
      </c>
      <c r="S180" t="s">
        <v>51</v>
      </c>
    </row>
    <row r="181" spans="1:19" x14ac:dyDescent="0.25">
      <c r="A181">
        <v>198</v>
      </c>
      <c r="B181" t="s">
        <v>20</v>
      </c>
      <c r="C181" t="s">
        <v>416</v>
      </c>
      <c r="E181" s="50">
        <f>VLOOKUP(PlanGrid[[#This Row],[Title]],'Spec Wattages'!$A$1:$C$973,2,FALSE)</f>
        <v>50</v>
      </c>
      <c r="F181" s="38">
        <v>1</v>
      </c>
      <c r="G181" s="39">
        <v>0.9</v>
      </c>
      <c r="H181" s="58">
        <f>PlanGrid[[#This Row],[Spec Wattage]]*PlanGrid[[#This Row],[Equipment Count]]</f>
        <v>50</v>
      </c>
      <c r="I181" s="50">
        <f>((PlanGrid[[#This Row],[Demand Watt]]*PlanGrid[[#This Row],[Utilization %]]*'Schedule-Building Info'!$N$16)/1000)</f>
        <v>246.375</v>
      </c>
      <c r="J181" s="57">
        <f>PlanGrid[[#This Row],[kWh/yr]]*' Elec Utility (kWh)'!$M$7</f>
        <v>26.266861676011235</v>
      </c>
      <c r="K181" s="38">
        <f>PlanGrid[[#This Row],[kWh/yr]]/'Schedule-Building Info'!$B$6</f>
        <v>4.0516206482593036E-3</v>
      </c>
      <c r="L181" s="50">
        <f>CONVERT(PlanGrid[[#This Row],[kWh/yr]],"Wh","BTU")</f>
        <v>840.66639486189661</v>
      </c>
      <c r="M181" s="38">
        <f>PlanGrid[[#This Row],[kBtu/yr]]/'Schedule-Building Info'!$B$6</f>
        <v>1.3824703495566391E-2</v>
      </c>
      <c r="N181" t="s">
        <v>1092</v>
      </c>
      <c r="O181">
        <v>0</v>
      </c>
      <c r="P181" t="str">
        <f>VLOOKUP(PlanGrid[[#This Row],[Title]],'Spec Wattages'!$A$1:$C$973,3,FALSE)</f>
        <v>Plug Load</v>
      </c>
      <c r="Q181" t="s">
        <v>752</v>
      </c>
      <c r="R181" t="s">
        <v>960</v>
      </c>
      <c r="S181" t="s">
        <v>11</v>
      </c>
    </row>
    <row r="182" spans="1:19" x14ac:dyDescent="0.25">
      <c r="A182">
        <v>199</v>
      </c>
      <c r="B182" t="s">
        <v>20</v>
      </c>
      <c r="C182" t="s">
        <v>416</v>
      </c>
      <c r="E182" s="50">
        <f>VLOOKUP(PlanGrid[[#This Row],[Title]],'Spec Wattages'!$A$1:$C$973,2,FALSE)</f>
        <v>50</v>
      </c>
      <c r="F182" s="38">
        <v>1</v>
      </c>
      <c r="G182" s="39">
        <v>0.9</v>
      </c>
      <c r="H182" s="58">
        <f>PlanGrid[[#This Row],[Spec Wattage]]*PlanGrid[[#This Row],[Equipment Count]]</f>
        <v>50</v>
      </c>
      <c r="I182" s="50">
        <f>((PlanGrid[[#This Row],[Demand Watt]]*PlanGrid[[#This Row],[Utilization %]]*'Schedule-Building Info'!$N$16)/1000)</f>
        <v>246.375</v>
      </c>
      <c r="J182" s="57">
        <f>PlanGrid[[#This Row],[kWh/yr]]*' Elec Utility (kWh)'!$M$7</f>
        <v>26.266861676011235</v>
      </c>
      <c r="K182" s="38">
        <f>PlanGrid[[#This Row],[kWh/yr]]/'Schedule-Building Info'!$B$6</f>
        <v>4.0516206482593036E-3</v>
      </c>
      <c r="L182" s="50">
        <f>CONVERT(PlanGrid[[#This Row],[kWh/yr]],"Wh","BTU")</f>
        <v>840.66639486189661</v>
      </c>
      <c r="M182" s="38">
        <f>PlanGrid[[#This Row],[kBtu/yr]]/'Schedule-Building Info'!$B$6</f>
        <v>1.3824703495566391E-2</v>
      </c>
      <c r="N182" t="s">
        <v>1092</v>
      </c>
      <c r="O182">
        <v>0</v>
      </c>
      <c r="P182" t="str">
        <f>VLOOKUP(PlanGrid[[#This Row],[Title]],'Spec Wattages'!$A$1:$C$973,3,FALSE)</f>
        <v>Plug Load</v>
      </c>
      <c r="Q182" t="s">
        <v>960</v>
      </c>
      <c r="R182" t="s">
        <v>960</v>
      </c>
      <c r="S182" t="s">
        <v>51</v>
      </c>
    </row>
    <row r="183" spans="1:19" x14ac:dyDescent="0.25">
      <c r="A183">
        <v>210</v>
      </c>
      <c r="B183" t="s">
        <v>20</v>
      </c>
      <c r="C183" t="s">
        <v>416</v>
      </c>
      <c r="E183" s="50">
        <f>VLOOKUP(PlanGrid[[#This Row],[Title]],'Spec Wattages'!$A$1:$C$973,2,FALSE)</f>
        <v>50</v>
      </c>
      <c r="F183" s="38">
        <v>1</v>
      </c>
      <c r="G183" s="39">
        <v>0.9</v>
      </c>
      <c r="H183" s="58">
        <f>PlanGrid[[#This Row],[Spec Wattage]]*PlanGrid[[#This Row],[Equipment Count]]</f>
        <v>50</v>
      </c>
      <c r="I183" s="50">
        <f>((PlanGrid[[#This Row],[Demand Watt]]*PlanGrid[[#This Row],[Utilization %]]*'Schedule-Building Info'!$N$16)/1000)</f>
        <v>246.375</v>
      </c>
      <c r="J183" s="57">
        <f>PlanGrid[[#This Row],[kWh/yr]]*' Elec Utility (kWh)'!$M$7</f>
        <v>26.266861676011235</v>
      </c>
      <c r="K183" s="38">
        <f>PlanGrid[[#This Row],[kWh/yr]]/'Schedule-Building Info'!$B$6</f>
        <v>4.0516206482593036E-3</v>
      </c>
      <c r="L183" s="50">
        <f>CONVERT(PlanGrid[[#This Row],[kWh/yr]],"Wh","BTU")</f>
        <v>840.66639486189661</v>
      </c>
      <c r="M183" s="38">
        <f>PlanGrid[[#This Row],[kBtu/yr]]/'Schedule-Building Info'!$B$6</f>
        <v>1.3824703495566391E-2</v>
      </c>
      <c r="N183" t="s">
        <v>1092</v>
      </c>
      <c r="O183">
        <v>0</v>
      </c>
      <c r="P183" t="str">
        <f>VLOOKUP(PlanGrid[[#This Row],[Title]],'Spec Wattages'!$A$1:$C$973,3,FALSE)</f>
        <v>Plug Load</v>
      </c>
      <c r="Q183" t="s">
        <v>966</v>
      </c>
      <c r="R183" t="s">
        <v>966</v>
      </c>
      <c r="S183" t="s">
        <v>51</v>
      </c>
    </row>
    <row r="184" spans="1:19" x14ac:dyDescent="0.25">
      <c r="A184">
        <v>214</v>
      </c>
      <c r="B184" t="s">
        <v>20</v>
      </c>
      <c r="C184" t="s">
        <v>416</v>
      </c>
      <c r="E184" s="50">
        <f>VLOOKUP(PlanGrid[[#This Row],[Title]],'Spec Wattages'!$A$1:$C$973,2,FALSE)</f>
        <v>50</v>
      </c>
      <c r="F184" s="38">
        <v>1</v>
      </c>
      <c r="G184" s="39">
        <v>0.9</v>
      </c>
      <c r="H184" s="58">
        <f>PlanGrid[[#This Row],[Spec Wattage]]*PlanGrid[[#This Row],[Equipment Count]]</f>
        <v>50</v>
      </c>
      <c r="I184" s="50">
        <f>((PlanGrid[[#This Row],[Demand Watt]]*PlanGrid[[#This Row],[Utilization %]]*'Schedule-Building Info'!$N$16)/1000)</f>
        <v>246.375</v>
      </c>
      <c r="J184" s="57">
        <f>PlanGrid[[#This Row],[kWh/yr]]*' Elec Utility (kWh)'!$M$7</f>
        <v>26.266861676011235</v>
      </c>
      <c r="K184" s="38">
        <f>PlanGrid[[#This Row],[kWh/yr]]/'Schedule-Building Info'!$B$6</f>
        <v>4.0516206482593036E-3</v>
      </c>
      <c r="L184" s="50">
        <f>CONVERT(PlanGrid[[#This Row],[kWh/yr]],"Wh","BTU")</f>
        <v>840.66639486189661</v>
      </c>
      <c r="M184" s="38">
        <f>PlanGrid[[#This Row],[kBtu/yr]]/'Schedule-Building Info'!$B$6</f>
        <v>1.3824703495566391E-2</v>
      </c>
      <c r="N184" t="s">
        <v>1092</v>
      </c>
      <c r="O184">
        <v>0</v>
      </c>
      <c r="P184" t="str">
        <f>VLOOKUP(PlanGrid[[#This Row],[Title]],'Spec Wattages'!$A$1:$C$973,3,FALSE)</f>
        <v>Plug Load</v>
      </c>
      <c r="Q184" t="s">
        <v>967</v>
      </c>
      <c r="R184" t="s">
        <v>754</v>
      </c>
      <c r="S184" t="s">
        <v>11</v>
      </c>
    </row>
    <row r="185" spans="1:19" x14ac:dyDescent="0.25">
      <c r="A185">
        <v>223</v>
      </c>
      <c r="B185" t="s">
        <v>20</v>
      </c>
      <c r="C185" t="s">
        <v>416</v>
      </c>
      <c r="E185" s="50">
        <f>VLOOKUP(PlanGrid[[#This Row],[Title]],'Spec Wattages'!$A$1:$C$973,2,FALSE)</f>
        <v>50</v>
      </c>
      <c r="F185" s="38">
        <v>1</v>
      </c>
      <c r="G185" s="39">
        <v>0.9</v>
      </c>
      <c r="H185" s="58">
        <f>PlanGrid[[#This Row],[Spec Wattage]]*PlanGrid[[#This Row],[Equipment Count]]</f>
        <v>50</v>
      </c>
      <c r="I185" s="50">
        <f>((PlanGrid[[#This Row],[Demand Watt]]*PlanGrid[[#This Row],[Utilization %]]*'Schedule-Building Info'!$N$16)/1000)</f>
        <v>246.375</v>
      </c>
      <c r="J185" s="57">
        <f>PlanGrid[[#This Row],[kWh/yr]]*' Elec Utility (kWh)'!$M$7</f>
        <v>26.266861676011235</v>
      </c>
      <c r="K185" s="38">
        <f>PlanGrid[[#This Row],[kWh/yr]]/'Schedule-Building Info'!$B$6</f>
        <v>4.0516206482593036E-3</v>
      </c>
      <c r="L185" s="50">
        <f>CONVERT(PlanGrid[[#This Row],[kWh/yr]],"Wh","BTU")</f>
        <v>840.66639486189661</v>
      </c>
      <c r="M185" s="38">
        <f>PlanGrid[[#This Row],[kBtu/yr]]/'Schedule-Building Info'!$B$6</f>
        <v>1.3824703495566391E-2</v>
      </c>
      <c r="N185" t="s">
        <v>1092</v>
      </c>
      <c r="O185">
        <v>0</v>
      </c>
      <c r="P185" t="str">
        <f>VLOOKUP(PlanGrid[[#This Row],[Title]],'Spec Wattages'!$A$1:$C$973,3,FALSE)</f>
        <v>Plug Load</v>
      </c>
      <c r="Q185" t="s">
        <v>954</v>
      </c>
      <c r="R185" t="s">
        <v>954</v>
      </c>
      <c r="S185" t="s">
        <v>51</v>
      </c>
    </row>
    <row r="186" spans="1:19" x14ac:dyDescent="0.25">
      <c r="A186">
        <v>232</v>
      </c>
      <c r="B186" t="s">
        <v>20</v>
      </c>
      <c r="C186" t="s">
        <v>416</v>
      </c>
      <c r="E186" s="50">
        <f>VLOOKUP(PlanGrid[[#This Row],[Title]],'Spec Wattages'!$A$1:$C$973,2,FALSE)</f>
        <v>50</v>
      </c>
      <c r="F186" s="38">
        <v>1</v>
      </c>
      <c r="G186" s="39">
        <v>0.9</v>
      </c>
      <c r="H186" s="58">
        <f>PlanGrid[[#This Row],[Spec Wattage]]*PlanGrid[[#This Row],[Equipment Count]]</f>
        <v>50</v>
      </c>
      <c r="I186" s="50">
        <f>((PlanGrid[[#This Row],[Demand Watt]]*PlanGrid[[#This Row],[Utilization %]]*'Schedule-Building Info'!$N$16)/1000)</f>
        <v>246.375</v>
      </c>
      <c r="J186" s="57">
        <f>PlanGrid[[#This Row],[kWh/yr]]*' Elec Utility (kWh)'!$M$7</f>
        <v>26.266861676011235</v>
      </c>
      <c r="K186" s="38">
        <f>PlanGrid[[#This Row],[kWh/yr]]/'Schedule-Building Info'!$B$6</f>
        <v>4.0516206482593036E-3</v>
      </c>
      <c r="L186" s="50">
        <f>CONVERT(PlanGrid[[#This Row],[kWh/yr]],"Wh","BTU")</f>
        <v>840.66639486189661</v>
      </c>
      <c r="M186" s="38">
        <f>PlanGrid[[#This Row],[kBtu/yr]]/'Schedule-Building Info'!$B$6</f>
        <v>1.3824703495566391E-2</v>
      </c>
      <c r="N186" t="s">
        <v>1092</v>
      </c>
      <c r="O186">
        <v>0</v>
      </c>
      <c r="P186" t="str">
        <f>VLOOKUP(PlanGrid[[#This Row],[Title]],'Spec Wattages'!$A$1:$C$973,3,FALSE)</f>
        <v>Plug Load</v>
      </c>
      <c r="Q186" t="s">
        <v>793</v>
      </c>
      <c r="R186" t="s">
        <v>752</v>
      </c>
      <c r="S186" t="s">
        <v>11</v>
      </c>
    </row>
    <row r="187" spans="1:19" x14ac:dyDescent="0.25">
      <c r="A187">
        <v>233</v>
      </c>
      <c r="B187" t="s">
        <v>20</v>
      </c>
      <c r="C187" t="s">
        <v>416</v>
      </c>
      <c r="E187" s="50">
        <f>VLOOKUP(PlanGrid[[#This Row],[Title]],'Spec Wattages'!$A$1:$C$973,2,FALSE)</f>
        <v>50</v>
      </c>
      <c r="F187" s="38">
        <v>1</v>
      </c>
      <c r="G187" s="39">
        <v>0.9</v>
      </c>
      <c r="H187" s="58">
        <f>PlanGrid[[#This Row],[Spec Wattage]]*PlanGrid[[#This Row],[Equipment Count]]</f>
        <v>50</v>
      </c>
      <c r="I187" s="50">
        <f>((PlanGrid[[#This Row],[Demand Watt]]*PlanGrid[[#This Row],[Utilization %]]*'Schedule-Building Info'!$N$16)/1000)</f>
        <v>246.375</v>
      </c>
      <c r="J187" s="57">
        <f>PlanGrid[[#This Row],[kWh/yr]]*' Elec Utility (kWh)'!$M$7</f>
        <v>26.266861676011235</v>
      </c>
      <c r="K187" s="38">
        <f>PlanGrid[[#This Row],[kWh/yr]]/'Schedule-Building Info'!$B$6</f>
        <v>4.0516206482593036E-3</v>
      </c>
      <c r="L187" s="50">
        <f>CONVERT(PlanGrid[[#This Row],[kWh/yr]],"Wh","BTU")</f>
        <v>840.66639486189661</v>
      </c>
      <c r="M187" s="38">
        <f>PlanGrid[[#This Row],[kBtu/yr]]/'Schedule-Building Info'!$B$6</f>
        <v>1.3824703495566391E-2</v>
      </c>
      <c r="N187" t="s">
        <v>1092</v>
      </c>
      <c r="O187">
        <v>0</v>
      </c>
      <c r="P187" t="str">
        <f>VLOOKUP(PlanGrid[[#This Row],[Title]],'Spec Wattages'!$A$1:$C$973,3,FALSE)</f>
        <v>Plug Load</v>
      </c>
      <c r="Q187" t="s">
        <v>793</v>
      </c>
      <c r="R187" t="s">
        <v>752</v>
      </c>
      <c r="S187" t="s">
        <v>11</v>
      </c>
    </row>
    <row r="188" spans="1:19" x14ac:dyDescent="0.25">
      <c r="A188">
        <v>250</v>
      </c>
      <c r="B188" t="s">
        <v>20</v>
      </c>
      <c r="C188" t="s">
        <v>416</v>
      </c>
      <c r="E188" s="50">
        <f>VLOOKUP(PlanGrid[[#This Row],[Title]],'Spec Wattages'!$A$1:$C$973,2,FALSE)</f>
        <v>50</v>
      </c>
      <c r="F188" s="38">
        <v>1</v>
      </c>
      <c r="G188" s="39">
        <v>0.9</v>
      </c>
      <c r="H188" s="58">
        <f>PlanGrid[[#This Row],[Spec Wattage]]*PlanGrid[[#This Row],[Equipment Count]]</f>
        <v>50</v>
      </c>
      <c r="I188" s="50">
        <f>((PlanGrid[[#This Row],[Demand Watt]]*PlanGrid[[#This Row],[Utilization %]]*'Schedule-Building Info'!$N$16)/1000)</f>
        <v>246.375</v>
      </c>
      <c r="J188" s="57">
        <f>PlanGrid[[#This Row],[kWh/yr]]*' Elec Utility (kWh)'!$M$7</f>
        <v>26.266861676011235</v>
      </c>
      <c r="K188" s="38">
        <f>PlanGrid[[#This Row],[kWh/yr]]/'Schedule-Building Info'!$B$6</f>
        <v>4.0516206482593036E-3</v>
      </c>
      <c r="L188" s="50">
        <f>CONVERT(PlanGrid[[#This Row],[kWh/yr]],"Wh","BTU")</f>
        <v>840.66639486189661</v>
      </c>
      <c r="M188" s="38">
        <f>PlanGrid[[#This Row],[kBtu/yr]]/'Schedule-Building Info'!$B$6</f>
        <v>1.3824703495566391E-2</v>
      </c>
      <c r="N188" t="s">
        <v>1092</v>
      </c>
      <c r="O188">
        <v>0</v>
      </c>
      <c r="P188" t="str">
        <f>VLOOKUP(PlanGrid[[#This Row],[Title]],'Spec Wattages'!$A$1:$C$973,3,FALSE)</f>
        <v>Plug Load</v>
      </c>
      <c r="Q188" t="s">
        <v>978</v>
      </c>
      <c r="R188" t="s">
        <v>978</v>
      </c>
      <c r="S188" t="s">
        <v>51</v>
      </c>
    </row>
    <row r="189" spans="1:19" x14ac:dyDescent="0.25">
      <c r="A189">
        <v>271</v>
      </c>
      <c r="B189" t="s">
        <v>20</v>
      </c>
      <c r="C189" t="s">
        <v>416</v>
      </c>
      <c r="E189" s="50">
        <f>VLOOKUP(PlanGrid[[#This Row],[Title]],'Spec Wattages'!$A$1:$C$973,2,FALSE)</f>
        <v>50</v>
      </c>
      <c r="F189" s="38">
        <v>1</v>
      </c>
      <c r="G189" s="39">
        <v>0.9</v>
      </c>
      <c r="H189" s="58">
        <f>PlanGrid[[#This Row],[Spec Wattage]]*PlanGrid[[#This Row],[Equipment Count]]</f>
        <v>50</v>
      </c>
      <c r="I189" s="50">
        <f>((PlanGrid[[#This Row],[Demand Watt]]*PlanGrid[[#This Row],[Utilization %]]*'Schedule-Building Info'!$N$16)/1000)</f>
        <v>246.375</v>
      </c>
      <c r="J189" s="57">
        <f>PlanGrid[[#This Row],[kWh/yr]]*' Elec Utility (kWh)'!$M$7</f>
        <v>26.266861676011235</v>
      </c>
      <c r="K189" s="38">
        <f>PlanGrid[[#This Row],[kWh/yr]]/'Schedule-Building Info'!$B$6</f>
        <v>4.0516206482593036E-3</v>
      </c>
      <c r="L189" s="50">
        <f>CONVERT(PlanGrid[[#This Row],[kWh/yr]],"Wh","BTU")</f>
        <v>840.66639486189661</v>
      </c>
      <c r="M189" s="38">
        <f>PlanGrid[[#This Row],[kBtu/yr]]/'Schedule-Building Info'!$B$6</f>
        <v>1.3824703495566391E-2</v>
      </c>
      <c r="N189" t="s">
        <v>1092</v>
      </c>
      <c r="O189">
        <v>0</v>
      </c>
      <c r="P189" t="str">
        <f>VLOOKUP(PlanGrid[[#This Row],[Title]],'Spec Wattages'!$A$1:$C$973,3,FALSE)</f>
        <v>Plug Load</v>
      </c>
      <c r="Q189" t="s">
        <v>983</v>
      </c>
      <c r="R189" t="s">
        <v>872</v>
      </c>
      <c r="S189" t="s">
        <v>11</v>
      </c>
    </row>
    <row r="190" spans="1:19" x14ac:dyDescent="0.25">
      <c r="A190">
        <v>274</v>
      </c>
      <c r="B190" t="s">
        <v>20</v>
      </c>
      <c r="C190" t="s">
        <v>416</v>
      </c>
      <c r="E190" s="50">
        <f>VLOOKUP(PlanGrid[[#This Row],[Title]],'Spec Wattages'!$A$1:$C$973,2,FALSE)</f>
        <v>50</v>
      </c>
      <c r="F190" s="38">
        <v>1</v>
      </c>
      <c r="G190" s="39">
        <v>0.9</v>
      </c>
      <c r="H190" s="58">
        <f>PlanGrid[[#This Row],[Spec Wattage]]*PlanGrid[[#This Row],[Equipment Count]]</f>
        <v>50</v>
      </c>
      <c r="I190" s="50">
        <f>((PlanGrid[[#This Row],[Demand Watt]]*PlanGrid[[#This Row],[Utilization %]]*'Schedule-Building Info'!$N$16)/1000)</f>
        <v>246.375</v>
      </c>
      <c r="J190" s="57">
        <f>PlanGrid[[#This Row],[kWh/yr]]*' Elec Utility (kWh)'!$M$7</f>
        <v>26.266861676011235</v>
      </c>
      <c r="K190" s="38">
        <f>PlanGrid[[#This Row],[kWh/yr]]/'Schedule-Building Info'!$B$6</f>
        <v>4.0516206482593036E-3</v>
      </c>
      <c r="L190" s="50">
        <f>CONVERT(PlanGrid[[#This Row],[kWh/yr]],"Wh","BTU")</f>
        <v>840.66639486189661</v>
      </c>
      <c r="M190" s="38">
        <f>PlanGrid[[#This Row],[kBtu/yr]]/'Schedule-Building Info'!$B$6</f>
        <v>1.3824703495566391E-2</v>
      </c>
      <c r="N190" t="s">
        <v>1092</v>
      </c>
      <c r="O190">
        <v>0</v>
      </c>
      <c r="P190" t="str">
        <f>VLOOKUP(PlanGrid[[#This Row],[Title]],'Spec Wattages'!$A$1:$C$973,3,FALSE)</f>
        <v>Plug Load</v>
      </c>
      <c r="Q190" t="s">
        <v>985</v>
      </c>
      <c r="R190" t="s">
        <v>985</v>
      </c>
      <c r="S190" t="s">
        <v>51</v>
      </c>
    </row>
    <row r="191" spans="1:19" x14ac:dyDescent="0.25">
      <c r="A191">
        <v>286</v>
      </c>
      <c r="B191" t="s">
        <v>20</v>
      </c>
      <c r="C191" t="s">
        <v>416</v>
      </c>
      <c r="E191" s="50">
        <f>VLOOKUP(PlanGrid[[#This Row],[Title]],'Spec Wattages'!$A$1:$C$973,2,FALSE)</f>
        <v>50</v>
      </c>
      <c r="F191" s="38">
        <v>1</v>
      </c>
      <c r="G191" s="39">
        <v>0.9</v>
      </c>
      <c r="H191" s="58">
        <f>PlanGrid[[#This Row],[Spec Wattage]]*PlanGrid[[#This Row],[Equipment Count]]</f>
        <v>50</v>
      </c>
      <c r="I191" s="50">
        <f>((PlanGrid[[#This Row],[Demand Watt]]*PlanGrid[[#This Row],[Utilization %]]*'Schedule-Building Info'!$N$16)/1000)</f>
        <v>246.375</v>
      </c>
      <c r="J191" s="57">
        <f>PlanGrid[[#This Row],[kWh/yr]]*' Elec Utility (kWh)'!$M$7</f>
        <v>26.266861676011235</v>
      </c>
      <c r="K191" s="38">
        <f>PlanGrid[[#This Row],[kWh/yr]]/'Schedule-Building Info'!$B$6</f>
        <v>4.0516206482593036E-3</v>
      </c>
      <c r="L191" s="50">
        <f>CONVERT(PlanGrid[[#This Row],[kWh/yr]],"Wh","BTU")</f>
        <v>840.66639486189661</v>
      </c>
      <c r="M191" s="38">
        <f>PlanGrid[[#This Row],[kBtu/yr]]/'Schedule-Building Info'!$B$6</f>
        <v>1.3824703495566391E-2</v>
      </c>
      <c r="N191" t="s">
        <v>1092</v>
      </c>
      <c r="O191">
        <v>0</v>
      </c>
      <c r="P191" t="str">
        <f>VLOOKUP(PlanGrid[[#This Row],[Title]],'Spec Wattages'!$A$1:$C$973,3,FALSE)</f>
        <v>Plug Load</v>
      </c>
      <c r="Q191" t="s">
        <v>757</v>
      </c>
      <c r="R191" t="s">
        <v>1042</v>
      </c>
      <c r="S191" t="s">
        <v>11</v>
      </c>
    </row>
    <row r="192" spans="1:19" x14ac:dyDescent="0.25">
      <c r="A192">
        <v>292</v>
      </c>
      <c r="B192" t="s">
        <v>20</v>
      </c>
      <c r="C192" t="s">
        <v>416</v>
      </c>
      <c r="E192" s="50">
        <f>VLOOKUP(PlanGrid[[#This Row],[Title]],'Spec Wattages'!$A$1:$C$973,2,FALSE)</f>
        <v>50</v>
      </c>
      <c r="F192" s="38">
        <v>1</v>
      </c>
      <c r="G192" s="39">
        <v>0.9</v>
      </c>
      <c r="H192" s="58">
        <f>PlanGrid[[#This Row],[Spec Wattage]]*PlanGrid[[#This Row],[Equipment Count]]</f>
        <v>50</v>
      </c>
      <c r="I192" s="50">
        <f>((PlanGrid[[#This Row],[Demand Watt]]*PlanGrid[[#This Row],[Utilization %]]*'Schedule-Building Info'!$N$16)/1000)</f>
        <v>246.375</v>
      </c>
      <c r="J192" s="57">
        <f>PlanGrid[[#This Row],[kWh/yr]]*' Elec Utility (kWh)'!$M$7</f>
        <v>26.266861676011235</v>
      </c>
      <c r="K192" s="38">
        <f>PlanGrid[[#This Row],[kWh/yr]]/'Schedule-Building Info'!$B$6</f>
        <v>4.0516206482593036E-3</v>
      </c>
      <c r="L192" s="50">
        <f>CONVERT(PlanGrid[[#This Row],[kWh/yr]],"Wh","BTU")</f>
        <v>840.66639486189661</v>
      </c>
      <c r="M192" s="38">
        <f>PlanGrid[[#This Row],[kBtu/yr]]/'Schedule-Building Info'!$B$6</f>
        <v>1.3824703495566391E-2</v>
      </c>
      <c r="N192" t="s">
        <v>1092</v>
      </c>
      <c r="O192">
        <v>0</v>
      </c>
      <c r="P192" t="str">
        <f>VLOOKUP(PlanGrid[[#This Row],[Title]],'Spec Wattages'!$A$1:$C$973,3,FALSE)</f>
        <v>Plug Load</v>
      </c>
      <c r="Q192" t="s">
        <v>875</v>
      </c>
      <c r="R192" t="s">
        <v>1042</v>
      </c>
      <c r="S192" t="s">
        <v>11</v>
      </c>
    </row>
    <row r="193" spans="1:19" x14ac:dyDescent="0.25">
      <c r="A193">
        <v>298</v>
      </c>
      <c r="B193" t="s">
        <v>20</v>
      </c>
      <c r="C193" t="s">
        <v>416</v>
      </c>
      <c r="E193" s="50">
        <f>VLOOKUP(PlanGrid[[#This Row],[Title]],'Spec Wattages'!$A$1:$C$973,2,FALSE)</f>
        <v>50</v>
      </c>
      <c r="F193" s="38">
        <v>1</v>
      </c>
      <c r="G193" s="39">
        <v>0.9</v>
      </c>
      <c r="H193" s="58">
        <f>PlanGrid[[#This Row],[Spec Wattage]]*PlanGrid[[#This Row],[Equipment Count]]</f>
        <v>50</v>
      </c>
      <c r="I193" s="50">
        <f>((PlanGrid[[#This Row],[Demand Watt]]*PlanGrid[[#This Row],[Utilization %]]*'Schedule-Building Info'!$N$16)/1000)</f>
        <v>246.375</v>
      </c>
      <c r="J193" s="57">
        <f>PlanGrid[[#This Row],[kWh/yr]]*' Elec Utility (kWh)'!$M$7</f>
        <v>26.266861676011235</v>
      </c>
      <c r="K193" s="38">
        <f>PlanGrid[[#This Row],[kWh/yr]]/'Schedule-Building Info'!$B$6</f>
        <v>4.0516206482593036E-3</v>
      </c>
      <c r="L193" s="50">
        <f>CONVERT(PlanGrid[[#This Row],[kWh/yr]],"Wh","BTU")</f>
        <v>840.66639486189661</v>
      </c>
      <c r="M193" s="38">
        <f>PlanGrid[[#This Row],[kBtu/yr]]/'Schedule-Building Info'!$B$6</f>
        <v>1.3824703495566391E-2</v>
      </c>
      <c r="N193" t="s">
        <v>1092</v>
      </c>
      <c r="O193">
        <v>0</v>
      </c>
      <c r="P193" t="str">
        <f>VLOOKUP(PlanGrid[[#This Row],[Title]],'Spec Wattages'!$A$1:$C$973,3,FALSE)</f>
        <v>Plug Load</v>
      </c>
      <c r="Q193" t="s">
        <v>989</v>
      </c>
      <c r="R193" t="s">
        <v>1042</v>
      </c>
      <c r="S193" t="s">
        <v>11</v>
      </c>
    </row>
    <row r="194" spans="1:19" x14ac:dyDescent="0.25">
      <c r="A194">
        <v>323</v>
      </c>
      <c r="B194" t="s">
        <v>20</v>
      </c>
      <c r="C194" t="s">
        <v>416</v>
      </c>
      <c r="E194" s="50">
        <f>VLOOKUP(PlanGrid[[#This Row],[Title]],'Spec Wattages'!$A$1:$C$973,2,FALSE)</f>
        <v>50</v>
      </c>
      <c r="F194" s="38">
        <v>1</v>
      </c>
      <c r="G194" s="39">
        <v>0.9</v>
      </c>
      <c r="H194" s="58">
        <f>PlanGrid[[#This Row],[Spec Wattage]]*PlanGrid[[#This Row],[Equipment Count]]</f>
        <v>50</v>
      </c>
      <c r="I194" s="50">
        <f>((PlanGrid[[#This Row],[Demand Watt]]*PlanGrid[[#This Row],[Utilization %]]*'Schedule-Building Info'!$N$16)/1000)</f>
        <v>246.375</v>
      </c>
      <c r="J194" s="57">
        <f>PlanGrid[[#This Row],[kWh/yr]]*' Elec Utility (kWh)'!$M$7</f>
        <v>26.266861676011235</v>
      </c>
      <c r="K194" s="38">
        <f>PlanGrid[[#This Row],[kWh/yr]]/'Schedule-Building Info'!$B$6</f>
        <v>4.0516206482593036E-3</v>
      </c>
      <c r="L194" s="50">
        <f>CONVERT(PlanGrid[[#This Row],[kWh/yr]],"Wh","BTU")</f>
        <v>840.66639486189661</v>
      </c>
      <c r="M194" s="38">
        <f>PlanGrid[[#This Row],[kBtu/yr]]/'Schedule-Building Info'!$B$6</f>
        <v>1.3824703495566391E-2</v>
      </c>
      <c r="N194" t="s">
        <v>1092</v>
      </c>
      <c r="O194">
        <v>0</v>
      </c>
      <c r="P194" t="str">
        <f>VLOOKUP(PlanGrid[[#This Row],[Title]],'Spec Wattages'!$A$1:$C$973,3,FALSE)</f>
        <v>Plug Load</v>
      </c>
      <c r="Q194" t="s">
        <v>887</v>
      </c>
      <c r="R194" t="s">
        <v>1056</v>
      </c>
      <c r="S194" t="s">
        <v>11</v>
      </c>
    </row>
    <row r="195" spans="1:19" x14ac:dyDescent="0.25">
      <c r="A195">
        <v>327</v>
      </c>
      <c r="B195" t="s">
        <v>20</v>
      </c>
      <c r="C195" t="s">
        <v>416</v>
      </c>
      <c r="E195" s="50">
        <f>VLOOKUP(PlanGrid[[#This Row],[Title]],'Spec Wattages'!$A$1:$C$973,2,FALSE)</f>
        <v>50</v>
      </c>
      <c r="F195" s="38">
        <v>1</v>
      </c>
      <c r="G195" s="39">
        <v>0.9</v>
      </c>
      <c r="H195" s="58">
        <f>PlanGrid[[#This Row],[Spec Wattage]]*PlanGrid[[#This Row],[Equipment Count]]</f>
        <v>50</v>
      </c>
      <c r="I195" s="50">
        <f>((PlanGrid[[#This Row],[Demand Watt]]*PlanGrid[[#This Row],[Utilization %]]*'Schedule-Building Info'!$N$16)/1000)</f>
        <v>246.375</v>
      </c>
      <c r="J195" s="57">
        <f>PlanGrid[[#This Row],[kWh/yr]]*' Elec Utility (kWh)'!$M$7</f>
        <v>26.266861676011235</v>
      </c>
      <c r="K195" s="38">
        <f>PlanGrid[[#This Row],[kWh/yr]]/'Schedule-Building Info'!$B$6</f>
        <v>4.0516206482593036E-3</v>
      </c>
      <c r="L195" s="50">
        <f>CONVERT(PlanGrid[[#This Row],[kWh/yr]],"Wh","BTU")</f>
        <v>840.66639486189661</v>
      </c>
      <c r="M195" s="38">
        <f>PlanGrid[[#This Row],[kBtu/yr]]/'Schedule-Building Info'!$B$6</f>
        <v>1.3824703495566391E-2</v>
      </c>
      <c r="N195" t="s">
        <v>1092</v>
      </c>
      <c r="O195">
        <v>0</v>
      </c>
      <c r="P195" t="str">
        <f>VLOOKUP(PlanGrid[[#This Row],[Title]],'Spec Wattages'!$A$1:$C$973,3,FALSE)</f>
        <v>Plug Load</v>
      </c>
      <c r="Q195" t="s">
        <v>888</v>
      </c>
      <c r="R195" t="s">
        <v>1056</v>
      </c>
      <c r="S195" t="s">
        <v>11</v>
      </c>
    </row>
    <row r="196" spans="1:19" x14ac:dyDescent="0.25">
      <c r="A196">
        <v>333</v>
      </c>
      <c r="B196" t="s">
        <v>20</v>
      </c>
      <c r="C196" t="s">
        <v>416</v>
      </c>
      <c r="E196" s="50">
        <f>VLOOKUP(PlanGrid[[#This Row],[Title]],'Spec Wattages'!$A$1:$C$973,2,FALSE)</f>
        <v>50</v>
      </c>
      <c r="F196" s="38">
        <v>1</v>
      </c>
      <c r="G196" s="39">
        <v>0.9</v>
      </c>
      <c r="H196" s="58">
        <f>PlanGrid[[#This Row],[Spec Wattage]]*PlanGrid[[#This Row],[Equipment Count]]</f>
        <v>50</v>
      </c>
      <c r="I196" s="50">
        <f>((PlanGrid[[#This Row],[Demand Watt]]*PlanGrid[[#This Row],[Utilization %]]*'Schedule-Building Info'!$N$16)/1000)</f>
        <v>246.375</v>
      </c>
      <c r="J196" s="57">
        <f>PlanGrid[[#This Row],[kWh/yr]]*' Elec Utility (kWh)'!$M$7</f>
        <v>26.266861676011235</v>
      </c>
      <c r="K196" s="38">
        <f>PlanGrid[[#This Row],[kWh/yr]]/'Schedule-Building Info'!$B$6</f>
        <v>4.0516206482593036E-3</v>
      </c>
      <c r="L196" s="50">
        <f>CONVERT(PlanGrid[[#This Row],[kWh/yr]],"Wh","BTU")</f>
        <v>840.66639486189661</v>
      </c>
      <c r="M196" s="38">
        <f>PlanGrid[[#This Row],[kBtu/yr]]/'Schedule-Building Info'!$B$6</f>
        <v>1.3824703495566391E-2</v>
      </c>
      <c r="N196" t="s">
        <v>1092</v>
      </c>
      <c r="O196">
        <v>0</v>
      </c>
      <c r="P196" t="str">
        <f>VLOOKUP(PlanGrid[[#This Row],[Title]],'Spec Wattages'!$A$1:$C$973,3,FALSE)</f>
        <v>Plug Load</v>
      </c>
      <c r="Q196" t="s">
        <v>946</v>
      </c>
      <c r="R196" t="s">
        <v>1056</v>
      </c>
      <c r="S196" t="s">
        <v>11</v>
      </c>
    </row>
    <row r="197" spans="1:19" x14ac:dyDescent="0.25">
      <c r="A197">
        <v>340</v>
      </c>
      <c r="B197" t="s">
        <v>20</v>
      </c>
      <c r="C197" t="s">
        <v>416</v>
      </c>
      <c r="E197" s="50">
        <f>VLOOKUP(PlanGrid[[#This Row],[Title]],'Spec Wattages'!$A$1:$C$973,2,FALSE)</f>
        <v>50</v>
      </c>
      <c r="F197" s="38">
        <v>1</v>
      </c>
      <c r="G197" s="39">
        <v>0.9</v>
      </c>
      <c r="H197" s="58">
        <f>PlanGrid[[#This Row],[Spec Wattage]]*PlanGrid[[#This Row],[Equipment Count]]</f>
        <v>50</v>
      </c>
      <c r="I197" s="50">
        <f>((PlanGrid[[#This Row],[Demand Watt]]*PlanGrid[[#This Row],[Utilization %]]*'Schedule-Building Info'!$N$16)/1000)</f>
        <v>246.375</v>
      </c>
      <c r="J197" s="57">
        <f>PlanGrid[[#This Row],[kWh/yr]]*' Elec Utility (kWh)'!$M$7</f>
        <v>26.266861676011235</v>
      </c>
      <c r="K197" s="38">
        <f>PlanGrid[[#This Row],[kWh/yr]]/'Schedule-Building Info'!$B$6</f>
        <v>4.0516206482593036E-3</v>
      </c>
      <c r="L197" s="50">
        <f>CONVERT(PlanGrid[[#This Row],[kWh/yr]],"Wh","BTU")</f>
        <v>840.66639486189661</v>
      </c>
      <c r="M197" s="38">
        <f>PlanGrid[[#This Row],[kBtu/yr]]/'Schedule-Building Info'!$B$6</f>
        <v>1.3824703495566391E-2</v>
      </c>
      <c r="N197" t="s">
        <v>1092</v>
      </c>
      <c r="O197">
        <v>0</v>
      </c>
      <c r="P197" t="str">
        <f>VLOOKUP(PlanGrid[[#This Row],[Title]],'Spec Wattages'!$A$1:$C$973,3,FALSE)</f>
        <v>Plug Load</v>
      </c>
      <c r="Q197" t="s">
        <v>891</v>
      </c>
      <c r="R197" t="s">
        <v>1043</v>
      </c>
      <c r="S197" t="s">
        <v>11</v>
      </c>
    </row>
    <row r="198" spans="1:19" x14ac:dyDescent="0.25">
      <c r="A198">
        <v>346</v>
      </c>
      <c r="B198" t="s">
        <v>20</v>
      </c>
      <c r="C198" t="s">
        <v>416</v>
      </c>
      <c r="E198" s="50">
        <f>VLOOKUP(PlanGrid[[#This Row],[Title]],'Spec Wattages'!$A$1:$C$973,2,FALSE)</f>
        <v>50</v>
      </c>
      <c r="F198" s="38">
        <v>1</v>
      </c>
      <c r="G198" s="39">
        <v>0.9</v>
      </c>
      <c r="H198" s="58">
        <f>PlanGrid[[#This Row],[Spec Wattage]]*PlanGrid[[#This Row],[Equipment Count]]</f>
        <v>50</v>
      </c>
      <c r="I198" s="50">
        <f>((PlanGrid[[#This Row],[Demand Watt]]*PlanGrid[[#This Row],[Utilization %]]*'Schedule-Building Info'!$N$16)/1000)</f>
        <v>246.375</v>
      </c>
      <c r="J198" s="57">
        <f>PlanGrid[[#This Row],[kWh/yr]]*' Elec Utility (kWh)'!$M$7</f>
        <v>26.266861676011235</v>
      </c>
      <c r="K198" s="38">
        <f>PlanGrid[[#This Row],[kWh/yr]]/'Schedule-Building Info'!$B$6</f>
        <v>4.0516206482593036E-3</v>
      </c>
      <c r="L198" s="50">
        <f>CONVERT(PlanGrid[[#This Row],[kWh/yr]],"Wh","BTU")</f>
        <v>840.66639486189661</v>
      </c>
      <c r="M198" s="38">
        <f>PlanGrid[[#This Row],[kBtu/yr]]/'Schedule-Building Info'!$B$6</f>
        <v>1.3824703495566391E-2</v>
      </c>
      <c r="N198" t="s">
        <v>1092</v>
      </c>
      <c r="O198">
        <v>0</v>
      </c>
      <c r="P198" t="str">
        <f>VLOOKUP(PlanGrid[[#This Row],[Title]],'Spec Wattages'!$A$1:$C$973,3,FALSE)</f>
        <v>Plug Load</v>
      </c>
      <c r="Q198" t="s">
        <v>759</v>
      </c>
      <c r="R198" t="s">
        <v>1043</v>
      </c>
      <c r="S198" t="s">
        <v>11</v>
      </c>
    </row>
    <row r="199" spans="1:19" x14ac:dyDescent="0.25">
      <c r="A199">
        <v>351</v>
      </c>
      <c r="B199" t="s">
        <v>20</v>
      </c>
      <c r="C199" t="s">
        <v>416</v>
      </c>
      <c r="E199" s="50">
        <f>VLOOKUP(PlanGrid[[#This Row],[Title]],'Spec Wattages'!$A$1:$C$973,2,FALSE)</f>
        <v>50</v>
      </c>
      <c r="F199" s="38">
        <v>1</v>
      </c>
      <c r="G199" s="39">
        <v>0.9</v>
      </c>
      <c r="H199" s="58">
        <f>PlanGrid[[#This Row],[Spec Wattage]]*PlanGrid[[#This Row],[Equipment Count]]</f>
        <v>50</v>
      </c>
      <c r="I199" s="50">
        <f>((PlanGrid[[#This Row],[Demand Watt]]*PlanGrid[[#This Row],[Utilization %]]*'Schedule-Building Info'!$N$16)/1000)</f>
        <v>246.375</v>
      </c>
      <c r="J199" s="57">
        <f>PlanGrid[[#This Row],[kWh/yr]]*' Elec Utility (kWh)'!$M$7</f>
        <v>26.266861676011235</v>
      </c>
      <c r="K199" s="38">
        <f>PlanGrid[[#This Row],[kWh/yr]]/'Schedule-Building Info'!$B$6</f>
        <v>4.0516206482593036E-3</v>
      </c>
      <c r="L199" s="50">
        <f>CONVERT(PlanGrid[[#This Row],[kWh/yr]],"Wh","BTU")</f>
        <v>840.66639486189661</v>
      </c>
      <c r="M199" s="38">
        <f>PlanGrid[[#This Row],[kBtu/yr]]/'Schedule-Building Info'!$B$6</f>
        <v>1.3824703495566391E-2</v>
      </c>
      <c r="N199" t="s">
        <v>1092</v>
      </c>
      <c r="O199">
        <v>0</v>
      </c>
      <c r="P199" t="str">
        <f>VLOOKUP(PlanGrid[[#This Row],[Title]],'Spec Wattages'!$A$1:$C$973,3,FALSE)</f>
        <v>Plug Load</v>
      </c>
      <c r="Q199" t="s">
        <v>892</v>
      </c>
      <c r="R199" t="s">
        <v>1043</v>
      </c>
      <c r="S199" t="s">
        <v>11</v>
      </c>
    </row>
    <row r="200" spans="1:19" x14ac:dyDescent="0.25">
      <c r="A200">
        <v>368</v>
      </c>
      <c r="B200" t="s">
        <v>20</v>
      </c>
      <c r="C200" t="s">
        <v>416</v>
      </c>
      <c r="E200" s="50">
        <f>VLOOKUP(PlanGrid[[#This Row],[Title]],'Spec Wattages'!$A$1:$C$973,2,FALSE)</f>
        <v>50</v>
      </c>
      <c r="F200" s="38">
        <v>1</v>
      </c>
      <c r="G200" s="39">
        <v>0.9</v>
      </c>
      <c r="H200" s="58">
        <f>PlanGrid[[#This Row],[Spec Wattage]]*PlanGrid[[#This Row],[Equipment Count]]</f>
        <v>50</v>
      </c>
      <c r="I200" s="50">
        <f>((PlanGrid[[#This Row],[Demand Watt]]*PlanGrid[[#This Row],[Utilization %]]*'Schedule-Building Info'!$N$16)/1000)</f>
        <v>246.375</v>
      </c>
      <c r="J200" s="57">
        <f>PlanGrid[[#This Row],[kWh/yr]]*' Elec Utility (kWh)'!$M$7</f>
        <v>26.266861676011235</v>
      </c>
      <c r="K200" s="38">
        <f>PlanGrid[[#This Row],[kWh/yr]]/'Schedule-Building Info'!$B$6</f>
        <v>4.0516206482593036E-3</v>
      </c>
      <c r="L200" s="50">
        <f>CONVERT(PlanGrid[[#This Row],[kWh/yr]],"Wh","BTU")</f>
        <v>840.66639486189661</v>
      </c>
      <c r="M200" s="38">
        <f>PlanGrid[[#This Row],[kBtu/yr]]/'Schedule-Building Info'!$B$6</f>
        <v>1.3824703495566391E-2</v>
      </c>
      <c r="N200" t="s">
        <v>1092</v>
      </c>
      <c r="O200">
        <v>0</v>
      </c>
      <c r="P200" t="str">
        <f>VLOOKUP(PlanGrid[[#This Row],[Title]],'Spec Wattages'!$A$1:$C$973,3,FALSE)</f>
        <v>Plug Load</v>
      </c>
      <c r="Q200" t="s">
        <v>895</v>
      </c>
      <c r="R200" t="s">
        <v>1057</v>
      </c>
      <c r="S200" t="s">
        <v>11</v>
      </c>
    </row>
    <row r="201" spans="1:19" x14ac:dyDescent="0.25">
      <c r="A201">
        <v>369</v>
      </c>
      <c r="B201" t="s">
        <v>20</v>
      </c>
      <c r="C201" t="s">
        <v>416</v>
      </c>
      <c r="E201" s="50">
        <f>VLOOKUP(PlanGrid[[#This Row],[Title]],'Spec Wattages'!$A$1:$C$973,2,FALSE)</f>
        <v>50</v>
      </c>
      <c r="F201" s="38">
        <v>1</v>
      </c>
      <c r="G201" s="39">
        <v>0.9</v>
      </c>
      <c r="H201" s="58">
        <f>PlanGrid[[#This Row],[Spec Wattage]]*PlanGrid[[#This Row],[Equipment Count]]</f>
        <v>50</v>
      </c>
      <c r="I201" s="50">
        <f>((PlanGrid[[#This Row],[Demand Watt]]*PlanGrid[[#This Row],[Utilization %]]*'Schedule-Building Info'!$N$16)/1000)</f>
        <v>246.375</v>
      </c>
      <c r="J201" s="57">
        <f>PlanGrid[[#This Row],[kWh/yr]]*' Elec Utility (kWh)'!$M$7</f>
        <v>26.266861676011235</v>
      </c>
      <c r="K201" s="38">
        <f>PlanGrid[[#This Row],[kWh/yr]]/'Schedule-Building Info'!$B$6</f>
        <v>4.0516206482593036E-3</v>
      </c>
      <c r="L201" s="50">
        <f>CONVERT(PlanGrid[[#This Row],[kWh/yr]],"Wh","BTU")</f>
        <v>840.66639486189661</v>
      </c>
      <c r="M201" s="38">
        <f>PlanGrid[[#This Row],[kBtu/yr]]/'Schedule-Building Info'!$B$6</f>
        <v>1.3824703495566391E-2</v>
      </c>
      <c r="N201" t="s">
        <v>1092</v>
      </c>
      <c r="O201">
        <v>0</v>
      </c>
      <c r="P201" t="str">
        <f>VLOOKUP(PlanGrid[[#This Row],[Title]],'Spec Wattages'!$A$1:$C$973,3,FALSE)</f>
        <v>Plug Load</v>
      </c>
      <c r="Q201" t="s">
        <v>895</v>
      </c>
      <c r="R201" t="s">
        <v>1057</v>
      </c>
      <c r="S201" t="s">
        <v>11</v>
      </c>
    </row>
    <row r="202" spans="1:19" x14ac:dyDescent="0.25">
      <c r="A202">
        <v>371</v>
      </c>
      <c r="B202" t="s">
        <v>20</v>
      </c>
      <c r="C202" t="s">
        <v>416</v>
      </c>
      <c r="E202" s="50">
        <f>VLOOKUP(PlanGrid[[#This Row],[Title]],'Spec Wattages'!$A$1:$C$973,2,FALSE)</f>
        <v>50</v>
      </c>
      <c r="F202" s="38">
        <v>1</v>
      </c>
      <c r="G202" s="39">
        <v>0.9</v>
      </c>
      <c r="H202" s="58">
        <f>PlanGrid[[#This Row],[Spec Wattage]]*PlanGrid[[#This Row],[Equipment Count]]</f>
        <v>50</v>
      </c>
      <c r="I202" s="50">
        <f>((PlanGrid[[#This Row],[Demand Watt]]*PlanGrid[[#This Row],[Utilization %]]*'Schedule-Building Info'!$N$16)/1000)</f>
        <v>246.375</v>
      </c>
      <c r="J202" s="57">
        <f>PlanGrid[[#This Row],[kWh/yr]]*' Elec Utility (kWh)'!$M$7</f>
        <v>26.266861676011235</v>
      </c>
      <c r="K202" s="38">
        <f>PlanGrid[[#This Row],[kWh/yr]]/'Schedule-Building Info'!$B$6</f>
        <v>4.0516206482593036E-3</v>
      </c>
      <c r="L202" s="50">
        <f>CONVERT(PlanGrid[[#This Row],[kWh/yr]],"Wh","BTU")</f>
        <v>840.66639486189661</v>
      </c>
      <c r="M202" s="38">
        <f>PlanGrid[[#This Row],[kBtu/yr]]/'Schedule-Building Info'!$B$6</f>
        <v>1.3824703495566391E-2</v>
      </c>
      <c r="N202" t="s">
        <v>1092</v>
      </c>
      <c r="O202">
        <v>0</v>
      </c>
      <c r="P202" t="str">
        <f>VLOOKUP(PlanGrid[[#This Row],[Title]],'Spec Wattages'!$A$1:$C$973,3,FALSE)</f>
        <v>Plug Load</v>
      </c>
      <c r="Q202" t="s">
        <v>1011</v>
      </c>
      <c r="R202" t="s">
        <v>1057</v>
      </c>
      <c r="S202" t="s">
        <v>11</v>
      </c>
    </row>
    <row r="203" spans="1:19" x14ac:dyDescent="0.25">
      <c r="A203">
        <v>372</v>
      </c>
      <c r="B203" t="s">
        <v>20</v>
      </c>
      <c r="C203" t="s">
        <v>416</v>
      </c>
      <c r="E203" s="50">
        <f>VLOOKUP(PlanGrid[[#This Row],[Title]],'Spec Wattages'!$A$1:$C$973,2,FALSE)</f>
        <v>50</v>
      </c>
      <c r="F203" s="38">
        <v>1</v>
      </c>
      <c r="G203" s="39">
        <v>0.9</v>
      </c>
      <c r="H203" s="58">
        <f>PlanGrid[[#This Row],[Spec Wattage]]*PlanGrid[[#This Row],[Equipment Count]]</f>
        <v>50</v>
      </c>
      <c r="I203" s="50">
        <f>((PlanGrid[[#This Row],[Demand Watt]]*PlanGrid[[#This Row],[Utilization %]]*'Schedule-Building Info'!$N$16)/1000)</f>
        <v>246.375</v>
      </c>
      <c r="J203" s="57">
        <f>PlanGrid[[#This Row],[kWh/yr]]*' Elec Utility (kWh)'!$M$7</f>
        <v>26.266861676011235</v>
      </c>
      <c r="K203" s="38">
        <f>PlanGrid[[#This Row],[kWh/yr]]/'Schedule-Building Info'!$B$6</f>
        <v>4.0516206482593036E-3</v>
      </c>
      <c r="L203" s="50">
        <f>CONVERT(PlanGrid[[#This Row],[kWh/yr]],"Wh","BTU")</f>
        <v>840.66639486189661</v>
      </c>
      <c r="M203" s="38">
        <f>PlanGrid[[#This Row],[kBtu/yr]]/'Schedule-Building Info'!$B$6</f>
        <v>1.3824703495566391E-2</v>
      </c>
      <c r="N203" t="s">
        <v>1092</v>
      </c>
      <c r="O203">
        <v>0</v>
      </c>
      <c r="P203" t="str">
        <f>VLOOKUP(PlanGrid[[#This Row],[Title]],'Spec Wattages'!$A$1:$C$973,3,FALSE)</f>
        <v>Plug Load</v>
      </c>
      <c r="Q203" t="s">
        <v>1011</v>
      </c>
      <c r="R203" t="s">
        <v>1057</v>
      </c>
      <c r="S203" t="s">
        <v>11</v>
      </c>
    </row>
    <row r="204" spans="1:19" x14ac:dyDescent="0.25">
      <c r="A204">
        <v>373</v>
      </c>
      <c r="B204" t="s">
        <v>20</v>
      </c>
      <c r="C204" t="s">
        <v>416</v>
      </c>
      <c r="E204" s="50">
        <f>VLOOKUP(PlanGrid[[#This Row],[Title]],'Spec Wattages'!$A$1:$C$973,2,FALSE)</f>
        <v>50</v>
      </c>
      <c r="F204" s="38">
        <v>1</v>
      </c>
      <c r="G204" s="39">
        <v>0.9</v>
      </c>
      <c r="H204" s="58">
        <f>PlanGrid[[#This Row],[Spec Wattage]]*PlanGrid[[#This Row],[Equipment Count]]</f>
        <v>50</v>
      </c>
      <c r="I204" s="50">
        <f>((PlanGrid[[#This Row],[Demand Watt]]*PlanGrid[[#This Row],[Utilization %]]*'Schedule-Building Info'!$N$16)/1000)</f>
        <v>246.375</v>
      </c>
      <c r="J204" s="57">
        <f>PlanGrid[[#This Row],[kWh/yr]]*' Elec Utility (kWh)'!$M$7</f>
        <v>26.266861676011235</v>
      </c>
      <c r="K204" s="38">
        <f>PlanGrid[[#This Row],[kWh/yr]]/'Schedule-Building Info'!$B$6</f>
        <v>4.0516206482593036E-3</v>
      </c>
      <c r="L204" s="50">
        <f>CONVERT(PlanGrid[[#This Row],[kWh/yr]],"Wh","BTU")</f>
        <v>840.66639486189661</v>
      </c>
      <c r="M204" s="38">
        <f>PlanGrid[[#This Row],[kBtu/yr]]/'Schedule-Building Info'!$B$6</f>
        <v>1.3824703495566391E-2</v>
      </c>
      <c r="N204" t="s">
        <v>1092</v>
      </c>
      <c r="O204">
        <v>0</v>
      </c>
      <c r="P204" t="str">
        <f>VLOOKUP(PlanGrid[[#This Row],[Title]],'Spec Wattages'!$A$1:$C$973,3,FALSE)</f>
        <v>Plug Load</v>
      </c>
      <c r="Q204" t="s">
        <v>1011</v>
      </c>
      <c r="R204" t="s">
        <v>1057</v>
      </c>
      <c r="S204" t="s">
        <v>11</v>
      </c>
    </row>
    <row r="205" spans="1:19" x14ac:dyDescent="0.25">
      <c r="A205">
        <v>374</v>
      </c>
      <c r="B205" t="s">
        <v>20</v>
      </c>
      <c r="C205" t="s">
        <v>416</v>
      </c>
      <c r="E205" s="50">
        <f>VLOOKUP(PlanGrid[[#This Row],[Title]],'Spec Wattages'!$A$1:$C$973,2,FALSE)</f>
        <v>50</v>
      </c>
      <c r="F205" s="38">
        <v>1</v>
      </c>
      <c r="G205" s="39">
        <v>0.9</v>
      </c>
      <c r="H205" s="58">
        <f>PlanGrid[[#This Row],[Spec Wattage]]*PlanGrid[[#This Row],[Equipment Count]]</f>
        <v>50</v>
      </c>
      <c r="I205" s="50">
        <f>((PlanGrid[[#This Row],[Demand Watt]]*PlanGrid[[#This Row],[Utilization %]]*'Schedule-Building Info'!$N$16)/1000)</f>
        <v>246.375</v>
      </c>
      <c r="J205" s="57">
        <f>PlanGrid[[#This Row],[kWh/yr]]*' Elec Utility (kWh)'!$M$7</f>
        <v>26.266861676011235</v>
      </c>
      <c r="K205" s="38">
        <f>PlanGrid[[#This Row],[kWh/yr]]/'Schedule-Building Info'!$B$6</f>
        <v>4.0516206482593036E-3</v>
      </c>
      <c r="L205" s="50">
        <f>CONVERT(PlanGrid[[#This Row],[kWh/yr]],"Wh","BTU")</f>
        <v>840.66639486189661</v>
      </c>
      <c r="M205" s="38">
        <f>PlanGrid[[#This Row],[kBtu/yr]]/'Schedule-Building Info'!$B$6</f>
        <v>1.3824703495566391E-2</v>
      </c>
      <c r="N205" t="s">
        <v>1092</v>
      </c>
      <c r="O205">
        <v>0</v>
      </c>
      <c r="P205" t="str">
        <f>VLOOKUP(PlanGrid[[#This Row],[Title]],'Spec Wattages'!$A$1:$C$973,3,FALSE)</f>
        <v>Plug Load</v>
      </c>
      <c r="Q205" t="s">
        <v>1011</v>
      </c>
      <c r="R205" t="s">
        <v>1057</v>
      </c>
      <c r="S205" t="s">
        <v>11</v>
      </c>
    </row>
    <row r="206" spans="1:19" x14ac:dyDescent="0.25">
      <c r="A206">
        <v>386</v>
      </c>
      <c r="B206" t="s">
        <v>20</v>
      </c>
      <c r="C206" t="s">
        <v>416</v>
      </c>
      <c r="E206" s="50">
        <f>VLOOKUP(PlanGrid[[#This Row],[Title]],'Spec Wattages'!$A$1:$C$973,2,FALSE)</f>
        <v>50</v>
      </c>
      <c r="F206" s="38">
        <v>1</v>
      </c>
      <c r="G206" s="39">
        <v>0.9</v>
      </c>
      <c r="H206" s="58">
        <f>PlanGrid[[#This Row],[Spec Wattage]]*PlanGrid[[#This Row],[Equipment Count]]</f>
        <v>50</v>
      </c>
      <c r="I206" s="50">
        <f>((PlanGrid[[#This Row],[Demand Watt]]*PlanGrid[[#This Row],[Utilization %]]*'Schedule-Building Info'!$N$16)/1000)</f>
        <v>246.375</v>
      </c>
      <c r="J206" s="57">
        <f>PlanGrid[[#This Row],[kWh/yr]]*' Elec Utility (kWh)'!$M$7</f>
        <v>26.266861676011235</v>
      </c>
      <c r="K206" s="38">
        <f>PlanGrid[[#This Row],[kWh/yr]]/'Schedule-Building Info'!$B$6</f>
        <v>4.0516206482593036E-3</v>
      </c>
      <c r="L206" s="50">
        <f>CONVERT(PlanGrid[[#This Row],[kWh/yr]],"Wh","BTU")</f>
        <v>840.66639486189661</v>
      </c>
      <c r="M206" s="38">
        <f>PlanGrid[[#This Row],[kBtu/yr]]/'Schedule-Building Info'!$B$6</f>
        <v>1.3824703495566391E-2</v>
      </c>
      <c r="N206" t="s">
        <v>1092</v>
      </c>
      <c r="O206">
        <v>0</v>
      </c>
      <c r="P206" t="str">
        <f>VLOOKUP(PlanGrid[[#This Row],[Title]],'Spec Wattages'!$A$1:$C$973,3,FALSE)</f>
        <v>Plug Load</v>
      </c>
      <c r="Q206" t="s">
        <v>784</v>
      </c>
      <c r="R206" t="s">
        <v>1044</v>
      </c>
      <c r="S206" t="s">
        <v>11</v>
      </c>
    </row>
    <row r="207" spans="1:19" x14ac:dyDescent="0.25">
      <c r="A207">
        <v>391</v>
      </c>
      <c r="B207" t="s">
        <v>20</v>
      </c>
      <c r="C207" t="s">
        <v>416</v>
      </c>
      <c r="E207" s="50">
        <f>VLOOKUP(PlanGrid[[#This Row],[Title]],'Spec Wattages'!$A$1:$C$973,2,FALSE)</f>
        <v>50</v>
      </c>
      <c r="F207" s="38">
        <v>1</v>
      </c>
      <c r="G207" s="39">
        <v>0.9</v>
      </c>
      <c r="H207" s="58">
        <f>PlanGrid[[#This Row],[Spec Wattage]]*PlanGrid[[#This Row],[Equipment Count]]</f>
        <v>50</v>
      </c>
      <c r="I207" s="50">
        <f>((PlanGrid[[#This Row],[Demand Watt]]*PlanGrid[[#This Row],[Utilization %]]*'Schedule-Building Info'!$N$16)/1000)</f>
        <v>246.375</v>
      </c>
      <c r="J207" s="57">
        <f>PlanGrid[[#This Row],[kWh/yr]]*' Elec Utility (kWh)'!$M$7</f>
        <v>26.266861676011235</v>
      </c>
      <c r="K207" s="38">
        <f>PlanGrid[[#This Row],[kWh/yr]]/'Schedule-Building Info'!$B$6</f>
        <v>4.0516206482593036E-3</v>
      </c>
      <c r="L207" s="50">
        <f>CONVERT(PlanGrid[[#This Row],[kWh/yr]],"Wh","BTU")</f>
        <v>840.66639486189661</v>
      </c>
      <c r="M207" s="38">
        <f>PlanGrid[[#This Row],[kBtu/yr]]/'Schedule-Building Info'!$B$6</f>
        <v>1.3824703495566391E-2</v>
      </c>
      <c r="N207" t="s">
        <v>1092</v>
      </c>
      <c r="O207">
        <v>0</v>
      </c>
      <c r="P207" t="str">
        <f>VLOOKUP(PlanGrid[[#This Row],[Title]],'Spec Wattages'!$A$1:$C$973,3,FALSE)</f>
        <v>Plug Load</v>
      </c>
      <c r="Q207" t="s">
        <v>764</v>
      </c>
      <c r="R207" t="s">
        <v>1058</v>
      </c>
      <c r="S207" t="s">
        <v>11</v>
      </c>
    </row>
    <row r="208" spans="1:19" x14ac:dyDescent="0.25">
      <c r="A208">
        <v>398</v>
      </c>
      <c r="B208" t="s">
        <v>20</v>
      </c>
      <c r="C208" t="s">
        <v>416</v>
      </c>
      <c r="E208" s="50">
        <f>VLOOKUP(PlanGrid[[#This Row],[Title]],'Spec Wattages'!$A$1:$C$973,2,FALSE)</f>
        <v>50</v>
      </c>
      <c r="F208" s="38">
        <v>1</v>
      </c>
      <c r="G208" s="39">
        <v>0.9</v>
      </c>
      <c r="H208" s="58">
        <f>PlanGrid[[#This Row],[Spec Wattage]]*PlanGrid[[#This Row],[Equipment Count]]</f>
        <v>50</v>
      </c>
      <c r="I208" s="50">
        <f>((PlanGrid[[#This Row],[Demand Watt]]*PlanGrid[[#This Row],[Utilization %]]*'Schedule-Building Info'!$N$16)/1000)</f>
        <v>246.375</v>
      </c>
      <c r="J208" s="57">
        <f>PlanGrid[[#This Row],[kWh/yr]]*' Elec Utility (kWh)'!$M$7</f>
        <v>26.266861676011235</v>
      </c>
      <c r="K208" s="38">
        <f>PlanGrid[[#This Row],[kWh/yr]]/'Schedule-Building Info'!$B$6</f>
        <v>4.0516206482593036E-3</v>
      </c>
      <c r="L208" s="50">
        <f>CONVERT(PlanGrid[[#This Row],[kWh/yr]],"Wh","BTU")</f>
        <v>840.66639486189661</v>
      </c>
      <c r="M208" s="38">
        <f>PlanGrid[[#This Row],[kBtu/yr]]/'Schedule-Building Info'!$B$6</f>
        <v>1.3824703495566391E-2</v>
      </c>
      <c r="N208" t="s">
        <v>1092</v>
      </c>
      <c r="O208">
        <v>0</v>
      </c>
      <c r="P208" t="str">
        <f>VLOOKUP(PlanGrid[[#This Row],[Title]],'Spec Wattages'!$A$1:$C$973,3,FALSE)</f>
        <v>Plug Load</v>
      </c>
      <c r="Q208" t="s">
        <v>762</v>
      </c>
      <c r="R208" t="s">
        <v>900</v>
      </c>
      <c r="S208" t="s">
        <v>11</v>
      </c>
    </row>
    <row r="209" spans="1:19" x14ac:dyDescent="0.25">
      <c r="A209">
        <v>409</v>
      </c>
      <c r="B209" t="s">
        <v>20</v>
      </c>
      <c r="C209" t="s">
        <v>416</v>
      </c>
      <c r="E209" s="50">
        <f>VLOOKUP(PlanGrid[[#This Row],[Title]],'Spec Wattages'!$A$1:$C$973,2,FALSE)</f>
        <v>50</v>
      </c>
      <c r="F209" s="38">
        <v>1</v>
      </c>
      <c r="G209" s="39">
        <v>0.9</v>
      </c>
      <c r="H209" s="58">
        <f>PlanGrid[[#This Row],[Spec Wattage]]*PlanGrid[[#This Row],[Equipment Count]]</f>
        <v>50</v>
      </c>
      <c r="I209" s="50">
        <f>((PlanGrid[[#This Row],[Demand Watt]]*PlanGrid[[#This Row],[Utilization %]]*'Schedule-Building Info'!$N$16)/1000)</f>
        <v>246.375</v>
      </c>
      <c r="J209" s="57">
        <f>PlanGrid[[#This Row],[kWh/yr]]*' Elec Utility (kWh)'!$M$7</f>
        <v>26.266861676011235</v>
      </c>
      <c r="K209" s="38">
        <f>PlanGrid[[#This Row],[kWh/yr]]/'Schedule-Building Info'!$B$6</f>
        <v>4.0516206482593036E-3</v>
      </c>
      <c r="L209" s="50">
        <f>CONVERT(PlanGrid[[#This Row],[kWh/yr]],"Wh","BTU")</f>
        <v>840.66639486189661</v>
      </c>
      <c r="M209" s="38">
        <f>PlanGrid[[#This Row],[kBtu/yr]]/'Schedule-Building Info'!$B$6</f>
        <v>1.3824703495566391E-2</v>
      </c>
      <c r="N209" t="s">
        <v>1092</v>
      </c>
      <c r="O209">
        <v>0</v>
      </c>
      <c r="P209" t="str">
        <f>VLOOKUP(PlanGrid[[#This Row],[Title]],'Spec Wattages'!$A$1:$C$973,3,FALSE)</f>
        <v>Plug Load</v>
      </c>
      <c r="Q209" t="s">
        <v>948</v>
      </c>
      <c r="R209" t="s">
        <v>1084</v>
      </c>
      <c r="S209" t="s">
        <v>11</v>
      </c>
    </row>
    <row r="210" spans="1:19" x14ac:dyDescent="0.25">
      <c r="A210">
        <v>417</v>
      </c>
      <c r="B210" t="s">
        <v>20</v>
      </c>
      <c r="C210" t="s">
        <v>416</v>
      </c>
      <c r="E210" s="50">
        <f>VLOOKUP(PlanGrid[[#This Row],[Title]],'Spec Wattages'!$A$1:$C$973,2,FALSE)</f>
        <v>50</v>
      </c>
      <c r="F210" s="38">
        <v>1</v>
      </c>
      <c r="G210" s="39">
        <v>0.9</v>
      </c>
      <c r="H210" s="58">
        <f>PlanGrid[[#This Row],[Spec Wattage]]*PlanGrid[[#This Row],[Equipment Count]]</f>
        <v>50</v>
      </c>
      <c r="I210" s="50">
        <f>((PlanGrid[[#This Row],[Demand Watt]]*PlanGrid[[#This Row],[Utilization %]]*'Schedule-Building Info'!$N$16)/1000)</f>
        <v>246.375</v>
      </c>
      <c r="J210" s="57">
        <f>PlanGrid[[#This Row],[kWh/yr]]*' Elec Utility (kWh)'!$M$7</f>
        <v>26.266861676011235</v>
      </c>
      <c r="K210" s="38">
        <f>PlanGrid[[#This Row],[kWh/yr]]/'Schedule-Building Info'!$B$6</f>
        <v>4.0516206482593036E-3</v>
      </c>
      <c r="L210" s="50">
        <f>CONVERT(PlanGrid[[#This Row],[kWh/yr]],"Wh","BTU")</f>
        <v>840.66639486189661</v>
      </c>
      <c r="M210" s="38">
        <f>PlanGrid[[#This Row],[kBtu/yr]]/'Schedule-Building Info'!$B$6</f>
        <v>1.3824703495566391E-2</v>
      </c>
      <c r="N210" t="s">
        <v>1092</v>
      </c>
      <c r="O210">
        <v>0</v>
      </c>
      <c r="P210" t="str">
        <f>VLOOKUP(PlanGrid[[#This Row],[Title]],'Spec Wattages'!$A$1:$C$973,3,FALSE)</f>
        <v>Plug Load</v>
      </c>
      <c r="Q210" t="s">
        <v>982</v>
      </c>
      <c r="R210" t="s">
        <v>784</v>
      </c>
      <c r="S210" t="s">
        <v>11</v>
      </c>
    </row>
    <row r="211" spans="1:19" x14ac:dyDescent="0.25">
      <c r="A211">
        <v>420</v>
      </c>
      <c r="B211" t="s">
        <v>20</v>
      </c>
      <c r="C211" t="s">
        <v>416</v>
      </c>
      <c r="E211" s="50">
        <f>VLOOKUP(PlanGrid[[#This Row],[Title]],'Spec Wattages'!$A$1:$C$973,2,FALSE)</f>
        <v>50</v>
      </c>
      <c r="F211" s="38">
        <v>1</v>
      </c>
      <c r="G211" s="39">
        <v>0.9</v>
      </c>
      <c r="H211" s="58">
        <f>PlanGrid[[#This Row],[Spec Wattage]]*PlanGrid[[#This Row],[Equipment Count]]</f>
        <v>50</v>
      </c>
      <c r="I211" s="50">
        <f>((PlanGrid[[#This Row],[Demand Watt]]*PlanGrid[[#This Row],[Utilization %]]*'Schedule-Building Info'!$N$16)/1000)</f>
        <v>246.375</v>
      </c>
      <c r="J211" s="57">
        <f>PlanGrid[[#This Row],[kWh/yr]]*' Elec Utility (kWh)'!$M$7</f>
        <v>26.266861676011235</v>
      </c>
      <c r="K211" s="38">
        <f>PlanGrid[[#This Row],[kWh/yr]]/'Schedule-Building Info'!$B$6</f>
        <v>4.0516206482593036E-3</v>
      </c>
      <c r="L211" s="50">
        <f>CONVERT(PlanGrid[[#This Row],[kWh/yr]],"Wh","BTU")</f>
        <v>840.66639486189661</v>
      </c>
      <c r="M211" s="38">
        <f>PlanGrid[[#This Row],[kBtu/yr]]/'Schedule-Building Info'!$B$6</f>
        <v>1.3824703495566391E-2</v>
      </c>
      <c r="N211" t="s">
        <v>1092</v>
      </c>
      <c r="O211">
        <v>0</v>
      </c>
      <c r="P211" t="str">
        <f>VLOOKUP(PlanGrid[[#This Row],[Title]],'Spec Wattages'!$A$1:$C$973,3,FALSE)</f>
        <v>Plug Load</v>
      </c>
      <c r="Q211" t="s">
        <v>764</v>
      </c>
      <c r="R211" t="s">
        <v>764</v>
      </c>
      <c r="S211" t="s">
        <v>51</v>
      </c>
    </row>
    <row r="212" spans="1:19" x14ac:dyDescent="0.25">
      <c r="A212">
        <v>445</v>
      </c>
      <c r="B212" t="s">
        <v>20</v>
      </c>
      <c r="C212" t="s">
        <v>416</v>
      </c>
      <c r="E212" s="50">
        <f>VLOOKUP(PlanGrid[[#This Row],[Title]],'Spec Wattages'!$A$1:$C$973,2,FALSE)</f>
        <v>50</v>
      </c>
      <c r="F212" s="38">
        <v>1</v>
      </c>
      <c r="G212" s="39">
        <v>0.9</v>
      </c>
      <c r="H212" s="58">
        <f>PlanGrid[[#This Row],[Spec Wattage]]*PlanGrid[[#This Row],[Equipment Count]]</f>
        <v>50</v>
      </c>
      <c r="I212" s="50">
        <f>((PlanGrid[[#This Row],[Demand Watt]]*PlanGrid[[#This Row],[Utilization %]]*'Schedule-Building Info'!$N$16)/1000)</f>
        <v>246.375</v>
      </c>
      <c r="J212" s="57">
        <f>PlanGrid[[#This Row],[kWh/yr]]*' Elec Utility (kWh)'!$M$7</f>
        <v>26.266861676011235</v>
      </c>
      <c r="K212" s="38">
        <f>PlanGrid[[#This Row],[kWh/yr]]/'Schedule-Building Info'!$B$6</f>
        <v>4.0516206482593036E-3</v>
      </c>
      <c r="L212" s="50">
        <f>CONVERT(PlanGrid[[#This Row],[kWh/yr]],"Wh","BTU")</f>
        <v>840.66639486189661</v>
      </c>
      <c r="M212" s="38">
        <f>PlanGrid[[#This Row],[kBtu/yr]]/'Schedule-Building Info'!$B$6</f>
        <v>1.3824703495566391E-2</v>
      </c>
      <c r="N212" t="s">
        <v>1092</v>
      </c>
      <c r="O212">
        <v>0</v>
      </c>
      <c r="P212" t="str">
        <f>VLOOKUP(PlanGrid[[#This Row],[Title]],'Spec Wattages'!$A$1:$C$973,3,FALSE)</f>
        <v>Plug Load</v>
      </c>
      <c r="Q212" t="s">
        <v>1014</v>
      </c>
      <c r="R212" t="s">
        <v>1014</v>
      </c>
      <c r="S212" t="s">
        <v>51</v>
      </c>
    </row>
    <row r="213" spans="1:19" x14ac:dyDescent="0.25">
      <c r="A213">
        <v>457</v>
      </c>
      <c r="B213" t="s">
        <v>20</v>
      </c>
      <c r="C213" t="s">
        <v>416</v>
      </c>
      <c r="E213" s="50">
        <f>VLOOKUP(PlanGrid[[#This Row],[Title]],'Spec Wattages'!$A$1:$C$973,2,FALSE)</f>
        <v>50</v>
      </c>
      <c r="F213" s="38">
        <v>1</v>
      </c>
      <c r="G213" s="39">
        <v>0.9</v>
      </c>
      <c r="H213" s="58">
        <f>PlanGrid[[#This Row],[Spec Wattage]]*PlanGrid[[#This Row],[Equipment Count]]</f>
        <v>50</v>
      </c>
      <c r="I213" s="50">
        <f>((PlanGrid[[#This Row],[Demand Watt]]*PlanGrid[[#This Row],[Utilization %]]*'Schedule-Building Info'!$N$16)/1000)</f>
        <v>246.375</v>
      </c>
      <c r="J213" s="57">
        <f>PlanGrid[[#This Row],[kWh/yr]]*' Elec Utility (kWh)'!$M$7</f>
        <v>26.266861676011235</v>
      </c>
      <c r="K213" s="38">
        <f>PlanGrid[[#This Row],[kWh/yr]]/'Schedule-Building Info'!$B$6</f>
        <v>4.0516206482593036E-3</v>
      </c>
      <c r="L213" s="50">
        <f>CONVERT(PlanGrid[[#This Row],[kWh/yr]],"Wh","BTU")</f>
        <v>840.66639486189661</v>
      </c>
      <c r="M213" s="38">
        <f>PlanGrid[[#This Row],[kBtu/yr]]/'Schedule-Building Info'!$B$6</f>
        <v>1.3824703495566391E-2</v>
      </c>
      <c r="N213" t="s">
        <v>1092</v>
      </c>
      <c r="O213">
        <v>0</v>
      </c>
      <c r="P213" t="str">
        <f>VLOOKUP(PlanGrid[[#This Row],[Title]],'Spec Wattages'!$A$1:$C$973,3,FALSE)</f>
        <v>Plug Load</v>
      </c>
      <c r="Q213" t="s">
        <v>952</v>
      </c>
      <c r="R213" t="s">
        <v>1073</v>
      </c>
      <c r="S213" t="s">
        <v>11</v>
      </c>
    </row>
    <row r="214" spans="1:19" x14ac:dyDescent="0.25">
      <c r="A214">
        <v>470</v>
      </c>
      <c r="B214" t="s">
        <v>20</v>
      </c>
      <c r="C214" t="s">
        <v>416</v>
      </c>
      <c r="E214" s="50">
        <f>VLOOKUP(PlanGrid[[#This Row],[Title]],'Spec Wattages'!$A$1:$C$973,2,FALSE)</f>
        <v>50</v>
      </c>
      <c r="F214" s="38">
        <v>1</v>
      </c>
      <c r="G214" s="39">
        <v>0.9</v>
      </c>
      <c r="H214" s="58">
        <f>PlanGrid[[#This Row],[Spec Wattage]]*PlanGrid[[#This Row],[Equipment Count]]</f>
        <v>50</v>
      </c>
      <c r="I214" s="50">
        <f>((PlanGrid[[#This Row],[Demand Watt]]*PlanGrid[[#This Row],[Utilization %]]*'Schedule-Building Info'!$N$16)/1000)</f>
        <v>246.375</v>
      </c>
      <c r="J214" s="57">
        <f>PlanGrid[[#This Row],[kWh/yr]]*' Elec Utility (kWh)'!$M$7</f>
        <v>26.266861676011235</v>
      </c>
      <c r="K214" s="38">
        <f>PlanGrid[[#This Row],[kWh/yr]]/'Schedule-Building Info'!$B$6</f>
        <v>4.0516206482593036E-3</v>
      </c>
      <c r="L214" s="50">
        <f>CONVERT(PlanGrid[[#This Row],[kWh/yr]],"Wh","BTU")</f>
        <v>840.66639486189661</v>
      </c>
      <c r="M214" s="38">
        <f>PlanGrid[[#This Row],[kBtu/yr]]/'Schedule-Building Info'!$B$6</f>
        <v>1.3824703495566391E-2</v>
      </c>
      <c r="N214" t="s">
        <v>1092</v>
      </c>
      <c r="O214">
        <v>0</v>
      </c>
      <c r="P214" t="str">
        <f>VLOOKUP(PlanGrid[[#This Row],[Title]],'Spec Wattages'!$A$1:$C$973,3,FALSE)</f>
        <v>Plug Load</v>
      </c>
      <c r="Q214" t="s">
        <v>766</v>
      </c>
      <c r="R214" t="s">
        <v>766</v>
      </c>
      <c r="S214" t="s">
        <v>51</v>
      </c>
    </row>
    <row r="215" spans="1:19" x14ac:dyDescent="0.25">
      <c r="A215">
        <v>473</v>
      </c>
      <c r="B215" t="s">
        <v>20</v>
      </c>
      <c r="C215" t="s">
        <v>416</v>
      </c>
      <c r="E215" s="50">
        <f>VLOOKUP(PlanGrid[[#This Row],[Title]],'Spec Wattages'!$A$1:$C$973,2,FALSE)</f>
        <v>50</v>
      </c>
      <c r="F215" s="38">
        <v>1</v>
      </c>
      <c r="G215" s="39">
        <v>0.9</v>
      </c>
      <c r="H215" s="58">
        <f>PlanGrid[[#This Row],[Spec Wattage]]*PlanGrid[[#This Row],[Equipment Count]]</f>
        <v>50</v>
      </c>
      <c r="I215" s="50">
        <f>((PlanGrid[[#This Row],[Demand Watt]]*PlanGrid[[#This Row],[Utilization %]]*'Schedule-Building Info'!$N$16)/1000)</f>
        <v>246.375</v>
      </c>
      <c r="J215" s="57">
        <f>PlanGrid[[#This Row],[kWh/yr]]*' Elec Utility (kWh)'!$M$7</f>
        <v>26.266861676011235</v>
      </c>
      <c r="K215" s="38">
        <f>PlanGrid[[#This Row],[kWh/yr]]/'Schedule-Building Info'!$B$6</f>
        <v>4.0516206482593036E-3</v>
      </c>
      <c r="L215" s="50">
        <f>CONVERT(PlanGrid[[#This Row],[kWh/yr]],"Wh","BTU")</f>
        <v>840.66639486189661</v>
      </c>
      <c r="M215" s="38">
        <f>PlanGrid[[#This Row],[kBtu/yr]]/'Schedule-Building Info'!$B$6</f>
        <v>1.3824703495566391E-2</v>
      </c>
      <c r="N215" t="s">
        <v>1092</v>
      </c>
      <c r="O215">
        <v>0</v>
      </c>
      <c r="P215" t="str">
        <f>VLOOKUP(PlanGrid[[#This Row],[Title]],'Spec Wattages'!$A$1:$C$973,3,FALSE)</f>
        <v>Plug Load</v>
      </c>
      <c r="Q215" t="s">
        <v>771</v>
      </c>
      <c r="R215" t="s">
        <v>951</v>
      </c>
      <c r="S215" t="s">
        <v>11</v>
      </c>
    </row>
    <row r="216" spans="1:19" x14ac:dyDescent="0.25">
      <c r="A216">
        <v>480</v>
      </c>
      <c r="B216" t="s">
        <v>20</v>
      </c>
      <c r="C216" t="s">
        <v>416</v>
      </c>
      <c r="E216" s="50">
        <f>VLOOKUP(PlanGrid[[#This Row],[Title]],'Spec Wattages'!$A$1:$C$973,2,FALSE)</f>
        <v>50</v>
      </c>
      <c r="F216" s="38">
        <v>1</v>
      </c>
      <c r="G216" s="39">
        <v>0.9</v>
      </c>
      <c r="H216" s="58">
        <f>PlanGrid[[#This Row],[Spec Wattage]]*PlanGrid[[#This Row],[Equipment Count]]</f>
        <v>50</v>
      </c>
      <c r="I216" s="50">
        <f>((PlanGrid[[#This Row],[Demand Watt]]*PlanGrid[[#This Row],[Utilization %]]*'Schedule-Building Info'!$N$16)/1000)</f>
        <v>246.375</v>
      </c>
      <c r="J216" s="57">
        <f>PlanGrid[[#This Row],[kWh/yr]]*' Elec Utility (kWh)'!$M$7</f>
        <v>26.266861676011235</v>
      </c>
      <c r="K216" s="38">
        <f>PlanGrid[[#This Row],[kWh/yr]]/'Schedule-Building Info'!$B$6</f>
        <v>4.0516206482593036E-3</v>
      </c>
      <c r="L216" s="50">
        <f>CONVERT(PlanGrid[[#This Row],[kWh/yr]],"Wh","BTU")</f>
        <v>840.66639486189661</v>
      </c>
      <c r="M216" s="38">
        <f>PlanGrid[[#This Row],[kBtu/yr]]/'Schedule-Building Info'!$B$6</f>
        <v>1.3824703495566391E-2</v>
      </c>
      <c r="N216" t="s">
        <v>1092</v>
      </c>
      <c r="O216">
        <v>0</v>
      </c>
      <c r="P216" t="str">
        <f>VLOOKUP(PlanGrid[[#This Row],[Title]],'Spec Wattages'!$A$1:$C$973,3,FALSE)</f>
        <v>Plug Load</v>
      </c>
      <c r="Q216" t="s">
        <v>769</v>
      </c>
      <c r="R216" t="s">
        <v>905</v>
      </c>
      <c r="S216" t="s">
        <v>11</v>
      </c>
    </row>
    <row r="217" spans="1:19" x14ac:dyDescent="0.25">
      <c r="A217">
        <v>484</v>
      </c>
      <c r="B217" t="s">
        <v>20</v>
      </c>
      <c r="C217" t="s">
        <v>416</v>
      </c>
      <c r="E217" s="50">
        <f>VLOOKUP(PlanGrid[[#This Row],[Title]],'Spec Wattages'!$A$1:$C$973,2,FALSE)</f>
        <v>50</v>
      </c>
      <c r="F217" s="38">
        <v>1</v>
      </c>
      <c r="G217" s="39">
        <v>0.9</v>
      </c>
      <c r="H217" s="58">
        <f>PlanGrid[[#This Row],[Spec Wattage]]*PlanGrid[[#This Row],[Equipment Count]]</f>
        <v>50</v>
      </c>
      <c r="I217" s="50">
        <f>((PlanGrid[[#This Row],[Demand Watt]]*PlanGrid[[#This Row],[Utilization %]]*'Schedule-Building Info'!$N$16)/1000)</f>
        <v>246.375</v>
      </c>
      <c r="J217" s="57">
        <f>PlanGrid[[#This Row],[kWh/yr]]*' Elec Utility (kWh)'!$M$7</f>
        <v>26.266861676011235</v>
      </c>
      <c r="K217" s="38">
        <f>PlanGrid[[#This Row],[kWh/yr]]/'Schedule-Building Info'!$B$6</f>
        <v>4.0516206482593036E-3</v>
      </c>
      <c r="L217" s="50">
        <f>CONVERT(PlanGrid[[#This Row],[kWh/yr]],"Wh","BTU")</f>
        <v>840.66639486189661</v>
      </c>
      <c r="M217" s="38">
        <f>PlanGrid[[#This Row],[kBtu/yr]]/'Schedule-Building Info'!$B$6</f>
        <v>1.3824703495566391E-2</v>
      </c>
      <c r="N217" t="s">
        <v>1092</v>
      </c>
      <c r="O217">
        <v>0</v>
      </c>
      <c r="P217" t="str">
        <f>VLOOKUP(PlanGrid[[#This Row],[Title]],'Spec Wattages'!$A$1:$C$973,3,FALSE)</f>
        <v>Plug Load</v>
      </c>
      <c r="Q217" t="s">
        <v>905</v>
      </c>
      <c r="R217" t="s">
        <v>905</v>
      </c>
      <c r="S217" t="s">
        <v>51</v>
      </c>
    </row>
    <row r="218" spans="1:19" x14ac:dyDescent="0.25">
      <c r="A218">
        <v>492</v>
      </c>
      <c r="B218" t="s">
        <v>20</v>
      </c>
      <c r="C218" t="s">
        <v>416</v>
      </c>
      <c r="E218" s="50">
        <f>VLOOKUP(PlanGrid[[#This Row],[Title]],'Spec Wattages'!$A$1:$C$973,2,FALSE)</f>
        <v>50</v>
      </c>
      <c r="F218" s="38">
        <v>1</v>
      </c>
      <c r="G218" s="39">
        <v>0.9</v>
      </c>
      <c r="H218" s="58">
        <f>PlanGrid[[#This Row],[Spec Wattage]]*PlanGrid[[#This Row],[Equipment Count]]</f>
        <v>50</v>
      </c>
      <c r="I218" s="50">
        <f>((PlanGrid[[#This Row],[Demand Watt]]*PlanGrid[[#This Row],[Utilization %]]*'Schedule-Building Info'!$N$16)/1000)</f>
        <v>246.375</v>
      </c>
      <c r="J218" s="57">
        <f>PlanGrid[[#This Row],[kWh/yr]]*' Elec Utility (kWh)'!$M$7</f>
        <v>26.266861676011235</v>
      </c>
      <c r="K218" s="38">
        <f>PlanGrid[[#This Row],[kWh/yr]]/'Schedule-Building Info'!$B$6</f>
        <v>4.0516206482593036E-3</v>
      </c>
      <c r="L218" s="50">
        <f>CONVERT(PlanGrid[[#This Row],[kWh/yr]],"Wh","BTU")</f>
        <v>840.66639486189661</v>
      </c>
      <c r="M218" s="38">
        <f>PlanGrid[[#This Row],[kBtu/yr]]/'Schedule-Building Info'!$B$6</f>
        <v>1.3824703495566391E-2</v>
      </c>
      <c r="N218" t="s">
        <v>1092</v>
      </c>
      <c r="O218">
        <v>0</v>
      </c>
      <c r="P218" t="str">
        <f>VLOOKUP(PlanGrid[[#This Row],[Title]],'Spec Wattages'!$A$1:$C$973,3,FALSE)</f>
        <v>Plug Load</v>
      </c>
      <c r="Q218" t="s">
        <v>907</v>
      </c>
      <c r="R218" t="s">
        <v>952</v>
      </c>
      <c r="S218" t="s">
        <v>11</v>
      </c>
    </row>
    <row r="219" spans="1:19" x14ac:dyDescent="0.25">
      <c r="A219">
        <v>502</v>
      </c>
      <c r="B219" t="s">
        <v>20</v>
      </c>
      <c r="C219" t="s">
        <v>416</v>
      </c>
      <c r="E219" s="50">
        <f>VLOOKUP(PlanGrid[[#This Row],[Title]],'Spec Wattages'!$A$1:$C$973,2,FALSE)</f>
        <v>50</v>
      </c>
      <c r="F219" s="38">
        <v>1</v>
      </c>
      <c r="G219" s="39">
        <v>0.9</v>
      </c>
      <c r="H219" s="58">
        <f>PlanGrid[[#This Row],[Spec Wattage]]*PlanGrid[[#This Row],[Equipment Count]]</f>
        <v>50</v>
      </c>
      <c r="I219" s="50">
        <f>((PlanGrid[[#This Row],[Demand Watt]]*PlanGrid[[#This Row],[Utilization %]]*'Schedule-Building Info'!$N$16)/1000)</f>
        <v>246.375</v>
      </c>
      <c r="J219" s="57">
        <f>PlanGrid[[#This Row],[kWh/yr]]*' Elec Utility (kWh)'!$M$7</f>
        <v>26.266861676011235</v>
      </c>
      <c r="K219" s="38">
        <f>PlanGrid[[#This Row],[kWh/yr]]/'Schedule-Building Info'!$B$6</f>
        <v>4.0516206482593036E-3</v>
      </c>
      <c r="L219" s="50">
        <f>CONVERT(PlanGrid[[#This Row],[kWh/yr]],"Wh","BTU")</f>
        <v>840.66639486189661</v>
      </c>
      <c r="M219" s="38">
        <f>PlanGrid[[#This Row],[kBtu/yr]]/'Schedule-Building Info'!$B$6</f>
        <v>1.3824703495566391E-2</v>
      </c>
      <c r="N219" t="s">
        <v>1092</v>
      </c>
      <c r="O219">
        <v>0</v>
      </c>
      <c r="P219" t="str">
        <f>VLOOKUP(PlanGrid[[#This Row],[Title]],'Spec Wattages'!$A$1:$C$973,3,FALSE)</f>
        <v>Plug Load</v>
      </c>
      <c r="Q219" t="s">
        <v>770</v>
      </c>
      <c r="R219" t="s">
        <v>767</v>
      </c>
      <c r="S219" t="s">
        <v>11</v>
      </c>
    </row>
    <row r="220" spans="1:19" x14ac:dyDescent="0.25">
      <c r="A220">
        <v>508</v>
      </c>
      <c r="B220" t="s">
        <v>20</v>
      </c>
      <c r="C220" t="s">
        <v>416</v>
      </c>
      <c r="E220" s="50">
        <f>VLOOKUP(PlanGrid[[#This Row],[Title]],'Spec Wattages'!$A$1:$C$973,2,FALSE)</f>
        <v>50</v>
      </c>
      <c r="F220" s="38">
        <v>1</v>
      </c>
      <c r="G220" s="39">
        <v>0.9</v>
      </c>
      <c r="H220" s="58">
        <f>PlanGrid[[#This Row],[Spec Wattage]]*PlanGrid[[#This Row],[Equipment Count]]</f>
        <v>50</v>
      </c>
      <c r="I220" s="50">
        <f>((PlanGrid[[#This Row],[Demand Watt]]*PlanGrid[[#This Row],[Utilization %]]*'Schedule-Building Info'!$N$16)/1000)</f>
        <v>246.375</v>
      </c>
      <c r="J220" s="57">
        <f>PlanGrid[[#This Row],[kWh/yr]]*' Elec Utility (kWh)'!$M$7</f>
        <v>26.266861676011235</v>
      </c>
      <c r="K220" s="38">
        <f>PlanGrid[[#This Row],[kWh/yr]]/'Schedule-Building Info'!$B$6</f>
        <v>4.0516206482593036E-3</v>
      </c>
      <c r="L220" s="50">
        <f>CONVERT(PlanGrid[[#This Row],[kWh/yr]],"Wh","BTU")</f>
        <v>840.66639486189661</v>
      </c>
      <c r="M220" s="38">
        <f>PlanGrid[[#This Row],[kBtu/yr]]/'Schedule-Building Info'!$B$6</f>
        <v>1.3824703495566391E-2</v>
      </c>
      <c r="N220" t="s">
        <v>1092</v>
      </c>
      <c r="O220">
        <v>0</v>
      </c>
      <c r="P220" t="str">
        <f>VLOOKUP(PlanGrid[[#This Row],[Title]],'Spec Wattages'!$A$1:$C$973,3,FALSE)</f>
        <v>Plug Load</v>
      </c>
      <c r="Q220" t="s">
        <v>767</v>
      </c>
      <c r="R220" t="s">
        <v>767</v>
      </c>
      <c r="S220" t="s">
        <v>51</v>
      </c>
    </row>
    <row r="221" spans="1:19" x14ac:dyDescent="0.25">
      <c r="A221">
        <v>514</v>
      </c>
      <c r="B221" t="s">
        <v>20</v>
      </c>
      <c r="C221" t="s">
        <v>416</v>
      </c>
      <c r="E221" s="50">
        <f>VLOOKUP(PlanGrid[[#This Row],[Title]],'Spec Wattages'!$A$1:$C$973,2,FALSE)</f>
        <v>50</v>
      </c>
      <c r="F221" s="38">
        <v>1</v>
      </c>
      <c r="G221" s="39">
        <v>0.9</v>
      </c>
      <c r="H221" s="58">
        <f>PlanGrid[[#This Row],[Spec Wattage]]*PlanGrid[[#This Row],[Equipment Count]]</f>
        <v>50</v>
      </c>
      <c r="I221" s="50">
        <f>((PlanGrid[[#This Row],[Demand Watt]]*PlanGrid[[#This Row],[Utilization %]]*'Schedule-Building Info'!$N$16)/1000)</f>
        <v>246.375</v>
      </c>
      <c r="J221" s="57">
        <f>PlanGrid[[#This Row],[kWh/yr]]*' Elec Utility (kWh)'!$M$7</f>
        <v>26.266861676011235</v>
      </c>
      <c r="K221" s="38">
        <f>PlanGrid[[#This Row],[kWh/yr]]/'Schedule-Building Info'!$B$6</f>
        <v>4.0516206482593036E-3</v>
      </c>
      <c r="L221" s="50">
        <f>CONVERT(PlanGrid[[#This Row],[kWh/yr]],"Wh","BTU")</f>
        <v>840.66639486189661</v>
      </c>
      <c r="M221" s="38">
        <f>PlanGrid[[#This Row],[kBtu/yr]]/'Schedule-Building Info'!$B$6</f>
        <v>1.3824703495566391E-2</v>
      </c>
      <c r="N221" t="s">
        <v>1092</v>
      </c>
      <c r="O221">
        <v>0</v>
      </c>
      <c r="P221" t="str">
        <f>VLOOKUP(PlanGrid[[#This Row],[Title]],'Spec Wattages'!$A$1:$C$973,3,FALSE)</f>
        <v>Plug Load</v>
      </c>
      <c r="Q221" t="s">
        <v>908</v>
      </c>
      <c r="R221" t="s">
        <v>906</v>
      </c>
      <c r="S221" t="s">
        <v>11</v>
      </c>
    </row>
    <row r="222" spans="1:19" x14ac:dyDescent="0.25">
      <c r="A222">
        <v>526</v>
      </c>
      <c r="B222" t="s">
        <v>20</v>
      </c>
      <c r="C222" t="s">
        <v>416</v>
      </c>
      <c r="E222" s="50">
        <f>VLOOKUP(PlanGrid[[#This Row],[Title]],'Spec Wattages'!$A$1:$C$973,2,FALSE)</f>
        <v>50</v>
      </c>
      <c r="F222" s="38">
        <v>1</v>
      </c>
      <c r="G222" s="39">
        <v>0.9</v>
      </c>
      <c r="H222" s="58">
        <f>PlanGrid[[#This Row],[Spec Wattage]]*PlanGrid[[#This Row],[Equipment Count]]</f>
        <v>50</v>
      </c>
      <c r="I222" s="50">
        <f>((PlanGrid[[#This Row],[Demand Watt]]*PlanGrid[[#This Row],[Utilization %]]*'Schedule-Building Info'!$N$16)/1000)</f>
        <v>246.375</v>
      </c>
      <c r="J222" s="57">
        <f>PlanGrid[[#This Row],[kWh/yr]]*' Elec Utility (kWh)'!$M$7</f>
        <v>26.266861676011235</v>
      </c>
      <c r="K222" s="38">
        <f>PlanGrid[[#This Row],[kWh/yr]]/'Schedule-Building Info'!$B$6</f>
        <v>4.0516206482593036E-3</v>
      </c>
      <c r="L222" s="50">
        <f>CONVERT(PlanGrid[[#This Row],[kWh/yr]],"Wh","BTU")</f>
        <v>840.66639486189661</v>
      </c>
      <c r="M222" s="38">
        <f>PlanGrid[[#This Row],[kBtu/yr]]/'Schedule-Building Info'!$B$6</f>
        <v>1.3824703495566391E-2</v>
      </c>
      <c r="N222" t="s">
        <v>1092</v>
      </c>
      <c r="O222">
        <v>0</v>
      </c>
      <c r="P222" t="str">
        <f>VLOOKUP(PlanGrid[[#This Row],[Title]],'Spec Wattages'!$A$1:$C$973,3,FALSE)</f>
        <v>Plug Load</v>
      </c>
      <c r="Q222" t="s">
        <v>772</v>
      </c>
      <c r="R222" t="s">
        <v>909</v>
      </c>
      <c r="S222" t="s">
        <v>11</v>
      </c>
    </row>
    <row r="223" spans="1:19" x14ac:dyDescent="0.25">
      <c r="A223">
        <v>534</v>
      </c>
      <c r="B223" t="s">
        <v>20</v>
      </c>
      <c r="C223" t="s">
        <v>416</v>
      </c>
      <c r="E223" s="50">
        <f>VLOOKUP(PlanGrid[[#This Row],[Title]],'Spec Wattages'!$A$1:$C$973,2,FALSE)</f>
        <v>50</v>
      </c>
      <c r="F223" s="38">
        <v>1</v>
      </c>
      <c r="G223" s="39">
        <v>0.9</v>
      </c>
      <c r="H223" s="58">
        <f>PlanGrid[[#This Row],[Spec Wattage]]*PlanGrid[[#This Row],[Equipment Count]]</f>
        <v>50</v>
      </c>
      <c r="I223" s="50">
        <f>((PlanGrid[[#This Row],[Demand Watt]]*PlanGrid[[#This Row],[Utilization %]]*'Schedule-Building Info'!$N$16)/1000)</f>
        <v>246.375</v>
      </c>
      <c r="J223" s="57">
        <f>PlanGrid[[#This Row],[kWh/yr]]*' Elec Utility (kWh)'!$M$7</f>
        <v>26.266861676011235</v>
      </c>
      <c r="K223" s="38">
        <f>PlanGrid[[#This Row],[kWh/yr]]/'Schedule-Building Info'!$B$6</f>
        <v>4.0516206482593036E-3</v>
      </c>
      <c r="L223" s="50">
        <f>CONVERT(PlanGrid[[#This Row],[kWh/yr]],"Wh","BTU")</f>
        <v>840.66639486189661</v>
      </c>
      <c r="M223" s="38">
        <f>PlanGrid[[#This Row],[kBtu/yr]]/'Schedule-Building Info'!$B$6</f>
        <v>1.3824703495566391E-2</v>
      </c>
      <c r="N223" t="s">
        <v>1092</v>
      </c>
      <c r="O223">
        <v>0</v>
      </c>
      <c r="P223" t="str">
        <f>VLOOKUP(PlanGrid[[#This Row],[Title]],'Spec Wattages'!$A$1:$C$973,3,FALSE)</f>
        <v>Plug Load</v>
      </c>
      <c r="Q223" t="s">
        <v>774</v>
      </c>
      <c r="R223" t="s">
        <v>909</v>
      </c>
      <c r="S223" t="s">
        <v>11</v>
      </c>
    </row>
    <row r="224" spans="1:19" x14ac:dyDescent="0.25">
      <c r="A224">
        <v>542</v>
      </c>
      <c r="B224" t="s">
        <v>20</v>
      </c>
      <c r="C224" t="s">
        <v>416</v>
      </c>
      <c r="E224" s="50">
        <f>VLOOKUP(PlanGrid[[#This Row],[Title]],'Spec Wattages'!$A$1:$C$973,2,FALSE)</f>
        <v>50</v>
      </c>
      <c r="F224" s="38">
        <v>1</v>
      </c>
      <c r="G224" s="39">
        <v>0.9</v>
      </c>
      <c r="H224" s="58">
        <f>PlanGrid[[#This Row],[Spec Wattage]]*PlanGrid[[#This Row],[Equipment Count]]</f>
        <v>50</v>
      </c>
      <c r="I224" s="50">
        <f>((PlanGrid[[#This Row],[Demand Watt]]*PlanGrid[[#This Row],[Utilization %]]*'Schedule-Building Info'!$N$16)/1000)</f>
        <v>246.375</v>
      </c>
      <c r="J224" s="57">
        <f>PlanGrid[[#This Row],[kWh/yr]]*' Elec Utility (kWh)'!$M$7</f>
        <v>26.266861676011235</v>
      </c>
      <c r="K224" s="38">
        <f>PlanGrid[[#This Row],[kWh/yr]]/'Schedule-Building Info'!$B$6</f>
        <v>4.0516206482593036E-3</v>
      </c>
      <c r="L224" s="50">
        <f>CONVERT(PlanGrid[[#This Row],[kWh/yr]],"Wh","BTU")</f>
        <v>840.66639486189661</v>
      </c>
      <c r="M224" s="38">
        <f>PlanGrid[[#This Row],[kBtu/yr]]/'Schedule-Building Info'!$B$6</f>
        <v>1.3824703495566391E-2</v>
      </c>
      <c r="N224" t="s">
        <v>1092</v>
      </c>
      <c r="O224">
        <v>0</v>
      </c>
      <c r="P224" t="str">
        <f>VLOOKUP(PlanGrid[[#This Row],[Title]],'Spec Wattages'!$A$1:$C$973,3,FALSE)</f>
        <v>Plug Load</v>
      </c>
      <c r="Q224" t="s">
        <v>774</v>
      </c>
      <c r="R224" t="s">
        <v>769</v>
      </c>
      <c r="S224" t="s">
        <v>11</v>
      </c>
    </row>
    <row r="225" spans="1:19" x14ac:dyDescent="0.25">
      <c r="A225">
        <v>549</v>
      </c>
      <c r="B225" t="s">
        <v>20</v>
      </c>
      <c r="C225" t="s">
        <v>416</v>
      </c>
      <c r="E225" s="50">
        <f>VLOOKUP(PlanGrid[[#This Row],[Title]],'Spec Wattages'!$A$1:$C$973,2,FALSE)</f>
        <v>50</v>
      </c>
      <c r="F225" s="38">
        <v>1</v>
      </c>
      <c r="G225" s="39">
        <v>0.9</v>
      </c>
      <c r="H225" s="58">
        <f>PlanGrid[[#This Row],[Spec Wattage]]*PlanGrid[[#This Row],[Equipment Count]]</f>
        <v>50</v>
      </c>
      <c r="I225" s="50">
        <f>((PlanGrid[[#This Row],[Demand Watt]]*PlanGrid[[#This Row],[Utilization %]]*'Schedule-Building Info'!$N$16)/1000)</f>
        <v>246.375</v>
      </c>
      <c r="J225" s="57">
        <f>PlanGrid[[#This Row],[kWh/yr]]*' Elec Utility (kWh)'!$M$7</f>
        <v>26.266861676011235</v>
      </c>
      <c r="K225" s="38">
        <f>PlanGrid[[#This Row],[kWh/yr]]/'Schedule-Building Info'!$B$6</f>
        <v>4.0516206482593036E-3</v>
      </c>
      <c r="L225" s="50">
        <f>CONVERT(PlanGrid[[#This Row],[kWh/yr]],"Wh","BTU")</f>
        <v>840.66639486189661</v>
      </c>
      <c r="M225" s="38">
        <f>PlanGrid[[#This Row],[kBtu/yr]]/'Schedule-Building Info'!$B$6</f>
        <v>1.3824703495566391E-2</v>
      </c>
      <c r="N225" t="s">
        <v>1092</v>
      </c>
      <c r="O225">
        <v>0</v>
      </c>
      <c r="P225" t="str">
        <f>VLOOKUP(PlanGrid[[#This Row],[Title]],'Spec Wattages'!$A$1:$C$973,3,FALSE)</f>
        <v>Plug Load</v>
      </c>
      <c r="Q225" t="s">
        <v>907</v>
      </c>
      <c r="R225" t="s">
        <v>907</v>
      </c>
      <c r="S225" t="s">
        <v>51</v>
      </c>
    </row>
    <row r="226" spans="1:19" x14ac:dyDescent="0.25">
      <c r="A226">
        <v>554</v>
      </c>
      <c r="B226" t="s">
        <v>20</v>
      </c>
      <c r="C226" t="s">
        <v>416</v>
      </c>
      <c r="E226" s="50">
        <f>VLOOKUP(PlanGrid[[#This Row],[Title]],'Spec Wattages'!$A$1:$C$973,2,FALSE)</f>
        <v>50</v>
      </c>
      <c r="F226" s="38">
        <v>1</v>
      </c>
      <c r="G226" s="39">
        <v>0.9</v>
      </c>
      <c r="H226" s="58">
        <f>PlanGrid[[#This Row],[Spec Wattage]]*PlanGrid[[#This Row],[Equipment Count]]</f>
        <v>50</v>
      </c>
      <c r="I226" s="50">
        <f>((PlanGrid[[#This Row],[Demand Watt]]*PlanGrid[[#This Row],[Utilization %]]*'Schedule-Building Info'!$N$16)/1000)</f>
        <v>246.375</v>
      </c>
      <c r="J226" s="57">
        <f>PlanGrid[[#This Row],[kWh/yr]]*' Elec Utility (kWh)'!$M$7</f>
        <v>26.266861676011235</v>
      </c>
      <c r="K226" s="38">
        <f>PlanGrid[[#This Row],[kWh/yr]]/'Schedule-Building Info'!$B$6</f>
        <v>4.0516206482593036E-3</v>
      </c>
      <c r="L226" s="50">
        <f>CONVERT(PlanGrid[[#This Row],[kWh/yr]],"Wh","BTU")</f>
        <v>840.66639486189661</v>
      </c>
      <c r="M226" s="38">
        <f>PlanGrid[[#This Row],[kBtu/yr]]/'Schedule-Building Info'!$B$6</f>
        <v>1.3824703495566391E-2</v>
      </c>
      <c r="N226" t="s">
        <v>1092</v>
      </c>
      <c r="O226">
        <v>0</v>
      </c>
      <c r="P226" t="str">
        <f>VLOOKUP(PlanGrid[[#This Row],[Title]],'Spec Wattages'!$A$1:$C$973,3,FALSE)</f>
        <v>Plug Load</v>
      </c>
      <c r="Q226" t="s">
        <v>910</v>
      </c>
      <c r="R226" t="s">
        <v>770</v>
      </c>
      <c r="S226" t="s">
        <v>11</v>
      </c>
    </row>
    <row r="227" spans="1:19" x14ac:dyDescent="0.25">
      <c r="A227">
        <v>559</v>
      </c>
      <c r="B227" t="s">
        <v>20</v>
      </c>
      <c r="C227" t="s">
        <v>416</v>
      </c>
      <c r="E227" s="50">
        <f>VLOOKUP(PlanGrid[[#This Row],[Title]],'Spec Wattages'!$A$1:$C$973,2,FALSE)</f>
        <v>50</v>
      </c>
      <c r="F227" s="38">
        <v>1</v>
      </c>
      <c r="G227" s="39">
        <v>0.9</v>
      </c>
      <c r="H227" s="58">
        <f>PlanGrid[[#This Row],[Spec Wattage]]*PlanGrid[[#This Row],[Equipment Count]]</f>
        <v>50</v>
      </c>
      <c r="I227" s="50">
        <f>((PlanGrid[[#This Row],[Demand Watt]]*PlanGrid[[#This Row],[Utilization %]]*'Schedule-Building Info'!$N$16)/1000)</f>
        <v>246.375</v>
      </c>
      <c r="J227" s="57">
        <f>PlanGrid[[#This Row],[kWh/yr]]*' Elec Utility (kWh)'!$M$7</f>
        <v>26.266861676011235</v>
      </c>
      <c r="K227" s="38">
        <f>PlanGrid[[#This Row],[kWh/yr]]/'Schedule-Building Info'!$B$6</f>
        <v>4.0516206482593036E-3</v>
      </c>
      <c r="L227" s="50">
        <f>CONVERT(PlanGrid[[#This Row],[kWh/yr]],"Wh","BTU")</f>
        <v>840.66639486189661</v>
      </c>
      <c r="M227" s="38">
        <f>PlanGrid[[#This Row],[kBtu/yr]]/'Schedule-Building Info'!$B$6</f>
        <v>1.3824703495566391E-2</v>
      </c>
      <c r="N227" t="s">
        <v>1092</v>
      </c>
      <c r="O227">
        <v>0</v>
      </c>
      <c r="P227" t="str">
        <f>VLOOKUP(PlanGrid[[#This Row],[Title]],'Spec Wattages'!$A$1:$C$973,3,FALSE)</f>
        <v>Plug Load</v>
      </c>
      <c r="Q227" t="s">
        <v>988</v>
      </c>
      <c r="R227" t="s">
        <v>908</v>
      </c>
      <c r="S227" t="s">
        <v>11</v>
      </c>
    </row>
    <row r="228" spans="1:19" x14ac:dyDescent="0.25">
      <c r="A228">
        <v>567</v>
      </c>
      <c r="B228" t="s">
        <v>20</v>
      </c>
      <c r="C228" t="s">
        <v>416</v>
      </c>
      <c r="E228" s="50">
        <f>VLOOKUP(PlanGrid[[#This Row],[Title]],'Spec Wattages'!$A$1:$C$973,2,FALSE)</f>
        <v>50</v>
      </c>
      <c r="F228" s="38">
        <v>1</v>
      </c>
      <c r="G228" s="39">
        <v>0.9</v>
      </c>
      <c r="H228" s="58">
        <f>PlanGrid[[#This Row],[Spec Wattage]]*PlanGrid[[#This Row],[Equipment Count]]</f>
        <v>50</v>
      </c>
      <c r="I228" s="50">
        <f>((PlanGrid[[#This Row],[Demand Watt]]*PlanGrid[[#This Row],[Utilization %]]*'Schedule-Building Info'!$N$16)/1000)</f>
        <v>246.375</v>
      </c>
      <c r="J228" s="57">
        <f>PlanGrid[[#This Row],[kWh/yr]]*' Elec Utility (kWh)'!$M$7</f>
        <v>26.266861676011235</v>
      </c>
      <c r="K228" s="38">
        <f>PlanGrid[[#This Row],[kWh/yr]]/'Schedule-Building Info'!$B$6</f>
        <v>4.0516206482593036E-3</v>
      </c>
      <c r="L228" s="50">
        <f>CONVERT(PlanGrid[[#This Row],[kWh/yr]],"Wh","BTU")</f>
        <v>840.66639486189661</v>
      </c>
      <c r="M228" s="38">
        <f>PlanGrid[[#This Row],[kBtu/yr]]/'Schedule-Building Info'!$B$6</f>
        <v>1.3824703495566391E-2</v>
      </c>
      <c r="N228" t="s">
        <v>1092</v>
      </c>
      <c r="O228">
        <v>0</v>
      </c>
      <c r="P228" t="str">
        <f>VLOOKUP(PlanGrid[[#This Row],[Title]],'Spec Wattages'!$A$1:$C$973,3,FALSE)</f>
        <v>Plug Load</v>
      </c>
      <c r="Q228" t="s">
        <v>912</v>
      </c>
      <c r="R228" t="s">
        <v>911</v>
      </c>
      <c r="S228" t="s">
        <v>11</v>
      </c>
    </row>
    <row r="229" spans="1:19" x14ac:dyDescent="0.25">
      <c r="A229">
        <v>577</v>
      </c>
      <c r="B229" t="s">
        <v>20</v>
      </c>
      <c r="C229" t="s">
        <v>416</v>
      </c>
      <c r="E229" s="50">
        <f>VLOOKUP(PlanGrid[[#This Row],[Title]],'Spec Wattages'!$A$1:$C$973,2,FALSE)</f>
        <v>50</v>
      </c>
      <c r="F229" s="38">
        <v>1</v>
      </c>
      <c r="G229" s="39">
        <v>0.9</v>
      </c>
      <c r="H229" s="58">
        <f>PlanGrid[[#This Row],[Spec Wattage]]*PlanGrid[[#This Row],[Equipment Count]]</f>
        <v>50</v>
      </c>
      <c r="I229" s="50">
        <f>((PlanGrid[[#This Row],[Demand Watt]]*PlanGrid[[#This Row],[Utilization %]]*'Schedule-Building Info'!$N$16)/1000)</f>
        <v>246.375</v>
      </c>
      <c r="J229" s="57">
        <f>PlanGrid[[#This Row],[kWh/yr]]*' Elec Utility (kWh)'!$M$7</f>
        <v>26.266861676011235</v>
      </c>
      <c r="K229" s="38">
        <f>PlanGrid[[#This Row],[kWh/yr]]/'Schedule-Building Info'!$B$6</f>
        <v>4.0516206482593036E-3</v>
      </c>
      <c r="L229" s="50">
        <f>CONVERT(PlanGrid[[#This Row],[kWh/yr]],"Wh","BTU")</f>
        <v>840.66639486189661</v>
      </c>
      <c r="M229" s="38">
        <f>PlanGrid[[#This Row],[kBtu/yr]]/'Schedule-Building Info'!$B$6</f>
        <v>1.3824703495566391E-2</v>
      </c>
      <c r="N229" t="s">
        <v>1092</v>
      </c>
      <c r="O229">
        <v>0</v>
      </c>
      <c r="P229" t="str">
        <f>VLOOKUP(PlanGrid[[#This Row],[Title]],'Spec Wattages'!$A$1:$C$973,3,FALSE)</f>
        <v>Plug Load</v>
      </c>
      <c r="Q229" t="s">
        <v>1019</v>
      </c>
      <c r="R229" t="s">
        <v>911</v>
      </c>
      <c r="S229" t="s">
        <v>11</v>
      </c>
    </row>
    <row r="230" spans="1:19" x14ac:dyDescent="0.25">
      <c r="A230">
        <v>578</v>
      </c>
      <c r="B230" t="s">
        <v>20</v>
      </c>
      <c r="C230" t="s">
        <v>416</v>
      </c>
      <c r="E230" s="50">
        <f>VLOOKUP(PlanGrid[[#This Row],[Title]],'Spec Wattages'!$A$1:$C$973,2,FALSE)</f>
        <v>50</v>
      </c>
      <c r="F230" s="38">
        <v>1</v>
      </c>
      <c r="G230" s="39">
        <v>0.9</v>
      </c>
      <c r="H230" s="58">
        <f>PlanGrid[[#This Row],[Spec Wattage]]*PlanGrid[[#This Row],[Equipment Count]]</f>
        <v>50</v>
      </c>
      <c r="I230" s="50">
        <f>((PlanGrid[[#This Row],[Demand Watt]]*PlanGrid[[#This Row],[Utilization %]]*'Schedule-Building Info'!$N$16)/1000)</f>
        <v>246.375</v>
      </c>
      <c r="J230" s="57">
        <f>PlanGrid[[#This Row],[kWh/yr]]*' Elec Utility (kWh)'!$M$7</f>
        <v>26.266861676011235</v>
      </c>
      <c r="K230" s="38">
        <f>PlanGrid[[#This Row],[kWh/yr]]/'Schedule-Building Info'!$B$6</f>
        <v>4.0516206482593036E-3</v>
      </c>
      <c r="L230" s="50">
        <f>CONVERT(PlanGrid[[#This Row],[kWh/yr]],"Wh","BTU")</f>
        <v>840.66639486189661</v>
      </c>
      <c r="M230" s="38">
        <f>PlanGrid[[#This Row],[kBtu/yr]]/'Schedule-Building Info'!$B$6</f>
        <v>1.3824703495566391E-2</v>
      </c>
      <c r="N230" t="s">
        <v>1092</v>
      </c>
      <c r="O230">
        <v>0</v>
      </c>
      <c r="P230" t="str">
        <f>VLOOKUP(PlanGrid[[#This Row],[Title]],'Spec Wattages'!$A$1:$C$973,3,FALSE)</f>
        <v>Plug Load</v>
      </c>
      <c r="Q230" t="s">
        <v>772</v>
      </c>
      <c r="R230" t="s">
        <v>772</v>
      </c>
      <c r="S230" t="s">
        <v>51</v>
      </c>
    </row>
    <row r="231" spans="1:19" x14ac:dyDescent="0.25">
      <c r="A231">
        <v>582</v>
      </c>
      <c r="B231" t="s">
        <v>20</v>
      </c>
      <c r="C231" t="s">
        <v>416</v>
      </c>
      <c r="E231" s="50">
        <f>VLOOKUP(PlanGrid[[#This Row],[Title]],'Spec Wattages'!$A$1:$C$973,2,FALSE)</f>
        <v>50</v>
      </c>
      <c r="F231" s="38">
        <v>1</v>
      </c>
      <c r="G231" s="39">
        <v>0.9</v>
      </c>
      <c r="H231" s="58">
        <f>PlanGrid[[#This Row],[Spec Wattage]]*PlanGrid[[#This Row],[Equipment Count]]</f>
        <v>50</v>
      </c>
      <c r="I231" s="50">
        <f>((PlanGrid[[#This Row],[Demand Watt]]*PlanGrid[[#This Row],[Utilization %]]*'Schedule-Building Info'!$N$16)/1000)</f>
        <v>246.375</v>
      </c>
      <c r="J231" s="57">
        <f>PlanGrid[[#This Row],[kWh/yr]]*' Elec Utility (kWh)'!$M$7</f>
        <v>26.266861676011235</v>
      </c>
      <c r="K231" s="38">
        <f>PlanGrid[[#This Row],[kWh/yr]]/'Schedule-Building Info'!$B$6</f>
        <v>4.0516206482593036E-3</v>
      </c>
      <c r="L231" s="50">
        <f>CONVERT(PlanGrid[[#This Row],[kWh/yr]],"Wh","BTU")</f>
        <v>840.66639486189661</v>
      </c>
      <c r="M231" s="38">
        <f>PlanGrid[[#This Row],[kBtu/yr]]/'Schedule-Building Info'!$B$6</f>
        <v>1.3824703495566391E-2</v>
      </c>
      <c r="N231" t="s">
        <v>1092</v>
      </c>
      <c r="O231">
        <v>0</v>
      </c>
      <c r="P231" t="str">
        <f>VLOOKUP(PlanGrid[[#This Row],[Title]],'Spec Wattages'!$A$1:$C$973,3,FALSE)</f>
        <v>Plug Load</v>
      </c>
      <c r="Q231" t="s">
        <v>913</v>
      </c>
      <c r="R231" t="s">
        <v>774</v>
      </c>
      <c r="S231" t="s">
        <v>11</v>
      </c>
    </row>
    <row r="232" spans="1:19" x14ac:dyDescent="0.25">
      <c r="A232">
        <v>593</v>
      </c>
      <c r="B232" t="s">
        <v>20</v>
      </c>
      <c r="C232" t="s">
        <v>416</v>
      </c>
      <c r="E232" s="50">
        <f>VLOOKUP(PlanGrid[[#This Row],[Title]],'Spec Wattages'!$A$1:$C$973,2,FALSE)</f>
        <v>50</v>
      </c>
      <c r="F232" s="38">
        <v>1</v>
      </c>
      <c r="G232" s="39">
        <v>0.9</v>
      </c>
      <c r="H232" s="58">
        <f>PlanGrid[[#This Row],[Spec Wattage]]*PlanGrid[[#This Row],[Equipment Count]]</f>
        <v>50</v>
      </c>
      <c r="I232" s="50">
        <f>((PlanGrid[[#This Row],[Demand Watt]]*PlanGrid[[#This Row],[Utilization %]]*'Schedule-Building Info'!$N$16)/1000)</f>
        <v>246.375</v>
      </c>
      <c r="J232" s="57">
        <f>PlanGrid[[#This Row],[kWh/yr]]*' Elec Utility (kWh)'!$M$7</f>
        <v>26.266861676011235</v>
      </c>
      <c r="K232" s="38">
        <f>PlanGrid[[#This Row],[kWh/yr]]/'Schedule-Building Info'!$B$6</f>
        <v>4.0516206482593036E-3</v>
      </c>
      <c r="L232" s="50">
        <f>CONVERT(PlanGrid[[#This Row],[kWh/yr]],"Wh","BTU")</f>
        <v>840.66639486189661</v>
      </c>
      <c r="M232" s="38">
        <f>PlanGrid[[#This Row],[kBtu/yr]]/'Schedule-Building Info'!$B$6</f>
        <v>1.3824703495566391E-2</v>
      </c>
      <c r="N232" t="s">
        <v>1092</v>
      </c>
      <c r="O232">
        <v>0</v>
      </c>
      <c r="P232" t="str">
        <f>VLOOKUP(PlanGrid[[#This Row],[Title]],'Spec Wattages'!$A$1:$C$973,3,FALSE)</f>
        <v>Plug Load</v>
      </c>
      <c r="Q232" t="s">
        <v>1018</v>
      </c>
      <c r="R232" t="s">
        <v>1018</v>
      </c>
      <c r="S232" t="s">
        <v>51</v>
      </c>
    </row>
    <row r="233" spans="1:19" x14ac:dyDescent="0.25">
      <c r="A233">
        <v>597</v>
      </c>
      <c r="B233" t="s">
        <v>20</v>
      </c>
      <c r="C233" t="s">
        <v>416</v>
      </c>
      <c r="E233" s="50">
        <f>VLOOKUP(PlanGrid[[#This Row],[Title]],'Spec Wattages'!$A$1:$C$973,2,FALSE)</f>
        <v>50</v>
      </c>
      <c r="F233" s="38">
        <v>1</v>
      </c>
      <c r="G233" s="39">
        <v>0.9</v>
      </c>
      <c r="H233" s="58">
        <f>PlanGrid[[#This Row],[Spec Wattage]]*PlanGrid[[#This Row],[Equipment Count]]</f>
        <v>50</v>
      </c>
      <c r="I233" s="50">
        <f>((PlanGrid[[#This Row],[Demand Watt]]*PlanGrid[[#This Row],[Utilization %]]*'Schedule-Building Info'!$N$16)/1000)</f>
        <v>246.375</v>
      </c>
      <c r="J233" s="57">
        <f>PlanGrid[[#This Row],[kWh/yr]]*' Elec Utility (kWh)'!$M$7</f>
        <v>26.266861676011235</v>
      </c>
      <c r="K233" s="38">
        <f>PlanGrid[[#This Row],[kWh/yr]]/'Schedule-Building Info'!$B$6</f>
        <v>4.0516206482593036E-3</v>
      </c>
      <c r="L233" s="50">
        <f>CONVERT(PlanGrid[[#This Row],[kWh/yr]],"Wh","BTU")</f>
        <v>840.66639486189661</v>
      </c>
      <c r="M233" s="38">
        <f>PlanGrid[[#This Row],[kBtu/yr]]/'Schedule-Building Info'!$B$6</f>
        <v>1.3824703495566391E-2</v>
      </c>
      <c r="N233" t="s">
        <v>1092</v>
      </c>
      <c r="O233">
        <v>0</v>
      </c>
      <c r="P233" t="str">
        <f>VLOOKUP(PlanGrid[[#This Row],[Title]],'Spec Wattages'!$A$1:$C$973,3,FALSE)</f>
        <v>Plug Load</v>
      </c>
      <c r="Q233" t="s">
        <v>1018</v>
      </c>
      <c r="R233" t="s">
        <v>1018</v>
      </c>
      <c r="S233" t="s">
        <v>51</v>
      </c>
    </row>
    <row r="234" spans="1:19" x14ac:dyDescent="0.25">
      <c r="A234">
        <v>599</v>
      </c>
      <c r="B234" t="s">
        <v>20</v>
      </c>
      <c r="C234" t="s">
        <v>416</v>
      </c>
      <c r="E234" s="50">
        <f>VLOOKUP(PlanGrid[[#This Row],[Title]],'Spec Wattages'!$A$1:$C$973,2,FALSE)</f>
        <v>50</v>
      </c>
      <c r="F234" s="38">
        <v>1</v>
      </c>
      <c r="G234" s="39">
        <v>0.9</v>
      </c>
      <c r="H234" s="58">
        <f>PlanGrid[[#This Row],[Spec Wattage]]*PlanGrid[[#This Row],[Equipment Count]]</f>
        <v>50</v>
      </c>
      <c r="I234" s="50">
        <f>((PlanGrid[[#This Row],[Demand Watt]]*PlanGrid[[#This Row],[Utilization %]]*'Schedule-Building Info'!$N$16)/1000)</f>
        <v>246.375</v>
      </c>
      <c r="J234" s="57">
        <f>PlanGrid[[#This Row],[kWh/yr]]*' Elec Utility (kWh)'!$M$7</f>
        <v>26.266861676011235</v>
      </c>
      <c r="K234" s="38">
        <f>PlanGrid[[#This Row],[kWh/yr]]/'Schedule-Building Info'!$B$6</f>
        <v>4.0516206482593036E-3</v>
      </c>
      <c r="L234" s="50">
        <f>CONVERT(PlanGrid[[#This Row],[kWh/yr]],"Wh","BTU")</f>
        <v>840.66639486189661</v>
      </c>
      <c r="M234" s="38">
        <f>PlanGrid[[#This Row],[kBtu/yr]]/'Schedule-Building Info'!$B$6</f>
        <v>1.3824703495566391E-2</v>
      </c>
      <c r="N234" t="s">
        <v>1092</v>
      </c>
      <c r="O234">
        <v>0</v>
      </c>
      <c r="P234" t="str">
        <f>VLOOKUP(PlanGrid[[#This Row],[Title]],'Spec Wattages'!$A$1:$C$973,3,FALSE)</f>
        <v>Plug Load</v>
      </c>
      <c r="Q234" t="s">
        <v>914</v>
      </c>
      <c r="R234" t="s">
        <v>1018</v>
      </c>
      <c r="S234" t="s">
        <v>11</v>
      </c>
    </row>
    <row r="235" spans="1:19" x14ac:dyDescent="0.25">
      <c r="A235">
        <v>607</v>
      </c>
      <c r="B235" t="s">
        <v>20</v>
      </c>
      <c r="C235" t="s">
        <v>416</v>
      </c>
      <c r="E235" s="50">
        <f>VLOOKUP(PlanGrid[[#This Row],[Title]],'Spec Wattages'!$A$1:$C$973,2,FALSE)</f>
        <v>50</v>
      </c>
      <c r="F235" s="38">
        <v>1</v>
      </c>
      <c r="G235" s="39">
        <v>0.9</v>
      </c>
      <c r="H235" s="58">
        <f>PlanGrid[[#This Row],[Spec Wattage]]*PlanGrid[[#This Row],[Equipment Count]]</f>
        <v>50</v>
      </c>
      <c r="I235" s="50">
        <f>((PlanGrid[[#This Row],[Demand Watt]]*PlanGrid[[#This Row],[Utilization %]]*'Schedule-Building Info'!$N$16)/1000)</f>
        <v>246.375</v>
      </c>
      <c r="J235" s="57">
        <f>PlanGrid[[#This Row],[kWh/yr]]*' Elec Utility (kWh)'!$M$7</f>
        <v>26.266861676011235</v>
      </c>
      <c r="K235" s="38">
        <f>PlanGrid[[#This Row],[kWh/yr]]/'Schedule-Building Info'!$B$6</f>
        <v>4.0516206482593036E-3</v>
      </c>
      <c r="L235" s="50">
        <f>CONVERT(PlanGrid[[#This Row],[kWh/yr]],"Wh","BTU")</f>
        <v>840.66639486189661</v>
      </c>
      <c r="M235" s="38">
        <f>PlanGrid[[#This Row],[kBtu/yr]]/'Schedule-Building Info'!$B$6</f>
        <v>1.3824703495566391E-2</v>
      </c>
      <c r="N235" t="s">
        <v>1092</v>
      </c>
      <c r="O235">
        <v>0</v>
      </c>
      <c r="P235" t="str">
        <f>VLOOKUP(PlanGrid[[#This Row],[Title]],'Spec Wattages'!$A$1:$C$973,3,FALSE)</f>
        <v>Plug Load</v>
      </c>
      <c r="Q235" t="s">
        <v>775</v>
      </c>
      <c r="R235" t="s">
        <v>910</v>
      </c>
      <c r="S235" t="s">
        <v>11</v>
      </c>
    </row>
    <row r="236" spans="1:19" x14ac:dyDescent="0.25">
      <c r="A236">
        <v>615</v>
      </c>
      <c r="B236" t="s">
        <v>20</v>
      </c>
      <c r="C236" t="s">
        <v>416</v>
      </c>
      <c r="E236" s="50">
        <f>VLOOKUP(PlanGrid[[#This Row],[Title]],'Spec Wattages'!$A$1:$C$973,2,FALSE)</f>
        <v>50</v>
      </c>
      <c r="F236" s="38">
        <v>1</v>
      </c>
      <c r="G236" s="39">
        <v>0.9</v>
      </c>
      <c r="H236" s="58">
        <f>PlanGrid[[#This Row],[Spec Wattage]]*PlanGrid[[#This Row],[Equipment Count]]</f>
        <v>50</v>
      </c>
      <c r="I236" s="50">
        <f>((PlanGrid[[#This Row],[Demand Watt]]*PlanGrid[[#This Row],[Utilization %]]*'Schedule-Building Info'!$N$16)/1000)</f>
        <v>246.375</v>
      </c>
      <c r="J236" s="57">
        <f>PlanGrid[[#This Row],[kWh/yr]]*' Elec Utility (kWh)'!$M$7</f>
        <v>26.266861676011235</v>
      </c>
      <c r="K236" s="38">
        <f>PlanGrid[[#This Row],[kWh/yr]]/'Schedule-Building Info'!$B$6</f>
        <v>4.0516206482593036E-3</v>
      </c>
      <c r="L236" s="50">
        <f>CONVERT(PlanGrid[[#This Row],[kWh/yr]],"Wh","BTU")</f>
        <v>840.66639486189661</v>
      </c>
      <c r="M236" s="38">
        <f>PlanGrid[[#This Row],[kBtu/yr]]/'Schedule-Building Info'!$B$6</f>
        <v>1.3824703495566391E-2</v>
      </c>
      <c r="N236" t="s">
        <v>1092</v>
      </c>
      <c r="O236">
        <v>0</v>
      </c>
      <c r="P236" t="str">
        <f>VLOOKUP(PlanGrid[[#This Row],[Title]],'Spec Wattages'!$A$1:$C$973,3,FALSE)</f>
        <v>Plug Load</v>
      </c>
      <c r="Q236" t="s">
        <v>988</v>
      </c>
      <c r="R236" t="s">
        <v>988</v>
      </c>
      <c r="S236" t="s">
        <v>51</v>
      </c>
    </row>
    <row r="237" spans="1:19" x14ac:dyDescent="0.25">
      <c r="A237">
        <v>624</v>
      </c>
      <c r="B237" t="s">
        <v>20</v>
      </c>
      <c r="C237" t="s">
        <v>416</v>
      </c>
      <c r="E237" s="50">
        <f>VLOOKUP(PlanGrid[[#This Row],[Title]],'Spec Wattages'!$A$1:$C$973,2,FALSE)</f>
        <v>50</v>
      </c>
      <c r="F237" s="38">
        <v>1</v>
      </c>
      <c r="G237" s="39">
        <v>0.9</v>
      </c>
      <c r="H237" s="58">
        <f>PlanGrid[[#This Row],[Spec Wattage]]*PlanGrid[[#This Row],[Equipment Count]]</f>
        <v>50</v>
      </c>
      <c r="I237" s="50">
        <f>((PlanGrid[[#This Row],[Demand Watt]]*PlanGrid[[#This Row],[Utilization %]]*'Schedule-Building Info'!$N$16)/1000)</f>
        <v>246.375</v>
      </c>
      <c r="J237" s="57">
        <f>PlanGrid[[#This Row],[kWh/yr]]*' Elec Utility (kWh)'!$M$7</f>
        <v>26.266861676011235</v>
      </c>
      <c r="K237" s="38">
        <f>PlanGrid[[#This Row],[kWh/yr]]/'Schedule-Building Info'!$B$6</f>
        <v>4.0516206482593036E-3</v>
      </c>
      <c r="L237" s="50">
        <f>CONVERT(PlanGrid[[#This Row],[kWh/yr]],"Wh","BTU")</f>
        <v>840.66639486189661</v>
      </c>
      <c r="M237" s="38">
        <f>PlanGrid[[#This Row],[kBtu/yr]]/'Schedule-Building Info'!$B$6</f>
        <v>1.3824703495566391E-2</v>
      </c>
      <c r="N237" t="s">
        <v>1092</v>
      </c>
      <c r="O237">
        <v>0</v>
      </c>
      <c r="P237" t="str">
        <f>VLOOKUP(PlanGrid[[#This Row],[Title]],'Spec Wattages'!$A$1:$C$973,3,FALSE)</f>
        <v>Plug Load</v>
      </c>
      <c r="Q237" t="s">
        <v>916</v>
      </c>
      <c r="R237" t="s">
        <v>914</v>
      </c>
      <c r="S237" t="s">
        <v>11</v>
      </c>
    </row>
    <row r="238" spans="1:19" hidden="1" x14ac:dyDescent="0.25">
      <c r="A238">
        <v>924</v>
      </c>
      <c r="B238" t="s">
        <v>450</v>
      </c>
      <c r="C238" t="s">
        <v>451</v>
      </c>
      <c r="D238" t="s">
        <v>452</v>
      </c>
      <c r="E238" s="50"/>
      <c r="F238" s="38"/>
      <c r="G238" s="39"/>
      <c r="H238" s="50">
        <f>PlanGrid[[#This Row],[Spec Wattage]]*PlanGrid[[#This Row],[Equipment Count]]</f>
        <v>0</v>
      </c>
      <c r="I238" s="50">
        <f>((PlanGrid[[#This Row],[Demand Watt]]*PlanGrid[[#This Row],[Utilization %]]*'Schedule-Building Info'!$N$16)/1000)</f>
        <v>0</v>
      </c>
      <c r="J238" s="57">
        <f>PlanGrid[[#This Row],[kWh/yr]]*' Elec Utility (kWh)'!$M$7</f>
        <v>0</v>
      </c>
      <c r="K238" s="49">
        <f>PlanGrid[[#This Row],[kWh/yr]]/'Schedule-Building Info'!$B$6</f>
        <v>0</v>
      </c>
      <c r="L238" s="50">
        <f>CONVERT(PlanGrid[[#This Row],[kWh/yr]],"Wh","BTU")</f>
        <v>0</v>
      </c>
      <c r="M238" s="38">
        <f>PlanGrid[[#This Row],[kBtu/yr]]/'Schedule-Building Info'!$B$6</f>
        <v>0</v>
      </c>
      <c r="N238" t="s">
        <v>1089</v>
      </c>
      <c r="O238">
        <v>1</v>
      </c>
      <c r="P238" t="s">
        <v>451</v>
      </c>
      <c r="Q238" t="s">
        <v>785</v>
      </c>
      <c r="R238" t="s">
        <v>785</v>
      </c>
      <c r="S238" t="s">
        <v>51</v>
      </c>
    </row>
    <row r="239" spans="1:19" hidden="1" x14ac:dyDescent="0.25">
      <c r="A239">
        <v>925</v>
      </c>
      <c r="B239" t="s">
        <v>450</v>
      </c>
      <c r="C239" t="s">
        <v>451</v>
      </c>
      <c r="D239" t="s">
        <v>452</v>
      </c>
      <c r="E239" s="50"/>
      <c r="F239" s="38"/>
      <c r="G239" s="39"/>
      <c r="H239" s="50">
        <f>PlanGrid[[#This Row],[Spec Wattage]]*PlanGrid[[#This Row],[Equipment Count]]</f>
        <v>0</v>
      </c>
      <c r="I239" s="50">
        <f>((PlanGrid[[#This Row],[Demand Watt]]*PlanGrid[[#This Row],[Utilization %]]*'Schedule-Building Info'!$N$16)/1000)</f>
        <v>0</v>
      </c>
      <c r="J239" s="57">
        <f>PlanGrid[[#This Row],[kWh/yr]]*' Elec Utility (kWh)'!$M$7</f>
        <v>0</v>
      </c>
      <c r="K239" s="49">
        <f>PlanGrid[[#This Row],[kWh/yr]]/'Schedule-Building Info'!$B$6</f>
        <v>0</v>
      </c>
      <c r="L239" s="50">
        <f>CONVERT(PlanGrid[[#This Row],[kWh/yr]],"Wh","BTU")</f>
        <v>0</v>
      </c>
      <c r="M239" s="38">
        <f>PlanGrid[[#This Row],[kBtu/yr]]/'Schedule-Building Info'!$B$6</f>
        <v>0</v>
      </c>
      <c r="N239" t="s">
        <v>1089</v>
      </c>
      <c r="O239">
        <v>1</v>
      </c>
      <c r="P239" t="s">
        <v>451</v>
      </c>
      <c r="Q239" t="s">
        <v>693</v>
      </c>
      <c r="R239" t="s">
        <v>1024</v>
      </c>
      <c r="S239" t="s">
        <v>51</v>
      </c>
    </row>
    <row r="240" spans="1:19" hidden="1" x14ac:dyDescent="0.25">
      <c r="A240">
        <v>927</v>
      </c>
      <c r="B240" t="s">
        <v>450</v>
      </c>
      <c r="C240" t="s">
        <v>451</v>
      </c>
      <c r="D240" t="s">
        <v>453</v>
      </c>
      <c r="E240" s="50"/>
      <c r="F240" s="38"/>
      <c r="G240" s="39"/>
      <c r="H240" s="50">
        <f>PlanGrid[[#This Row],[Spec Wattage]]*PlanGrid[[#This Row],[Equipment Count]]</f>
        <v>0</v>
      </c>
      <c r="I240" s="50">
        <f>((PlanGrid[[#This Row],[Demand Watt]]*PlanGrid[[#This Row],[Utilization %]]*'Schedule-Building Info'!$N$16)/1000)</f>
        <v>0</v>
      </c>
      <c r="J240" s="57">
        <f>PlanGrid[[#This Row],[kWh/yr]]*' Elec Utility (kWh)'!$M$7</f>
        <v>0</v>
      </c>
      <c r="K240" s="49">
        <f>PlanGrid[[#This Row],[kWh/yr]]/'Schedule-Building Info'!$B$6</f>
        <v>0</v>
      </c>
      <c r="L240" s="50">
        <f>CONVERT(PlanGrid[[#This Row],[kWh/yr]],"Wh","BTU")</f>
        <v>0</v>
      </c>
      <c r="M240" s="38">
        <f>PlanGrid[[#This Row],[kBtu/yr]]/'Schedule-Building Info'!$B$6</f>
        <v>0</v>
      </c>
      <c r="N240" t="s">
        <v>1089</v>
      </c>
      <c r="O240">
        <v>1</v>
      </c>
      <c r="P240" t="s">
        <v>451</v>
      </c>
      <c r="Q240" t="s">
        <v>786</v>
      </c>
      <c r="R240" t="s">
        <v>786</v>
      </c>
      <c r="S240" t="s">
        <v>51</v>
      </c>
    </row>
    <row r="241" spans="1:19" hidden="1" x14ac:dyDescent="0.25">
      <c r="A241">
        <v>744</v>
      </c>
      <c r="B241" t="s">
        <v>450</v>
      </c>
      <c r="C241" t="s">
        <v>451</v>
      </c>
      <c r="D241" t="s">
        <v>454</v>
      </c>
      <c r="E241" s="50"/>
      <c r="F241" s="38"/>
      <c r="G241" s="39"/>
      <c r="H241" s="50">
        <f>PlanGrid[[#This Row],[Spec Wattage]]*PlanGrid[[#This Row],[Equipment Count]]</f>
        <v>0</v>
      </c>
      <c r="I241" s="50">
        <f>((PlanGrid[[#This Row],[Demand Watt]]*PlanGrid[[#This Row],[Utilization %]]*'Schedule-Building Info'!$N$16)/1000)</f>
        <v>0</v>
      </c>
      <c r="J241" s="57">
        <f>PlanGrid[[#This Row],[kWh/yr]]*' Elec Utility (kWh)'!$M$7</f>
        <v>0</v>
      </c>
      <c r="K241" s="49">
        <f>PlanGrid[[#This Row],[kWh/yr]]/'Schedule-Building Info'!$B$6</f>
        <v>0</v>
      </c>
      <c r="L241" s="50">
        <f>CONVERT(PlanGrid[[#This Row],[kWh/yr]],"Wh","BTU")</f>
        <v>0</v>
      </c>
      <c r="M241" s="38">
        <f>PlanGrid[[#This Row],[kBtu/yr]]/'Schedule-Building Info'!$B$6</f>
        <v>0</v>
      </c>
      <c r="N241" t="s">
        <v>1090</v>
      </c>
      <c r="O241">
        <v>0</v>
      </c>
      <c r="P241" t="s">
        <v>451</v>
      </c>
      <c r="Q241" t="s">
        <v>787</v>
      </c>
      <c r="R241" t="s">
        <v>821</v>
      </c>
      <c r="S241" t="s">
        <v>51</v>
      </c>
    </row>
    <row r="242" spans="1:19" hidden="1" x14ac:dyDescent="0.25">
      <c r="A242">
        <v>794</v>
      </c>
      <c r="B242" t="s">
        <v>450</v>
      </c>
      <c r="C242" t="s">
        <v>451</v>
      </c>
      <c r="D242" t="s">
        <v>452</v>
      </c>
      <c r="E242" s="50"/>
      <c r="F242" s="38"/>
      <c r="G242" s="39"/>
      <c r="H242" s="50">
        <f>PlanGrid[[#This Row],[Spec Wattage]]*PlanGrid[[#This Row],[Equipment Count]]</f>
        <v>0</v>
      </c>
      <c r="I242" s="50">
        <f>((PlanGrid[[#This Row],[Demand Watt]]*PlanGrid[[#This Row],[Utilization %]]*'Schedule-Building Info'!$N$16)/1000)</f>
        <v>0</v>
      </c>
      <c r="J242" s="57">
        <f>PlanGrid[[#This Row],[kWh/yr]]*' Elec Utility (kWh)'!$M$7</f>
        <v>0</v>
      </c>
      <c r="K242" s="49">
        <f>PlanGrid[[#This Row],[kWh/yr]]/'Schedule-Building Info'!$B$6</f>
        <v>0</v>
      </c>
      <c r="L242" s="50">
        <f>CONVERT(PlanGrid[[#This Row],[kWh/yr]],"Wh","BTU")</f>
        <v>0</v>
      </c>
      <c r="M242" s="38">
        <f>PlanGrid[[#This Row],[kBtu/yr]]/'Schedule-Building Info'!$B$6</f>
        <v>0</v>
      </c>
      <c r="N242" t="s">
        <v>1090</v>
      </c>
      <c r="O242">
        <v>1</v>
      </c>
      <c r="P242" t="s">
        <v>451</v>
      </c>
      <c r="Q242" t="s">
        <v>788</v>
      </c>
      <c r="R242" t="s">
        <v>886</v>
      </c>
      <c r="S242" t="s">
        <v>51</v>
      </c>
    </row>
    <row r="243" spans="1:19" hidden="1" x14ac:dyDescent="0.25">
      <c r="A243">
        <v>8</v>
      </c>
      <c r="B243" t="s">
        <v>533</v>
      </c>
      <c r="C243" t="s">
        <v>376</v>
      </c>
      <c r="D243" t="s">
        <v>534</v>
      </c>
      <c r="E243" s="50"/>
      <c r="F243" s="38"/>
      <c r="G243" s="39"/>
      <c r="H243" s="58">
        <f>PlanGrid[[#This Row],[Spec Wattage]]*PlanGrid[[#This Row],[Equipment Count]]</f>
        <v>0</v>
      </c>
      <c r="I243" s="50">
        <f>((PlanGrid[[#This Row],[Demand Watt]]*PlanGrid[[#This Row],[Utilization %]]*'Schedule-Building Info'!$N$16)/1000)</f>
        <v>0</v>
      </c>
      <c r="J243" s="57">
        <f>PlanGrid[[#This Row],[kWh/yr]]*' Elec Utility (kWh)'!$M$7</f>
        <v>0</v>
      </c>
      <c r="K243" s="38">
        <f>PlanGrid[[#This Row],[kWh/yr]]/'Schedule-Building Info'!$B$6</f>
        <v>0</v>
      </c>
      <c r="L243" s="50">
        <f>CONVERT(PlanGrid[[#This Row],[kWh/yr]],"Wh","BTU")</f>
        <v>0</v>
      </c>
      <c r="M243" s="38">
        <f>PlanGrid[[#This Row],[kBtu/yr]]/'Schedule-Building Info'!$B$6</f>
        <v>0</v>
      </c>
      <c r="N243" t="s">
        <v>1092</v>
      </c>
      <c r="O243">
        <v>2</v>
      </c>
      <c r="P243" t="str">
        <f>VLOOKUP(PlanGrid[[#This Row],[Title]],'Spec Wattages'!$A$1:$C$973,3,FALSE)</f>
        <v>Fan</v>
      </c>
      <c r="Q243" t="s">
        <v>928</v>
      </c>
      <c r="R243" t="s">
        <v>741</v>
      </c>
      <c r="S243" t="s">
        <v>11</v>
      </c>
    </row>
    <row r="244" spans="1:19" hidden="1" x14ac:dyDescent="0.25">
      <c r="A244">
        <v>10</v>
      </c>
      <c r="B244" t="s">
        <v>533</v>
      </c>
      <c r="C244" t="s">
        <v>376</v>
      </c>
      <c r="D244" t="s">
        <v>534</v>
      </c>
      <c r="E244" s="50"/>
      <c r="F244" s="38"/>
      <c r="G244" s="39"/>
      <c r="H244" s="58">
        <f>PlanGrid[[#This Row],[Spec Wattage]]*PlanGrid[[#This Row],[Equipment Count]]</f>
        <v>0</v>
      </c>
      <c r="I244" s="50">
        <f>((PlanGrid[[#This Row],[Demand Watt]]*PlanGrid[[#This Row],[Utilization %]]*'Schedule-Building Info'!$N$16)/1000)</f>
        <v>0</v>
      </c>
      <c r="J244" s="57">
        <f>PlanGrid[[#This Row],[kWh/yr]]*' Elec Utility (kWh)'!$M$7</f>
        <v>0</v>
      </c>
      <c r="K244" s="38">
        <f>PlanGrid[[#This Row],[kWh/yr]]/'Schedule-Building Info'!$B$6</f>
        <v>0</v>
      </c>
      <c r="L244" s="50">
        <f>CONVERT(PlanGrid[[#This Row],[kWh/yr]],"Wh","BTU")</f>
        <v>0</v>
      </c>
      <c r="M244" s="38">
        <f>PlanGrid[[#This Row],[kBtu/yr]]/'Schedule-Building Info'!$B$6</f>
        <v>0</v>
      </c>
      <c r="N244" t="s">
        <v>1092</v>
      </c>
      <c r="O244">
        <v>3</v>
      </c>
      <c r="P244" t="str">
        <f>VLOOKUP(PlanGrid[[#This Row],[Title]],'Spec Wattages'!$A$1:$C$973,3,FALSE)</f>
        <v>Fan</v>
      </c>
      <c r="Q244" t="s">
        <v>741</v>
      </c>
      <c r="R244" t="s">
        <v>929</v>
      </c>
      <c r="S244" t="s">
        <v>11</v>
      </c>
    </row>
    <row r="245" spans="1:19" x14ac:dyDescent="0.25">
      <c r="A245">
        <v>628</v>
      </c>
      <c r="B245" t="s">
        <v>20</v>
      </c>
      <c r="C245" t="s">
        <v>416</v>
      </c>
      <c r="E245" s="50">
        <f>VLOOKUP(PlanGrid[[#This Row],[Title]],'Spec Wattages'!$A$1:$C$973,2,FALSE)</f>
        <v>50</v>
      </c>
      <c r="F245" s="38">
        <v>1</v>
      </c>
      <c r="G245" s="39">
        <v>0.9</v>
      </c>
      <c r="H245" s="58">
        <f>PlanGrid[[#This Row],[Spec Wattage]]*PlanGrid[[#This Row],[Equipment Count]]</f>
        <v>50</v>
      </c>
      <c r="I245" s="50">
        <f>((PlanGrid[[#This Row],[Demand Watt]]*PlanGrid[[#This Row],[Utilization %]]*'Schedule-Building Info'!$N$16)/1000)</f>
        <v>246.375</v>
      </c>
      <c r="J245" s="57">
        <f>PlanGrid[[#This Row],[kWh/yr]]*' Elec Utility (kWh)'!$M$7</f>
        <v>26.266861676011235</v>
      </c>
      <c r="K245" s="38">
        <f>PlanGrid[[#This Row],[kWh/yr]]/'Schedule-Building Info'!$B$6</f>
        <v>4.0516206482593036E-3</v>
      </c>
      <c r="L245" s="50">
        <f>CONVERT(PlanGrid[[#This Row],[kWh/yr]],"Wh","BTU")</f>
        <v>840.66639486189661</v>
      </c>
      <c r="M245" s="38">
        <f>PlanGrid[[#This Row],[kBtu/yr]]/'Schedule-Building Info'!$B$6</f>
        <v>1.3824703495566391E-2</v>
      </c>
      <c r="N245" t="s">
        <v>1092</v>
      </c>
      <c r="O245">
        <v>0</v>
      </c>
      <c r="P245" t="str">
        <f>VLOOKUP(PlanGrid[[#This Row],[Title]],'Spec Wattages'!$A$1:$C$973,3,FALSE)</f>
        <v>Plug Load</v>
      </c>
      <c r="Q245" t="s">
        <v>1006</v>
      </c>
      <c r="R245" t="s">
        <v>1020</v>
      </c>
      <c r="S245" t="s">
        <v>11</v>
      </c>
    </row>
    <row r="246" spans="1:19" hidden="1" x14ac:dyDescent="0.25">
      <c r="A246">
        <v>236</v>
      </c>
      <c r="B246" t="s">
        <v>455</v>
      </c>
      <c r="C246" t="s">
        <v>456</v>
      </c>
      <c r="D246" t="s">
        <v>457</v>
      </c>
      <c r="E246" s="50"/>
      <c r="F246" s="38"/>
      <c r="G246" s="39"/>
      <c r="H246" s="50">
        <f>PlanGrid[[#This Row],[Spec Wattage]]*PlanGrid[[#This Row],[Equipment Count]]</f>
        <v>0</v>
      </c>
      <c r="I246" s="50">
        <f>((PlanGrid[[#This Row],[Demand Watt]]*PlanGrid[[#This Row],[Utilization %]]*'Schedule-Building Info'!$N$16)/1000)</f>
        <v>0</v>
      </c>
      <c r="J246" s="57">
        <f>PlanGrid[[#This Row],[kWh/yr]]*' Elec Utility (kWh)'!$M$7</f>
        <v>0</v>
      </c>
      <c r="K246" s="49">
        <f>PlanGrid[[#This Row],[kWh/yr]]/'Schedule-Building Info'!$B$6</f>
        <v>0</v>
      </c>
      <c r="L246" s="50">
        <f>CONVERT(PlanGrid[[#This Row],[kWh/yr]],"Wh","BTU")</f>
        <v>0</v>
      </c>
      <c r="M246" s="38">
        <f>PlanGrid[[#This Row],[kBtu/yr]]/'Schedule-Building Info'!$B$6</f>
        <v>0</v>
      </c>
      <c r="N246" t="s">
        <v>1092</v>
      </c>
      <c r="O246">
        <v>2</v>
      </c>
      <c r="P246" t="e">
        <f>VLOOKUP(PlanGrid[[#This Row],[Title]],'Spec Wattages'!$A$1:$C$973,3,FALSE)</f>
        <v>#N/A</v>
      </c>
      <c r="Q246" t="s">
        <v>789</v>
      </c>
      <c r="R246" t="s">
        <v>863</v>
      </c>
      <c r="S246" t="s">
        <v>51</v>
      </c>
    </row>
    <row r="247" spans="1:19" hidden="1" x14ac:dyDescent="0.25">
      <c r="A247">
        <v>238</v>
      </c>
      <c r="B247" t="s">
        <v>455</v>
      </c>
      <c r="C247" t="s">
        <v>456</v>
      </c>
      <c r="E247" s="50"/>
      <c r="F247" s="38"/>
      <c r="G247" s="39"/>
      <c r="H247" s="50">
        <f>PlanGrid[[#This Row],[Spec Wattage]]*PlanGrid[[#This Row],[Equipment Count]]</f>
        <v>0</v>
      </c>
      <c r="I247" s="50">
        <f>((PlanGrid[[#This Row],[Demand Watt]]*PlanGrid[[#This Row],[Utilization %]]*'Schedule-Building Info'!$N$16)/1000)</f>
        <v>0</v>
      </c>
      <c r="J247" s="57">
        <f>PlanGrid[[#This Row],[kWh/yr]]*' Elec Utility (kWh)'!$M$7</f>
        <v>0</v>
      </c>
      <c r="K247" s="49">
        <f>PlanGrid[[#This Row],[kWh/yr]]/'Schedule-Building Info'!$B$6</f>
        <v>0</v>
      </c>
      <c r="L247" s="50">
        <f>CONVERT(PlanGrid[[#This Row],[kWh/yr]],"Wh","BTU")</f>
        <v>0</v>
      </c>
      <c r="M247" s="38">
        <f>PlanGrid[[#This Row],[kBtu/yr]]/'Schedule-Building Info'!$B$6</f>
        <v>0</v>
      </c>
      <c r="N247" t="s">
        <v>1092</v>
      </c>
      <c r="O247">
        <v>0</v>
      </c>
      <c r="P247" t="e">
        <f>VLOOKUP(PlanGrid[[#This Row],[Title]],'Spec Wattages'!$A$1:$C$973,3,FALSE)</f>
        <v>#N/A</v>
      </c>
      <c r="Q247" t="s">
        <v>790</v>
      </c>
      <c r="R247" t="s">
        <v>790</v>
      </c>
      <c r="S247" t="s">
        <v>51</v>
      </c>
    </row>
    <row r="248" spans="1:19" x14ac:dyDescent="0.25">
      <c r="A248">
        <v>918</v>
      </c>
      <c r="B248" t="s">
        <v>450</v>
      </c>
      <c r="C248" t="s">
        <v>451</v>
      </c>
      <c r="D248" t="s">
        <v>452</v>
      </c>
      <c r="E248" s="50">
        <v>8800</v>
      </c>
      <c r="F248" s="38">
        <v>1</v>
      </c>
      <c r="G248" s="39">
        <v>1</v>
      </c>
      <c r="H248" s="50">
        <f>PlanGrid[[#This Row],[Spec Wattage]]*PlanGrid[[#This Row],[Equipment Count]]</f>
        <v>8800</v>
      </c>
      <c r="I248" s="50">
        <f>((PlanGrid[[#This Row],[Demand Watt]]*PlanGrid[[#This Row],[Utilization %]]*'Schedule-Building Info'!$N$16)/1000)</f>
        <v>48180</v>
      </c>
      <c r="J248" s="57">
        <f>PlanGrid[[#This Row],[kWh/yr]]*' Elec Utility (kWh)'!$M$7</f>
        <v>5136.6307277533078</v>
      </c>
      <c r="K248" s="49">
        <f>PlanGrid[[#This Row],[kWh/yr]]/'Schedule-Building Info'!$B$6</f>
        <v>0.79231692677070831</v>
      </c>
      <c r="L248" s="50">
        <f>CONVERT(PlanGrid[[#This Row],[kWh/yr]],"Wh","BTU")</f>
        <v>164396.98388410424</v>
      </c>
      <c r="M248" s="38">
        <f>PlanGrid[[#This Row],[kBtu/yr]]/'Schedule-Building Info'!$B$6</f>
        <v>2.7034975724663166</v>
      </c>
      <c r="N248" t="s">
        <v>1089</v>
      </c>
      <c r="O248">
        <v>1</v>
      </c>
      <c r="P248" t="s">
        <v>451</v>
      </c>
      <c r="Q248" t="s">
        <v>696</v>
      </c>
      <c r="R248" t="s">
        <v>920</v>
      </c>
      <c r="S248" t="s">
        <v>51</v>
      </c>
    </row>
    <row r="249" spans="1:19" hidden="1" x14ac:dyDescent="0.25">
      <c r="A249">
        <v>748</v>
      </c>
      <c r="B249" t="s">
        <v>458</v>
      </c>
      <c r="C249" t="s">
        <v>459</v>
      </c>
      <c r="D249" t="s">
        <v>461</v>
      </c>
      <c r="E249" s="50"/>
      <c r="F249" s="38"/>
      <c r="G249" s="39"/>
      <c r="H249" s="50">
        <f>PlanGrid[[#This Row],[Spec Wattage]]*PlanGrid[[#This Row],[Equipment Count]]</f>
        <v>0</v>
      </c>
      <c r="I249" s="50">
        <f>((PlanGrid[[#This Row],[Demand Watt]]*PlanGrid[[#This Row],[Utilization %]]*'Schedule-Building Info'!$N$16)/1000)</f>
        <v>0</v>
      </c>
      <c r="J249" s="57">
        <f>PlanGrid[[#This Row],[kWh/yr]]*' Elec Utility (kWh)'!$M$7</f>
        <v>0</v>
      </c>
      <c r="K249" s="49">
        <f>PlanGrid[[#This Row],[kWh/yr]]/'Schedule-Building Info'!$B$6</f>
        <v>0</v>
      </c>
      <c r="L249" s="50">
        <f>CONVERT(PlanGrid[[#This Row],[kWh/yr]],"Wh","BTU")</f>
        <v>0</v>
      </c>
      <c r="M249" s="38">
        <f>PlanGrid[[#This Row],[kBtu/yr]]/'Schedule-Building Info'!$B$6</f>
        <v>0</v>
      </c>
      <c r="N249" t="s">
        <v>1090</v>
      </c>
      <c r="O249">
        <v>0</v>
      </c>
      <c r="P249" t="e">
        <f>VLOOKUP(PlanGrid[[#This Row],[Title]],'Spec Wattages'!$A$1:$C$973,3,FALSE)</f>
        <v>#N/A</v>
      </c>
      <c r="Q249" t="s">
        <v>792</v>
      </c>
      <c r="R249" t="s">
        <v>792</v>
      </c>
      <c r="S249" t="s">
        <v>51</v>
      </c>
    </row>
    <row r="250" spans="1:19" hidden="1" x14ac:dyDescent="0.25">
      <c r="A250">
        <v>242</v>
      </c>
      <c r="B250" t="s">
        <v>458</v>
      </c>
      <c r="C250" t="s">
        <v>459</v>
      </c>
      <c r="D250" t="s">
        <v>462</v>
      </c>
      <c r="E250" s="50"/>
      <c r="F250" s="38"/>
      <c r="G250" s="39"/>
      <c r="H250" s="50">
        <f>PlanGrid[[#This Row],[Spec Wattage]]*PlanGrid[[#This Row],[Equipment Count]]</f>
        <v>0</v>
      </c>
      <c r="I250" s="50">
        <f>((PlanGrid[[#This Row],[Demand Watt]]*PlanGrid[[#This Row],[Utilization %]]*'Schedule-Building Info'!$N$16)/1000)</f>
        <v>0</v>
      </c>
      <c r="J250" s="57">
        <f>PlanGrid[[#This Row],[kWh/yr]]*' Elec Utility (kWh)'!$M$7</f>
        <v>0</v>
      </c>
      <c r="K250" s="49">
        <f>PlanGrid[[#This Row],[kWh/yr]]/'Schedule-Building Info'!$B$6</f>
        <v>0</v>
      </c>
      <c r="L250" s="50">
        <f>CONVERT(PlanGrid[[#This Row],[kWh/yr]],"Wh","BTU")</f>
        <v>0</v>
      </c>
      <c r="M250" s="38">
        <f>PlanGrid[[#This Row],[kBtu/yr]]/'Schedule-Building Info'!$B$6</f>
        <v>0</v>
      </c>
      <c r="N250" t="s">
        <v>1092</v>
      </c>
      <c r="O250">
        <v>0</v>
      </c>
      <c r="P250" t="e">
        <f>VLOOKUP(PlanGrid[[#This Row],[Title]],'Spec Wattages'!$A$1:$C$973,3,FALSE)</f>
        <v>#N/A</v>
      </c>
      <c r="Q250" t="s">
        <v>793</v>
      </c>
      <c r="R250" t="s">
        <v>793</v>
      </c>
      <c r="S250" t="s">
        <v>51</v>
      </c>
    </row>
    <row r="251" spans="1:19" x14ac:dyDescent="0.25">
      <c r="A251">
        <v>11</v>
      </c>
      <c r="B251" t="s">
        <v>533</v>
      </c>
      <c r="C251" t="s">
        <v>376</v>
      </c>
      <c r="D251" t="s">
        <v>535</v>
      </c>
      <c r="E251" s="50">
        <v>22371</v>
      </c>
      <c r="F251" s="38">
        <v>1</v>
      </c>
      <c r="G251" s="39">
        <v>0</v>
      </c>
      <c r="H251" s="58">
        <f>PlanGrid[[#This Row],[Spec Wattage]]*PlanGrid[[#This Row],[Equipment Count]]</f>
        <v>22371</v>
      </c>
      <c r="I251" s="50">
        <f>((PlanGrid[[#This Row],[Demand Watt]]*PlanGrid[[#This Row],[Utilization %]]*'Schedule-Building Info'!$N$16)/1000)</f>
        <v>0</v>
      </c>
      <c r="J251" s="57">
        <f>PlanGrid[[#This Row],[kWh/yr]]*' Elec Utility (kWh)'!$M$7</f>
        <v>0</v>
      </c>
      <c r="K251" s="38">
        <f>PlanGrid[[#This Row],[kWh/yr]]/'Schedule-Building Info'!$B$6</f>
        <v>0</v>
      </c>
      <c r="L251" s="50">
        <f>CONVERT(PlanGrid[[#This Row],[kWh/yr]],"Wh","BTU")</f>
        <v>0</v>
      </c>
      <c r="M251" s="38">
        <f>PlanGrid[[#This Row],[kBtu/yr]]/'Schedule-Building Info'!$B$6</f>
        <v>0</v>
      </c>
      <c r="N251" t="s">
        <v>1092</v>
      </c>
      <c r="O251">
        <v>1</v>
      </c>
      <c r="P251" t="str">
        <f>VLOOKUP(PlanGrid[[#This Row],[Title]],'Spec Wattages'!$A$1:$C$973,3,FALSE)</f>
        <v>Fan</v>
      </c>
      <c r="Q251" t="s">
        <v>929</v>
      </c>
      <c r="R251" t="s">
        <v>1065</v>
      </c>
      <c r="S251" t="s">
        <v>11</v>
      </c>
    </row>
    <row r="252" spans="1:19" x14ac:dyDescent="0.25">
      <c r="A252">
        <v>894</v>
      </c>
      <c r="B252" t="s">
        <v>458</v>
      </c>
      <c r="C252" t="s">
        <v>459</v>
      </c>
      <c r="D252" t="s">
        <v>460</v>
      </c>
      <c r="E252" s="50">
        <v>120</v>
      </c>
      <c r="F252" s="38">
        <v>1</v>
      </c>
      <c r="G252" s="39">
        <v>0.5</v>
      </c>
      <c r="H252" s="50">
        <f>PlanGrid[[#This Row],[Spec Wattage]]*PlanGrid[[#This Row],[Equipment Count]]</f>
        <v>120</v>
      </c>
      <c r="I252" s="50">
        <f>((PlanGrid[[#This Row],[Demand Watt]]*PlanGrid[[#This Row],[Utilization %]]*'Schedule-Building Info'!$N$16)/1000)</f>
        <v>328.5</v>
      </c>
      <c r="J252" s="57">
        <f>PlanGrid[[#This Row],[kWh/yr]]*' Elec Utility (kWh)'!$M$7</f>
        <v>35.022482234681647</v>
      </c>
      <c r="K252" s="49">
        <f>PlanGrid[[#This Row],[kWh/yr]]/'Schedule-Building Info'!$B$6</f>
        <v>5.4021608643457387E-3</v>
      </c>
      <c r="L252" s="50">
        <f>CONVERT(PlanGrid[[#This Row],[kWh/yr]],"Wh","BTU")</f>
        <v>1120.8885264825287</v>
      </c>
      <c r="M252" s="38">
        <f>PlanGrid[[#This Row],[kBtu/yr]]/'Schedule-Building Info'!$B$6</f>
        <v>1.843293799408852E-2</v>
      </c>
      <c r="N252" t="s">
        <v>1089</v>
      </c>
      <c r="O252">
        <v>0</v>
      </c>
      <c r="P252" t="s">
        <v>87</v>
      </c>
      <c r="Q252" t="s">
        <v>791</v>
      </c>
      <c r="R252" t="s">
        <v>791</v>
      </c>
      <c r="S252" t="s">
        <v>51</v>
      </c>
    </row>
    <row r="253" spans="1:19" x14ac:dyDescent="0.25">
      <c r="A253">
        <v>1069</v>
      </c>
      <c r="B253" t="s">
        <v>477</v>
      </c>
      <c r="C253" t="s">
        <v>478</v>
      </c>
      <c r="E253" s="50">
        <f>VLOOKUP(PlanGrid[[#This Row],[Title]],'Spec Wattages'!$A$1:$C$973,2,FALSE)</f>
        <v>40</v>
      </c>
      <c r="F253" s="38">
        <v>1</v>
      </c>
      <c r="G253" s="39">
        <v>0.9</v>
      </c>
      <c r="H253" s="50">
        <f>PlanGrid[[#This Row],[Spec Wattage]]*PlanGrid[[#This Row],[Equipment Count]]</f>
        <v>40</v>
      </c>
      <c r="I253" s="50">
        <f>((PlanGrid[[#This Row],[Demand Watt]]*PlanGrid[[#This Row],[Utilization %]]*'Schedule-Building Info'!$N$16)/1000)</f>
        <v>197.1</v>
      </c>
      <c r="J253" s="57">
        <f>PlanGrid[[#This Row],[kWh/yr]]*' Elec Utility (kWh)'!$M$7</f>
        <v>21.013489340808988</v>
      </c>
      <c r="K253" s="49">
        <f>PlanGrid[[#This Row],[kWh/yr]]/'Schedule-Building Info'!$B$6</f>
        <v>3.2412965186074429E-3</v>
      </c>
      <c r="L253" s="50">
        <f>CONVERT(PlanGrid[[#This Row],[kWh/yr]],"Wh","BTU")</f>
        <v>672.53311588951726</v>
      </c>
      <c r="M253" s="38">
        <f>PlanGrid[[#This Row],[kBtu/yr]]/'Schedule-Building Info'!$B$6</f>
        <v>1.1059762796453111E-2</v>
      </c>
      <c r="N253" t="s">
        <v>1089</v>
      </c>
      <c r="O253">
        <v>0</v>
      </c>
      <c r="P253" t="str">
        <f>VLOOKUP(PlanGrid[[#This Row],[Title]],'Spec Wattages'!$A$1:$C$973,3,FALSE)</f>
        <v>Plug Load</v>
      </c>
      <c r="Q253" t="s">
        <v>797</v>
      </c>
      <c r="R253" t="s">
        <v>797</v>
      </c>
      <c r="S253" t="s">
        <v>11</v>
      </c>
    </row>
    <row r="254" spans="1:19" x14ac:dyDescent="0.25">
      <c r="A254">
        <v>1079</v>
      </c>
      <c r="B254" t="s">
        <v>477</v>
      </c>
      <c r="C254" t="s">
        <v>478</v>
      </c>
      <c r="E254" s="50">
        <f>VLOOKUP(PlanGrid[[#This Row],[Title]],'Spec Wattages'!$A$1:$C$973,2,FALSE)</f>
        <v>40</v>
      </c>
      <c r="F254" s="38">
        <v>1</v>
      </c>
      <c r="G254" s="39">
        <v>0.9</v>
      </c>
      <c r="H254" s="38">
        <f>PlanGrid[[#This Row],[Spec Wattage]]*PlanGrid[[#This Row],[Equipment Count]]</f>
        <v>40</v>
      </c>
      <c r="I254" s="38">
        <f>((PlanGrid[[#This Row],[Demand Watt]]*PlanGrid[[#This Row],[Utilization %]]*'Schedule-Building Info'!$N$16)/1000)</f>
        <v>197.1</v>
      </c>
      <c r="J254" s="57">
        <f>PlanGrid[[#This Row],[kWh/yr]]*' Elec Utility (kWh)'!$M$7</f>
        <v>21.013489340808988</v>
      </c>
      <c r="K254" s="38">
        <f>PlanGrid[[#This Row],[kWh/yr]]/'Schedule-Building Info'!$B$6</f>
        <v>3.2412965186074429E-3</v>
      </c>
      <c r="L254" s="50">
        <f>CONVERT(PlanGrid[[#This Row],[kWh/yr]],"Wh","BTU")</f>
        <v>672.53311588951726</v>
      </c>
      <c r="M254" s="38">
        <f>PlanGrid[[#This Row],[kBtu/yr]]/'Schedule-Building Info'!$B$6</f>
        <v>1.1059762796453111E-2</v>
      </c>
      <c r="N254" t="s">
        <v>1089</v>
      </c>
      <c r="O254">
        <v>0</v>
      </c>
      <c r="P254" t="str">
        <f>VLOOKUP(PlanGrid[[#This Row],[Title]],'Spec Wattages'!$A$1:$C$973,3,FALSE)</f>
        <v>Plug Load</v>
      </c>
      <c r="Q254" t="s">
        <v>777</v>
      </c>
      <c r="R254" t="s">
        <v>777</v>
      </c>
      <c r="S254" t="s">
        <v>11</v>
      </c>
    </row>
    <row r="255" spans="1:19" x14ac:dyDescent="0.25">
      <c r="A255">
        <v>1086</v>
      </c>
      <c r="B255" t="s">
        <v>477</v>
      </c>
      <c r="C255" t="s">
        <v>478</v>
      </c>
      <c r="E255" s="50">
        <f>VLOOKUP(PlanGrid[[#This Row],[Title]],'Spec Wattages'!$A$1:$C$973,2,FALSE)</f>
        <v>40</v>
      </c>
      <c r="F255" s="38">
        <v>1</v>
      </c>
      <c r="G255" s="39">
        <v>0.9</v>
      </c>
      <c r="H255" s="50">
        <f>PlanGrid[[#This Row],[Spec Wattage]]*PlanGrid[[#This Row],[Equipment Count]]</f>
        <v>40</v>
      </c>
      <c r="I255" s="50">
        <f>((PlanGrid[[#This Row],[Demand Watt]]*PlanGrid[[#This Row],[Utilization %]]*'Schedule-Building Info'!$N$16)/1000)</f>
        <v>197.1</v>
      </c>
      <c r="J255" s="57">
        <f>PlanGrid[[#This Row],[kWh/yr]]*' Elec Utility (kWh)'!$M$7</f>
        <v>21.013489340808988</v>
      </c>
      <c r="K255" s="49">
        <f>PlanGrid[[#This Row],[kWh/yr]]/'Schedule-Building Info'!$B$6</f>
        <v>3.2412965186074429E-3</v>
      </c>
      <c r="L255" s="50">
        <f>CONVERT(PlanGrid[[#This Row],[kWh/yr]],"Wh","BTU")</f>
        <v>672.53311588951726</v>
      </c>
      <c r="M255" s="38">
        <f>PlanGrid[[#This Row],[kBtu/yr]]/'Schedule-Building Info'!$B$6</f>
        <v>1.1059762796453111E-2</v>
      </c>
      <c r="N255" t="s">
        <v>1089</v>
      </c>
      <c r="O255">
        <v>0</v>
      </c>
      <c r="P255" t="str">
        <f>VLOOKUP(PlanGrid[[#This Row],[Title]],'Spec Wattages'!$A$1:$C$973,3,FALSE)</f>
        <v>Plug Load</v>
      </c>
      <c r="Q255" t="s">
        <v>708</v>
      </c>
      <c r="R255" t="s">
        <v>708</v>
      </c>
      <c r="S255" t="s">
        <v>51</v>
      </c>
    </row>
    <row r="256" spans="1:19" x14ac:dyDescent="0.25">
      <c r="A256">
        <v>1091</v>
      </c>
      <c r="B256" t="s">
        <v>477</v>
      </c>
      <c r="C256" t="s">
        <v>478</v>
      </c>
      <c r="E256" s="50">
        <f>VLOOKUP(PlanGrid[[#This Row],[Title]],'Spec Wattages'!$A$1:$C$973,2,FALSE)</f>
        <v>40</v>
      </c>
      <c r="F256" s="38">
        <v>1</v>
      </c>
      <c r="G256" s="39">
        <v>0.9</v>
      </c>
      <c r="H256" s="50">
        <f>PlanGrid[[#This Row],[Spec Wattage]]*PlanGrid[[#This Row],[Equipment Count]]</f>
        <v>40</v>
      </c>
      <c r="I256" s="50">
        <f>((PlanGrid[[#This Row],[Demand Watt]]*PlanGrid[[#This Row],[Utilization %]]*'Schedule-Building Info'!$N$16)/1000)</f>
        <v>197.1</v>
      </c>
      <c r="J256" s="57">
        <f>PlanGrid[[#This Row],[kWh/yr]]*' Elec Utility (kWh)'!$M$7</f>
        <v>21.013489340808988</v>
      </c>
      <c r="K256" s="49">
        <f>PlanGrid[[#This Row],[kWh/yr]]/'Schedule-Building Info'!$B$6</f>
        <v>3.2412965186074429E-3</v>
      </c>
      <c r="L256" s="50">
        <f>CONVERT(PlanGrid[[#This Row],[kWh/yr]],"Wh","BTU")</f>
        <v>672.53311588951726</v>
      </c>
      <c r="M256" s="38">
        <f>PlanGrid[[#This Row],[kBtu/yr]]/'Schedule-Building Info'!$B$6</f>
        <v>1.1059762796453111E-2</v>
      </c>
      <c r="N256" t="s">
        <v>1089</v>
      </c>
      <c r="O256">
        <v>0</v>
      </c>
      <c r="P256" t="str">
        <f>VLOOKUP(PlanGrid[[#This Row],[Title]],'Spec Wattages'!$A$1:$C$973,3,FALSE)</f>
        <v>Plug Load</v>
      </c>
      <c r="Q256" t="s">
        <v>800</v>
      </c>
      <c r="R256" t="s">
        <v>800</v>
      </c>
      <c r="S256" t="s">
        <v>11</v>
      </c>
    </row>
    <row r="257" spans="1:19" x14ac:dyDescent="0.25">
      <c r="A257">
        <v>658</v>
      </c>
      <c r="B257" t="s">
        <v>477</v>
      </c>
      <c r="C257" t="s">
        <v>478</v>
      </c>
      <c r="E257" s="50">
        <f>VLOOKUP(PlanGrid[[#This Row],[Title]],'Spec Wattages'!$A$1:$C$973,2,FALSE)</f>
        <v>40</v>
      </c>
      <c r="F257" s="38">
        <v>1</v>
      </c>
      <c r="G257" s="39">
        <v>0.9</v>
      </c>
      <c r="H257" s="50">
        <f>PlanGrid[[#This Row],[Spec Wattage]]*PlanGrid[[#This Row],[Equipment Count]]</f>
        <v>40</v>
      </c>
      <c r="I257" s="50">
        <f>((PlanGrid[[#This Row],[Demand Watt]]*PlanGrid[[#This Row],[Utilization %]]*'Schedule-Building Info'!$N$16)/1000)</f>
        <v>197.1</v>
      </c>
      <c r="J257" s="57">
        <f>PlanGrid[[#This Row],[kWh/yr]]*' Elec Utility (kWh)'!$M$7</f>
        <v>21.013489340808988</v>
      </c>
      <c r="K257" s="49">
        <f>PlanGrid[[#This Row],[kWh/yr]]/'Schedule-Building Info'!$B$6</f>
        <v>3.2412965186074429E-3</v>
      </c>
      <c r="L257" s="50">
        <f>CONVERT(PlanGrid[[#This Row],[kWh/yr]],"Wh","BTU")</f>
        <v>672.53311588951726</v>
      </c>
      <c r="M257" s="38">
        <f>PlanGrid[[#This Row],[kBtu/yr]]/'Schedule-Building Info'!$B$6</f>
        <v>1.1059762796453111E-2</v>
      </c>
      <c r="N257" t="s">
        <v>1090</v>
      </c>
      <c r="O257">
        <v>0</v>
      </c>
      <c r="P257" t="str">
        <f>VLOOKUP(PlanGrid[[#This Row],[Title]],'Spec Wattages'!$A$1:$C$973,3,FALSE)</f>
        <v>Plug Load</v>
      </c>
      <c r="Q257" t="s">
        <v>718</v>
      </c>
      <c r="R257" t="s">
        <v>718</v>
      </c>
      <c r="S257" t="s">
        <v>51</v>
      </c>
    </row>
    <row r="258" spans="1:19" x14ac:dyDescent="0.25">
      <c r="A258">
        <v>777</v>
      </c>
      <c r="B258" t="s">
        <v>477</v>
      </c>
      <c r="C258" t="s">
        <v>478</v>
      </c>
      <c r="E258" s="50">
        <f>VLOOKUP(PlanGrid[[#This Row],[Title]],'Spec Wattages'!$A$1:$C$973,2,FALSE)</f>
        <v>40</v>
      </c>
      <c r="F258" s="38">
        <v>1</v>
      </c>
      <c r="G258" s="39">
        <v>0.9</v>
      </c>
      <c r="H258" s="58">
        <f>PlanGrid[[#This Row],[Spec Wattage]]*PlanGrid[[#This Row],[Equipment Count]]</f>
        <v>40</v>
      </c>
      <c r="I258" s="50">
        <f>((PlanGrid[[#This Row],[Demand Watt]]*PlanGrid[[#This Row],[Utilization %]]*'Schedule-Building Info'!$N$16)/1000)</f>
        <v>197.1</v>
      </c>
      <c r="J258" s="57">
        <f>PlanGrid[[#This Row],[kWh/yr]]*' Elec Utility (kWh)'!$M$7</f>
        <v>21.013489340808988</v>
      </c>
      <c r="K258" s="38">
        <f>PlanGrid[[#This Row],[kWh/yr]]/'Schedule-Building Info'!$B$6</f>
        <v>3.2412965186074429E-3</v>
      </c>
      <c r="L258" s="50">
        <f>CONVERT(PlanGrid[[#This Row],[kWh/yr]],"Wh","BTU")</f>
        <v>672.53311588951726</v>
      </c>
      <c r="M258" s="38">
        <f>PlanGrid[[#This Row],[kBtu/yr]]/'Schedule-Building Info'!$B$6</f>
        <v>1.1059762796453111E-2</v>
      </c>
      <c r="N258" t="s">
        <v>1090</v>
      </c>
      <c r="O258">
        <v>0</v>
      </c>
      <c r="P258" t="str">
        <f>VLOOKUP(PlanGrid[[#This Row],[Title]],'Spec Wattages'!$A$1:$C$973,3,FALSE)</f>
        <v>Plug Load</v>
      </c>
      <c r="Q258" t="s">
        <v>825</v>
      </c>
      <c r="R258" t="s">
        <v>825</v>
      </c>
      <c r="S258" t="s">
        <v>11</v>
      </c>
    </row>
    <row r="259" spans="1:19" x14ac:dyDescent="0.25">
      <c r="A259">
        <v>781</v>
      </c>
      <c r="B259" t="s">
        <v>477</v>
      </c>
      <c r="C259" t="s">
        <v>478</v>
      </c>
      <c r="E259" s="50">
        <f>VLOOKUP(PlanGrid[[#This Row],[Title]],'Spec Wattages'!$A$1:$C$973,2,FALSE)</f>
        <v>40</v>
      </c>
      <c r="F259" s="38">
        <v>1</v>
      </c>
      <c r="G259" s="39">
        <v>0.9</v>
      </c>
      <c r="H259" s="58">
        <f>PlanGrid[[#This Row],[Spec Wattage]]*PlanGrid[[#This Row],[Equipment Count]]</f>
        <v>40</v>
      </c>
      <c r="I259" s="50">
        <f>((PlanGrid[[#This Row],[Demand Watt]]*PlanGrid[[#This Row],[Utilization %]]*'Schedule-Building Info'!$N$16)/1000)</f>
        <v>197.1</v>
      </c>
      <c r="J259" s="57">
        <f>PlanGrid[[#This Row],[kWh/yr]]*' Elec Utility (kWh)'!$M$7</f>
        <v>21.013489340808988</v>
      </c>
      <c r="K259" s="38">
        <f>PlanGrid[[#This Row],[kWh/yr]]/'Schedule-Building Info'!$B$6</f>
        <v>3.2412965186074429E-3</v>
      </c>
      <c r="L259" s="50">
        <f>CONVERT(PlanGrid[[#This Row],[kWh/yr]],"Wh","BTU")</f>
        <v>672.53311588951726</v>
      </c>
      <c r="M259" s="38">
        <f>PlanGrid[[#This Row],[kBtu/yr]]/'Schedule-Building Info'!$B$6</f>
        <v>1.1059762796453111E-2</v>
      </c>
      <c r="N259" t="s">
        <v>1090</v>
      </c>
      <c r="O259">
        <v>0</v>
      </c>
      <c r="P259" t="str">
        <f>VLOOKUP(PlanGrid[[#This Row],[Title]],'Spec Wattages'!$A$1:$C$973,3,FALSE)</f>
        <v>Plug Load</v>
      </c>
      <c r="Q259" t="s">
        <v>883</v>
      </c>
      <c r="R259" t="s">
        <v>883</v>
      </c>
      <c r="S259" t="s">
        <v>11</v>
      </c>
    </row>
    <row r="260" spans="1:19" x14ac:dyDescent="0.25">
      <c r="A260">
        <v>47</v>
      </c>
      <c r="B260" t="s">
        <v>477</v>
      </c>
      <c r="C260" t="s">
        <v>478</v>
      </c>
      <c r="E260" s="50">
        <f>VLOOKUP(PlanGrid[[#This Row],[Title]],'Spec Wattages'!$A$1:$C$973,2,FALSE)</f>
        <v>40</v>
      </c>
      <c r="F260" s="38">
        <v>1</v>
      </c>
      <c r="G260" s="39">
        <v>0.9</v>
      </c>
      <c r="H260" s="58">
        <f>PlanGrid[[#This Row],[Spec Wattage]]*PlanGrid[[#This Row],[Equipment Count]]</f>
        <v>40</v>
      </c>
      <c r="I260" s="50">
        <f>((PlanGrid[[#This Row],[Demand Watt]]*PlanGrid[[#This Row],[Utilization %]]*'Schedule-Building Info'!$N$16)/1000)</f>
        <v>197.1</v>
      </c>
      <c r="J260" s="57">
        <f>PlanGrid[[#This Row],[kWh/yr]]*' Elec Utility (kWh)'!$M$7</f>
        <v>21.013489340808988</v>
      </c>
      <c r="K260" s="38">
        <f>PlanGrid[[#This Row],[kWh/yr]]/'Schedule-Building Info'!$B$6</f>
        <v>3.2412965186074429E-3</v>
      </c>
      <c r="L260" s="50">
        <f>CONVERT(PlanGrid[[#This Row],[kWh/yr]],"Wh","BTU")</f>
        <v>672.53311588951726</v>
      </c>
      <c r="M260" s="38">
        <f>PlanGrid[[#This Row],[kBtu/yr]]/'Schedule-Building Info'!$B$6</f>
        <v>1.1059762796453111E-2</v>
      </c>
      <c r="N260" t="s">
        <v>1092</v>
      </c>
      <c r="O260">
        <v>0</v>
      </c>
      <c r="P260" t="str">
        <f>VLOOKUP(PlanGrid[[#This Row],[Title]],'Spec Wattages'!$A$1:$C$973,3,FALSE)</f>
        <v>Plug Load</v>
      </c>
      <c r="Q260" t="s">
        <v>783</v>
      </c>
      <c r="R260" t="s">
        <v>783</v>
      </c>
      <c r="S260" t="s">
        <v>51</v>
      </c>
    </row>
    <row r="261" spans="1:19" x14ac:dyDescent="0.25">
      <c r="A261">
        <v>54</v>
      </c>
      <c r="B261" t="s">
        <v>477</v>
      </c>
      <c r="C261" t="s">
        <v>478</v>
      </c>
      <c r="E261" s="50">
        <f>VLOOKUP(PlanGrid[[#This Row],[Title]],'Spec Wattages'!$A$1:$C$973,2,FALSE)</f>
        <v>40</v>
      </c>
      <c r="F261" s="38">
        <v>1</v>
      </c>
      <c r="G261" s="39">
        <v>0.9</v>
      </c>
      <c r="H261" s="58">
        <f>PlanGrid[[#This Row],[Spec Wattage]]*PlanGrid[[#This Row],[Equipment Count]]</f>
        <v>40</v>
      </c>
      <c r="I261" s="50">
        <f>((PlanGrid[[#This Row],[Demand Watt]]*PlanGrid[[#This Row],[Utilization %]]*'Schedule-Building Info'!$N$16)/1000)</f>
        <v>197.1</v>
      </c>
      <c r="J261" s="57">
        <f>PlanGrid[[#This Row],[kWh/yr]]*' Elec Utility (kWh)'!$M$7</f>
        <v>21.013489340808988</v>
      </c>
      <c r="K261" s="38">
        <f>PlanGrid[[#This Row],[kWh/yr]]/'Schedule-Building Info'!$B$6</f>
        <v>3.2412965186074429E-3</v>
      </c>
      <c r="L261" s="50">
        <f>CONVERT(PlanGrid[[#This Row],[kWh/yr]],"Wh","BTU")</f>
        <v>672.53311588951726</v>
      </c>
      <c r="M261" s="38">
        <f>PlanGrid[[#This Row],[kBtu/yr]]/'Schedule-Building Info'!$B$6</f>
        <v>1.1059762796453111E-2</v>
      </c>
      <c r="N261" t="s">
        <v>1092</v>
      </c>
      <c r="O261">
        <v>0</v>
      </c>
      <c r="P261" t="str">
        <f>VLOOKUP(PlanGrid[[#This Row],[Title]],'Spec Wattages'!$A$1:$C$973,3,FALSE)</f>
        <v>Plug Load</v>
      </c>
      <c r="Q261" t="s">
        <v>847</v>
      </c>
      <c r="R261" t="s">
        <v>1009</v>
      </c>
      <c r="S261" t="s">
        <v>11</v>
      </c>
    </row>
    <row r="262" spans="1:19" x14ac:dyDescent="0.25">
      <c r="A262">
        <v>168</v>
      </c>
      <c r="B262" t="s">
        <v>477</v>
      </c>
      <c r="C262" t="s">
        <v>478</v>
      </c>
      <c r="E262" s="50">
        <f>VLOOKUP(PlanGrid[[#This Row],[Title]],'Spec Wattages'!$A$1:$C$973,2,FALSE)</f>
        <v>40</v>
      </c>
      <c r="F262" s="38">
        <v>1</v>
      </c>
      <c r="G262" s="39">
        <v>0.9</v>
      </c>
      <c r="H262" s="58">
        <f>PlanGrid[[#This Row],[Spec Wattage]]*PlanGrid[[#This Row],[Equipment Count]]</f>
        <v>40</v>
      </c>
      <c r="I262" s="50">
        <f>((PlanGrid[[#This Row],[Demand Watt]]*PlanGrid[[#This Row],[Utilization %]]*'Schedule-Building Info'!$N$16)/1000)</f>
        <v>197.1</v>
      </c>
      <c r="J262" s="57">
        <f>PlanGrid[[#This Row],[kWh/yr]]*' Elec Utility (kWh)'!$M$7</f>
        <v>21.013489340808988</v>
      </c>
      <c r="K262" s="38">
        <f>PlanGrid[[#This Row],[kWh/yr]]/'Schedule-Building Info'!$B$6</f>
        <v>3.2412965186074429E-3</v>
      </c>
      <c r="L262" s="50">
        <f>CONVERT(PlanGrid[[#This Row],[kWh/yr]],"Wh","BTU")</f>
        <v>672.53311588951726</v>
      </c>
      <c r="M262" s="38">
        <f>PlanGrid[[#This Row],[kBtu/yr]]/'Schedule-Building Info'!$B$6</f>
        <v>1.1059762796453111E-2</v>
      </c>
      <c r="N262" t="s">
        <v>1092</v>
      </c>
      <c r="O262">
        <v>0</v>
      </c>
      <c r="P262" t="str">
        <f>VLOOKUP(PlanGrid[[#This Row],[Title]],'Spec Wattages'!$A$1:$C$973,3,FALSE)</f>
        <v>Plug Load</v>
      </c>
      <c r="Q262" t="s">
        <v>751</v>
      </c>
      <c r="R262" t="s">
        <v>854</v>
      </c>
      <c r="S262" t="s">
        <v>11</v>
      </c>
    </row>
    <row r="263" spans="1:19" x14ac:dyDescent="0.25">
      <c r="A263">
        <v>181</v>
      </c>
      <c r="B263" t="s">
        <v>477</v>
      </c>
      <c r="C263" t="s">
        <v>478</v>
      </c>
      <c r="E263" s="50">
        <f>VLOOKUP(PlanGrid[[#This Row],[Title]],'Spec Wattages'!$A$1:$C$973,2,FALSE)</f>
        <v>40</v>
      </c>
      <c r="F263" s="38">
        <v>1</v>
      </c>
      <c r="G263" s="39">
        <v>0.9</v>
      </c>
      <c r="H263" s="58">
        <f>PlanGrid[[#This Row],[Spec Wattage]]*PlanGrid[[#This Row],[Equipment Count]]</f>
        <v>40</v>
      </c>
      <c r="I263" s="50">
        <f>((PlanGrid[[#This Row],[Demand Watt]]*PlanGrid[[#This Row],[Utilization %]]*'Schedule-Building Info'!$N$16)/1000)</f>
        <v>197.1</v>
      </c>
      <c r="J263" s="57">
        <f>PlanGrid[[#This Row],[kWh/yr]]*' Elec Utility (kWh)'!$M$7</f>
        <v>21.013489340808988</v>
      </c>
      <c r="K263" s="38">
        <f>PlanGrid[[#This Row],[kWh/yr]]/'Schedule-Building Info'!$B$6</f>
        <v>3.2412965186074429E-3</v>
      </c>
      <c r="L263" s="50">
        <f>CONVERT(PlanGrid[[#This Row],[kWh/yr]],"Wh","BTU")</f>
        <v>672.53311588951726</v>
      </c>
      <c r="M263" s="38">
        <f>PlanGrid[[#This Row],[kBtu/yr]]/'Schedule-Building Info'!$B$6</f>
        <v>1.1059762796453111E-2</v>
      </c>
      <c r="N263" t="s">
        <v>1092</v>
      </c>
      <c r="O263">
        <v>0</v>
      </c>
      <c r="P263" t="str">
        <f>VLOOKUP(PlanGrid[[#This Row],[Title]],'Spec Wattages'!$A$1:$C$973,3,FALSE)</f>
        <v>Plug Load</v>
      </c>
      <c r="Q263" t="s">
        <v>754</v>
      </c>
      <c r="R263" t="s">
        <v>859</v>
      </c>
      <c r="S263" t="s">
        <v>11</v>
      </c>
    </row>
    <row r="264" spans="1:19" x14ac:dyDescent="0.25">
      <c r="A264">
        <v>187</v>
      </c>
      <c r="B264" t="s">
        <v>477</v>
      </c>
      <c r="C264" t="s">
        <v>478</v>
      </c>
      <c r="E264" s="50">
        <f>VLOOKUP(PlanGrid[[#This Row],[Title]],'Spec Wattages'!$A$1:$C$973,2,FALSE)</f>
        <v>40</v>
      </c>
      <c r="F264" s="38">
        <v>1</v>
      </c>
      <c r="G264" s="39">
        <v>0.9</v>
      </c>
      <c r="H264" s="58">
        <f>PlanGrid[[#This Row],[Spec Wattage]]*PlanGrid[[#This Row],[Equipment Count]]</f>
        <v>40</v>
      </c>
      <c r="I264" s="50">
        <f>((PlanGrid[[#This Row],[Demand Watt]]*PlanGrid[[#This Row],[Utilization %]]*'Schedule-Building Info'!$N$16)/1000)</f>
        <v>197.1</v>
      </c>
      <c r="J264" s="57">
        <f>PlanGrid[[#This Row],[kWh/yr]]*' Elec Utility (kWh)'!$M$7</f>
        <v>21.013489340808988</v>
      </c>
      <c r="K264" s="38">
        <f>PlanGrid[[#This Row],[kWh/yr]]/'Schedule-Building Info'!$B$6</f>
        <v>3.2412965186074429E-3</v>
      </c>
      <c r="L264" s="50">
        <f>CONVERT(PlanGrid[[#This Row],[kWh/yr]],"Wh","BTU")</f>
        <v>672.53311588951726</v>
      </c>
      <c r="M264" s="38">
        <f>PlanGrid[[#This Row],[kBtu/yr]]/'Schedule-Building Info'!$B$6</f>
        <v>1.1059762796453111E-2</v>
      </c>
      <c r="N264" t="s">
        <v>1092</v>
      </c>
      <c r="O264">
        <v>0</v>
      </c>
      <c r="P264" t="str">
        <f>VLOOKUP(PlanGrid[[#This Row],[Title]],'Spec Wattages'!$A$1:$C$973,3,FALSE)</f>
        <v>Plug Load</v>
      </c>
      <c r="Q264" t="s">
        <v>954</v>
      </c>
      <c r="R264" t="s">
        <v>938</v>
      </c>
      <c r="S264" t="s">
        <v>11</v>
      </c>
    </row>
    <row r="265" spans="1:19" x14ac:dyDescent="0.25">
      <c r="A265">
        <v>227</v>
      </c>
      <c r="B265" t="s">
        <v>477</v>
      </c>
      <c r="C265" t="s">
        <v>478</v>
      </c>
      <c r="E265" s="50">
        <f>VLOOKUP(PlanGrid[[#This Row],[Title]],'Spec Wattages'!$A$1:$C$973,2,FALSE)</f>
        <v>40</v>
      </c>
      <c r="F265" s="38">
        <v>1</v>
      </c>
      <c r="G265" s="39">
        <v>0.9</v>
      </c>
      <c r="H265" s="58">
        <f>PlanGrid[[#This Row],[Spec Wattage]]*PlanGrid[[#This Row],[Equipment Count]]</f>
        <v>40</v>
      </c>
      <c r="I265" s="50">
        <f>((PlanGrid[[#This Row],[Demand Watt]]*PlanGrid[[#This Row],[Utilization %]]*'Schedule-Building Info'!$N$16)/1000)</f>
        <v>197.1</v>
      </c>
      <c r="J265" s="57">
        <f>PlanGrid[[#This Row],[kWh/yr]]*' Elec Utility (kWh)'!$M$7</f>
        <v>21.013489340808988</v>
      </c>
      <c r="K265" s="38">
        <f>PlanGrid[[#This Row],[kWh/yr]]/'Schedule-Building Info'!$B$6</f>
        <v>3.2412965186074429E-3</v>
      </c>
      <c r="L265" s="50">
        <f>CONVERT(PlanGrid[[#This Row],[kWh/yr]],"Wh","BTU")</f>
        <v>672.53311588951726</v>
      </c>
      <c r="M265" s="38">
        <f>PlanGrid[[#This Row],[kBtu/yr]]/'Schedule-Building Info'!$B$6</f>
        <v>1.1059762796453111E-2</v>
      </c>
      <c r="N265" t="s">
        <v>1092</v>
      </c>
      <c r="O265">
        <v>0</v>
      </c>
      <c r="P265" t="str">
        <f>VLOOKUP(PlanGrid[[#This Row],[Title]],'Spec Wattages'!$A$1:$C$973,3,FALSE)</f>
        <v>Plug Load</v>
      </c>
      <c r="Q265" t="s">
        <v>940</v>
      </c>
      <c r="R265" t="s">
        <v>752</v>
      </c>
      <c r="S265" t="s">
        <v>11</v>
      </c>
    </row>
    <row r="266" spans="1:19" x14ac:dyDescent="0.25">
      <c r="A266">
        <v>228</v>
      </c>
      <c r="B266" t="s">
        <v>477</v>
      </c>
      <c r="C266" t="s">
        <v>478</v>
      </c>
      <c r="E266" s="50">
        <f>VLOOKUP(PlanGrid[[#This Row],[Title]],'Spec Wattages'!$A$1:$C$973,2,FALSE)</f>
        <v>40</v>
      </c>
      <c r="F266" s="38">
        <v>1</v>
      </c>
      <c r="G266" s="39">
        <v>0.9</v>
      </c>
      <c r="H266" s="58">
        <f>PlanGrid[[#This Row],[Spec Wattage]]*PlanGrid[[#This Row],[Equipment Count]]</f>
        <v>40</v>
      </c>
      <c r="I266" s="50">
        <f>((PlanGrid[[#This Row],[Demand Watt]]*PlanGrid[[#This Row],[Utilization %]]*'Schedule-Building Info'!$N$16)/1000)</f>
        <v>197.1</v>
      </c>
      <c r="J266" s="57">
        <f>PlanGrid[[#This Row],[kWh/yr]]*' Elec Utility (kWh)'!$M$7</f>
        <v>21.013489340808988</v>
      </c>
      <c r="K266" s="38">
        <f>PlanGrid[[#This Row],[kWh/yr]]/'Schedule-Building Info'!$B$6</f>
        <v>3.2412965186074429E-3</v>
      </c>
      <c r="L266" s="50">
        <f>CONVERT(PlanGrid[[#This Row],[kWh/yr]],"Wh","BTU")</f>
        <v>672.53311588951726</v>
      </c>
      <c r="M266" s="38">
        <f>PlanGrid[[#This Row],[kBtu/yr]]/'Schedule-Building Info'!$B$6</f>
        <v>1.1059762796453111E-2</v>
      </c>
      <c r="N266" t="s">
        <v>1092</v>
      </c>
      <c r="O266">
        <v>0</v>
      </c>
      <c r="P266" t="str">
        <f>VLOOKUP(PlanGrid[[#This Row],[Title]],'Spec Wattages'!$A$1:$C$973,3,FALSE)</f>
        <v>Plug Load</v>
      </c>
      <c r="Q266" t="s">
        <v>940</v>
      </c>
      <c r="R266" t="s">
        <v>752</v>
      </c>
      <c r="S266" t="s">
        <v>11</v>
      </c>
    </row>
    <row r="267" spans="1:19" x14ac:dyDescent="0.25">
      <c r="A267">
        <v>229</v>
      </c>
      <c r="B267" t="s">
        <v>477</v>
      </c>
      <c r="C267" t="s">
        <v>478</v>
      </c>
      <c r="E267" s="50">
        <f>VLOOKUP(PlanGrid[[#This Row],[Title]],'Spec Wattages'!$A$1:$C$973,2,FALSE)</f>
        <v>40</v>
      </c>
      <c r="F267" s="38">
        <v>1</v>
      </c>
      <c r="G267" s="39">
        <v>0.9</v>
      </c>
      <c r="H267" s="58">
        <f>PlanGrid[[#This Row],[Spec Wattage]]*PlanGrid[[#This Row],[Equipment Count]]</f>
        <v>40</v>
      </c>
      <c r="I267" s="50">
        <f>((PlanGrid[[#This Row],[Demand Watt]]*PlanGrid[[#This Row],[Utilization %]]*'Schedule-Building Info'!$N$16)/1000)</f>
        <v>197.1</v>
      </c>
      <c r="J267" s="57">
        <f>PlanGrid[[#This Row],[kWh/yr]]*' Elec Utility (kWh)'!$M$7</f>
        <v>21.013489340808988</v>
      </c>
      <c r="K267" s="38">
        <f>PlanGrid[[#This Row],[kWh/yr]]/'Schedule-Building Info'!$B$6</f>
        <v>3.2412965186074429E-3</v>
      </c>
      <c r="L267" s="50">
        <f>CONVERT(PlanGrid[[#This Row],[kWh/yr]],"Wh","BTU")</f>
        <v>672.53311588951726</v>
      </c>
      <c r="M267" s="38">
        <f>PlanGrid[[#This Row],[kBtu/yr]]/'Schedule-Building Info'!$B$6</f>
        <v>1.1059762796453111E-2</v>
      </c>
      <c r="N267" t="s">
        <v>1092</v>
      </c>
      <c r="O267">
        <v>0</v>
      </c>
      <c r="P267" t="str">
        <f>VLOOKUP(PlanGrid[[#This Row],[Title]],'Spec Wattages'!$A$1:$C$973,3,FALSE)</f>
        <v>Plug Load</v>
      </c>
      <c r="Q267" t="s">
        <v>940</v>
      </c>
      <c r="R267" t="s">
        <v>752</v>
      </c>
      <c r="S267" t="s">
        <v>11</v>
      </c>
    </row>
    <row r="268" spans="1:19" x14ac:dyDescent="0.25">
      <c r="A268">
        <v>230</v>
      </c>
      <c r="B268" t="s">
        <v>477</v>
      </c>
      <c r="C268" t="s">
        <v>478</v>
      </c>
      <c r="E268" s="50">
        <f>VLOOKUP(PlanGrid[[#This Row],[Title]],'Spec Wattages'!$A$1:$C$973,2,FALSE)</f>
        <v>40</v>
      </c>
      <c r="F268" s="38">
        <v>1</v>
      </c>
      <c r="G268" s="39">
        <v>0.9</v>
      </c>
      <c r="H268" s="58">
        <f>PlanGrid[[#This Row],[Spec Wattage]]*PlanGrid[[#This Row],[Equipment Count]]</f>
        <v>40</v>
      </c>
      <c r="I268" s="50">
        <f>((PlanGrid[[#This Row],[Demand Watt]]*PlanGrid[[#This Row],[Utilization %]]*'Schedule-Building Info'!$N$16)/1000)</f>
        <v>197.1</v>
      </c>
      <c r="J268" s="57">
        <f>PlanGrid[[#This Row],[kWh/yr]]*' Elec Utility (kWh)'!$M$7</f>
        <v>21.013489340808988</v>
      </c>
      <c r="K268" s="38">
        <f>PlanGrid[[#This Row],[kWh/yr]]/'Schedule-Building Info'!$B$6</f>
        <v>3.2412965186074429E-3</v>
      </c>
      <c r="L268" s="50">
        <f>CONVERT(PlanGrid[[#This Row],[kWh/yr]],"Wh","BTU")</f>
        <v>672.53311588951726</v>
      </c>
      <c r="M268" s="38">
        <f>PlanGrid[[#This Row],[kBtu/yr]]/'Schedule-Building Info'!$B$6</f>
        <v>1.1059762796453111E-2</v>
      </c>
      <c r="N268" t="s">
        <v>1092</v>
      </c>
      <c r="O268">
        <v>0</v>
      </c>
      <c r="P268" t="str">
        <f>VLOOKUP(PlanGrid[[#This Row],[Title]],'Spec Wattages'!$A$1:$C$973,3,FALSE)</f>
        <v>Plug Load</v>
      </c>
      <c r="Q268" t="s">
        <v>940</v>
      </c>
      <c r="R268" t="s">
        <v>752</v>
      </c>
      <c r="S268" t="s">
        <v>11</v>
      </c>
    </row>
    <row r="269" spans="1:19" x14ac:dyDescent="0.25">
      <c r="A269">
        <v>231</v>
      </c>
      <c r="B269" t="s">
        <v>477</v>
      </c>
      <c r="C269" t="s">
        <v>478</v>
      </c>
      <c r="E269" s="50">
        <f>VLOOKUP(PlanGrid[[#This Row],[Title]],'Spec Wattages'!$A$1:$C$973,2,FALSE)</f>
        <v>40</v>
      </c>
      <c r="F269" s="38">
        <v>1</v>
      </c>
      <c r="G269" s="39">
        <v>0.9</v>
      </c>
      <c r="H269" s="58">
        <f>PlanGrid[[#This Row],[Spec Wattage]]*PlanGrid[[#This Row],[Equipment Count]]</f>
        <v>40</v>
      </c>
      <c r="I269" s="50">
        <f>((PlanGrid[[#This Row],[Demand Watt]]*PlanGrid[[#This Row],[Utilization %]]*'Schedule-Building Info'!$N$16)/1000)</f>
        <v>197.1</v>
      </c>
      <c r="J269" s="57">
        <f>PlanGrid[[#This Row],[kWh/yr]]*' Elec Utility (kWh)'!$M$7</f>
        <v>21.013489340808988</v>
      </c>
      <c r="K269" s="38">
        <f>PlanGrid[[#This Row],[kWh/yr]]/'Schedule-Building Info'!$B$6</f>
        <v>3.2412965186074429E-3</v>
      </c>
      <c r="L269" s="50">
        <f>CONVERT(PlanGrid[[#This Row],[kWh/yr]],"Wh","BTU")</f>
        <v>672.53311588951726</v>
      </c>
      <c r="M269" s="38">
        <f>PlanGrid[[#This Row],[kBtu/yr]]/'Schedule-Building Info'!$B$6</f>
        <v>1.1059762796453111E-2</v>
      </c>
      <c r="N269" t="s">
        <v>1092</v>
      </c>
      <c r="O269">
        <v>0</v>
      </c>
      <c r="P269" t="str">
        <f>VLOOKUP(PlanGrid[[#This Row],[Title]],'Spec Wattages'!$A$1:$C$973,3,FALSE)</f>
        <v>Plug Load</v>
      </c>
      <c r="Q269" t="s">
        <v>940</v>
      </c>
      <c r="R269" t="s">
        <v>752</v>
      </c>
      <c r="S269" t="s">
        <v>11</v>
      </c>
    </row>
    <row r="270" spans="1:19" x14ac:dyDescent="0.25">
      <c r="A270">
        <v>279</v>
      </c>
      <c r="B270" t="s">
        <v>477</v>
      </c>
      <c r="C270" t="s">
        <v>478</v>
      </c>
      <c r="E270" s="50">
        <f>VLOOKUP(PlanGrid[[#This Row],[Title]],'Spec Wattages'!$A$1:$C$973,2,FALSE)</f>
        <v>40</v>
      </c>
      <c r="F270" s="38">
        <v>1</v>
      </c>
      <c r="G270" s="39">
        <v>0.9</v>
      </c>
      <c r="H270" s="58">
        <f>PlanGrid[[#This Row],[Spec Wattage]]*PlanGrid[[#This Row],[Equipment Count]]</f>
        <v>40</v>
      </c>
      <c r="I270" s="50">
        <f>((PlanGrid[[#This Row],[Demand Watt]]*PlanGrid[[#This Row],[Utilization %]]*'Schedule-Building Info'!$N$16)/1000)</f>
        <v>197.1</v>
      </c>
      <c r="J270" s="57">
        <f>PlanGrid[[#This Row],[kWh/yr]]*' Elec Utility (kWh)'!$M$7</f>
        <v>21.013489340808988</v>
      </c>
      <c r="K270" s="38">
        <f>PlanGrid[[#This Row],[kWh/yr]]/'Schedule-Building Info'!$B$6</f>
        <v>3.2412965186074429E-3</v>
      </c>
      <c r="L270" s="50">
        <f>CONVERT(PlanGrid[[#This Row],[kWh/yr]],"Wh","BTU")</f>
        <v>672.53311588951726</v>
      </c>
      <c r="M270" s="38">
        <f>PlanGrid[[#This Row],[kBtu/yr]]/'Schedule-Building Info'!$B$6</f>
        <v>1.1059762796453111E-2</v>
      </c>
      <c r="N270" t="s">
        <v>1092</v>
      </c>
      <c r="O270">
        <v>0</v>
      </c>
      <c r="P270" t="str">
        <f>VLOOKUP(PlanGrid[[#This Row],[Title]],'Spec Wattages'!$A$1:$C$973,3,FALSE)</f>
        <v>Plug Load</v>
      </c>
      <c r="Q270" t="s">
        <v>987</v>
      </c>
      <c r="R270" t="s">
        <v>1010</v>
      </c>
      <c r="S270" t="s">
        <v>11</v>
      </c>
    </row>
    <row r="271" spans="1:19" x14ac:dyDescent="0.25">
      <c r="A271">
        <v>361</v>
      </c>
      <c r="B271" t="s">
        <v>477</v>
      </c>
      <c r="C271" t="s">
        <v>478</v>
      </c>
      <c r="E271" s="50">
        <f>VLOOKUP(PlanGrid[[#This Row],[Title]],'Spec Wattages'!$A$1:$C$973,2,FALSE)</f>
        <v>40</v>
      </c>
      <c r="F271" s="38">
        <v>1</v>
      </c>
      <c r="G271" s="39">
        <v>0.9</v>
      </c>
      <c r="H271" s="58">
        <f>PlanGrid[[#This Row],[Spec Wattage]]*PlanGrid[[#This Row],[Equipment Count]]</f>
        <v>40</v>
      </c>
      <c r="I271" s="50">
        <f>((PlanGrid[[#This Row],[Demand Watt]]*PlanGrid[[#This Row],[Utilization %]]*'Schedule-Building Info'!$N$16)/1000)</f>
        <v>197.1</v>
      </c>
      <c r="J271" s="57">
        <f>PlanGrid[[#This Row],[kWh/yr]]*' Elec Utility (kWh)'!$M$7</f>
        <v>21.013489340808988</v>
      </c>
      <c r="K271" s="38">
        <f>PlanGrid[[#This Row],[kWh/yr]]/'Schedule-Building Info'!$B$6</f>
        <v>3.2412965186074429E-3</v>
      </c>
      <c r="L271" s="50">
        <f>CONVERT(PlanGrid[[#This Row],[kWh/yr]],"Wh","BTU")</f>
        <v>672.53311588951726</v>
      </c>
      <c r="M271" s="38">
        <f>PlanGrid[[#This Row],[kBtu/yr]]/'Schedule-Building Info'!$B$6</f>
        <v>1.1059762796453111E-2</v>
      </c>
      <c r="N271" t="s">
        <v>1092</v>
      </c>
      <c r="O271">
        <v>0</v>
      </c>
      <c r="P271" t="str">
        <f>VLOOKUP(PlanGrid[[#This Row],[Title]],'Spec Wattages'!$A$1:$C$973,3,FALSE)</f>
        <v>Plug Load</v>
      </c>
      <c r="Q271" t="s">
        <v>893</v>
      </c>
      <c r="R271" t="s">
        <v>1043</v>
      </c>
      <c r="S271" t="s">
        <v>11</v>
      </c>
    </row>
    <row r="272" spans="1:19" x14ac:dyDescent="0.25">
      <c r="A272">
        <v>530</v>
      </c>
      <c r="B272" t="s">
        <v>477</v>
      </c>
      <c r="C272" t="s">
        <v>478</v>
      </c>
      <c r="E272" s="50">
        <f>VLOOKUP(PlanGrid[[#This Row],[Title]],'Spec Wattages'!$A$1:$C$973,2,FALSE)</f>
        <v>40</v>
      </c>
      <c r="F272" s="38">
        <v>1</v>
      </c>
      <c r="G272" s="39">
        <v>0.9</v>
      </c>
      <c r="H272" s="58">
        <f>PlanGrid[[#This Row],[Spec Wattage]]*PlanGrid[[#This Row],[Equipment Count]]</f>
        <v>40</v>
      </c>
      <c r="I272" s="50">
        <f>((PlanGrid[[#This Row],[Demand Watt]]*PlanGrid[[#This Row],[Utilization %]]*'Schedule-Building Info'!$N$16)/1000)</f>
        <v>197.1</v>
      </c>
      <c r="J272" s="57">
        <f>PlanGrid[[#This Row],[kWh/yr]]*' Elec Utility (kWh)'!$M$7</f>
        <v>21.013489340808988</v>
      </c>
      <c r="K272" s="38">
        <f>PlanGrid[[#This Row],[kWh/yr]]/'Schedule-Building Info'!$B$6</f>
        <v>3.2412965186074429E-3</v>
      </c>
      <c r="L272" s="50">
        <f>CONVERT(PlanGrid[[#This Row],[kWh/yr]],"Wh","BTU")</f>
        <v>672.53311588951726</v>
      </c>
      <c r="M272" s="38">
        <f>PlanGrid[[#This Row],[kBtu/yr]]/'Schedule-Building Info'!$B$6</f>
        <v>1.1059762796453111E-2</v>
      </c>
      <c r="N272" t="s">
        <v>1092</v>
      </c>
      <c r="O272">
        <v>0</v>
      </c>
      <c r="P272" t="str">
        <f>VLOOKUP(PlanGrid[[#This Row],[Title]],'Spec Wattages'!$A$1:$C$973,3,FALSE)</f>
        <v>Plug Load</v>
      </c>
      <c r="Q272" t="s">
        <v>772</v>
      </c>
      <c r="R272" t="s">
        <v>909</v>
      </c>
      <c r="S272" t="s">
        <v>11</v>
      </c>
    </row>
    <row r="273" spans="1:19" x14ac:dyDescent="0.25">
      <c r="A273">
        <v>295</v>
      </c>
      <c r="B273" t="s">
        <v>43</v>
      </c>
      <c r="C273" t="s">
        <v>44</v>
      </c>
      <c r="D273" t="s">
        <v>585</v>
      </c>
      <c r="E273" s="50">
        <v>12</v>
      </c>
      <c r="F273" s="38">
        <v>1</v>
      </c>
      <c r="G273" s="39">
        <v>1</v>
      </c>
      <c r="H273" s="58">
        <f>PlanGrid[[#This Row],[Spec Wattage]]*PlanGrid[[#This Row],[Equipment Count]]</f>
        <v>12</v>
      </c>
      <c r="I273" s="50">
        <f>((PlanGrid[[#This Row],[Demand Watt]]*PlanGrid[[#This Row],[Utilization %]]*'Schedule-Building Info'!$N$16)/1000)</f>
        <v>65.7</v>
      </c>
      <c r="J273" s="57">
        <f>PlanGrid[[#This Row],[kWh/yr]]*' Elec Utility (kWh)'!$M$7</f>
        <v>7.0044964469363293</v>
      </c>
      <c r="K273" s="38">
        <f>PlanGrid[[#This Row],[kWh/yr]]/'Schedule-Building Info'!$B$6</f>
        <v>1.0804321728691477E-3</v>
      </c>
      <c r="L273" s="50">
        <f>CONVERT(PlanGrid[[#This Row],[kWh/yr]],"Wh","BTU")</f>
        <v>224.17770529650576</v>
      </c>
      <c r="M273" s="38">
        <f>PlanGrid[[#This Row],[kBtu/yr]]/'Schedule-Building Info'!$B$6</f>
        <v>3.686587598817704E-3</v>
      </c>
      <c r="N273" t="s">
        <v>1092</v>
      </c>
      <c r="O273">
        <v>0</v>
      </c>
      <c r="P273" t="str">
        <f>VLOOKUP(PlanGrid[[#This Row],[Title]],'Spec Wattages'!$A$1:$C$973,3,FALSE)</f>
        <v>Lighting</v>
      </c>
      <c r="Q273" t="s">
        <v>973</v>
      </c>
      <c r="R273" t="s">
        <v>1042</v>
      </c>
      <c r="S273" t="s">
        <v>11</v>
      </c>
    </row>
    <row r="274" spans="1:19" x14ac:dyDescent="0.25">
      <c r="A274">
        <v>716</v>
      </c>
      <c r="B274" t="s">
        <v>22</v>
      </c>
      <c r="C274" t="s">
        <v>466</v>
      </c>
      <c r="D274" t="s">
        <v>488</v>
      </c>
      <c r="E274" s="50">
        <v>12</v>
      </c>
      <c r="F274" s="38">
        <v>1</v>
      </c>
      <c r="G274" s="39">
        <v>1</v>
      </c>
      <c r="H274" s="50">
        <f>PlanGrid[[#This Row],[Spec Wattage]]*PlanGrid[[#This Row],[Equipment Count]]</f>
        <v>12</v>
      </c>
      <c r="I274" s="50">
        <f>((PlanGrid[[#This Row],[Demand Watt]]*PlanGrid[[#This Row],[Utilization %]]*'Schedule-Building Info'!$N$16)/1000)</f>
        <v>65.7</v>
      </c>
      <c r="J274" s="57">
        <f>PlanGrid[[#This Row],[kWh/yr]]*' Elec Utility (kWh)'!$M$7</f>
        <v>7.0044964469363293</v>
      </c>
      <c r="K274" s="49">
        <f>PlanGrid[[#This Row],[kWh/yr]]/'Schedule-Building Info'!$B$6</f>
        <v>1.0804321728691477E-3</v>
      </c>
      <c r="L274" s="50">
        <f>CONVERT(PlanGrid[[#This Row],[kWh/yr]],"Wh","BTU")</f>
        <v>224.17770529650576</v>
      </c>
      <c r="M274" s="38">
        <f>PlanGrid[[#This Row],[kBtu/yr]]/'Schedule-Building Info'!$B$6</f>
        <v>3.686587598817704E-3</v>
      </c>
      <c r="N274" t="s">
        <v>1090</v>
      </c>
      <c r="O274">
        <v>0</v>
      </c>
      <c r="P274" t="str">
        <f>VLOOKUP(PlanGrid[[#This Row],[Title]],'Spec Wattages'!$A$1:$C$973,3,FALSE)</f>
        <v>Lighting</v>
      </c>
      <c r="Q274" t="s">
        <v>818</v>
      </c>
      <c r="R274" t="s">
        <v>1051</v>
      </c>
      <c r="S274" t="s">
        <v>11</v>
      </c>
    </row>
    <row r="275" spans="1:19" x14ac:dyDescent="0.25">
      <c r="A275">
        <v>43</v>
      </c>
      <c r="B275" t="s">
        <v>22</v>
      </c>
      <c r="C275" t="s">
        <v>466</v>
      </c>
      <c r="D275" t="s">
        <v>501</v>
      </c>
      <c r="E275" s="50">
        <v>12</v>
      </c>
      <c r="F275" s="38">
        <v>1</v>
      </c>
      <c r="G275" s="39">
        <v>1</v>
      </c>
      <c r="H275" s="50">
        <f>PlanGrid[[#This Row],[Spec Wattage]]*PlanGrid[[#This Row],[Equipment Count]]</f>
        <v>12</v>
      </c>
      <c r="I275" s="50">
        <f>((PlanGrid[[#This Row],[Demand Watt]]*PlanGrid[[#This Row],[Utilization %]]*'Schedule-Building Info'!$N$16)/1000)</f>
        <v>65.7</v>
      </c>
      <c r="J275" s="57">
        <f>PlanGrid[[#This Row],[kWh/yr]]*' Elec Utility (kWh)'!$M$7</f>
        <v>7.0044964469363293</v>
      </c>
      <c r="K275" s="49">
        <f>PlanGrid[[#This Row],[kWh/yr]]/'Schedule-Building Info'!$B$6</f>
        <v>1.0804321728691477E-3</v>
      </c>
      <c r="L275" s="50">
        <f>CONVERT(PlanGrid[[#This Row],[kWh/yr]],"Wh","BTU")</f>
        <v>224.17770529650576</v>
      </c>
      <c r="M275" s="38">
        <f>PlanGrid[[#This Row],[kBtu/yr]]/'Schedule-Building Info'!$B$6</f>
        <v>3.686587598817704E-3</v>
      </c>
      <c r="N275" t="s">
        <v>1092</v>
      </c>
      <c r="O275">
        <v>0</v>
      </c>
      <c r="P275" t="str">
        <f>VLOOKUP(PlanGrid[[#This Row],[Title]],'Spec Wattages'!$A$1:$C$973,3,FALSE)</f>
        <v>Lighting</v>
      </c>
      <c r="Q275" t="s">
        <v>843</v>
      </c>
      <c r="R275" t="s">
        <v>843</v>
      </c>
      <c r="S275" t="s">
        <v>51</v>
      </c>
    </row>
    <row r="276" spans="1:19" x14ac:dyDescent="0.25">
      <c r="A276">
        <v>166</v>
      </c>
      <c r="B276" t="s">
        <v>22</v>
      </c>
      <c r="C276" t="s">
        <v>466</v>
      </c>
      <c r="D276" t="s">
        <v>505</v>
      </c>
      <c r="E276" s="50">
        <v>12</v>
      </c>
      <c r="F276" s="38">
        <v>1</v>
      </c>
      <c r="G276" s="39">
        <v>1</v>
      </c>
      <c r="H276" s="58">
        <f>PlanGrid[[#This Row],[Spec Wattage]]*PlanGrid[[#This Row],[Equipment Count]]</f>
        <v>12</v>
      </c>
      <c r="I276" s="50">
        <f>((PlanGrid[[#This Row],[Demand Watt]]*PlanGrid[[#This Row],[Utilization %]]*'Schedule-Building Info'!$N$16)/1000)</f>
        <v>65.7</v>
      </c>
      <c r="J276" s="57">
        <f>PlanGrid[[#This Row],[kWh/yr]]*' Elec Utility (kWh)'!$M$7</f>
        <v>7.0044964469363293</v>
      </c>
      <c r="K276" s="38">
        <f>PlanGrid[[#This Row],[kWh/yr]]/'Schedule-Building Info'!$B$6</f>
        <v>1.0804321728691477E-3</v>
      </c>
      <c r="L276" s="50">
        <f>CONVERT(PlanGrid[[#This Row],[kWh/yr]],"Wh","BTU")</f>
        <v>224.17770529650576</v>
      </c>
      <c r="M276" s="38">
        <f>PlanGrid[[#This Row],[kBtu/yr]]/'Schedule-Building Info'!$B$6</f>
        <v>3.686587598817704E-3</v>
      </c>
      <c r="N276" t="s">
        <v>1092</v>
      </c>
      <c r="O276">
        <v>0</v>
      </c>
      <c r="P276" t="str">
        <f>VLOOKUP(PlanGrid[[#This Row],[Title]],'Spec Wattages'!$A$1:$C$973,3,FALSE)</f>
        <v>Lighting</v>
      </c>
      <c r="Q276" t="s">
        <v>860</v>
      </c>
      <c r="R276" t="s">
        <v>861</v>
      </c>
      <c r="S276" t="s">
        <v>51</v>
      </c>
    </row>
    <row r="277" spans="1:19" x14ac:dyDescent="0.25">
      <c r="A277">
        <v>175</v>
      </c>
      <c r="B277" t="s">
        <v>22</v>
      </c>
      <c r="C277" t="s">
        <v>466</v>
      </c>
      <c r="D277" t="s">
        <v>505</v>
      </c>
      <c r="E277" s="50">
        <v>12</v>
      </c>
      <c r="F277" s="38">
        <v>1</v>
      </c>
      <c r="G277" s="39">
        <v>1</v>
      </c>
      <c r="H277" s="58">
        <f>PlanGrid[[#This Row],[Spec Wattage]]*PlanGrid[[#This Row],[Equipment Count]]</f>
        <v>12</v>
      </c>
      <c r="I277" s="50">
        <f>((PlanGrid[[#This Row],[Demand Watt]]*PlanGrid[[#This Row],[Utilization %]]*'Schedule-Building Info'!$N$16)/1000)</f>
        <v>65.7</v>
      </c>
      <c r="J277" s="57">
        <f>PlanGrid[[#This Row],[kWh/yr]]*' Elec Utility (kWh)'!$M$7</f>
        <v>7.0044964469363293</v>
      </c>
      <c r="K277" s="38">
        <f>PlanGrid[[#This Row],[kWh/yr]]/'Schedule-Building Info'!$B$6</f>
        <v>1.0804321728691477E-3</v>
      </c>
      <c r="L277" s="50">
        <f>CONVERT(PlanGrid[[#This Row],[kWh/yr]],"Wh","BTU")</f>
        <v>224.17770529650576</v>
      </c>
      <c r="M277" s="38">
        <f>PlanGrid[[#This Row],[kBtu/yr]]/'Schedule-Building Info'!$B$6</f>
        <v>3.686587598817704E-3</v>
      </c>
      <c r="N277" t="s">
        <v>1092</v>
      </c>
      <c r="O277">
        <v>0</v>
      </c>
      <c r="P277" t="str">
        <f>VLOOKUP(PlanGrid[[#This Row],[Title]],'Spec Wattages'!$A$1:$C$973,3,FALSE)</f>
        <v>Lighting</v>
      </c>
      <c r="Q277" t="s">
        <v>861</v>
      </c>
      <c r="R277" t="s">
        <v>861</v>
      </c>
      <c r="S277" t="s">
        <v>51</v>
      </c>
    </row>
    <row r="278" spans="1:19" x14ac:dyDescent="0.25">
      <c r="A278">
        <v>270</v>
      </c>
      <c r="B278" t="s">
        <v>22</v>
      </c>
      <c r="C278" t="s">
        <v>466</v>
      </c>
      <c r="D278" t="s">
        <v>505</v>
      </c>
      <c r="E278" s="50">
        <v>12</v>
      </c>
      <c r="F278" s="38">
        <v>1</v>
      </c>
      <c r="G278" s="39">
        <v>1</v>
      </c>
      <c r="H278" s="58">
        <f>PlanGrid[[#This Row],[Spec Wattage]]*PlanGrid[[#This Row],[Equipment Count]]</f>
        <v>12</v>
      </c>
      <c r="I278" s="50">
        <f>((PlanGrid[[#This Row],[Demand Watt]]*PlanGrid[[#This Row],[Utilization %]]*'Schedule-Building Info'!$N$16)/1000)</f>
        <v>65.7</v>
      </c>
      <c r="J278" s="57">
        <f>PlanGrid[[#This Row],[kWh/yr]]*' Elec Utility (kWh)'!$M$7</f>
        <v>7.0044964469363293</v>
      </c>
      <c r="K278" s="38">
        <f>PlanGrid[[#This Row],[kWh/yr]]/'Schedule-Building Info'!$B$6</f>
        <v>1.0804321728691477E-3</v>
      </c>
      <c r="L278" s="50">
        <f>CONVERT(PlanGrid[[#This Row],[kWh/yr]],"Wh","BTU")</f>
        <v>224.17770529650576</v>
      </c>
      <c r="M278" s="38">
        <f>PlanGrid[[#This Row],[kBtu/yr]]/'Schedule-Building Info'!$B$6</f>
        <v>3.686587598817704E-3</v>
      </c>
      <c r="N278" t="s">
        <v>1092</v>
      </c>
      <c r="O278">
        <v>0</v>
      </c>
      <c r="P278" t="str">
        <f>VLOOKUP(PlanGrid[[#This Row],[Title]],'Spec Wattages'!$A$1:$C$973,3,FALSE)</f>
        <v>Lighting</v>
      </c>
      <c r="Q278" t="s">
        <v>872</v>
      </c>
      <c r="R278" t="s">
        <v>872</v>
      </c>
      <c r="S278" t="s">
        <v>51</v>
      </c>
    </row>
    <row r="279" spans="1:19" x14ac:dyDescent="0.25">
      <c r="A279">
        <v>1012</v>
      </c>
      <c r="B279" t="s">
        <v>43</v>
      </c>
      <c r="C279" t="s">
        <v>44</v>
      </c>
      <c r="D279" t="s">
        <v>552</v>
      </c>
      <c r="E279" s="50">
        <v>12</v>
      </c>
      <c r="F279" s="38">
        <v>1</v>
      </c>
      <c r="G279" s="39">
        <v>1</v>
      </c>
      <c r="H279" s="58">
        <f>PlanGrid[[#This Row],[Spec Wattage]]*PlanGrid[[#This Row],[Equipment Count]]</f>
        <v>12</v>
      </c>
      <c r="I279" s="50">
        <f>((PlanGrid[[#This Row],[Demand Watt]]*PlanGrid[[#This Row],[Utilization %]]*'Schedule-Building Info'!$N$16)/1000)</f>
        <v>65.7</v>
      </c>
      <c r="J279" s="57">
        <f>PlanGrid[[#This Row],[kWh/yr]]*' Elec Utility (kWh)'!$M$7</f>
        <v>7.0044964469363293</v>
      </c>
      <c r="K279" s="38">
        <f>PlanGrid[[#This Row],[kWh/yr]]/'Schedule-Building Info'!$B$6</f>
        <v>1.0804321728691477E-3</v>
      </c>
      <c r="L279" s="50">
        <f>CONVERT(PlanGrid[[#This Row],[kWh/yr]],"Wh","BTU")</f>
        <v>224.17770529650576</v>
      </c>
      <c r="M279" s="38">
        <f>PlanGrid[[#This Row],[kBtu/yr]]/'Schedule-Building Info'!$B$6</f>
        <v>3.686587598817704E-3</v>
      </c>
      <c r="N279" t="s">
        <v>1089</v>
      </c>
      <c r="O279">
        <v>0</v>
      </c>
      <c r="P279" t="str">
        <f>VLOOKUP(PlanGrid[[#This Row],[Title]],'Spec Wattages'!$A$1:$C$973,3,FALSE)</f>
        <v>Lighting</v>
      </c>
      <c r="Q279" t="s">
        <v>760</v>
      </c>
      <c r="R279" t="s">
        <v>760</v>
      </c>
      <c r="S279" t="s">
        <v>51</v>
      </c>
    </row>
    <row r="280" spans="1:19" x14ac:dyDescent="0.25">
      <c r="A280">
        <v>1013</v>
      </c>
      <c r="B280" t="s">
        <v>43</v>
      </c>
      <c r="C280" t="s">
        <v>44</v>
      </c>
      <c r="D280" t="s">
        <v>552</v>
      </c>
      <c r="E280" s="50">
        <v>12</v>
      </c>
      <c r="F280" s="38">
        <v>1</v>
      </c>
      <c r="G280" s="39">
        <v>1</v>
      </c>
      <c r="H280" s="58">
        <f>PlanGrid[[#This Row],[Spec Wattage]]*PlanGrid[[#This Row],[Equipment Count]]</f>
        <v>12</v>
      </c>
      <c r="I280" s="50">
        <f>((PlanGrid[[#This Row],[Demand Watt]]*PlanGrid[[#This Row],[Utilization %]]*'Schedule-Building Info'!$N$16)/1000)</f>
        <v>65.7</v>
      </c>
      <c r="J280" s="57">
        <f>PlanGrid[[#This Row],[kWh/yr]]*' Elec Utility (kWh)'!$M$7</f>
        <v>7.0044964469363293</v>
      </c>
      <c r="K280" s="38">
        <f>PlanGrid[[#This Row],[kWh/yr]]/'Schedule-Building Info'!$B$6</f>
        <v>1.0804321728691477E-3</v>
      </c>
      <c r="L280" s="50">
        <f>CONVERT(PlanGrid[[#This Row],[kWh/yr]],"Wh","BTU")</f>
        <v>224.17770529650576</v>
      </c>
      <c r="M280" s="38">
        <f>PlanGrid[[#This Row],[kBtu/yr]]/'Schedule-Building Info'!$B$6</f>
        <v>3.686587598817704E-3</v>
      </c>
      <c r="N280" t="s">
        <v>1089</v>
      </c>
      <c r="O280">
        <v>0</v>
      </c>
      <c r="P280" t="str">
        <f>VLOOKUP(PlanGrid[[#This Row],[Title]],'Spec Wattages'!$A$1:$C$973,3,FALSE)</f>
        <v>Lighting</v>
      </c>
      <c r="Q280" t="s">
        <v>760</v>
      </c>
      <c r="R280" t="s">
        <v>760</v>
      </c>
      <c r="S280" t="s">
        <v>51</v>
      </c>
    </row>
    <row r="281" spans="1:19" x14ac:dyDescent="0.25">
      <c r="A281">
        <v>1029</v>
      </c>
      <c r="B281" t="s">
        <v>43</v>
      </c>
      <c r="C281" t="s">
        <v>44</v>
      </c>
      <c r="D281" t="s">
        <v>553</v>
      </c>
      <c r="E281" s="50">
        <v>13</v>
      </c>
      <c r="F281" s="38">
        <v>1</v>
      </c>
      <c r="G281" s="39">
        <v>1</v>
      </c>
      <c r="H281" s="58">
        <f>PlanGrid[[#This Row],[Spec Wattage]]*PlanGrid[[#This Row],[Equipment Count]]</f>
        <v>13</v>
      </c>
      <c r="I281" s="50">
        <f>((PlanGrid[[#This Row],[Demand Watt]]*PlanGrid[[#This Row],[Utilization %]]*'Schedule-Building Info'!$N$16)/1000)</f>
        <v>71.174999999999997</v>
      </c>
      <c r="J281" s="57">
        <f>PlanGrid[[#This Row],[kWh/yr]]*' Elec Utility (kWh)'!$M$7</f>
        <v>7.5882044841810226</v>
      </c>
      <c r="K281" s="38">
        <f>PlanGrid[[#This Row],[kWh/yr]]/'Schedule-Building Info'!$B$6</f>
        <v>1.17046818727491E-3</v>
      </c>
      <c r="L281" s="50">
        <f>CONVERT(PlanGrid[[#This Row],[kWh/yr]],"Wh","BTU")</f>
        <v>242.85918073788125</v>
      </c>
      <c r="M281" s="38">
        <f>PlanGrid[[#This Row],[kBtu/yr]]/'Schedule-Building Info'!$B$6</f>
        <v>3.9938032320525124E-3</v>
      </c>
      <c r="N281" t="s">
        <v>1089</v>
      </c>
      <c r="O281">
        <v>0</v>
      </c>
      <c r="P281" t="str">
        <f>VLOOKUP(PlanGrid[[#This Row],[Title]],'Spec Wattages'!$A$1:$C$973,3,FALSE)</f>
        <v>Lighting</v>
      </c>
      <c r="Q281" t="s">
        <v>780</v>
      </c>
      <c r="R281" t="s">
        <v>780</v>
      </c>
      <c r="S281" t="s">
        <v>11</v>
      </c>
    </row>
    <row r="282" spans="1:19" x14ac:dyDescent="0.25">
      <c r="A282">
        <v>994</v>
      </c>
      <c r="B282" t="s">
        <v>43</v>
      </c>
      <c r="C282" t="s">
        <v>44</v>
      </c>
      <c r="D282" t="s">
        <v>550</v>
      </c>
      <c r="E282" s="50">
        <v>13</v>
      </c>
      <c r="F282" s="38">
        <v>1</v>
      </c>
      <c r="G282" s="39">
        <v>1</v>
      </c>
      <c r="H282" s="58">
        <f>PlanGrid[[#This Row],[Spec Wattage]]*PlanGrid[[#This Row],[Equipment Count]]</f>
        <v>13</v>
      </c>
      <c r="I282" s="50">
        <f>((PlanGrid[[#This Row],[Demand Watt]]*PlanGrid[[#This Row],[Utilization %]]*'Schedule-Building Info'!$N$16)/1000)</f>
        <v>71.174999999999997</v>
      </c>
      <c r="J282" s="57">
        <f>PlanGrid[[#This Row],[kWh/yr]]*' Elec Utility (kWh)'!$M$7</f>
        <v>7.5882044841810226</v>
      </c>
      <c r="K282" s="38">
        <f>PlanGrid[[#This Row],[kWh/yr]]/'Schedule-Building Info'!$B$6</f>
        <v>1.17046818727491E-3</v>
      </c>
      <c r="L282" s="50">
        <f>CONVERT(PlanGrid[[#This Row],[kWh/yr]],"Wh","BTU")</f>
        <v>242.85918073788125</v>
      </c>
      <c r="M282" s="38">
        <f>PlanGrid[[#This Row],[kBtu/yr]]/'Schedule-Building Info'!$B$6</f>
        <v>3.9938032320525124E-3</v>
      </c>
      <c r="N282" t="s">
        <v>1089</v>
      </c>
      <c r="O282">
        <v>0</v>
      </c>
      <c r="P282" t="str">
        <f>VLOOKUP(PlanGrid[[#This Row],[Title]],'Spec Wattages'!$A$1:$C$973,3,FALSE)</f>
        <v>Lighting</v>
      </c>
      <c r="Q282" t="s">
        <v>739</v>
      </c>
      <c r="R282" t="s">
        <v>1037</v>
      </c>
      <c r="S282" t="s">
        <v>51</v>
      </c>
    </row>
    <row r="283" spans="1:19" x14ac:dyDescent="0.25">
      <c r="A283">
        <v>1010</v>
      </c>
      <c r="B283" t="s">
        <v>43</v>
      </c>
      <c r="C283" t="s">
        <v>44</v>
      </c>
      <c r="D283" t="s">
        <v>551</v>
      </c>
      <c r="E283" s="50">
        <v>13</v>
      </c>
      <c r="F283" s="38">
        <v>1</v>
      </c>
      <c r="G283" s="39">
        <v>1</v>
      </c>
      <c r="H283" s="58">
        <f>PlanGrid[[#This Row],[Spec Wattage]]*PlanGrid[[#This Row],[Equipment Count]]</f>
        <v>13</v>
      </c>
      <c r="I283" s="50">
        <f>((PlanGrid[[#This Row],[Demand Watt]]*PlanGrid[[#This Row],[Utilization %]]*'Schedule-Building Info'!$N$16)/1000)</f>
        <v>71.174999999999997</v>
      </c>
      <c r="J283" s="57">
        <f>PlanGrid[[#This Row],[kWh/yr]]*' Elec Utility (kWh)'!$M$7</f>
        <v>7.5882044841810226</v>
      </c>
      <c r="K283" s="38">
        <f>PlanGrid[[#This Row],[kWh/yr]]/'Schedule-Building Info'!$B$6</f>
        <v>1.17046818727491E-3</v>
      </c>
      <c r="L283" s="50">
        <f>CONVERT(PlanGrid[[#This Row],[kWh/yr]],"Wh","BTU")</f>
        <v>242.85918073788125</v>
      </c>
      <c r="M283" s="38">
        <f>PlanGrid[[#This Row],[kBtu/yr]]/'Schedule-Building Info'!$B$6</f>
        <v>3.9938032320525124E-3</v>
      </c>
      <c r="N283" t="s">
        <v>1089</v>
      </c>
      <c r="O283">
        <v>0</v>
      </c>
      <c r="P283" t="str">
        <f>VLOOKUP(PlanGrid[[#This Row],[Title]],'Spec Wattages'!$A$1:$C$973,3,FALSE)</f>
        <v>Lighting</v>
      </c>
      <c r="Q283" t="s">
        <v>768</v>
      </c>
      <c r="R283" t="s">
        <v>760</v>
      </c>
      <c r="S283" t="s">
        <v>51</v>
      </c>
    </row>
    <row r="284" spans="1:19" x14ac:dyDescent="0.25">
      <c r="A284">
        <v>1014</v>
      </c>
      <c r="B284" t="s">
        <v>43</v>
      </c>
      <c r="C284" t="s">
        <v>44</v>
      </c>
      <c r="D284" t="s">
        <v>551</v>
      </c>
      <c r="E284" s="50">
        <v>13</v>
      </c>
      <c r="F284" s="38">
        <v>1</v>
      </c>
      <c r="G284" s="39">
        <v>1</v>
      </c>
      <c r="H284" s="58">
        <f>PlanGrid[[#This Row],[Spec Wattage]]*PlanGrid[[#This Row],[Equipment Count]]</f>
        <v>13</v>
      </c>
      <c r="I284" s="50">
        <f>((PlanGrid[[#This Row],[Demand Watt]]*PlanGrid[[#This Row],[Utilization %]]*'Schedule-Building Info'!$N$16)/1000)</f>
        <v>71.174999999999997</v>
      </c>
      <c r="J284" s="57">
        <f>PlanGrid[[#This Row],[kWh/yr]]*' Elec Utility (kWh)'!$M$7</f>
        <v>7.5882044841810226</v>
      </c>
      <c r="K284" s="38">
        <f>PlanGrid[[#This Row],[kWh/yr]]/'Schedule-Building Info'!$B$6</f>
        <v>1.17046818727491E-3</v>
      </c>
      <c r="L284" s="50">
        <f>CONVERT(PlanGrid[[#This Row],[kWh/yr]],"Wh","BTU")</f>
        <v>242.85918073788125</v>
      </c>
      <c r="M284" s="38">
        <f>PlanGrid[[#This Row],[kBtu/yr]]/'Schedule-Building Info'!$B$6</f>
        <v>3.9938032320525124E-3</v>
      </c>
      <c r="N284" t="s">
        <v>1089</v>
      </c>
      <c r="O284">
        <v>0</v>
      </c>
      <c r="P284" t="str">
        <f>VLOOKUP(PlanGrid[[#This Row],[Title]],'Spec Wattages'!$A$1:$C$973,3,FALSE)</f>
        <v>Lighting</v>
      </c>
      <c r="Q284" t="s">
        <v>760</v>
      </c>
      <c r="R284" t="s">
        <v>760</v>
      </c>
      <c r="S284" t="s">
        <v>51</v>
      </c>
    </row>
    <row r="285" spans="1:19" x14ac:dyDescent="0.25">
      <c r="A285">
        <v>689</v>
      </c>
      <c r="B285" t="s">
        <v>43</v>
      </c>
      <c r="C285" t="s">
        <v>44</v>
      </c>
      <c r="D285" t="s">
        <v>562</v>
      </c>
      <c r="E285" s="50">
        <v>13</v>
      </c>
      <c r="F285" s="38">
        <v>1</v>
      </c>
      <c r="G285" s="39">
        <v>1</v>
      </c>
      <c r="H285" s="58">
        <f>PlanGrid[[#This Row],[Spec Wattage]]*PlanGrid[[#This Row],[Equipment Count]]</f>
        <v>13</v>
      </c>
      <c r="I285" s="50">
        <f>((PlanGrid[[#This Row],[Demand Watt]]*PlanGrid[[#This Row],[Utilization %]]*'Schedule-Building Info'!$N$16)/1000)</f>
        <v>71.174999999999997</v>
      </c>
      <c r="J285" s="57">
        <f>PlanGrid[[#This Row],[kWh/yr]]*' Elec Utility (kWh)'!$M$7</f>
        <v>7.5882044841810226</v>
      </c>
      <c r="K285" s="38">
        <f>PlanGrid[[#This Row],[kWh/yr]]/'Schedule-Building Info'!$B$6</f>
        <v>1.17046818727491E-3</v>
      </c>
      <c r="L285" s="50">
        <f>CONVERT(PlanGrid[[#This Row],[kWh/yr]],"Wh","BTU")</f>
        <v>242.85918073788125</v>
      </c>
      <c r="M285" s="38">
        <f>PlanGrid[[#This Row],[kBtu/yr]]/'Schedule-Building Info'!$B$6</f>
        <v>3.9938032320525124E-3</v>
      </c>
      <c r="N285" t="s">
        <v>1090</v>
      </c>
      <c r="O285">
        <v>0</v>
      </c>
      <c r="P285" t="str">
        <f>VLOOKUP(PlanGrid[[#This Row],[Title]],'Spec Wattages'!$A$1:$C$973,3,FALSE)</f>
        <v>Lighting</v>
      </c>
      <c r="Q285" t="s">
        <v>719</v>
      </c>
      <c r="R285" t="s">
        <v>720</v>
      </c>
      <c r="S285" t="s">
        <v>11</v>
      </c>
    </row>
    <row r="286" spans="1:19" x14ac:dyDescent="0.25">
      <c r="A286">
        <v>454</v>
      </c>
      <c r="B286" t="s">
        <v>43</v>
      </c>
      <c r="C286" t="s">
        <v>44</v>
      </c>
      <c r="D286" t="s">
        <v>588</v>
      </c>
      <c r="E286" s="50">
        <v>20</v>
      </c>
      <c r="F286" s="38">
        <v>1</v>
      </c>
      <c r="G286" s="39">
        <v>1</v>
      </c>
      <c r="H286" s="58">
        <f>PlanGrid[[#This Row],[Spec Wattage]]*PlanGrid[[#This Row],[Equipment Count]]</f>
        <v>20</v>
      </c>
      <c r="I286" s="50">
        <f>((PlanGrid[[#This Row],[Demand Watt]]*PlanGrid[[#This Row],[Utilization %]]*'Schedule-Building Info'!$N$16)/1000)</f>
        <v>109.5</v>
      </c>
      <c r="J286" s="57">
        <f>PlanGrid[[#This Row],[kWh/yr]]*' Elec Utility (kWh)'!$M$7</f>
        <v>11.674160744893882</v>
      </c>
      <c r="K286" s="38">
        <f>PlanGrid[[#This Row],[kWh/yr]]/'Schedule-Building Info'!$B$6</f>
        <v>1.8007202881152461E-3</v>
      </c>
      <c r="L286" s="50">
        <f>CONVERT(PlanGrid[[#This Row],[kWh/yr]],"Wh","BTU")</f>
        <v>373.6295088275096</v>
      </c>
      <c r="M286" s="38">
        <f>PlanGrid[[#This Row],[kBtu/yr]]/'Schedule-Building Info'!$B$6</f>
        <v>6.144312664696173E-3</v>
      </c>
      <c r="N286" t="s">
        <v>1092</v>
      </c>
      <c r="O286">
        <v>0</v>
      </c>
      <c r="P286" t="str">
        <f>VLOOKUP(PlanGrid[[#This Row],[Title]],'Spec Wattages'!$A$1:$C$973,3,FALSE)</f>
        <v>Lighting</v>
      </c>
      <c r="Q286" t="s">
        <v>976</v>
      </c>
      <c r="R286" t="s">
        <v>1073</v>
      </c>
      <c r="S286" t="s">
        <v>11</v>
      </c>
    </row>
    <row r="287" spans="1:19" x14ac:dyDescent="0.25">
      <c r="A287">
        <v>312</v>
      </c>
      <c r="B287" t="s">
        <v>22</v>
      </c>
      <c r="C287" t="s">
        <v>466</v>
      </c>
      <c r="D287" t="s">
        <v>511</v>
      </c>
      <c r="E287" s="50">
        <v>24</v>
      </c>
      <c r="F287" s="38">
        <v>1</v>
      </c>
      <c r="G287" s="39">
        <v>1</v>
      </c>
      <c r="H287" s="58">
        <f>PlanGrid[[#This Row],[Spec Wattage]]*PlanGrid[[#This Row],[Equipment Count]]</f>
        <v>24</v>
      </c>
      <c r="I287" s="50">
        <f>((PlanGrid[[#This Row],[Demand Watt]]*PlanGrid[[#This Row],[Utilization %]]*'Schedule-Building Info'!$N$16)/1000)</f>
        <v>131.4</v>
      </c>
      <c r="J287" s="57">
        <f>PlanGrid[[#This Row],[kWh/yr]]*' Elec Utility (kWh)'!$M$7</f>
        <v>14.008992893872659</v>
      </c>
      <c r="K287" s="38">
        <f>PlanGrid[[#This Row],[kWh/yr]]/'Schedule-Building Info'!$B$6</f>
        <v>2.1608643457382954E-3</v>
      </c>
      <c r="L287" s="50">
        <f>CONVERT(PlanGrid[[#This Row],[kWh/yr]],"Wh","BTU")</f>
        <v>448.35541059301153</v>
      </c>
      <c r="M287" s="38">
        <f>PlanGrid[[#This Row],[kBtu/yr]]/'Schedule-Building Info'!$B$6</f>
        <v>7.3731751976354081E-3</v>
      </c>
      <c r="N287" t="s">
        <v>1092</v>
      </c>
      <c r="O287">
        <v>0</v>
      </c>
      <c r="P287" t="str">
        <f>VLOOKUP(PlanGrid[[#This Row],[Title]],'Spec Wattages'!$A$1:$C$973,3,FALSE)</f>
        <v>Lighting</v>
      </c>
      <c r="Q287" t="s">
        <v>881</v>
      </c>
      <c r="R287" t="s">
        <v>1056</v>
      </c>
      <c r="S287" t="s">
        <v>11</v>
      </c>
    </row>
    <row r="288" spans="1:19" x14ac:dyDescent="0.25">
      <c r="A288">
        <v>1073</v>
      </c>
      <c r="B288" t="s">
        <v>22</v>
      </c>
      <c r="C288" t="s">
        <v>466</v>
      </c>
      <c r="E288" s="50">
        <v>24</v>
      </c>
      <c r="F288" s="38">
        <v>1</v>
      </c>
      <c r="G288" s="39">
        <v>1</v>
      </c>
      <c r="H288" s="50">
        <f>PlanGrid[[#This Row],[Spec Wattage]]*PlanGrid[[#This Row],[Equipment Count]]</f>
        <v>24</v>
      </c>
      <c r="I288" s="50">
        <f>((PlanGrid[[#This Row],[Demand Watt]]*PlanGrid[[#This Row],[Utilization %]]*'Schedule-Building Info'!$N$16)/1000)</f>
        <v>131.4</v>
      </c>
      <c r="J288" s="57">
        <f>PlanGrid[[#This Row],[kWh/yr]]*' Elec Utility (kWh)'!$M$7</f>
        <v>14.008992893872659</v>
      </c>
      <c r="K288" s="49">
        <f>PlanGrid[[#This Row],[kWh/yr]]/'Schedule-Building Info'!$B$6</f>
        <v>2.1608643457382954E-3</v>
      </c>
      <c r="L288" s="50">
        <f>CONVERT(PlanGrid[[#This Row],[kWh/yr]],"Wh","BTU")</f>
        <v>448.35541059301153</v>
      </c>
      <c r="M288" s="38">
        <f>PlanGrid[[#This Row],[kBtu/yr]]/'Schedule-Building Info'!$B$6</f>
        <v>7.3731751976354081E-3</v>
      </c>
      <c r="N288" t="s">
        <v>1090</v>
      </c>
      <c r="O288">
        <v>0</v>
      </c>
      <c r="P288" t="str">
        <f>VLOOKUP(PlanGrid[[#This Row],[Title]],'Spec Wattages'!$A$1:$C$973,3,FALSE)</f>
        <v>Lighting</v>
      </c>
      <c r="Q288" t="s">
        <v>830</v>
      </c>
      <c r="R288" t="s">
        <v>797</v>
      </c>
      <c r="S288" t="s">
        <v>11</v>
      </c>
    </row>
    <row r="289" spans="1:19" x14ac:dyDescent="0.25">
      <c r="A289">
        <v>414</v>
      </c>
      <c r="B289" t="s">
        <v>22</v>
      </c>
      <c r="C289" t="s">
        <v>466</v>
      </c>
      <c r="D289" t="s">
        <v>515</v>
      </c>
      <c r="E289" s="50">
        <v>12</v>
      </c>
      <c r="F289" s="38">
        <v>2</v>
      </c>
      <c r="G289" s="39">
        <v>1</v>
      </c>
      <c r="H289" s="58">
        <f>PlanGrid[[#This Row],[Spec Wattage]]*PlanGrid[[#This Row],[Equipment Count]]</f>
        <v>24</v>
      </c>
      <c r="I289" s="50">
        <f>((PlanGrid[[#This Row],[Demand Watt]]*PlanGrid[[#This Row],[Utilization %]]*'Schedule-Building Info'!$N$16)/1000)</f>
        <v>131.4</v>
      </c>
      <c r="J289" s="57">
        <f>PlanGrid[[#This Row],[kWh/yr]]*' Elec Utility (kWh)'!$M$7</f>
        <v>14.008992893872659</v>
      </c>
      <c r="K289" s="38">
        <f>PlanGrid[[#This Row],[kWh/yr]]/'Schedule-Building Info'!$B$6</f>
        <v>2.1608643457382954E-3</v>
      </c>
      <c r="L289" s="50">
        <f>CONVERT(PlanGrid[[#This Row],[kWh/yr]],"Wh","BTU")</f>
        <v>448.35541059301153</v>
      </c>
      <c r="M289" s="38">
        <f>PlanGrid[[#This Row],[kBtu/yr]]/'Schedule-Building Info'!$B$6</f>
        <v>7.3731751976354081E-3</v>
      </c>
      <c r="N289" t="s">
        <v>1092</v>
      </c>
      <c r="O289">
        <v>0</v>
      </c>
      <c r="P289" t="str">
        <f>VLOOKUP(PlanGrid[[#This Row],[Title]],'Spec Wattages'!$A$1:$C$973,3,FALSE)</f>
        <v>Lighting</v>
      </c>
      <c r="Q289" t="s">
        <v>901</v>
      </c>
      <c r="R289" t="s">
        <v>784</v>
      </c>
      <c r="S289" t="s">
        <v>11</v>
      </c>
    </row>
    <row r="290" spans="1:19" x14ac:dyDescent="0.25">
      <c r="A290">
        <v>208</v>
      </c>
      <c r="B290" t="s">
        <v>22</v>
      </c>
      <c r="C290" t="s">
        <v>466</v>
      </c>
      <c r="D290" t="s">
        <v>506</v>
      </c>
      <c r="E290" s="50">
        <v>12</v>
      </c>
      <c r="F290" s="38">
        <v>2</v>
      </c>
      <c r="G290" s="39">
        <v>1</v>
      </c>
      <c r="H290" s="38">
        <f>PlanGrid[[#This Row],[Spec Wattage]]*PlanGrid[[#This Row],[Equipment Count]]</f>
        <v>24</v>
      </c>
      <c r="I290" s="38">
        <f>((PlanGrid[[#This Row],[Demand Watt]]*PlanGrid[[#This Row],[Utilization %]]*'Schedule-Building Info'!$N$16)/1000)</f>
        <v>131.4</v>
      </c>
      <c r="J290" s="57">
        <f>PlanGrid[[#This Row],[kWh/yr]]*' Elec Utility (kWh)'!$M$7</f>
        <v>14.008992893872659</v>
      </c>
      <c r="K290" s="38">
        <f>PlanGrid[[#This Row],[kWh/yr]]/'Schedule-Building Info'!$B$6</f>
        <v>2.1608643457382954E-3</v>
      </c>
      <c r="L290" s="50">
        <f>CONVERT(PlanGrid[[#This Row],[kWh/yr]],"Wh","BTU")</f>
        <v>448.35541059301153</v>
      </c>
      <c r="M290" s="38">
        <f>PlanGrid[[#This Row],[kBtu/yr]]/'Schedule-Building Info'!$B$6</f>
        <v>7.3731751976354081E-3</v>
      </c>
      <c r="N290" t="s">
        <v>1092</v>
      </c>
      <c r="O290">
        <v>0</v>
      </c>
      <c r="P290" t="str">
        <f>VLOOKUP(PlanGrid[[#This Row],[Title]],'Spec Wattages'!$A$1:$C$973,3,FALSE)</f>
        <v>Lighting</v>
      </c>
      <c r="Q290" t="s">
        <v>863</v>
      </c>
      <c r="R290" t="s">
        <v>966</v>
      </c>
      <c r="S290" t="s">
        <v>11</v>
      </c>
    </row>
    <row r="291" spans="1:19" x14ac:dyDescent="0.25">
      <c r="A291">
        <v>667</v>
      </c>
      <c r="B291" t="s">
        <v>43</v>
      </c>
      <c r="C291" t="s">
        <v>44</v>
      </c>
      <c r="D291" t="s">
        <v>560</v>
      </c>
      <c r="E291" s="50">
        <v>25</v>
      </c>
      <c r="F291" s="38">
        <v>1</v>
      </c>
      <c r="G291" s="39">
        <v>1</v>
      </c>
      <c r="H291" s="58">
        <f>PlanGrid[[#This Row],[Spec Wattage]]*PlanGrid[[#This Row],[Equipment Count]]</f>
        <v>25</v>
      </c>
      <c r="I291" s="50">
        <f>((PlanGrid[[#This Row],[Demand Watt]]*PlanGrid[[#This Row],[Utilization %]]*'Schedule-Building Info'!$N$16)/1000)</f>
        <v>136.875</v>
      </c>
      <c r="J291" s="57">
        <f>PlanGrid[[#This Row],[kWh/yr]]*' Elec Utility (kWh)'!$M$7</f>
        <v>14.592700931117353</v>
      </c>
      <c r="K291" s="38">
        <f>PlanGrid[[#This Row],[kWh/yr]]/'Schedule-Building Info'!$B$6</f>
        <v>2.2509003601440575E-3</v>
      </c>
      <c r="L291" s="50">
        <f>CONVERT(PlanGrid[[#This Row],[kWh/yr]],"Wh","BTU")</f>
        <v>467.03688603438701</v>
      </c>
      <c r="M291" s="38">
        <f>PlanGrid[[#This Row],[kBtu/yr]]/'Schedule-Building Info'!$B$6</f>
        <v>7.6803908308702169E-3</v>
      </c>
      <c r="N291" t="s">
        <v>1090</v>
      </c>
      <c r="O291">
        <v>0</v>
      </c>
      <c r="P291" t="str">
        <f>VLOOKUP(PlanGrid[[#This Row],[Title]],'Spec Wattages'!$A$1:$C$973,3,FALSE)</f>
        <v>Lighting</v>
      </c>
      <c r="Q291" t="s">
        <v>959</v>
      </c>
      <c r="R291" t="s">
        <v>959</v>
      </c>
      <c r="S291" t="s">
        <v>51</v>
      </c>
    </row>
    <row r="292" spans="1:19" x14ac:dyDescent="0.25">
      <c r="A292">
        <v>966</v>
      </c>
      <c r="B292" t="s">
        <v>22</v>
      </c>
      <c r="C292" t="s">
        <v>466</v>
      </c>
      <c r="D292" t="s">
        <v>480</v>
      </c>
      <c r="E292" s="50">
        <v>36</v>
      </c>
      <c r="F292" s="38">
        <v>1</v>
      </c>
      <c r="G292" s="39">
        <v>1</v>
      </c>
      <c r="H292" s="50">
        <f>PlanGrid[[#This Row],[Spec Wattage]]*PlanGrid[[#This Row],[Equipment Count]]</f>
        <v>36</v>
      </c>
      <c r="I292" s="50">
        <f>((PlanGrid[[#This Row],[Demand Watt]]*PlanGrid[[#This Row],[Utilization %]]*'Schedule-Building Info'!$N$16)/1000)</f>
        <v>197.1</v>
      </c>
      <c r="J292" s="57">
        <f>PlanGrid[[#This Row],[kWh/yr]]*' Elec Utility (kWh)'!$M$7</f>
        <v>21.013489340808988</v>
      </c>
      <c r="K292" s="49">
        <f>PlanGrid[[#This Row],[kWh/yr]]/'Schedule-Building Info'!$B$6</f>
        <v>3.2412965186074429E-3</v>
      </c>
      <c r="L292" s="50">
        <f>CONVERT(PlanGrid[[#This Row],[kWh/yr]],"Wh","BTU")</f>
        <v>672.53311588951726</v>
      </c>
      <c r="M292" s="38">
        <f>PlanGrid[[#This Row],[kBtu/yr]]/'Schedule-Building Info'!$B$6</f>
        <v>1.1059762796453111E-2</v>
      </c>
      <c r="N292" t="s">
        <v>1089</v>
      </c>
      <c r="O292">
        <v>0</v>
      </c>
      <c r="P292" t="str">
        <f>VLOOKUP(PlanGrid[[#This Row],[Title]],'Spec Wattages'!$A$1:$C$973,3,FALSE)</f>
        <v>Lighting</v>
      </c>
      <c r="Q292" t="s">
        <v>740</v>
      </c>
      <c r="R292" t="s">
        <v>740</v>
      </c>
      <c r="S292" t="s">
        <v>11</v>
      </c>
    </row>
    <row r="293" spans="1:19" x14ac:dyDescent="0.25">
      <c r="A293">
        <v>1065</v>
      </c>
      <c r="B293" t="s">
        <v>22</v>
      </c>
      <c r="C293" t="s">
        <v>466</v>
      </c>
      <c r="D293" t="s">
        <v>27</v>
      </c>
      <c r="E293" s="50">
        <v>36</v>
      </c>
      <c r="F293" s="38">
        <v>1</v>
      </c>
      <c r="G293" s="39">
        <v>1</v>
      </c>
      <c r="H293" s="50">
        <f>PlanGrid[[#This Row],[Spec Wattage]]*PlanGrid[[#This Row],[Equipment Count]]</f>
        <v>36</v>
      </c>
      <c r="I293" s="50">
        <f>((PlanGrid[[#This Row],[Demand Watt]]*PlanGrid[[#This Row],[Utilization %]]*'Schedule-Building Info'!$N$16)/1000)</f>
        <v>197.1</v>
      </c>
      <c r="J293" s="57">
        <f>PlanGrid[[#This Row],[kWh/yr]]*' Elec Utility (kWh)'!$M$7</f>
        <v>21.013489340808988</v>
      </c>
      <c r="K293" s="49">
        <f>PlanGrid[[#This Row],[kWh/yr]]/'Schedule-Building Info'!$B$6</f>
        <v>3.2412965186074429E-3</v>
      </c>
      <c r="L293" s="50">
        <f>CONVERT(PlanGrid[[#This Row],[kWh/yr]],"Wh","BTU")</f>
        <v>672.53311588951726</v>
      </c>
      <c r="M293" s="38">
        <f>PlanGrid[[#This Row],[kBtu/yr]]/'Schedule-Building Info'!$B$6</f>
        <v>1.1059762796453111E-2</v>
      </c>
      <c r="N293" t="s">
        <v>1089</v>
      </c>
      <c r="O293">
        <v>0</v>
      </c>
      <c r="P293" t="str">
        <f>VLOOKUP(PlanGrid[[#This Row],[Title]],'Spec Wattages'!$A$1:$C$973,3,FALSE)</f>
        <v>Lighting</v>
      </c>
      <c r="Q293" t="s">
        <v>802</v>
      </c>
      <c r="R293" t="s">
        <v>802</v>
      </c>
      <c r="S293" t="s">
        <v>11</v>
      </c>
    </row>
    <row r="294" spans="1:19" x14ac:dyDescent="0.25">
      <c r="A294">
        <v>715</v>
      </c>
      <c r="B294" t="s">
        <v>22</v>
      </c>
      <c r="C294" t="s">
        <v>466</v>
      </c>
      <c r="D294" t="s">
        <v>27</v>
      </c>
      <c r="E294" s="50">
        <v>36</v>
      </c>
      <c r="F294" s="38">
        <v>1</v>
      </c>
      <c r="G294" s="39">
        <v>1</v>
      </c>
      <c r="H294" s="50">
        <f>PlanGrid[[#This Row],[Spec Wattage]]*PlanGrid[[#This Row],[Equipment Count]]</f>
        <v>36</v>
      </c>
      <c r="I294" s="50">
        <f>((PlanGrid[[#This Row],[Demand Watt]]*PlanGrid[[#This Row],[Utilization %]]*'Schedule-Building Info'!$N$16)/1000)</f>
        <v>197.1</v>
      </c>
      <c r="J294" s="57">
        <f>PlanGrid[[#This Row],[kWh/yr]]*' Elec Utility (kWh)'!$M$7</f>
        <v>21.013489340808988</v>
      </c>
      <c r="K294" s="49">
        <f>PlanGrid[[#This Row],[kWh/yr]]/'Schedule-Building Info'!$B$6</f>
        <v>3.2412965186074429E-3</v>
      </c>
      <c r="L294" s="50">
        <f>CONVERT(PlanGrid[[#This Row],[kWh/yr]],"Wh","BTU")</f>
        <v>672.53311588951726</v>
      </c>
      <c r="M294" s="38">
        <f>PlanGrid[[#This Row],[kBtu/yr]]/'Schedule-Building Info'!$B$6</f>
        <v>1.1059762796453111E-2</v>
      </c>
      <c r="N294" t="s">
        <v>1090</v>
      </c>
      <c r="O294">
        <v>0</v>
      </c>
      <c r="P294" t="str">
        <f>VLOOKUP(PlanGrid[[#This Row],[Title]],'Spec Wattages'!$A$1:$C$973,3,FALSE)</f>
        <v>Lighting</v>
      </c>
      <c r="Q294" t="s">
        <v>817</v>
      </c>
      <c r="R294" t="s">
        <v>999</v>
      </c>
      <c r="S294" t="s">
        <v>11</v>
      </c>
    </row>
    <row r="295" spans="1:19" x14ac:dyDescent="0.25">
      <c r="A295">
        <v>802</v>
      </c>
      <c r="B295" t="s">
        <v>22</v>
      </c>
      <c r="C295" t="s">
        <v>466</v>
      </c>
      <c r="D295" t="s">
        <v>494</v>
      </c>
      <c r="E295" s="50">
        <v>36</v>
      </c>
      <c r="F295" s="38">
        <v>1</v>
      </c>
      <c r="G295" s="39">
        <v>1</v>
      </c>
      <c r="H295" s="50">
        <f>PlanGrid[[#This Row],[Spec Wattage]]*PlanGrid[[#This Row],[Equipment Count]]</f>
        <v>36</v>
      </c>
      <c r="I295" s="50">
        <f>((PlanGrid[[#This Row],[Demand Watt]]*PlanGrid[[#This Row],[Utilization %]]*'Schedule-Building Info'!$N$16)/1000)</f>
        <v>197.1</v>
      </c>
      <c r="J295" s="57">
        <f>PlanGrid[[#This Row],[kWh/yr]]*' Elec Utility (kWh)'!$M$7</f>
        <v>21.013489340808988</v>
      </c>
      <c r="K295" s="49">
        <f>PlanGrid[[#This Row],[kWh/yr]]/'Schedule-Building Info'!$B$6</f>
        <v>3.2412965186074429E-3</v>
      </c>
      <c r="L295" s="50">
        <f>CONVERT(PlanGrid[[#This Row],[kWh/yr]],"Wh","BTU")</f>
        <v>672.53311588951726</v>
      </c>
      <c r="M295" s="38">
        <f>PlanGrid[[#This Row],[kBtu/yr]]/'Schedule-Building Info'!$B$6</f>
        <v>1.1059762796453111E-2</v>
      </c>
      <c r="N295" t="s">
        <v>1090</v>
      </c>
      <c r="O295">
        <v>0</v>
      </c>
      <c r="P295" t="str">
        <f>VLOOKUP(PlanGrid[[#This Row],[Title]],'Spec Wattages'!$A$1:$C$973,3,FALSE)</f>
        <v>Lighting</v>
      </c>
      <c r="Q295" t="s">
        <v>828</v>
      </c>
      <c r="R295" t="s">
        <v>828</v>
      </c>
      <c r="S295" t="s">
        <v>51</v>
      </c>
    </row>
    <row r="296" spans="1:19" x14ac:dyDescent="0.25">
      <c r="A296">
        <v>745</v>
      </c>
      <c r="B296" t="s">
        <v>43</v>
      </c>
      <c r="C296" t="s">
        <v>44</v>
      </c>
      <c r="D296" t="s">
        <v>570</v>
      </c>
      <c r="E296" s="50">
        <v>36</v>
      </c>
      <c r="F296" s="38">
        <v>1</v>
      </c>
      <c r="G296" s="39">
        <v>1</v>
      </c>
      <c r="H296" s="58">
        <f>PlanGrid[[#This Row],[Spec Wattage]]*PlanGrid[[#This Row],[Equipment Count]]</f>
        <v>36</v>
      </c>
      <c r="I296" s="50">
        <f>((PlanGrid[[#This Row],[Demand Watt]]*PlanGrid[[#This Row],[Utilization %]]*'Schedule-Building Info'!$N$16)/1000)</f>
        <v>197.1</v>
      </c>
      <c r="J296" s="57">
        <f>PlanGrid[[#This Row],[kWh/yr]]*' Elec Utility (kWh)'!$M$7</f>
        <v>21.013489340808988</v>
      </c>
      <c r="K296" s="38">
        <f>PlanGrid[[#This Row],[kWh/yr]]/'Schedule-Building Info'!$B$6</f>
        <v>3.2412965186074429E-3</v>
      </c>
      <c r="L296" s="50">
        <f>CONVERT(PlanGrid[[#This Row],[kWh/yr]],"Wh","BTU")</f>
        <v>672.53311588951726</v>
      </c>
      <c r="M296" s="38">
        <f>PlanGrid[[#This Row],[kBtu/yr]]/'Schedule-Building Info'!$B$6</f>
        <v>1.1059762796453111E-2</v>
      </c>
      <c r="N296" t="s">
        <v>1090</v>
      </c>
      <c r="O296">
        <v>0</v>
      </c>
      <c r="P296" t="str">
        <f>VLOOKUP(PlanGrid[[#This Row],[Title]],'Spec Wattages'!$A$1:$C$973,3,FALSE)</f>
        <v>Lighting</v>
      </c>
      <c r="Q296" t="s">
        <v>965</v>
      </c>
      <c r="R296" t="s">
        <v>965</v>
      </c>
      <c r="S296" t="s">
        <v>11</v>
      </c>
    </row>
    <row r="297" spans="1:19" x14ac:dyDescent="0.25">
      <c r="A297">
        <v>1077</v>
      </c>
      <c r="B297" t="s">
        <v>22</v>
      </c>
      <c r="C297" t="s">
        <v>466</v>
      </c>
      <c r="D297" t="s">
        <v>483</v>
      </c>
      <c r="E297" s="50">
        <v>36</v>
      </c>
      <c r="F297" s="38">
        <v>1</v>
      </c>
      <c r="G297" s="39">
        <v>1</v>
      </c>
      <c r="H297" s="50">
        <f>PlanGrid[[#This Row],[Spec Wattage]]*PlanGrid[[#This Row],[Equipment Count]]</f>
        <v>36</v>
      </c>
      <c r="I297" s="50">
        <f>((PlanGrid[[#This Row],[Demand Watt]]*PlanGrid[[#This Row],[Utilization %]]*'Schedule-Building Info'!$N$16)/1000)</f>
        <v>197.1</v>
      </c>
      <c r="J297" s="57">
        <f>PlanGrid[[#This Row],[kWh/yr]]*' Elec Utility (kWh)'!$M$7</f>
        <v>21.013489340808988</v>
      </c>
      <c r="K297" s="49">
        <f>PlanGrid[[#This Row],[kWh/yr]]/'Schedule-Building Info'!$B$6</f>
        <v>3.2412965186074429E-3</v>
      </c>
      <c r="L297" s="50">
        <f>CONVERT(PlanGrid[[#This Row],[kWh/yr]],"Wh","BTU")</f>
        <v>672.53311588951726</v>
      </c>
      <c r="M297" s="38">
        <f>PlanGrid[[#This Row],[kBtu/yr]]/'Schedule-Building Info'!$B$6</f>
        <v>1.1059762796453111E-2</v>
      </c>
      <c r="N297" t="s">
        <v>1089</v>
      </c>
      <c r="O297">
        <v>0</v>
      </c>
      <c r="P297" t="str">
        <f>VLOOKUP(PlanGrid[[#This Row],[Title]],'Spec Wattages'!$A$1:$C$973,3,FALSE)</f>
        <v>Lighting</v>
      </c>
      <c r="Q297" t="s">
        <v>707</v>
      </c>
      <c r="R297" t="s">
        <v>707</v>
      </c>
      <c r="S297" t="s">
        <v>51</v>
      </c>
    </row>
    <row r="298" spans="1:19" x14ac:dyDescent="0.25">
      <c r="A298">
        <v>805</v>
      </c>
      <c r="B298" t="s">
        <v>22</v>
      </c>
      <c r="C298" t="s">
        <v>466</v>
      </c>
      <c r="D298" t="s">
        <v>495</v>
      </c>
      <c r="E298" s="50">
        <v>36</v>
      </c>
      <c r="F298" s="38">
        <v>1</v>
      </c>
      <c r="G298" s="39">
        <v>1</v>
      </c>
      <c r="H298" s="50">
        <f>PlanGrid[[#This Row],[Spec Wattage]]*PlanGrid[[#This Row],[Equipment Count]]</f>
        <v>36</v>
      </c>
      <c r="I298" s="50">
        <f>((PlanGrid[[#This Row],[Demand Watt]]*PlanGrid[[#This Row],[Utilization %]]*'Schedule-Building Info'!$N$16)/1000)</f>
        <v>197.1</v>
      </c>
      <c r="J298" s="57">
        <f>PlanGrid[[#This Row],[kWh/yr]]*' Elec Utility (kWh)'!$M$7</f>
        <v>21.013489340808988</v>
      </c>
      <c r="K298" s="49">
        <f>PlanGrid[[#This Row],[kWh/yr]]/'Schedule-Building Info'!$B$6</f>
        <v>3.2412965186074429E-3</v>
      </c>
      <c r="L298" s="50">
        <f>CONVERT(PlanGrid[[#This Row],[kWh/yr]],"Wh","BTU")</f>
        <v>672.53311588951726</v>
      </c>
      <c r="M298" s="38">
        <f>PlanGrid[[#This Row],[kBtu/yr]]/'Schedule-Building Info'!$B$6</f>
        <v>1.1059762796453111E-2</v>
      </c>
      <c r="N298" t="s">
        <v>1090</v>
      </c>
      <c r="O298">
        <v>0</v>
      </c>
      <c r="P298" t="str">
        <f>VLOOKUP(PlanGrid[[#This Row],[Title]],'Spec Wattages'!$A$1:$C$973,3,FALSE)</f>
        <v>Lighting</v>
      </c>
      <c r="Q298" t="s">
        <v>829</v>
      </c>
      <c r="R298" t="s">
        <v>829</v>
      </c>
      <c r="S298" t="s">
        <v>51</v>
      </c>
    </row>
    <row r="299" spans="1:19" x14ac:dyDescent="0.25">
      <c r="A299">
        <v>806</v>
      </c>
      <c r="B299" t="s">
        <v>22</v>
      </c>
      <c r="C299" t="s">
        <v>466</v>
      </c>
      <c r="D299" t="s">
        <v>495</v>
      </c>
      <c r="E299" s="50">
        <v>36</v>
      </c>
      <c r="F299" s="38">
        <v>1</v>
      </c>
      <c r="G299" s="39">
        <v>1</v>
      </c>
      <c r="H299" s="50">
        <f>PlanGrid[[#This Row],[Spec Wattage]]*PlanGrid[[#This Row],[Equipment Count]]</f>
        <v>36</v>
      </c>
      <c r="I299" s="50">
        <f>((PlanGrid[[#This Row],[Demand Watt]]*PlanGrid[[#This Row],[Utilization %]]*'Schedule-Building Info'!$N$16)/1000)</f>
        <v>197.1</v>
      </c>
      <c r="J299" s="57">
        <f>PlanGrid[[#This Row],[kWh/yr]]*' Elec Utility (kWh)'!$M$7</f>
        <v>21.013489340808988</v>
      </c>
      <c r="K299" s="49">
        <f>PlanGrid[[#This Row],[kWh/yr]]/'Schedule-Building Info'!$B$6</f>
        <v>3.2412965186074429E-3</v>
      </c>
      <c r="L299" s="50">
        <f>CONVERT(PlanGrid[[#This Row],[kWh/yr]],"Wh","BTU")</f>
        <v>672.53311588951726</v>
      </c>
      <c r="M299" s="38">
        <f>PlanGrid[[#This Row],[kBtu/yr]]/'Schedule-Building Info'!$B$6</f>
        <v>1.1059762796453111E-2</v>
      </c>
      <c r="N299" t="s">
        <v>1090</v>
      </c>
      <c r="O299">
        <v>0</v>
      </c>
      <c r="P299" t="str">
        <f>VLOOKUP(PlanGrid[[#This Row],[Title]],'Spec Wattages'!$A$1:$C$973,3,FALSE)</f>
        <v>Lighting</v>
      </c>
      <c r="Q299" t="s">
        <v>727</v>
      </c>
      <c r="R299" t="s">
        <v>727</v>
      </c>
      <c r="S299" t="s">
        <v>51</v>
      </c>
    </row>
    <row r="300" spans="1:19" x14ac:dyDescent="0.25">
      <c r="A300">
        <v>808</v>
      </c>
      <c r="B300" t="s">
        <v>22</v>
      </c>
      <c r="C300" t="s">
        <v>466</v>
      </c>
      <c r="D300" t="s">
        <v>495</v>
      </c>
      <c r="E300" s="50">
        <v>36</v>
      </c>
      <c r="F300" s="38">
        <v>1</v>
      </c>
      <c r="G300" s="39">
        <v>1</v>
      </c>
      <c r="H300" s="50">
        <f>PlanGrid[[#This Row],[Spec Wattage]]*PlanGrid[[#This Row],[Equipment Count]]</f>
        <v>36</v>
      </c>
      <c r="I300" s="50">
        <f>((PlanGrid[[#This Row],[Demand Watt]]*PlanGrid[[#This Row],[Utilization %]]*'Schedule-Building Info'!$N$16)/1000)</f>
        <v>197.1</v>
      </c>
      <c r="J300" s="57">
        <f>PlanGrid[[#This Row],[kWh/yr]]*' Elec Utility (kWh)'!$M$7</f>
        <v>21.013489340808988</v>
      </c>
      <c r="K300" s="49">
        <f>PlanGrid[[#This Row],[kWh/yr]]/'Schedule-Building Info'!$B$6</f>
        <v>3.2412965186074429E-3</v>
      </c>
      <c r="L300" s="50">
        <f>CONVERT(PlanGrid[[#This Row],[kWh/yr]],"Wh","BTU")</f>
        <v>672.53311588951726</v>
      </c>
      <c r="M300" s="38">
        <f>PlanGrid[[#This Row],[kBtu/yr]]/'Schedule-Building Info'!$B$6</f>
        <v>1.1059762796453111E-2</v>
      </c>
      <c r="N300" t="s">
        <v>1090</v>
      </c>
      <c r="O300">
        <v>0</v>
      </c>
      <c r="P300" t="str">
        <f>VLOOKUP(PlanGrid[[#This Row],[Title]],'Spec Wattages'!$A$1:$C$973,3,FALSE)</f>
        <v>Lighting</v>
      </c>
      <c r="Q300" t="s">
        <v>727</v>
      </c>
      <c r="R300" t="s">
        <v>728</v>
      </c>
      <c r="S300" t="s">
        <v>51</v>
      </c>
    </row>
    <row r="301" spans="1:19" x14ac:dyDescent="0.25">
      <c r="A301">
        <v>809</v>
      </c>
      <c r="B301" t="s">
        <v>22</v>
      </c>
      <c r="C301" t="s">
        <v>466</v>
      </c>
      <c r="D301" t="s">
        <v>495</v>
      </c>
      <c r="E301" s="50">
        <v>36</v>
      </c>
      <c r="F301" s="38">
        <v>1</v>
      </c>
      <c r="G301" s="39">
        <v>1</v>
      </c>
      <c r="H301" s="50">
        <f>PlanGrid[[#This Row],[Spec Wattage]]*PlanGrid[[#This Row],[Equipment Count]]</f>
        <v>36</v>
      </c>
      <c r="I301" s="50">
        <f>((PlanGrid[[#This Row],[Demand Watt]]*PlanGrid[[#This Row],[Utilization %]]*'Schedule-Building Info'!$N$16)/1000)</f>
        <v>197.1</v>
      </c>
      <c r="J301" s="57">
        <f>PlanGrid[[#This Row],[kWh/yr]]*' Elec Utility (kWh)'!$M$7</f>
        <v>21.013489340808988</v>
      </c>
      <c r="K301" s="49">
        <f>PlanGrid[[#This Row],[kWh/yr]]/'Schedule-Building Info'!$B$6</f>
        <v>3.2412965186074429E-3</v>
      </c>
      <c r="L301" s="50">
        <f>CONVERT(PlanGrid[[#This Row],[kWh/yr]],"Wh","BTU")</f>
        <v>672.53311588951726</v>
      </c>
      <c r="M301" s="38">
        <f>PlanGrid[[#This Row],[kBtu/yr]]/'Schedule-Building Info'!$B$6</f>
        <v>1.1059762796453111E-2</v>
      </c>
      <c r="N301" t="s">
        <v>1090</v>
      </c>
      <c r="O301">
        <v>0</v>
      </c>
      <c r="P301" t="str">
        <f>VLOOKUP(PlanGrid[[#This Row],[Title]],'Spec Wattages'!$A$1:$C$973,3,FALSE)</f>
        <v>Lighting</v>
      </c>
      <c r="Q301" t="s">
        <v>728</v>
      </c>
      <c r="R301" t="s">
        <v>728</v>
      </c>
      <c r="S301" t="s">
        <v>51</v>
      </c>
    </row>
    <row r="302" spans="1:19" x14ac:dyDescent="0.25">
      <c r="A302">
        <v>811</v>
      </c>
      <c r="B302" t="s">
        <v>22</v>
      </c>
      <c r="C302" t="s">
        <v>466</v>
      </c>
      <c r="D302" t="s">
        <v>495</v>
      </c>
      <c r="E302" s="50">
        <v>36</v>
      </c>
      <c r="F302" s="38">
        <v>1</v>
      </c>
      <c r="G302" s="39">
        <v>1</v>
      </c>
      <c r="H302" s="50">
        <f>PlanGrid[[#This Row],[Spec Wattage]]*PlanGrid[[#This Row],[Equipment Count]]</f>
        <v>36</v>
      </c>
      <c r="I302" s="50">
        <f>((PlanGrid[[#This Row],[Demand Watt]]*PlanGrid[[#This Row],[Utilization %]]*'Schedule-Building Info'!$N$16)/1000)</f>
        <v>197.1</v>
      </c>
      <c r="J302" s="57">
        <f>PlanGrid[[#This Row],[kWh/yr]]*' Elec Utility (kWh)'!$M$7</f>
        <v>21.013489340808988</v>
      </c>
      <c r="K302" s="49">
        <f>PlanGrid[[#This Row],[kWh/yr]]/'Schedule-Building Info'!$B$6</f>
        <v>3.2412965186074429E-3</v>
      </c>
      <c r="L302" s="50">
        <f>CONVERT(PlanGrid[[#This Row],[kWh/yr]],"Wh","BTU")</f>
        <v>672.53311588951726</v>
      </c>
      <c r="M302" s="38">
        <f>PlanGrid[[#This Row],[kBtu/yr]]/'Schedule-Building Info'!$B$6</f>
        <v>1.1059762796453111E-2</v>
      </c>
      <c r="N302" t="s">
        <v>1090</v>
      </c>
      <c r="O302">
        <v>0</v>
      </c>
      <c r="P302" t="str">
        <f>VLOOKUP(PlanGrid[[#This Row],[Title]],'Spec Wattages'!$A$1:$C$973,3,FALSE)</f>
        <v>Lighting</v>
      </c>
      <c r="Q302" t="s">
        <v>728</v>
      </c>
      <c r="R302" t="s">
        <v>830</v>
      </c>
      <c r="S302" t="s">
        <v>51</v>
      </c>
    </row>
    <row r="303" spans="1:19" x14ac:dyDescent="0.25">
      <c r="A303">
        <v>812</v>
      </c>
      <c r="B303" t="s">
        <v>22</v>
      </c>
      <c r="C303" t="s">
        <v>466</v>
      </c>
      <c r="D303" t="s">
        <v>495</v>
      </c>
      <c r="E303" s="50">
        <v>36</v>
      </c>
      <c r="F303" s="38">
        <v>1</v>
      </c>
      <c r="G303" s="39">
        <v>1</v>
      </c>
      <c r="H303" s="50">
        <f>PlanGrid[[#This Row],[Spec Wattage]]*PlanGrid[[#This Row],[Equipment Count]]</f>
        <v>36</v>
      </c>
      <c r="I303" s="50">
        <f>((PlanGrid[[#This Row],[Demand Watt]]*PlanGrid[[#This Row],[Utilization %]]*'Schedule-Building Info'!$N$16)/1000)</f>
        <v>197.1</v>
      </c>
      <c r="J303" s="57">
        <f>PlanGrid[[#This Row],[kWh/yr]]*' Elec Utility (kWh)'!$M$7</f>
        <v>21.013489340808988</v>
      </c>
      <c r="K303" s="49">
        <f>PlanGrid[[#This Row],[kWh/yr]]/'Schedule-Building Info'!$B$6</f>
        <v>3.2412965186074429E-3</v>
      </c>
      <c r="L303" s="50">
        <f>CONVERT(PlanGrid[[#This Row],[kWh/yr]],"Wh","BTU")</f>
        <v>672.53311588951726</v>
      </c>
      <c r="M303" s="38">
        <f>PlanGrid[[#This Row],[kBtu/yr]]/'Schedule-Building Info'!$B$6</f>
        <v>1.1059762796453111E-2</v>
      </c>
      <c r="N303" t="s">
        <v>1090</v>
      </c>
      <c r="O303">
        <v>0</v>
      </c>
      <c r="P303" t="str">
        <f>VLOOKUP(PlanGrid[[#This Row],[Title]],'Spec Wattages'!$A$1:$C$973,3,FALSE)</f>
        <v>Lighting</v>
      </c>
      <c r="Q303" t="s">
        <v>830</v>
      </c>
      <c r="R303" t="s">
        <v>830</v>
      </c>
      <c r="S303" t="s">
        <v>51</v>
      </c>
    </row>
    <row r="304" spans="1:19" x14ac:dyDescent="0.25">
      <c r="A304">
        <v>814</v>
      </c>
      <c r="B304" t="s">
        <v>22</v>
      </c>
      <c r="C304" t="s">
        <v>466</v>
      </c>
      <c r="D304" t="s">
        <v>495</v>
      </c>
      <c r="E304" s="50">
        <v>36</v>
      </c>
      <c r="F304" s="38">
        <v>1</v>
      </c>
      <c r="G304" s="39">
        <v>1</v>
      </c>
      <c r="H304" s="50">
        <f>PlanGrid[[#This Row],[Spec Wattage]]*PlanGrid[[#This Row],[Equipment Count]]</f>
        <v>36</v>
      </c>
      <c r="I304" s="50">
        <f>((PlanGrid[[#This Row],[Demand Watt]]*PlanGrid[[#This Row],[Utilization %]]*'Schedule-Building Info'!$N$16)/1000)</f>
        <v>197.1</v>
      </c>
      <c r="J304" s="57">
        <f>PlanGrid[[#This Row],[kWh/yr]]*' Elec Utility (kWh)'!$M$7</f>
        <v>21.013489340808988</v>
      </c>
      <c r="K304" s="49">
        <f>PlanGrid[[#This Row],[kWh/yr]]/'Schedule-Building Info'!$B$6</f>
        <v>3.2412965186074429E-3</v>
      </c>
      <c r="L304" s="50">
        <f>CONVERT(PlanGrid[[#This Row],[kWh/yr]],"Wh","BTU")</f>
        <v>672.53311588951726</v>
      </c>
      <c r="M304" s="38">
        <f>PlanGrid[[#This Row],[kBtu/yr]]/'Schedule-Building Info'!$B$6</f>
        <v>1.1059762796453111E-2</v>
      </c>
      <c r="N304" t="s">
        <v>1090</v>
      </c>
      <c r="O304">
        <v>0</v>
      </c>
      <c r="P304" t="str">
        <f>VLOOKUP(PlanGrid[[#This Row],[Title]],'Spec Wattages'!$A$1:$C$973,3,FALSE)</f>
        <v>Lighting</v>
      </c>
      <c r="Q304" t="s">
        <v>830</v>
      </c>
      <c r="R304" t="s">
        <v>830</v>
      </c>
      <c r="S304" t="s">
        <v>51</v>
      </c>
    </row>
    <row r="305" spans="1:19" x14ac:dyDescent="0.25">
      <c r="A305">
        <v>819</v>
      </c>
      <c r="B305" t="s">
        <v>22</v>
      </c>
      <c r="C305" t="s">
        <v>466</v>
      </c>
      <c r="D305" t="s">
        <v>495</v>
      </c>
      <c r="E305" s="50">
        <v>36</v>
      </c>
      <c r="F305" s="38">
        <v>1</v>
      </c>
      <c r="G305" s="39">
        <v>1</v>
      </c>
      <c r="H305" s="50">
        <f>PlanGrid[[#This Row],[Spec Wattage]]*PlanGrid[[#This Row],[Equipment Count]]</f>
        <v>36</v>
      </c>
      <c r="I305" s="50">
        <f>((PlanGrid[[#This Row],[Demand Watt]]*PlanGrid[[#This Row],[Utilization %]]*'Schedule-Building Info'!$N$16)/1000)</f>
        <v>197.1</v>
      </c>
      <c r="J305" s="57">
        <f>PlanGrid[[#This Row],[kWh/yr]]*' Elec Utility (kWh)'!$M$7</f>
        <v>21.013489340808988</v>
      </c>
      <c r="K305" s="49">
        <f>PlanGrid[[#This Row],[kWh/yr]]/'Schedule-Building Info'!$B$6</f>
        <v>3.2412965186074429E-3</v>
      </c>
      <c r="L305" s="50">
        <f>CONVERT(PlanGrid[[#This Row],[kWh/yr]],"Wh","BTU")</f>
        <v>672.53311588951726</v>
      </c>
      <c r="M305" s="38">
        <f>PlanGrid[[#This Row],[kBtu/yr]]/'Schedule-Building Info'!$B$6</f>
        <v>1.1059762796453111E-2</v>
      </c>
      <c r="N305" t="s">
        <v>1090</v>
      </c>
      <c r="O305">
        <v>0</v>
      </c>
      <c r="P305" t="str">
        <f>VLOOKUP(PlanGrid[[#This Row],[Title]],'Spec Wattages'!$A$1:$C$973,3,FALSE)</f>
        <v>Lighting</v>
      </c>
      <c r="Q305" t="s">
        <v>729</v>
      </c>
      <c r="R305" t="s">
        <v>729</v>
      </c>
      <c r="S305" t="s">
        <v>51</v>
      </c>
    </row>
    <row r="306" spans="1:19" x14ac:dyDescent="0.25">
      <c r="A306">
        <v>820</v>
      </c>
      <c r="B306" t="s">
        <v>22</v>
      </c>
      <c r="C306" t="s">
        <v>466</v>
      </c>
      <c r="D306" t="s">
        <v>495</v>
      </c>
      <c r="E306" s="50">
        <v>36</v>
      </c>
      <c r="F306" s="38">
        <v>1</v>
      </c>
      <c r="G306" s="39">
        <v>1</v>
      </c>
      <c r="H306" s="50">
        <f>PlanGrid[[#This Row],[Spec Wattage]]*PlanGrid[[#This Row],[Equipment Count]]</f>
        <v>36</v>
      </c>
      <c r="I306" s="50">
        <f>((PlanGrid[[#This Row],[Demand Watt]]*PlanGrid[[#This Row],[Utilization %]]*'Schedule-Building Info'!$N$16)/1000)</f>
        <v>197.1</v>
      </c>
      <c r="J306" s="57">
        <f>PlanGrid[[#This Row],[kWh/yr]]*' Elec Utility (kWh)'!$M$7</f>
        <v>21.013489340808988</v>
      </c>
      <c r="K306" s="49">
        <f>PlanGrid[[#This Row],[kWh/yr]]/'Schedule-Building Info'!$B$6</f>
        <v>3.2412965186074429E-3</v>
      </c>
      <c r="L306" s="50">
        <f>CONVERT(PlanGrid[[#This Row],[kWh/yr]],"Wh","BTU")</f>
        <v>672.53311588951726</v>
      </c>
      <c r="M306" s="38">
        <f>PlanGrid[[#This Row],[kBtu/yr]]/'Schedule-Building Info'!$B$6</f>
        <v>1.1059762796453111E-2</v>
      </c>
      <c r="N306" t="s">
        <v>1090</v>
      </c>
      <c r="O306">
        <v>0</v>
      </c>
      <c r="P306" t="str">
        <f>VLOOKUP(PlanGrid[[#This Row],[Title]],'Spec Wattages'!$A$1:$C$973,3,FALSE)</f>
        <v>Lighting</v>
      </c>
      <c r="Q306" t="s">
        <v>731</v>
      </c>
      <c r="R306" t="s">
        <v>731</v>
      </c>
      <c r="S306" t="s">
        <v>51</v>
      </c>
    </row>
    <row r="307" spans="1:19" x14ac:dyDescent="0.25">
      <c r="A307">
        <v>898</v>
      </c>
      <c r="B307" t="s">
        <v>43</v>
      </c>
      <c r="C307" t="s">
        <v>44</v>
      </c>
      <c r="D307" t="s">
        <v>542</v>
      </c>
      <c r="E307" s="50">
        <v>36</v>
      </c>
      <c r="F307" s="38">
        <v>1</v>
      </c>
      <c r="G307" s="39">
        <v>1</v>
      </c>
      <c r="H307" s="58">
        <f>PlanGrid[[#This Row],[Spec Wattage]]*PlanGrid[[#This Row],[Equipment Count]]</f>
        <v>36</v>
      </c>
      <c r="I307" s="50">
        <f>((PlanGrid[[#This Row],[Demand Watt]]*PlanGrid[[#This Row],[Utilization %]]*'Schedule-Building Info'!$N$16)/1000)</f>
        <v>197.1</v>
      </c>
      <c r="J307" s="57">
        <f>PlanGrid[[#This Row],[kWh/yr]]*' Elec Utility (kWh)'!$M$7</f>
        <v>21.013489340808988</v>
      </c>
      <c r="K307" s="38">
        <f>PlanGrid[[#This Row],[kWh/yr]]/'Schedule-Building Info'!$B$6</f>
        <v>3.2412965186074429E-3</v>
      </c>
      <c r="L307" s="50">
        <f>CONVERT(PlanGrid[[#This Row],[kWh/yr]],"Wh","BTU")</f>
        <v>672.53311588951726</v>
      </c>
      <c r="M307" s="38">
        <f>PlanGrid[[#This Row],[kBtu/yr]]/'Schedule-Building Info'!$B$6</f>
        <v>1.1059762796453111E-2</v>
      </c>
      <c r="N307" t="s">
        <v>1089</v>
      </c>
      <c r="O307">
        <v>0</v>
      </c>
      <c r="P307" t="str">
        <f>VLOOKUP(PlanGrid[[#This Row],[Title]],'Spec Wattages'!$A$1:$C$973,3,FALSE)</f>
        <v>Lighting</v>
      </c>
      <c r="Q307" t="s">
        <v>689</v>
      </c>
      <c r="R307" t="s">
        <v>689</v>
      </c>
      <c r="S307" t="s">
        <v>51</v>
      </c>
    </row>
    <row r="308" spans="1:19" x14ac:dyDescent="0.25">
      <c r="A308">
        <v>1027</v>
      </c>
      <c r="B308" t="s">
        <v>22</v>
      </c>
      <c r="C308" t="s">
        <v>466</v>
      </c>
      <c r="E308" s="50">
        <v>36</v>
      </c>
      <c r="F308" s="38">
        <v>1</v>
      </c>
      <c r="G308" s="39">
        <v>1</v>
      </c>
      <c r="H308" s="50">
        <f>PlanGrid[[#This Row],[Spec Wattage]]*PlanGrid[[#This Row],[Equipment Count]]</f>
        <v>36</v>
      </c>
      <c r="I308" s="50">
        <f>((PlanGrid[[#This Row],[Demand Watt]]*PlanGrid[[#This Row],[Utilization %]]*'Schedule-Building Info'!$N$16)/1000)</f>
        <v>197.1</v>
      </c>
      <c r="J308" s="57">
        <f>PlanGrid[[#This Row],[kWh/yr]]*' Elec Utility (kWh)'!$M$7</f>
        <v>21.013489340808988</v>
      </c>
      <c r="K308" s="49">
        <f>PlanGrid[[#This Row],[kWh/yr]]/'Schedule-Building Info'!$B$6</f>
        <v>3.2412965186074429E-3</v>
      </c>
      <c r="L308" s="50">
        <f>CONVERT(PlanGrid[[#This Row],[kWh/yr]],"Wh","BTU")</f>
        <v>672.53311588951726</v>
      </c>
      <c r="M308" s="38">
        <f>PlanGrid[[#This Row],[kBtu/yr]]/'Schedule-Building Info'!$B$6</f>
        <v>1.1059762796453111E-2</v>
      </c>
      <c r="N308" t="s">
        <v>1089</v>
      </c>
      <c r="O308">
        <v>0</v>
      </c>
      <c r="P308" t="str">
        <f>VLOOKUP(PlanGrid[[#This Row],[Title]],'Spec Wattages'!$A$1:$C$973,3,FALSE)</f>
        <v>Lighting</v>
      </c>
      <c r="Q308" t="s">
        <v>702</v>
      </c>
      <c r="R308" t="s">
        <v>702</v>
      </c>
      <c r="S308" t="s">
        <v>11</v>
      </c>
    </row>
    <row r="309" spans="1:19" x14ac:dyDescent="0.25">
      <c r="A309">
        <v>6</v>
      </c>
      <c r="B309" t="s">
        <v>22</v>
      </c>
      <c r="C309" t="s">
        <v>466</v>
      </c>
      <c r="D309" t="s">
        <v>499</v>
      </c>
      <c r="E309" s="50">
        <v>9</v>
      </c>
      <c r="F309" s="38">
        <v>5</v>
      </c>
      <c r="G309" s="39">
        <v>1</v>
      </c>
      <c r="H309" s="50">
        <f>PlanGrid[[#This Row],[Spec Wattage]]*PlanGrid[[#This Row],[Equipment Count]]</f>
        <v>45</v>
      </c>
      <c r="I309" s="50">
        <f>((PlanGrid[[#This Row],[Demand Watt]]*PlanGrid[[#This Row],[Utilization %]]*'Schedule-Building Info'!$N$16)/1000)</f>
        <v>246.375</v>
      </c>
      <c r="J309" s="57">
        <f>PlanGrid[[#This Row],[kWh/yr]]*' Elec Utility (kWh)'!$M$7</f>
        <v>26.266861676011235</v>
      </c>
      <c r="K309" s="49">
        <f>PlanGrid[[#This Row],[kWh/yr]]/'Schedule-Building Info'!$B$6</f>
        <v>4.0516206482593036E-3</v>
      </c>
      <c r="L309" s="50">
        <f>CONVERT(PlanGrid[[#This Row],[kWh/yr]],"Wh","BTU")</f>
        <v>840.66639486189661</v>
      </c>
      <c r="M309" s="38">
        <f>PlanGrid[[#This Row],[kBtu/yr]]/'Schedule-Building Info'!$B$6</f>
        <v>1.3824703495566391E-2</v>
      </c>
      <c r="N309" t="s">
        <v>1091</v>
      </c>
      <c r="O309">
        <v>0</v>
      </c>
      <c r="P309" t="str">
        <f>VLOOKUP(PlanGrid[[#This Row],[Title]],'Spec Wattages'!$A$1:$C$973,3,FALSE)</f>
        <v>Lighting</v>
      </c>
      <c r="Q309" t="s">
        <v>839</v>
      </c>
      <c r="R309" t="s">
        <v>1054</v>
      </c>
      <c r="S309" t="s">
        <v>51</v>
      </c>
    </row>
    <row r="310" spans="1:19" x14ac:dyDescent="0.25">
      <c r="A310">
        <v>1051</v>
      </c>
      <c r="B310" t="s">
        <v>22</v>
      </c>
      <c r="C310" t="s">
        <v>466</v>
      </c>
      <c r="D310" t="s">
        <v>36</v>
      </c>
      <c r="E310" s="50">
        <v>24</v>
      </c>
      <c r="F310" s="38">
        <v>2</v>
      </c>
      <c r="G310" s="39">
        <v>1</v>
      </c>
      <c r="H310" s="50">
        <f>PlanGrid[[#This Row],[Spec Wattage]]*PlanGrid[[#This Row],[Equipment Count]]</f>
        <v>48</v>
      </c>
      <c r="I310" s="50">
        <f>((PlanGrid[[#This Row],[Demand Watt]]*PlanGrid[[#This Row],[Utilization %]]*'Schedule-Building Info'!$N$16)/1000)</f>
        <v>262.8</v>
      </c>
      <c r="J310" s="57">
        <f>PlanGrid[[#This Row],[kWh/yr]]*' Elec Utility (kWh)'!$M$7</f>
        <v>28.017985787745317</v>
      </c>
      <c r="K310" s="49">
        <f>PlanGrid[[#This Row],[kWh/yr]]/'Schedule-Building Info'!$B$6</f>
        <v>4.3217286914765908E-3</v>
      </c>
      <c r="L310" s="50">
        <f>CONVERT(PlanGrid[[#This Row],[kWh/yr]],"Wh","BTU")</f>
        <v>896.71082118602305</v>
      </c>
      <c r="M310" s="38">
        <f>PlanGrid[[#This Row],[kBtu/yr]]/'Schedule-Building Info'!$B$6</f>
        <v>1.4746350395270816E-2</v>
      </c>
      <c r="N310" t="s">
        <v>1089</v>
      </c>
      <c r="O310">
        <v>0</v>
      </c>
      <c r="P310" t="str">
        <f>VLOOKUP(PlanGrid[[#This Row],[Title]],'Spec Wattages'!$A$1:$C$973,3,FALSE)</f>
        <v>Lighting</v>
      </c>
      <c r="Q310" t="s">
        <v>705</v>
      </c>
      <c r="R310" t="s">
        <v>705</v>
      </c>
      <c r="S310" t="s">
        <v>11</v>
      </c>
    </row>
    <row r="311" spans="1:19" x14ac:dyDescent="0.25">
      <c r="A311">
        <v>1095</v>
      </c>
      <c r="B311" t="s">
        <v>22</v>
      </c>
      <c r="C311" t="s">
        <v>466</v>
      </c>
      <c r="D311" t="s">
        <v>36</v>
      </c>
      <c r="E311" s="50">
        <v>24</v>
      </c>
      <c r="F311" s="38">
        <v>2</v>
      </c>
      <c r="G311" s="39">
        <v>1</v>
      </c>
      <c r="H311" s="50">
        <f>PlanGrid[[#This Row],[Spec Wattage]]*PlanGrid[[#This Row],[Equipment Count]]</f>
        <v>48</v>
      </c>
      <c r="I311" s="50">
        <f>((PlanGrid[[#This Row],[Demand Watt]]*PlanGrid[[#This Row],[Utilization %]]*'Schedule-Building Info'!$N$16)/1000)</f>
        <v>262.8</v>
      </c>
      <c r="J311" s="57">
        <f>PlanGrid[[#This Row],[kWh/yr]]*' Elec Utility (kWh)'!$M$7</f>
        <v>28.017985787745317</v>
      </c>
      <c r="K311" s="49">
        <f>PlanGrid[[#This Row],[kWh/yr]]/'Schedule-Building Info'!$B$6</f>
        <v>4.3217286914765908E-3</v>
      </c>
      <c r="L311" s="50">
        <f>CONVERT(PlanGrid[[#This Row],[kWh/yr]],"Wh","BTU")</f>
        <v>896.71082118602305</v>
      </c>
      <c r="M311" s="38">
        <f>PlanGrid[[#This Row],[kBtu/yr]]/'Schedule-Building Info'!$B$6</f>
        <v>1.4746350395270816E-2</v>
      </c>
      <c r="N311" t="s">
        <v>1089</v>
      </c>
      <c r="O311">
        <v>0</v>
      </c>
      <c r="P311" t="str">
        <f>VLOOKUP(PlanGrid[[#This Row],[Title]],'Spec Wattages'!$A$1:$C$973,3,FALSE)</f>
        <v>Lighting</v>
      </c>
      <c r="Q311" t="s">
        <v>803</v>
      </c>
      <c r="R311" t="s">
        <v>1021</v>
      </c>
      <c r="S311" t="s">
        <v>11</v>
      </c>
    </row>
    <row r="312" spans="1:19" x14ac:dyDescent="0.25">
      <c r="A312">
        <v>750</v>
      </c>
      <c r="B312" t="s">
        <v>22</v>
      </c>
      <c r="C312" t="s">
        <v>466</v>
      </c>
      <c r="D312" t="s">
        <v>36</v>
      </c>
      <c r="E312" s="50">
        <v>24</v>
      </c>
      <c r="F312" s="38">
        <v>2</v>
      </c>
      <c r="G312" s="39">
        <v>1</v>
      </c>
      <c r="H312" s="50">
        <f>PlanGrid[[#This Row],[Spec Wattage]]*PlanGrid[[#This Row],[Equipment Count]]</f>
        <v>48</v>
      </c>
      <c r="I312" s="50">
        <f>((PlanGrid[[#This Row],[Demand Watt]]*PlanGrid[[#This Row],[Utilization %]]*'Schedule-Building Info'!$N$16)/1000)</f>
        <v>262.8</v>
      </c>
      <c r="J312" s="57">
        <f>PlanGrid[[#This Row],[kWh/yr]]*' Elec Utility (kWh)'!$M$7</f>
        <v>28.017985787745317</v>
      </c>
      <c r="K312" s="49">
        <f>PlanGrid[[#This Row],[kWh/yr]]/'Schedule-Building Info'!$B$6</f>
        <v>4.3217286914765908E-3</v>
      </c>
      <c r="L312" s="50">
        <f>CONVERT(PlanGrid[[#This Row],[kWh/yr]],"Wh","BTU")</f>
        <v>896.71082118602305</v>
      </c>
      <c r="M312" s="38">
        <f>PlanGrid[[#This Row],[kBtu/yr]]/'Schedule-Building Info'!$B$6</f>
        <v>1.4746350395270816E-2</v>
      </c>
      <c r="N312" t="s">
        <v>1090</v>
      </c>
      <c r="O312">
        <v>0</v>
      </c>
      <c r="P312" t="str">
        <f>VLOOKUP(PlanGrid[[#This Row],[Title]],'Spec Wattages'!$A$1:$C$973,3,FALSE)</f>
        <v>Lighting</v>
      </c>
      <c r="Q312" t="s">
        <v>824</v>
      </c>
      <c r="R312" t="s">
        <v>726</v>
      </c>
      <c r="S312" t="s">
        <v>11</v>
      </c>
    </row>
    <row r="313" spans="1:19" x14ac:dyDescent="0.25">
      <c r="A313">
        <v>65</v>
      </c>
      <c r="B313" t="s">
        <v>22</v>
      </c>
      <c r="C313" t="s">
        <v>466</v>
      </c>
      <c r="D313" t="s">
        <v>502</v>
      </c>
      <c r="E313" s="50">
        <v>24</v>
      </c>
      <c r="F313" s="38">
        <v>2</v>
      </c>
      <c r="G313" s="39">
        <v>1</v>
      </c>
      <c r="H313" s="58">
        <f>PlanGrid[[#This Row],[Spec Wattage]]*PlanGrid[[#This Row],[Equipment Count]]</f>
        <v>48</v>
      </c>
      <c r="I313" s="50">
        <f>((PlanGrid[[#This Row],[Demand Watt]]*PlanGrid[[#This Row],[Utilization %]]*'Schedule-Building Info'!$N$16)/1000)</f>
        <v>262.8</v>
      </c>
      <c r="J313" s="57">
        <f>PlanGrid[[#This Row],[kWh/yr]]*' Elec Utility (kWh)'!$M$7</f>
        <v>28.017985787745317</v>
      </c>
      <c r="K313" s="38">
        <f>PlanGrid[[#This Row],[kWh/yr]]/'Schedule-Building Info'!$B$6</f>
        <v>4.3217286914765908E-3</v>
      </c>
      <c r="L313" s="50">
        <f>CONVERT(PlanGrid[[#This Row],[kWh/yr]],"Wh","BTU")</f>
        <v>896.71082118602305</v>
      </c>
      <c r="M313" s="38">
        <f>PlanGrid[[#This Row],[kBtu/yr]]/'Schedule-Building Info'!$B$6</f>
        <v>1.4746350395270816E-2</v>
      </c>
      <c r="N313" t="s">
        <v>1092</v>
      </c>
      <c r="O313">
        <v>0</v>
      </c>
      <c r="P313" t="str">
        <f>VLOOKUP(PlanGrid[[#This Row],[Title]],'Spec Wattages'!$A$1:$C$973,3,FALSE)</f>
        <v>Lighting</v>
      </c>
      <c r="Q313" t="s">
        <v>848</v>
      </c>
      <c r="R313" t="s">
        <v>932</v>
      </c>
      <c r="S313" t="s">
        <v>11</v>
      </c>
    </row>
    <row r="314" spans="1:19" x14ac:dyDescent="0.25">
      <c r="A314">
        <v>107</v>
      </c>
      <c r="B314" t="s">
        <v>22</v>
      </c>
      <c r="C314" t="s">
        <v>466</v>
      </c>
      <c r="D314" t="s">
        <v>502</v>
      </c>
      <c r="E314" s="50">
        <v>24</v>
      </c>
      <c r="F314" s="38">
        <v>2</v>
      </c>
      <c r="G314" s="39">
        <v>1</v>
      </c>
      <c r="H314" s="58">
        <f>PlanGrid[[#This Row],[Spec Wattage]]*PlanGrid[[#This Row],[Equipment Count]]</f>
        <v>48</v>
      </c>
      <c r="I314" s="50">
        <f>((PlanGrid[[#This Row],[Demand Watt]]*PlanGrid[[#This Row],[Utilization %]]*'Schedule-Building Info'!$N$16)/1000)</f>
        <v>262.8</v>
      </c>
      <c r="J314" s="57">
        <f>PlanGrid[[#This Row],[kWh/yr]]*' Elec Utility (kWh)'!$M$7</f>
        <v>28.017985787745317</v>
      </c>
      <c r="K314" s="38">
        <f>PlanGrid[[#This Row],[kWh/yr]]/'Schedule-Building Info'!$B$6</f>
        <v>4.3217286914765908E-3</v>
      </c>
      <c r="L314" s="50">
        <f>CONVERT(PlanGrid[[#This Row],[kWh/yr]],"Wh","BTU")</f>
        <v>896.71082118602305</v>
      </c>
      <c r="M314" s="38">
        <f>PlanGrid[[#This Row],[kBtu/yr]]/'Schedule-Building Info'!$B$6</f>
        <v>1.4746350395270816E-2</v>
      </c>
      <c r="N314" t="s">
        <v>1092</v>
      </c>
      <c r="O314">
        <v>0</v>
      </c>
      <c r="P314" t="str">
        <f>VLOOKUP(PlanGrid[[#This Row],[Title]],'Spec Wattages'!$A$1:$C$973,3,FALSE)</f>
        <v>Lighting</v>
      </c>
      <c r="Q314" t="s">
        <v>746</v>
      </c>
      <c r="R314" t="s">
        <v>853</v>
      </c>
      <c r="S314" t="s">
        <v>11</v>
      </c>
    </row>
    <row r="315" spans="1:19" x14ac:dyDescent="0.25">
      <c r="A315">
        <v>1048</v>
      </c>
      <c r="B315" t="s">
        <v>15</v>
      </c>
      <c r="C315" t="s">
        <v>50</v>
      </c>
      <c r="D315" t="s">
        <v>590</v>
      </c>
      <c r="E315" s="50">
        <v>37285</v>
      </c>
      <c r="F315" s="38">
        <v>1</v>
      </c>
      <c r="G315" s="39">
        <v>0.5</v>
      </c>
      <c r="H315" s="58">
        <f>PlanGrid[[#This Row],[Spec Wattage]]*PlanGrid[[#This Row],[Equipment Count]]</f>
        <v>37285</v>
      </c>
      <c r="I315" s="50">
        <f>((PlanGrid[[#This Row],[Demand Watt]]*PlanGrid[[#This Row],[Utilization %]]*'Schedule-Building Info'!$N$16)/1000)</f>
        <v>102067.6875</v>
      </c>
      <c r="J315" s="57">
        <f>PlanGrid[[#This Row],[kWh/yr]]*' Elec Utility (kWh)'!$M$7</f>
        <v>10881.77708433421</v>
      </c>
      <c r="K315" s="38">
        <f>PlanGrid[[#This Row],[kWh/yr]]/'Schedule-Building Info'!$B$6</f>
        <v>1.6784963985594237</v>
      </c>
      <c r="L315" s="50">
        <f>CONVERT(PlanGrid[[#This Row],[kWh/yr]],"Wh","BTU")</f>
        <v>348269.40591584239</v>
      </c>
      <c r="M315" s="38">
        <f>PlanGrid[[#This Row],[kBtu/yr]]/'Schedule-Building Info'!$B$6</f>
        <v>5.7272674425799206</v>
      </c>
      <c r="N315" t="s">
        <v>1089</v>
      </c>
      <c r="O315">
        <v>3</v>
      </c>
      <c r="P315" t="s">
        <v>1231</v>
      </c>
      <c r="Q315" t="s">
        <v>922</v>
      </c>
      <c r="R315" t="s">
        <v>991</v>
      </c>
      <c r="S315" t="s">
        <v>51</v>
      </c>
    </row>
    <row r="316" spans="1:19" x14ac:dyDescent="0.25">
      <c r="A316">
        <v>936</v>
      </c>
      <c r="B316" t="s">
        <v>597</v>
      </c>
      <c r="C316" t="s">
        <v>26</v>
      </c>
      <c r="E316" s="50">
        <f>VLOOKUP(PlanGrid[[#This Row],[Title]],'Spec Wattages'!$A$1:$C$973,2,FALSE)</f>
        <v>1200</v>
      </c>
      <c r="F316" s="38">
        <v>1</v>
      </c>
      <c r="G316" s="39">
        <v>0.05</v>
      </c>
      <c r="H316" s="58">
        <f>PlanGrid[[#This Row],[Spec Wattage]]*PlanGrid[[#This Row],[Equipment Count]]</f>
        <v>1200</v>
      </c>
      <c r="I316" s="50">
        <f>((PlanGrid[[#This Row],[Demand Watt]]*PlanGrid[[#This Row],[Utilization %]]*'Schedule-Building Info'!$N$16)/1000)</f>
        <v>328.5</v>
      </c>
      <c r="J316" s="57">
        <f>PlanGrid[[#This Row],[kWh/yr]]*' Elec Utility (kWh)'!$M$7</f>
        <v>35.022482234681647</v>
      </c>
      <c r="K316" s="38">
        <f>PlanGrid[[#This Row],[kWh/yr]]/'Schedule-Building Info'!$B$6</f>
        <v>5.4021608643457387E-3</v>
      </c>
      <c r="L316" s="50">
        <f>CONVERT(PlanGrid[[#This Row],[kWh/yr]],"Wh","BTU")</f>
        <v>1120.8885264825287</v>
      </c>
      <c r="M316" s="38">
        <f>PlanGrid[[#This Row],[kBtu/yr]]/'Schedule-Building Info'!$B$6</f>
        <v>1.843293799408852E-2</v>
      </c>
      <c r="N316" t="s">
        <v>1089</v>
      </c>
      <c r="O316">
        <v>0</v>
      </c>
      <c r="P316" t="str">
        <f>VLOOKUP(PlanGrid[[#This Row],[Title]],'Spec Wattages'!$A$1:$C$973,3,FALSE)</f>
        <v>Plug Load</v>
      </c>
      <c r="Q316" t="s">
        <v>724</v>
      </c>
      <c r="R316" t="s">
        <v>724</v>
      </c>
      <c r="S316" t="s">
        <v>11</v>
      </c>
    </row>
    <row r="317" spans="1:19" x14ac:dyDescent="0.25">
      <c r="A317">
        <v>1093</v>
      </c>
      <c r="B317" t="s">
        <v>597</v>
      </c>
      <c r="C317" t="s">
        <v>26</v>
      </c>
      <c r="E317" s="50">
        <f>VLOOKUP(PlanGrid[[#This Row],[Title]],'Spec Wattages'!$A$1:$C$973,2,FALSE)</f>
        <v>1200</v>
      </c>
      <c r="F317" s="38">
        <v>1</v>
      </c>
      <c r="G317" s="39">
        <v>0.05</v>
      </c>
      <c r="H317" s="58">
        <f>PlanGrid[[#This Row],[Spec Wattage]]*PlanGrid[[#This Row],[Equipment Count]]</f>
        <v>1200</v>
      </c>
      <c r="I317" s="50">
        <f>((PlanGrid[[#This Row],[Demand Watt]]*PlanGrid[[#This Row],[Utilization %]]*'Schedule-Building Info'!$N$16)/1000)</f>
        <v>328.5</v>
      </c>
      <c r="J317" s="57">
        <f>PlanGrid[[#This Row],[kWh/yr]]*' Elec Utility (kWh)'!$M$7</f>
        <v>35.022482234681647</v>
      </c>
      <c r="K317" s="38">
        <f>PlanGrid[[#This Row],[kWh/yr]]/'Schedule-Building Info'!$B$6</f>
        <v>5.4021608643457387E-3</v>
      </c>
      <c r="L317" s="50">
        <f>CONVERT(PlanGrid[[#This Row],[kWh/yr]],"Wh","BTU")</f>
        <v>1120.8885264825287</v>
      </c>
      <c r="M317" s="38">
        <f>PlanGrid[[#This Row],[kBtu/yr]]/'Schedule-Building Info'!$B$6</f>
        <v>1.843293799408852E-2</v>
      </c>
      <c r="N317" t="s">
        <v>1089</v>
      </c>
      <c r="O317">
        <v>1</v>
      </c>
      <c r="P317" t="str">
        <f>VLOOKUP(PlanGrid[[#This Row],[Title]],'Spec Wattages'!$A$1:$C$973,3,FALSE)</f>
        <v>Plug Load</v>
      </c>
      <c r="Q317" t="s">
        <v>801</v>
      </c>
      <c r="R317" t="s">
        <v>1016</v>
      </c>
      <c r="S317" t="s">
        <v>11</v>
      </c>
    </row>
    <row r="318" spans="1:19" x14ac:dyDescent="0.25">
      <c r="A318">
        <v>680</v>
      </c>
      <c r="B318" t="s">
        <v>597</v>
      </c>
      <c r="C318" t="s">
        <v>26</v>
      </c>
      <c r="E318" s="50">
        <f>VLOOKUP(PlanGrid[[#This Row],[Title]],'Spec Wattages'!$A$1:$C$973,2,FALSE)</f>
        <v>1200</v>
      </c>
      <c r="F318" s="38">
        <v>1</v>
      </c>
      <c r="G318" s="39">
        <v>0.05</v>
      </c>
      <c r="H318" s="58">
        <f>PlanGrid[[#This Row],[Spec Wattage]]*PlanGrid[[#This Row],[Equipment Count]]</f>
        <v>1200</v>
      </c>
      <c r="I318" s="50">
        <f>((PlanGrid[[#This Row],[Demand Watt]]*PlanGrid[[#This Row],[Utilization %]]*'Schedule-Building Info'!$N$16)/1000)</f>
        <v>328.5</v>
      </c>
      <c r="J318" s="57">
        <f>PlanGrid[[#This Row],[kWh/yr]]*' Elec Utility (kWh)'!$M$7</f>
        <v>35.022482234681647</v>
      </c>
      <c r="K318" s="38">
        <f>PlanGrid[[#This Row],[kWh/yr]]/'Schedule-Building Info'!$B$6</f>
        <v>5.4021608643457387E-3</v>
      </c>
      <c r="L318" s="50">
        <f>CONVERT(PlanGrid[[#This Row],[kWh/yr]],"Wh","BTU")</f>
        <v>1120.8885264825287</v>
      </c>
      <c r="M318" s="38">
        <f>PlanGrid[[#This Row],[kBtu/yr]]/'Schedule-Building Info'!$B$6</f>
        <v>1.843293799408852E-2</v>
      </c>
      <c r="N318" t="s">
        <v>1090</v>
      </c>
      <c r="O318">
        <v>0</v>
      </c>
      <c r="P318" t="str">
        <f>VLOOKUP(PlanGrid[[#This Row],[Title]],'Spec Wattages'!$A$1:$C$973,3,FALSE)</f>
        <v>Plug Load</v>
      </c>
      <c r="Q318" t="s">
        <v>808</v>
      </c>
      <c r="R318" t="s">
        <v>808</v>
      </c>
      <c r="S318" t="s">
        <v>51</v>
      </c>
    </row>
    <row r="319" spans="1:19" x14ac:dyDescent="0.25">
      <c r="A319">
        <v>709</v>
      </c>
      <c r="B319" t="s">
        <v>597</v>
      </c>
      <c r="C319" t="s">
        <v>26</v>
      </c>
      <c r="E319" s="50">
        <f>VLOOKUP(PlanGrid[[#This Row],[Title]],'Spec Wattages'!$A$1:$C$973,2,FALSE)</f>
        <v>1200</v>
      </c>
      <c r="F319" s="38">
        <v>1</v>
      </c>
      <c r="G319" s="39">
        <v>0.05</v>
      </c>
      <c r="H319" s="58">
        <f>PlanGrid[[#This Row],[Spec Wattage]]*PlanGrid[[#This Row],[Equipment Count]]</f>
        <v>1200</v>
      </c>
      <c r="I319" s="50">
        <f>((PlanGrid[[#This Row],[Demand Watt]]*PlanGrid[[#This Row],[Utilization %]]*'Schedule-Building Info'!$N$16)/1000)</f>
        <v>328.5</v>
      </c>
      <c r="J319" s="57">
        <f>PlanGrid[[#This Row],[kWh/yr]]*' Elec Utility (kWh)'!$M$7</f>
        <v>35.022482234681647</v>
      </c>
      <c r="K319" s="38">
        <f>PlanGrid[[#This Row],[kWh/yr]]/'Schedule-Building Info'!$B$6</f>
        <v>5.4021608643457387E-3</v>
      </c>
      <c r="L319" s="50">
        <f>CONVERT(PlanGrid[[#This Row],[kWh/yr]],"Wh","BTU")</f>
        <v>1120.8885264825287</v>
      </c>
      <c r="M319" s="38">
        <f>PlanGrid[[#This Row],[kBtu/yr]]/'Schedule-Building Info'!$B$6</f>
        <v>1.843293799408852E-2</v>
      </c>
      <c r="N319" t="s">
        <v>1090</v>
      </c>
      <c r="O319">
        <v>0</v>
      </c>
      <c r="P319" t="str">
        <f>VLOOKUP(PlanGrid[[#This Row],[Title]],'Spec Wattages'!$A$1:$C$973,3,FALSE)</f>
        <v>Plug Load</v>
      </c>
      <c r="Q319" t="s">
        <v>845</v>
      </c>
      <c r="R319" t="s">
        <v>845</v>
      </c>
      <c r="S319" t="s">
        <v>51</v>
      </c>
    </row>
    <row r="320" spans="1:19" x14ac:dyDescent="0.25">
      <c r="A320">
        <v>766</v>
      </c>
      <c r="B320" t="s">
        <v>597</v>
      </c>
      <c r="C320" t="s">
        <v>26</v>
      </c>
      <c r="E320" s="50">
        <f>VLOOKUP(PlanGrid[[#This Row],[Title]],'Spec Wattages'!$A$1:$C$973,2,FALSE)</f>
        <v>1200</v>
      </c>
      <c r="F320" s="38">
        <v>1</v>
      </c>
      <c r="G320" s="39">
        <v>0.05</v>
      </c>
      <c r="H320" s="58">
        <f>PlanGrid[[#This Row],[Spec Wattage]]*PlanGrid[[#This Row],[Equipment Count]]</f>
        <v>1200</v>
      </c>
      <c r="I320" s="50">
        <f>((PlanGrid[[#This Row],[Demand Watt]]*PlanGrid[[#This Row],[Utilization %]]*'Schedule-Building Info'!$N$16)/1000)</f>
        <v>328.5</v>
      </c>
      <c r="J320" s="57">
        <f>PlanGrid[[#This Row],[kWh/yr]]*' Elec Utility (kWh)'!$M$7</f>
        <v>35.022482234681647</v>
      </c>
      <c r="K320" s="38">
        <f>PlanGrid[[#This Row],[kWh/yr]]/'Schedule-Building Info'!$B$6</f>
        <v>5.4021608643457387E-3</v>
      </c>
      <c r="L320" s="50">
        <f>CONVERT(PlanGrid[[#This Row],[kWh/yr]],"Wh","BTU")</f>
        <v>1120.8885264825287</v>
      </c>
      <c r="M320" s="38">
        <f>PlanGrid[[#This Row],[kBtu/yr]]/'Schedule-Building Info'!$B$6</f>
        <v>1.843293799408852E-2</v>
      </c>
      <c r="N320" t="s">
        <v>1090</v>
      </c>
      <c r="O320">
        <v>0</v>
      </c>
      <c r="P320" t="str">
        <f>VLOOKUP(PlanGrid[[#This Row],[Title]],'Spec Wattages'!$A$1:$C$973,3,FALSE)</f>
        <v>Plug Load</v>
      </c>
      <c r="Q320" t="s">
        <v>779</v>
      </c>
      <c r="R320" t="s">
        <v>779</v>
      </c>
      <c r="S320" t="s">
        <v>51</v>
      </c>
    </row>
    <row r="321" spans="1:19" x14ac:dyDescent="0.25">
      <c r="A321">
        <v>768</v>
      </c>
      <c r="B321" t="s">
        <v>597</v>
      </c>
      <c r="C321" t="s">
        <v>26</v>
      </c>
      <c r="D321" t="s">
        <v>24</v>
      </c>
      <c r="E321" s="50">
        <f>VLOOKUP(PlanGrid[[#This Row],[Title]],'Spec Wattages'!$A$1:$C$973,2,FALSE)</f>
        <v>1200</v>
      </c>
      <c r="F321" s="38">
        <v>1</v>
      </c>
      <c r="G321" s="39">
        <v>0.05</v>
      </c>
      <c r="H321" s="58">
        <f>PlanGrid[[#This Row],[Spec Wattage]]*PlanGrid[[#This Row],[Equipment Count]]</f>
        <v>1200</v>
      </c>
      <c r="I321" s="50">
        <f>((PlanGrid[[#This Row],[Demand Watt]]*PlanGrid[[#This Row],[Utilization %]]*'Schedule-Building Info'!$N$16)/1000)</f>
        <v>328.5</v>
      </c>
      <c r="J321" s="57">
        <f>PlanGrid[[#This Row],[kWh/yr]]*' Elec Utility (kWh)'!$M$7</f>
        <v>35.022482234681647</v>
      </c>
      <c r="K321" s="38">
        <f>PlanGrid[[#This Row],[kWh/yr]]/'Schedule-Building Info'!$B$6</f>
        <v>5.4021608643457387E-3</v>
      </c>
      <c r="L321" s="50">
        <f>CONVERT(PlanGrid[[#This Row],[kWh/yr]],"Wh","BTU")</f>
        <v>1120.8885264825287</v>
      </c>
      <c r="M321" s="38">
        <f>PlanGrid[[#This Row],[kBtu/yr]]/'Schedule-Building Info'!$B$6</f>
        <v>1.843293799408852E-2</v>
      </c>
      <c r="N321" t="s">
        <v>1090</v>
      </c>
      <c r="O321">
        <v>0</v>
      </c>
      <c r="P321" t="str">
        <f>VLOOKUP(PlanGrid[[#This Row],[Title]],'Spec Wattages'!$A$1:$C$973,3,FALSE)</f>
        <v>Plug Load</v>
      </c>
      <c r="Q321" t="s">
        <v>779</v>
      </c>
      <c r="R321" t="s">
        <v>779</v>
      </c>
      <c r="S321" t="s">
        <v>51</v>
      </c>
    </row>
    <row r="322" spans="1:19" x14ac:dyDescent="0.25">
      <c r="A322">
        <v>874</v>
      </c>
      <c r="B322" t="s">
        <v>597</v>
      </c>
      <c r="C322" t="s">
        <v>26</v>
      </c>
      <c r="E322" s="50">
        <f>VLOOKUP(PlanGrid[[#This Row],[Title]],'Spec Wattages'!$A$1:$C$973,2,FALSE)</f>
        <v>1200</v>
      </c>
      <c r="F322" s="38">
        <v>1</v>
      </c>
      <c r="G322" s="39">
        <v>0.05</v>
      </c>
      <c r="H322" s="58">
        <f>PlanGrid[[#This Row],[Spec Wattage]]*PlanGrid[[#This Row],[Equipment Count]]</f>
        <v>1200</v>
      </c>
      <c r="I322" s="50">
        <f>((PlanGrid[[#This Row],[Demand Watt]]*PlanGrid[[#This Row],[Utilization %]]*'Schedule-Building Info'!$N$16)/1000)</f>
        <v>328.5</v>
      </c>
      <c r="J322" s="57">
        <f>PlanGrid[[#This Row],[kWh/yr]]*' Elec Utility (kWh)'!$M$7</f>
        <v>35.022482234681647</v>
      </c>
      <c r="K322" s="38">
        <f>PlanGrid[[#This Row],[kWh/yr]]/'Schedule-Building Info'!$B$6</f>
        <v>5.4021608643457387E-3</v>
      </c>
      <c r="L322" s="50">
        <f>CONVERT(PlanGrid[[#This Row],[kWh/yr]],"Wh","BTU")</f>
        <v>1120.8885264825287</v>
      </c>
      <c r="M322" s="38">
        <f>PlanGrid[[#This Row],[kBtu/yr]]/'Schedule-Building Info'!$B$6</f>
        <v>1.843293799408852E-2</v>
      </c>
      <c r="N322" t="s">
        <v>1090</v>
      </c>
      <c r="O322">
        <v>0</v>
      </c>
      <c r="P322" t="str">
        <f>VLOOKUP(PlanGrid[[#This Row],[Title]],'Spec Wattages'!$A$1:$C$973,3,FALSE)</f>
        <v>Plug Load</v>
      </c>
      <c r="Q322" t="s">
        <v>838</v>
      </c>
      <c r="R322" t="s">
        <v>838</v>
      </c>
      <c r="S322" t="s">
        <v>51</v>
      </c>
    </row>
    <row r="323" spans="1:19" x14ac:dyDescent="0.25">
      <c r="A323">
        <v>144</v>
      </c>
      <c r="B323" t="s">
        <v>597</v>
      </c>
      <c r="C323" t="s">
        <v>26</v>
      </c>
      <c r="E323" s="50">
        <f>VLOOKUP(PlanGrid[[#This Row],[Title]],'Spec Wattages'!$A$1:$C$973,2,FALSE)</f>
        <v>1200</v>
      </c>
      <c r="F323" s="38">
        <v>1</v>
      </c>
      <c r="G323" s="39">
        <v>0.05</v>
      </c>
      <c r="H323" s="58">
        <f>PlanGrid[[#This Row],[Spec Wattage]]*PlanGrid[[#This Row],[Equipment Count]]</f>
        <v>1200</v>
      </c>
      <c r="I323" s="50">
        <f>((PlanGrid[[#This Row],[Demand Watt]]*PlanGrid[[#This Row],[Utilization %]]*'Schedule-Building Info'!$N$16)/1000)</f>
        <v>328.5</v>
      </c>
      <c r="J323" s="57">
        <f>PlanGrid[[#This Row],[kWh/yr]]*' Elec Utility (kWh)'!$M$7</f>
        <v>35.022482234681647</v>
      </c>
      <c r="K323" s="38">
        <f>PlanGrid[[#This Row],[kWh/yr]]/'Schedule-Building Info'!$B$6</f>
        <v>5.4021608643457387E-3</v>
      </c>
      <c r="L323" s="50">
        <f>CONVERT(PlanGrid[[#This Row],[kWh/yr]],"Wh","BTU")</f>
        <v>1120.8885264825287</v>
      </c>
      <c r="M323" s="38">
        <f>PlanGrid[[#This Row],[kBtu/yr]]/'Schedule-Building Info'!$B$6</f>
        <v>1.843293799408852E-2</v>
      </c>
      <c r="N323" t="s">
        <v>1092</v>
      </c>
      <c r="O323">
        <v>0</v>
      </c>
      <c r="P323" t="str">
        <f>VLOOKUP(PlanGrid[[#This Row],[Title]],'Spec Wattages'!$A$1:$C$973,3,FALSE)</f>
        <v>Plug Load</v>
      </c>
      <c r="Q323" t="s">
        <v>857</v>
      </c>
      <c r="R323" t="s">
        <v>856</v>
      </c>
      <c r="S323" t="s">
        <v>11</v>
      </c>
    </row>
    <row r="324" spans="1:19" x14ac:dyDescent="0.25">
      <c r="A324">
        <v>304</v>
      </c>
      <c r="B324" t="s">
        <v>597</v>
      </c>
      <c r="C324" t="s">
        <v>26</v>
      </c>
      <c r="E324" s="50">
        <f>VLOOKUP(PlanGrid[[#This Row],[Title]],'Spec Wattages'!$A$1:$C$973,2,FALSE)</f>
        <v>1200</v>
      </c>
      <c r="F324" s="38">
        <v>1</v>
      </c>
      <c r="G324" s="39">
        <v>0.05</v>
      </c>
      <c r="H324" s="58">
        <f>PlanGrid[[#This Row],[Spec Wattage]]*PlanGrid[[#This Row],[Equipment Count]]</f>
        <v>1200</v>
      </c>
      <c r="I324" s="50">
        <f>((PlanGrid[[#This Row],[Demand Watt]]*PlanGrid[[#This Row],[Utilization %]]*'Schedule-Building Info'!$N$16)/1000)</f>
        <v>328.5</v>
      </c>
      <c r="J324" s="57">
        <f>PlanGrid[[#This Row],[kWh/yr]]*' Elec Utility (kWh)'!$M$7</f>
        <v>35.022482234681647</v>
      </c>
      <c r="K324" s="38">
        <f>PlanGrid[[#This Row],[kWh/yr]]/'Schedule-Building Info'!$B$6</f>
        <v>5.4021608643457387E-3</v>
      </c>
      <c r="L324" s="50">
        <f>CONVERT(PlanGrid[[#This Row],[kWh/yr]],"Wh","BTU")</f>
        <v>1120.8885264825287</v>
      </c>
      <c r="M324" s="38">
        <f>PlanGrid[[#This Row],[kBtu/yr]]/'Schedule-Building Info'!$B$6</f>
        <v>1.843293799408852E-2</v>
      </c>
      <c r="N324" t="s">
        <v>1092</v>
      </c>
      <c r="O324">
        <v>0</v>
      </c>
      <c r="P324" t="str">
        <f>VLOOKUP(PlanGrid[[#This Row],[Title]],'Spec Wattages'!$A$1:$C$973,3,FALSE)</f>
        <v>Plug Load</v>
      </c>
      <c r="Q324" t="s">
        <v>984</v>
      </c>
      <c r="R324" t="s">
        <v>1042</v>
      </c>
      <c r="S324" t="s">
        <v>11</v>
      </c>
    </row>
    <row r="325" spans="1:19" x14ac:dyDescent="0.25">
      <c r="A325">
        <v>402</v>
      </c>
      <c r="B325" t="s">
        <v>597</v>
      </c>
      <c r="C325" t="s">
        <v>26</v>
      </c>
      <c r="E325" s="50">
        <f>VLOOKUP(PlanGrid[[#This Row],[Title]],'Spec Wattages'!$A$1:$C$973,2,FALSE)</f>
        <v>1200</v>
      </c>
      <c r="F325" s="38">
        <v>1</v>
      </c>
      <c r="G325" s="39">
        <v>0.05</v>
      </c>
      <c r="H325" s="58">
        <f>PlanGrid[[#This Row],[Spec Wattage]]*PlanGrid[[#This Row],[Equipment Count]]</f>
        <v>1200</v>
      </c>
      <c r="I325" s="50">
        <f>((PlanGrid[[#This Row],[Demand Watt]]*PlanGrid[[#This Row],[Utilization %]]*'Schedule-Building Info'!$N$16)/1000)</f>
        <v>328.5</v>
      </c>
      <c r="J325" s="57">
        <f>PlanGrid[[#This Row],[kWh/yr]]*' Elec Utility (kWh)'!$M$7</f>
        <v>35.022482234681647</v>
      </c>
      <c r="K325" s="38">
        <f>PlanGrid[[#This Row],[kWh/yr]]/'Schedule-Building Info'!$B$6</f>
        <v>5.4021608643457387E-3</v>
      </c>
      <c r="L325" s="50">
        <f>CONVERT(PlanGrid[[#This Row],[kWh/yr]],"Wh","BTU")</f>
        <v>1120.8885264825287</v>
      </c>
      <c r="M325" s="38">
        <f>PlanGrid[[#This Row],[kBtu/yr]]/'Schedule-Building Info'!$B$6</f>
        <v>1.843293799408852E-2</v>
      </c>
      <c r="N325" t="s">
        <v>1092</v>
      </c>
      <c r="O325">
        <v>0</v>
      </c>
      <c r="P325" t="str">
        <f>VLOOKUP(PlanGrid[[#This Row],[Title]],'Spec Wattages'!$A$1:$C$973,3,FALSE)</f>
        <v>Plug Load</v>
      </c>
      <c r="Q325" t="s">
        <v>986</v>
      </c>
      <c r="R325" t="s">
        <v>986</v>
      </c>
      <c r="S325" t="s">
        <v>51</v>
      </c>
    </row>
    <row r="326" spans="1:19" x14ac:dyDescent="0.25">
      <c r="A326">
        <v>404</v>
      </c>
      <c r="B326" t="s">
        <v>597</v>
      </c>
      <c r="C326" t="s">
        <v>26</v>
      </c>
      <c r="D326" t="s">
        <v>598</v>
      </c>
      <c r="E326" s="50">
        <f>VLOOKUP(PlanGrid[[#This Row],[Title]],'Spec Wattages'!$A$1:$C$973,2,FALSE)</f>
        <v>1200</v>
      </c>
      <c r="F326" s="38">
        <v>1</v>
      </c>
      <c r="G326" s="39">
        <v>0.05</v>
      </c>
      <c r="H326" s="58">
        <f>PlanGrid[[#This Row],[Spec Wattage]]*PlanGrid[[#This Row],[Equipment Count]]</f>
        <v>1200</v>
      </c>
      <c r="I326" s="50">
        <f>((PlanGrid[[#This Row],[Demand Watt]]*PlanGrid[[#This Row],[Utilization %]]*'Schedule-Building Info'!$N$16)/1000)</f>
        <v>328.5</v>
      </c>
      <c r="J326" s="57">
        <f>PlanGrid[[#This Row],[kWh/yr]]*' Elec Utility (kWh)'!$M$7</f>
        <v>35.022482234681647</v>
      </c>
      <c r="K326" s="38">
        <f>PlanGrid[[#This Row],[kWh/yr]]/'Schedule-Building Info'!$B$6</f>
        <v>5.4021608643457387E-3</v>
      </c>
      <c r="L326" s="50">
        <f>CONVERT(PlanGrid[[#This Row],[kWh/yr]],"Wh","BTU")</f>
        <v>1120.8885264825287</v>
      </c>
      <c r="M326" s="38">
        <f>PlanGrid[[#This Row],[kBtu/yr]]/'Schedule-Building Info'!$B$6</f>
        <v>1.843293799408852E-2</v>
      </c>
      <c r="N326" t="s">
        <v>1092</v>
      </c>
      <c r="O326">
        <v>0</v>
      </c>
      <c r="P326" t="str">
        <f>VLOOKUP(PlanGrid[[#This Row],[Title]],'Spec Wattages'!$A$1:$C$973,3,FALSE)</f>
        <v>Plug Load</v>
      </c>
      <c r="Q326" t="s">
        <v>986</v>
      </c>
      <c r="R326" t="s">
        <v>986</v>
      </c>
      <c r="S326" t="s">
        <v>51</v>
      </c>
    </row>
    <row r="327" spans="1:19" x14ac:dyDescent="0.25">
      <c r="A327">
        <v>406</v>
      </c>
      <c r="B327" t="s">
        <v>597</v>
      </c>
      <c r="C327" t="s">
        <v>26</v>
      </c>
      <c r="D327" t="s">
        <v>24</v>
      </c>
      <c r="E327" s="50">
        <f>VLOOKUP(PlanGrid[[#This Row],[Title]],'Spec Wattages'!$A$1:$C$973,2,FALSE)</f>
        <v>1200</v>
      </c>
      <c r="F327" s="38">
        <v>1</v>
      </c>
      <c r="G327" s="39">
        <v>0.05</v>
      </c>
      <c r="H327" s="58">
        <f>PlanGrid[[#This Row],[Spec Wattage]]*PlanGrid[[#This Row],[Equipment Count]]</f>
        <v>1200</v>
      </c>
      <c r="I327" s="50">
        <f>((PlanGrid[[#This Row],[Demand Watt]]*PlanGrid[[#This Row],[Utilization %]]*'Schedule-Building Info'!$N$16)/1000)</f>
        <v>328.5</v>
      </c>
      <c r="J327" s="57">
        <f>PlanGrid[[#This Row],[kWh/yr]]*' Elec Utility (kWh)'!$M$7</f>
        <v>35.022482234681647</v>
      </c>
      <c r="K327" s="38">
        <f>PlanGrid[[#This Row],[kWh/yr]]/'Schedule-Building Info'!$B$6</f>
        <v>5.4021608643457387E-3</v>
      </c>
      <c r="L327" s="50">
        <f>CONVERT(PlanGrid[[#This Row],[kWh/yr]],"Wh","BTU")</f>
        <v>1120.8885264825287</v>
      </c>
      <c r="M327" s="38">
        <f>PlanGrid[[#This Row],[kBtu/yr]]/'Schedule-Building Info'!$B$6</f>
        <v>1.843293799408852E-2</v>
      </c>
      <c r="N327" t="s">
        <v>1092</v>
      </c>
      <c r="O327">
        <v>0</v>
      </c>
      <c r="P327" t="str">
        <f>VLOOKUP(PlanGrid[[#This Row],[Title]],'Spec Wattages'!$A$1:$C$973,3,FALSE)</f>
        <v>Plug Load</v>
      </c>
      <c r="Q327" t="s">
        <v>986</v>
      </c>
      <c r="R327" t="s">
        <v>986</v>
      </c>
      <c r="S327" t="s">
        <v>51</v>
      </c>
    </row>
    <row r="328" spans="1:19" x14ac:dyDescent="0.25">
      <c r="A328">
        <v>428</v>
      </c>
      <c r="B328" t="s">
        <v>597</v>
      </c>
      <c r="C328" t="s">
        <v>26</v>
      </c>
      <c r="E328" s="50">
        <f>VLOOKUP(PlanGrid[[#This Row],[Title]],'Spec Wattages'!$A$1:$C$973,2,FALSE)</f>
        <v>1200</v>
      </c>
      <c r="F328" s="38">
        <v>1</v>
      </c>
      <c r="G328" s="39">
        <v>0.05</v>
      </c>
      <c r="H328" s="58">
        <f>PlanGrid[[#This Row],[Spec Wattage]]*PlanGrid[[#This Row],[Equipment Count]]</f>
        <v>1200</v>
      </c>
      <c r="I328" s="50">
        <f>((PlanGrid[[#This Row],[Demand Watt]]*PlanGrid[[#This Row],[Utilization %]]*'Schedule-Building Info'!$N$16)/1000)</f>
        <v>328.5</v>
      </c>
      <c r="J328" s="57">
        <f>PlanGrid[[#This Row],[kWh/yr]]*' Elec Utility (kWh)'!$M$7</f>
        <v>35.022482234681647</v>
      </c>
      <c r="K328" s="38">
        <f>PlanGrid[[#This Row],[kWh/yr]]/'Schedule-Building Info'!$B$6</f>
        <v>5.4021608643457387E-3</v>
      </c>
      <c r="L328" s="50">
        <f>CONVERT(PlanGrid[[#This Row],[kWh/yr]],"Wh","BTU")</f>
        <v>1120.8885264825287</v>
      </c>
      <c r="M328" s="38">
        <f>PlanGrid[[#This Row],[kBtu/yr]]/'Schedule-Building Info'!$B$6</f>
        <v>1.843293799408852E-2</v>
      </c>
      <c r="N328" t="s">
        <v>1092</v>
      </c>
      <c r="O328">
        <v>0</v>
      </c>
      <c r="P328" t="str">
        <f>VLOOKUP(PlanGrid[[#This Row],[Title]],'Spec Wattages'!$A$1:$C$973,3,FALSE)</f>
        <v>Plug Load</v>
      </c>
      <c r="Q328" t="s">
        <v>762</v>
      </c>
      <c r="R328" t="s">
        <v>762</v>
      </c>
      <c r="S328" t="s">
        <v>51</v>
      </c>
    </row>
    <row r="329" spans="1:19" x14ac:dyDescent="0.25">
      <c r="A329">
        <v>619</v>
      </c>
      <c r="B329" t="s">
        <v>597</v>
      </c>
      <c r="C329" t="s">
        <v>26</v>
      </c>
      <c r="E329" s="50">
        <f>VLOOKUP(PlanGrid[[#This Row],[Title]],'Spec Wattages'!$A$1:$C$973,2,FALSE)</f>
        <v>1200</v>
      </c>
      <c r="F329" s="38">
        <v>1</v>
      </c>
      <c r="G329" s="39">
        <v>0.05</v>
      </c>
      <c r="H329" s="58">
        <f>PlanGrid[[#This Row],[Spec Wattage]]*PlanGrid[[#This Row],[Equipment Count]]</f>
        <v>1200</v>
      </c>
      <c r="I329" s="50">
        <f>((PlanGrid[[#This Row],[Demand Watt]]*PlanGrid[[#This Row],[Utilization %]]*'Schedule-Building Info'!$N$16)/1000)</f>
        <v>328.5</v>
      </c>
      <c r="J329" s="57">
        <f>PlanGrid[[#This Row],[kWh/yr]]*' Elec Utility (kWh)'!$M$7</f>
        <v>35.022482234681647</v>
      </c>
      <c r="K329" s="38">
        <f>PlanGrid[[#This Row],[kWh/yr]]/'Schedule-Building Info'!$B$6</f>
        <v>5.4021608643457387E-3</v>
      </c>
      <c r="L329" s="50">
        <f>CONVERT(PlanGrid[[#This Row],[kWh/yr]],"Wh","BTU")</f>
        <v>1120.8885264825287</v>
      </c>
      <c r="M329" s="38">
        <f>PlanGrid[[#This Row],[kBtu/yr]]/'Schedule-Building Info'!$B$6</f>
        <v>1.843293799408852E-2</v>
      </c>
      <c r="N329" t="s">
        <v>1092</v>
      </c>
      <c r="O329">
        <v>0</v>
      </c>
      <c r="P329" t="str">
        <f>VLOOKUP(PlanGrid[[#This Row],[Title]],'Spec Wattages'!$A$1:$C$973,3,FALSE)</f>
        <v>Plug Load</v>
      </c>
      <c r="Q329" t="s">
        <v>988</v>
      </c>
      <c r="R329" t="s">
        <v>988</v>
      </c>
      <c r="S329" t="s">
        <v>51</v>
      </c>
    </row>
    <row r="330" spans="1:19" x14ac:dyDescent="0.25">
      <c r="A330">
        <v>678</v>
      </c>
      <c r="B330" t="s">
        <v>599</v>
      </c>
      <c r="C330" t="s">
        <v>600</v>
      </c>
      <c r="E330" s="50">
        <f>VLOOKUP(PlanGrid[[#This Row],[Title]],'Spec Wattages'!$A$1:$C$973,2,FALSE)</f>
        <v>57</v>
      </c>
      <c r="F330" s="38">
        <v>1</v>
      </c>
      <c r="G330" s="39">
        <v>0.75</v>
      </c>
      <c r="H330" s="58">
        <f>PlanGrid[[#This Row],[Spec Wattage]]*PlanGrid[[#This Row],[Equipment Count]]</f>
        <v>57</v>
      </c>
      <c r="I330" s="50">
        <f>((PlanGrid[[#This Row],[Demand Watt]]*PlanGrid[[#This Row],[Utilization %]]*'Schedule-Building Info'!$N$16)/1000)</f>
        <v>234.05625000000001</v>
      </c>
      <c r="J330" s="57">
        <f>PlanGrid[[#This Row],[kWh/yr]]*' Elec Utility (kWh)'!$M$7</f>
        <v>24.953518592210674</v>
      </c>
      <c r="K330" s="38">
        <f>PlanGrid[[#This Row],[kWh/yr]]/'Schedule-Building Info'!$B$6</f>
        <v>3.8490396158463386E-3</v>
      </c>
      <c r="L330" s="50">
        <f>CONVERT(PlanGrid[[#This Row],[kWh/yr]],"Wh","BTU")</f>
        <v>798.6330751188018</v>
      </c>
      <c r="M330" s="38">
        <f>PlanGrid[[#This Row],[kBtu/yr]]/'Schedule-Building Info'!$B$6</f>
        <v>1.313346832078807E-2</v>
      </c>
      <c r="N330" t="s">
        <v>1090</v>
      </c>
      <c r="O330">
        <v>0</v>
      </c>
      <c r="P330" t="str">
        <f>VLOOKUP(PlanGrid[[#This Row],[Title]],'Spec Wattages'!$A$1:$C$973,3,FALSE)</f>
        <v>Plug Load</v>
      </c>
      <c r="Q330" t="s">
        <v>812</v>
      </c>
      <c r="R330" t="s">
        <v>812</v>
      </c>
      <c r="S330" t="s">
        <v>51</v>
      </c>
    </row>
    <row r="331" spans="1:19" x14ac:dyDescent="0.25">
      <c r="A331">
        <v>765</v>
      </c>
      <c r="B331" t="s">
        <v>599</v>
      </c>
      <c r="C331" t="s">
        <v>600</v>
      </c>
      <c r="E331" s="50">
        <f>VLOOKUP(PlanGrid[[#This Row],[Title]],'Spec Wattages'!$A$1:$C$973,2,FALSE)</f>
        <v>57</v>
      </c>
      <c r="F331" s="38">
        <v>1</v>
      </c>
      <c r="G331" s="39">
        <v>0.75</v>
      </c>
      <c r="H331" s="58">
        <f>PlanGrid[[#This Row],[Spec Wattage]]*PlanGrid[[#This Row],[Equipment Count]]</f>
        <v>57</v>
      </c>
      <c r="I331" s="50">
        <f>((PlanGrid[[#This Row],[Demand Watt]]*PlanGrid[[#This Row],[Utilization %]]*'Schedule-Building Info'!$N$16)/1000)</f>
        <v>234.05625000000001</v>
      </c>
      <c r="J331" s="57">
        <f>PlanGrid[[#This Row],[kWh/yr]]*' Elec Utility (kWh)'!$M$7</f>
        <v>24.953518592210674</v>
      </c>
      <c r="K331" s="38">
        <f>PlanGrid[[#This Row],[kWh/yr]]/'Schedule-Building Info'!$B$6</f>
        <v>3.8490396158463386E-3</v>
      </c>
      <c r="L331" s="50">
        <f>CONVERT(PlanGrid[[#This Row],[kWh/yr]],"Wh","BTU")</f>
        <v>798.6330751188018</v>
      </c>
      <c r="M331" s="38">
        <f>PlanGrid[[#This Row],[kBtu/yr]]/'Schedule-Building Info'!$B$6</f>
        <v>1.313346832078807E-2</v>
      </c>
      <c r="N331" t="s">
        <v>1090</v>
      </c>
      <c r="O331">
        <v>0</v>
      </c>
      <c r="P331" t="str">
        <f>VLOOKUP(PlanGrid[[#This Row],[Title]],'Spec Wattages'!$A$1:$C$973,3,FALSE)</f>
        <v>Plug Load</v>
      </c>
      <c r="Q331" t="s">
        <v>824</v>
      </c>
      <c r="R331" t="s">
        <v>824</v>
      </c>
      <c r="S331" t="s">
        <v>51</v>
      </c>
    </row>
    <row r="332" spans="1:19" x14ac:dyDescent="0.25">
      <c r="A332">
        <v>873</v>
      </c>
      <c r="B332" t="s">
        <v>599</v>
      </c>
      <c r="C332" t="s">
        <v>600</v>
      </c>
      <c r="E332" s="50">
        <f>VLOOKUP(PlanGrid[[#This Row],[Title]],'Spec Wattages'!$A$1:$C$973,2,FALSE)</f>
        <v>57</v>
      </c>
      <c r="F332" s="38">
        <v>1</v>
      </c>
      <c r="G332" s="39">
        <v>0.75</v>
      </c>
      <c r="H332" s="58">
        <f>PlanGrid[[#This Row],[Spec Wattage]]*PlanGrid[[#This Row],[Equipment Count]]</f>
        <v>57</v>
      </c>
      <c r="I332" s="50">
        <f>((PlanGrid[[#This Row],[Demand Watt]]*PlanGrid[[#This Row],[Utilization %]]*'Schedule-Building Info'!$N$16)/1000)</f>
        <v>234.05625000000001</v>
      </c>
      <c r="J332" s="57">
        <f>PlanGrid[[#This Row],[kWh/yr]]*' Elec Utility (kWh)'!$M$7</f>
        <v>24.953518592210674</v>
      </c>
      <c r="K332" s="38">
        <f>PlanGrid[[#This Row],[kWh/yr]]/'Schedule-Building Info'!$B$6</f>
        <v>3.8490396158463386E-3</v>
      </c>
      <c r="L332" s="50">
        <f>CONVERT(PlanGrid[[#This Row],[kWh/yr]],"Wh","BTU")</f>
        <v>798.6330751188018</v>
      </c>
      <c r="M332" s="38">
        <f>PlanGrid[[#This Row],[kBtu/yr]]/'Schedule-Building Info'!$B$6</f>
        <v>1.313346832078807E-2</v>
      </c>
      <c r="N332" t="s">
        <v>1090</v>
      </c>
      <c r="O332">
        <v>0</v>
      </c>
      <c r="P332" t="str">
        <f>VLOOKUP(PlanGrid[[#This Row],[Title]],'Spec Wattages'!$A$1:$C$973,3,FALSE)</f>
        <v>Plug Load</v>
      </c>
      <c r="Q332" t="s">
        <v>838</v>
      </c>
      <c r="R332" t="s">
        <v>838</v>
      </c>
      <c r="S332" t="s">
        <v>51</v>
      </c>
    </row>
    <row r="333" spans="1:19" x14ac:dyDescent="0.25">
      <c r="A333">
        <v>78</v>
      </c>
      <c r="B333" t="s">
        <v>599</v>
      </c>
      <c r="C333" t="s">
        <v>600</v>
      </c>
      <c r="E333" s="50">
        <f>VLOOKUP(PlanGrid[[#This Row],[Title]],'Spec Wattages'!$A$1:$C$973,2,FALSE)</f>
        <v>57</v>
      </c>
      <c r="F333" s="38">
        <v>1</v>
      </c>
      <c r="G333" s="39">
        <v>0.75</v>
      </c>
      <c r="H333" s="58">
        <f>PlanGrid[[#This Row],[Spec Wattage]]*PlanGrid[[#This Row],[Equipment Count]]</f>
        <v>57</v>
      </c>
      <c r="I333" s="50">
        <f>((PlanGrid[[#This Row],[Demand Watt]]*PlanGrid[[#This Row],[Utilization %]]*'Schedule-Building Info'!$N$16)/1000)</f>
        <v>234.05625000000001</v>
      </c>
      <c r="J333" s="57">
        <f>PlanGrid[[#This Row],[kWh/yr]]*' Elec Utility (kWh)'!$M$7</f>
        <v>24.953518592210674</v>
      </c>
      <c r="K333" s="38">
        <f>PlanGrid[[#This Row],[kWh/yr]]/'Schedule-Building Info'!$B$6</f>
        <v>3.8490396158463386E-3</v>
      </c>
      <c r="L333" s="50">
        <f>CONVERT(PlanGrid[[#This Row],[kWh/yr]],"Wh","BTU")</f>
        <v>798.6330751188018</v>
      </c>
      <c r="M333" s="38">
        <f>PlanGrid[[#This Row],[kBtu/yr]]/'Schedule-Building Info'!$B$6</f>
        <v>1.313346832078807E-2</v>
      </c>
      <c r="N333" t="s">
        <v>1092</v>
      </c>
      <c r="O333">
        <v>0</v>
      </c>
      <c r="P333" t="str">
        <f>VLOOKUP(PlanGrid[[#This Row],[Title]],'Spec Wattages'!$A$1:$C$973,3,FALSE)</f>
        <v>Plug Load</v>
      </c>
      <c r="Q333" t="s">
        <v>941</v>
      </c>
      <c r="R333" t="s">
        <v>941</v>
      </c>
      <c r="S333" t="s">
        <v>51</v>
      </c>
    </row>
    <row r="334" spans="1:19" x14ac:dyDescent="0.25">
      <c r="A334">
        <v>430</v>
      </c>
      <c r="B334" t="s">
        <v>599</v>
      </c>
      <c r="C334" t="s">
        <v>600</v>
      </c>
      <c r="E334" s="50">
        <f>VLOOKUP(PlanGrid[[#This Row],[Title]],'Spec Wattages'!$A$1:$C$973,2,FALSE)</f>
        <v>57</v>
      </c>
      <c r="F334" s="38">
        <v>1</v>
      </c>
      <c r="G334" s="39">
        <v>0.75</v>
      </c>
      <c r="H334" s="58">
        <f>PlanGrid[[#This Row],[Spec Wattage]]*PlanGrid[[#This Row],[Equipment Count]]</f>
        <v>57</v>
      </c>
      <c r="I334" s="50">
        <f>((PlanGrid[[#This Row],[Demand Watt]]*PlanGrid[[#This Row],[Utilization %]]*'Schedule-Building Info'!$N$16)/1000)</f>
        <v>234.05625000000001</v>
      </c>
      <c r="J334" s="57">
        <f>PlanGrid[[#This Row],[kWh/yr]]*' Elec Utility (kWh)'!$M$7</f>
        <v>24.953518592210674</v>
      </c>
      <c r="K334" s="38">
        <f>PlanGrid[[#This Row],[kWh/yr]]/'Schedule-Building Info'!$B$6</f>
        <v>3.8490396158463386E-3</v>
      </c>
      <c r="L334" s="50">
        <f>CONVERT(PlanGrid[[#This Row],[kWh/yr]],"Wh","BTU")</f>
        <v>798.6330751188018</v>
      </c>
      <c r="M334" s="38">
        <f>PlanGrid[[#This Row],[kBtu/yr]]/'Schedule-Building Info'!$B$6</f>
        <v>1.313346832078807E-2</v>
      </c>
      <c r="N334" t="s">
        <v>1092</v>
      </c>
      <c r="O334">
        <v>0</v>
      </c>
      <c r="P334" t="str">
        <f>VLOOKUP(PlanGrid[[#This Row],[Title]],'Spec Wattages'!$A$1:$C$973,3,FALSE)</f>
        <v>Plug Load</v>
      </c>
      <c r="Q334" t="s">
        <v>762</v>
      </c>
      <c r="R334" t="s">
        <v>762</v>
      </c>
      <c r="S334" t="s">
        <v>51</v>
      </c>
    </row>
    <row r="335" spans="1:19" x14ac:dyDescent="0.25">
      <c r="A335">
        <v>550</v>
      </c>
      <c r="B335" t="s">
        <v>599</v>
      </c>
      <c r="C335" t="s">
        <v>600</v>
      </c>
      <c r="E335" s="50">
        <f>VLOOKUP(PlanGrid[[#This Row],[Title]],'Spec Wattages'!$A$1:$C$973,2,FALSE)</f>
        <v>57</v>
      </c>
      <c r="F335" s="38">
        <v>1</v>
      </c>
      <c r="G335" s="39">
        <v>0.75</v>
      </c>
      <c r="H335" s="58">
        <f>PlanGrid[[#This Row],[Spec Wattage]]*PlanGrid[[#This Row],[Equipment Count]]</f>
        <v>57</v>
      </c>
      <c r="I335" s="50">
        <f>((PlanGrid[[#This Row],[Demand Watt]]*PlanGrid[[#This Row],[Utilization %]]*'Schedule-Building Info'!$N$16)/1000)</f>
        <v>234.05625000000001</v>
      </c>
      <c r="J335" s="57">
        <f>PlanGrid[[#This Row],[kWh/yr]]*' Elec Utility (kWh)'!$M$7</f>
        <v>24.953518592210674</v>
      </c>
      <c r="K335" s="38">
        <f>PlanGrid[[#This Row],[kWh/yr]]/'Schedule-Building Info'!$B$6</f>
        <v>3.8490396158463386E-3</v>
      </c>
      <c r="L335" s="50">
        <f>CONVERT(PlanGrid[[#This Row],[kWh/yr]],"Wh","BTU")</f>
        <v>798.6330751188018</v>
      </c>
      <c r="M335" s="38">
        <f>PlanGrid[[#This Row],[kBtu/yr]]/'Schedule-Building Info'!$B$6</f>
        <v>1.313346832078807E-2</v>
      </c>
      <c r="N335" t="s">
        <v>1092</v>
      </c>
      <c r="O335">
        <v>0</v>
      </c>
      <c r="P335" t="str">
        <f>VLOOKUP(PlanGrid[[#This Row],[Title]],'Spec Wattages'!$A$1:$C$973,3,FALSE)</f>
        <v>Plug Load</v>
      </c>
      <c r="Q335" t="s">
        <v>770</v>
      </c>
      <c r="R335" t="s">
        <v>770</v>
      </c>
      <c r="S335" t="s">
        <v>51</v>
      </c>
    </row>
    <row r="336" spans="1:19" x14ac:dyDescent="0.25">
      <c r="A336">
        <v>618</v>
      </c>
      <c r="B336" t="s">
        <v>599</v>
      </c>
      <c r="C336" t="s">
        <v>600</v>
      </c>
      <c r="E336" s="50">
        <f>VLOOKUP(PlanGrid[[#This Row],[Title]],'Spec Wattages'!$A$1:$C$973,2,FALSE)</f>
        <v>57</v>
      </c>
      <c r="F336" s="38">
        <v>1</v>
      </c>
      <c r="G336" s="39">
        <v>0.75</v>
      </c>
      <c r="H336" s="58">
        <f>PlanGrid[[#This Row],[Spec Wattage]]*PlanGrid[[#This Row],[Equipment Count]]</f>
        <v>57</v>
      </c>
      <c r="I336" s="50">
        <f>((PlanGrid[[#This Row],[Demand Watt]]*PlanGrid[[#This Row],[Utilization %]]*'Schedule-Building Info'!$N$16)/1000)</f>
        <v>234.05625000000001</v>
      </c>
      <c r="J336" s="57">
        <f>PlanGrid[[#This Row],[kWh/yr]]*' Elec Utility (kWh)'!$M$7</f>
        <v>24.953518592210674</v>
      </c>
      <c r="K336" s="38">
        <f>PlanGrid[[#This Row],[kWh/yr]]/'Schedule-Building Info'!$B$6</f>
        <v>3.8490396158463386E-3</v>
      </c>
      <c r="L336" s="50">
        <f>CONVERT(PlanGrid[[#This Row],[kWh/yr]],"Wh","BTU")</f>
        <v>798.6330751188018</v>
      </c>
      <c r="M336" s="38">
        <f>PlanGrid[[#This Row],[kBtu/yr]]/'Schedule-Building Info'!$B$6</f>
        <v>1.313346832078807E-2</v>
      </c>
      <c r="N336" t="s">
        <v>1092</v>
      </c>
      <c r="O336">
        <v>0</v>
      </c>
      <c r="P336" t="str">
        <f>VLOOKUP(PlanGrid[[#This Row],[Title]],'Spec Wattages'!$A$1:$C$973,3,FALSE)</f>
        <v>Plug Load</v>
      </c>
      <c r="Q336" t="s">
        <v>988</v>
      </c>
      <c r="R336" t="s">
        <v>988</v>
      </c>
      <c r="S336" t="s">
        <v>51</v>
      </c>
    </row>
    <row r="337" spans="1:19" x14ac:dyDescent="0.25">
      <c r="A337">
        <v>883</v>
      </c>
      <c r="B337" t="s">
        <v>13</v>
      </c>
      <c r="C337" t="s">
        <v>10</v>
      </c>
      <c r="D337" t="s">
        <v>601</v>
      </c>
      <c r="E337" s="50">
        <v>308</v>
      </c>
      <c r="F337" s="38">
        <v>1</v>
      </c>
      <c r="G337" s="39">
        <v>0.5</v>
      </c>
      <c r="H337" s="58">
        <f>PlanGrid[[#This Row],[Spec Wattage]]*PlanGrid[[#This Row],[Equipment Count]]</f>
        <v>308</v>
      </c>
      <c r="I337" s="50">
        <f>((PlanGrid[[#This Row],[Demand Watt]]*PlanGrid[[#This Row],[Utilization %]]*'Schedule-Building Info'!$N$16)/1000)</f>
        <v>843.15</v>
      </c>
      <c r="J337" s="57">
        <f>PlanGrid[[#This Row],[kWh/yr]]*' Elec Utility (kWh)'!$M$7</f>
        <v>89.891037735682886</v>
      </c>
      <c r="K337" s="38">
        <f>PlanGrid[[#This Row],[kWh/yr]]/'Schedule-Building Info'!$B$6</f>
        <v>1.3865546218487394E-2</v>
      </c>
      <c r="L337" s="50">
        <f>CONVERT(PlanGrid[[#This Row],[kWh/yr]],"Wh","BTU")</f>
        <v>2876.9472179718241</v>
      </c>
      <c r="M337" s="38">
        <f>PlanGrid[[#This Row],[kBtu/yr]]/'Schedule-Building Info'!$B$6</f>
        <v>4.7311207518160536E-2</v>
      </c>
      <c r="N337" t="s">
        <v>1089</v>
      </c>
      <c r="O337">
        <v>1</v>
      </c>
      <c r="P337" t="s">
        <v>87</v>
      </c>
      <c r="Q337" t="s">
        <v>679</v>
      </c>
      <c r="R337" t="s">
        <v>681</v>
      </c>
      <c r="S337" t="s">
        <v>11</v>
      </c>
    </row>
    <row r="338" spans="1:19" x14ac:dyDescent="0.25">
      <c r="A338">
        <v>886</v>
      </c>
      <c r="B338" t="s">
        <v>13</v>
      </c>
      <c r="C338" t="s">
        <v>10</v>
      </c>
      <c r="D338" t="s">
        <v>602</v>
      </c>
      <c r="E338" s="50">
        <v>120</v>
      </c>
      <c r="F338" s="38">
        <v>1</v>
      </c>
      <c r="G338" s="39">
        <v>0.5</v>
      </c>
      <c r="H338" s="58">
        <f>PlanGrid[[#This Row],[Spec Wattage]]*PlanGrid[[#This Row],[Equipment Count]]</f>
        <v>120</v>
      </c>
      <c r="I338" s="50">
        <f>((PlanGrid[[#This Row],[Demand Watt]]*PlanGrid[[#This Row],[Utilization %]]*'Schedule-Building Info'!$N$16)/1000)</f>
        <v>328.5</v>
      </c>
      <c r="J338" s="57">
        <f>PlanGrid[[#This Row],[kWh/yr]]*' Elec Utility (kWh)'!$M$7</f>
        <v>35.022482234681647</v>
      </c>
      <c r="K338" s="38">
        <f>PlanGrid[[#This Row],[kWh/yr]]/'Schedule-Building Info'!$B$6</f>
        <v>5.4021608643457387E-3</v>
      </c>
      <c r="L338" s="50">
        <f>CONVERT(PlanGrid[[#This Row],[kWh/yr]],"Wh","BTU")</f>
        <v>1120.8885264825287</v>
      </c>
      <c r="M338" s="38">
        <f>PlanGrid[[#This Row],[kBtu/yr]]/'Schedule-Building Info'!$B$6</f>
        <v>1.843293799408852E-2</v>
      </c>
      <c r="N338" t="s">
        <v>1089</v>
      </c>
      <c r="O338">
        <v>1</v>
      </c>
      <c r="P338" t="s">
        <v>87</v>
      </c>
      <c r="Q338" t="s">
        <v>682</v>
      </c>
      <c r="R338" t="s">
        <v>918</v>
      </c>
      <c r="S338" t="s">
        <v>11</v>
      </c>
    </row>
    <row r="339" spans="1:19" x14ac:dyDescent="0.25">
      <c r="A339">
        <v>981</v>
      </c>
      <c r="B339" t="s">
        <v>13</v>
      </c>
      <c r="C339" t="s">
        <v>10</v>
      </c>
      <c r="D339" t="s">
        <v>601</v>
      </c>
      <c r="E339" s="50">
        <v>308</v>
      </c>
      <c r="F339" s="38">
        <v>1</v>
      </c>
      <c r="G339" s="39">
        <v>0.5</v>
      </c>
      <c r="H339" s="58">
        <f>PlanGrid[[#This Row],[Spec Wattage]]*PlanGrid[[#This Row],[Equipment Count]]</f>
        <v>308</v>
      </c>
      <c r="I339" s="50">
        <f>((PlanGrid[[#This Row],[Demand Watt]]*PlanGrid[[#This Row],[Utilization %]]*'Schedule-Building Info'!$N$16)/1000)</f>
        <v>843.15</v>
      </c>
      <c r="J339" s="57">
        <f>PlanGrid[[#This Row],[kWh/yr]]*' Elec Utility (kWh)'!$M$7</f>
        <v>89.891037735682886</v>
      </c>
      <c r="K339" s="38">
        <f>PlanGrid[[#This Row],[kWh/yr]]/'Schedule-Building Info'!$B$6</f>
        <v>1.3865546218487394E-2</v>
      </c>
      <c r="L339" s="50">
        <f>CONVERT(PlanGrid[[#This Row],[kWh/yr]],"Wh","BTU")</f>
        <v>2876.9472179718241</v>
      </c>
      <c r="M339" s="38">
        <f>PlanGrid[[#This Row],[kBtu/yr]]/'Schedule-Building Info'!$B$6</f>
        <v>4.7311207518160536E-2</v>
      </c>
      <c r="N339" t="s">
        <v>1089</v>
      </c>
      <c r="O339">
        <v>0</v>
      </c>
      <c r="P339" t="s">
        <v>87</v>
      </c>
      <c r="Q339" t="s">
        <v>750</v>
      </c>
      <c r="R339" t="s">
        <v>750</v>
      </c>
      <c r="S339" t="s">
        <v>11</v>
      </c>
    </row>
    <row r="340" spans="1:19" x14ac:dyDescent="0.25">
      <c r="A340">
        <v>1050</v>
      </c>
      <c r="B340" t="s">
        <v>13</v>
      </c>
      <c r="C340" t="s">
        <v>10</v>
      </c>
      <c r="D340" t="s">
        <v>604</v>
      </c>
      <c r="E340" s="50">
        <v>4000</v>
      </c>
      <c r="F340" s="38">
        <v>1</v>
      </c>
      <c r="G340" s="39">
        <v>0.1</v>
      </c>
      <c r="H340" s="58">
        <f>PlanGrid[[#This Row],[Spec Wattage]]*PlanGrid[[#This Row],[Equipment Count]]</f>
        <v>4000</v>
      </c>
      <c r="I340" s="50">
        <f>((PlanGrid[[#This Row],[Demand Watt]]*PlanGrid[[#This Row],[Utilization %]]*'Schedule-Building Info'!$N$16)/1000)</f>
        <v>2190</v>
      </c>
      <c r="J340" s="57">
        <f>PlanGrid[[#This Row],[kWh/yr]]*' Elec Utility (kWh)'!$M$7</f>
        <v>233.48321489787764</v>
      </c>
      <c r="K340" s="38">
        <f>PlanGrid[[#This Row],[kWh/yr]]/'Schedule-Building Info'!$B$6</f>
        <v>3.601440576230492E-2</v>
      </c>
      <c r="L340" s="50">
        <f>CONVERT(PlanGrid[[#This Row],[kWh/yr]],"Wh","BTU")</f>
        <v>7472.5901765501922</v>
      </c>
      <c r="M340" s="38">
        <f>PlanGrid[[#This Row],[kBtu/yr]]/'Schedule-Building Info'!$B$6</f>
        <v>0.12288625329392347</v>
      </c>
      <c r="N340" t="s">
        <v>1089</v>
      </c>
      <c r="O340">
        <v>1</v>
      </c>
      <c r="P340" t="s">
        <v>110</v>
      </c>
      <c r="Q340" t="s">
        <v>991</v>
      </c>
      <c r="R340" t="s">
        <v>991</v>
      </c>
      <c r="S340" t="s">
        <v>11</v>
      </c>
    </row>
    <row r="341" spans="1:19" x14ac:dyDescent="0.25">
      <c r="A341">
        <v>642</v>
      </c>
      <c r="B341" t="s">
        <v>13</v>
      </c>
      <c r="C341" t="s">
        <v>10</v>
      </c>
      <c r="D341" t="s">
        <v>613</v>
      </c>
      <c r="E341" s="50">
        <v>120</v>
      </c>
      <c r="F341" s="38">
        <v>1</v>
      </c>
      <c r="G341" s="39">
        <v>1</v>
      </c>
      <c r="H341" s="58">
        <f>PlanGrid[[#This Row],[Spec Wattage]]*PlanGrid[[#This Row],[Equipment Count]]</f>
        <v>120</v>
      </c>
      <c r="I341" s="50">
        <f>((PlanGrid[[#This Row],[Demand Watt]]*PlanGrid[[#This Row],[Utilization %]]*'Schedule-Building Info'!$N$16)/1000)</f>
        <v>657</v>
      </c>
      <c r="J341" s="57">
        <f>PlanGrid[[#This Row],[kWh/yr]]*' Elec Utility (kWh)'!$M$7</f>
        <v>70.044964469363293</v>
      </c>
      <c r="K341" s="38">
        <f>PlanGrid[[#This Row],[kWh/yr]]/'Schedule-Building Info'!$B$6</f>
        <v>1.0804321728691477E-2</v>
      </c>
      <c r="L341" s="50">
        <f>CONVERT(PlanGrid[[#This Row],[kWh/yr]],"Wh","BTU")</f>
        <v>2241.7770529650575</v>
      </c>
      <c r="M341" s="38">
        <f>PlanGrid[[#This Row],[kBtu/yr]]/'Schedule-Building Info'!$B$6</f>
        <v>3.686587598817704E-2</v>
      </c>
      <c r="N341" t="s">
        <v>1090</v>
      </c>
      <c r="O341">
        <v>4</v>
      </c>
      <c r="P341" t="s">
        <v>87</v>
      </c>
      <c r="Q341" t="s">
        <v>998</v>
      </c>
      <c r="R341" t="s">
        <v>1079</v>
      </c>
      <c r="S341" t="s">
        <v>11</v>
      </c>
    </row>
    <row r="342" spans="1:19" x14ac:dyDescent="0.25">
      <c r="A342">
        <v>705</v>
      </c>
      <c r="B342" t="s">
        <v>13</v>
      </c>
      <c r="C342" t="s">
        <v>10</v>
      </c>
      <c r="D342" t="s">
        <v>614</v>
      </c>
      <c r="E342" s="50">
        <v>276</v>
      </c>
      <c r="F342" s="38">
        <v>1</v>
      </c>
      <c r="G342" s="39">
        <v>1</v>
      </c>
      <c r="H342" s="58">
        <f>PlanGrid[[#This Row],[Spec Wattage]]*PlanGrid[[#This Row],[Equipment Count]]</f>
        <v>276</v>
      </c>
      <c r="I342" s="50">
        <f>((PlanGrid[[#This Row],[Demand Watt]]*PlanGrid[[#This Row],[Utilization %]]*'Schedule-Building Info'!$N$16)/1000)</f>
        <v>1511.1</v>
      </c>
      <c r="J342" s="57">
        <f>PlanGrid[[#This Row],[kWh/yr]]*' Elec Utility (kWh)'!$M$7</f>
        <v>161.10341827953556</v>
      </c>
      <c r="K342" s="38">
        <f>PlanGrid[[#This Row],[kWh/yr]]/'Schedule-Building Info'!$B$6</f>
        <v>2.4849939975990394E-2</v>
      </c>
      <c r="L342" s="50">
        <f>CONVERT(PlanGrid[[#This Row],[kWh/yr]],"Wh","BTU")</f>
        <v>5156.0872218196328</v>
      </c>
      <c r="M342" s="38">
        <f>PlanGrid[[#This Row],[kBtu/yr]]/'Schedule-Building Info'!$B$6</f>
        <v>8.4791514772807192E-2</v>
      </c>
      <c r="N342" t="s">
        <v>1090</v>
      </c>
      <c r="O342">
        <v>3</v>
      </c>
      <c r="P342" t="s">
        <v>87</v>
      </c>
      <c r="Q342" t="s">
        <v>999</v>
      </c>
      <c r="R342" t="s">
        <v>999</v>
      </c>
      <c r="S342" t="s">
        <v>11</v>
      </c>
    </row>
    <row r="343" spans="1:19" x14ac:dyDescent="0.25">
      <c r="A343">
        <v>720</v>
      </c>
      <c r="B343" t="s">
        <v>13</v>
      </c>
      <c r="C343" t="s">
        <v>10</v>
      </c>
      <c r="D343" t="s">
        <v>615</v>
      </c>
      <c r="E343" s="50">
        <v>370</v>
      </c>
      <c r="F343" s="38">
        <v>1</v>
      </c>
      <c r="G343" s="39">
        <v>0.75</v>
      </c>
      <c r="H343" s="58">
        <f>PlanGrid[[#This Row],[Spec Wattage]]*PlanGrid[[#This Row],[Equipment Count]]</f>
        <v>370</v>
      </c>
      <c r="I343" s="50">
        <f>((PlanGrid[[#This Row],[Demand Watt]]*PlanGrid[[#This Row],[Utilization %]]*'Schedule-Building Info'!$N$16)/1000)</f>
        <v>1519.3125</v>
      </c>
      <c r="J343" s="57">
        <f>PlanGrid[[#This Row],[kWh/yr]]*' Elec Utility (kWh)'!$M$7</f>
        <v>161.97898033540261</v>
      </c>
      <c r="K343" s="38">
        <f>PlanGrid[[#This Row],[kWh/yr]]/'Schedule-Building Info'!$B$6</f>
        <v>2.4984993997599039E-2</v>
      </c>
      <c r="L343" s="50">
        <f>CONVERT(PlanGrid[[#This Row],[kWh/yr]],"Wh","BTU")</f>
        <v>5184.1094349816958</v>
      </c>
      <c r="M343" s="38">
        <f>PlanGrid[[#This Row],[kBtu/yr]]/'Schedule-Building Info'!$B$6</f>
        <v>8.5252338222659402E-2</v>
      </c>
      <c r="N343" t="s">
        <v>1090</v>
      </c>
      <c r="O343">
        <v>1</v>
      </c>
      <c r="P343" t="s">
        <v>87</v>
      </c>
      <c r="Q343" t="s">
        <v>961</v>
      </c>
      <c r="R343" t="s">
        <v>1080</v>
      </c>
      <c r="S343" t="s">
        <v>11</v>
      </c>
    </row>
    <row r="344" spans="1:19" x14ac:dyDescent="0.25">
      <c r="A344">
        <v>738</v>
      </c>
      <c r="B344" t="s">
        <v>13</v>
      </c>
      <c r="C344" t="s">
        <v>10</v>
      </c>
      <c r="D344" t="s">
        <v>601</v>
      </c>
      <c r="E344" s="50">
        <v>308</v>
      </c>
      <c r="F344" s="38">
        <v>1</v>
      </c>
      <c r="G344" s="39">
        <v>0.5</v>
      </c>
      <c r="H344" s="58">
        <f>PlanGrid[[#This Row],[Spec Wattage]]*PlanGrid[[#This Row],[Equipment Count]]</f>
        <v>308</v>
      </c>
      <c r="I344" s="50">
        <f>((PlanGrid[[#This Row],[Demand Watt]]*PlanGrid[[#This Row],[Utilization %]]*'Schedule-Building Info'!$N$16)/1000)</f>
        <v>843.15</v>
      </c>
      <c r="J344" s="57">
        <f>PlanGrid[[#This Row],[kWh/yr]]*' Elec Utility (kWh)'!$M$7</f>
        <v>89.891037735682886</v>
      </c>
      <c r="K344" s="38">
        <f>PlanGrid[[#This Row],[kWh/yr]]/'Schedule-Building Info'!$B$6</f>
        <v>1.3865546218487394E-2</v>
      </c>
      <c r="L344" s="50">
        <f>CONVERT(PlanGrid[[#This Row],[kWh/yr]],"Wh","BTU")</f>
        <v>2876.9472179718241</v>
      </c>
      <c r="M344" s="38">
        <f>PlanGrid[[#This Row],[kBtu/yr]]/'Schedule-Building Info'!$B$6</f>
        <v>4.7311207518160536E-2</v>
      </c>
      <c r="N344" t="s">
        <v>1090</v>
      </c>
      <c r="O344">
        <v>1</v>
      </c>
      <c r="P344" t="s">
        <v>87</v>
      </c>
      <c r="Q344" t="s">
        <v>1000</v>
      </c>
      <c r="R344" t="s">
        <v>1000</v>
      </c>
      <c r="S344" t="s">
        <v>11</v>
      </c>
    </row>
    <row r="345" spans="1:19" x14ac:dyDescent="0.25">
      <c r="A345">
        <v>791</v>
      </c>
      <c r="B345" t="s">
        <v>13</v>
      </c>
      <c r="C345" t="s">
        <v>10</v>
      </c>
      <c r="D345" t="s">
        <v>601</v>
      </c>
      <c r="E345" s="50">
        <v>308</v>
      </c>
      <c r="F345" s="38">
        <v>1</v>
      </c>
      <c r="G345" s="39">
        <v>0.5</v>
      </c>
      <c r="H345" s="58">
        <f>PlanGrid[[#This Row],[Spec Wattage]]*PlanGrid[[#This Row],[Equipment Count]]</f>
        <v>308</v>
      </c>
      <c r="I345" s="50">
        <f>((PlanGrid[[#This Row],[Demand Watt]]*PlanGrid[[#This Row],[Utilization %]]*'Schedule-Building Info'!$N$16)/1000)</f>
        <v>843.15</v>
      </c>
      <c r="J345" s="57">
        <f>PlanGrid[[#This Row],[kWh/yr]]*' Elec Utility (kWh)'!$M$7</f>
        <v>89.891037735682886</v>
      </c>
      <c r="K345" s="38">
        <f>PlanGrid[[#This Row],[kWh/yr]]/'Schedule-Building Info'!$B$6</f>
        <v>1.3865546218487394E-2</v>
      </c>
      <c r="L345" s="50">
        <f>CONVERT(PlanGrid[[#This Row],[kWh/yr]],"Wh","BTU")</f>
        <v>2876.9472179718241</v>
      </c>
      <c r="M345" s="38">
        <f>PlanGrid[[#This Row],[kBtu/yr]]/'Schedule-Building Info'!$B$6</f>
        <v>4.7311207518160536E-2</v>
      </c>
      <c r="N345" t="s">
        <v>1090</v>
      </c>
      <c r="O345">
        <v>0</v>
      </c>
      <c r="P345" t="s">
        <v>87</v>
      </c>
      <c r="Q345" t="s">
        <v>889</v>
      </c>
      <c r="R345" t="s">
        <v>889</v>
      </c>
      <c r="S345" t="s">
        <v>11</v>
      </c>
    </row>
    <row r="346" spans="1:19" x14ac:dyDescent="0.25">
      <c r="A346">
        <v>797</v>
      </c>
      <c r="B346" t="s">
        <v>13</v>
      </c>
      <c r="C346" t="s">
        <v>10</v>
      </c>
      <c r="D346" t="s">
        <v>601</v>
      </c>
      <c r="E346" s="50">
        <v>308</v>
      </c>
      <c r="F346" s="38">
        <v>1</v>
      </c>
      <c r="G346" s="39">
        <v>0.5</v>
      </c>
      <c r="H346" s="58">
        <f>PlanGrid[[#This Row],[Spec Wattage]]*PlanGrid[[#This Row],[Equipment Count]]</f>
        <v>308</v>
      </c>
      <c r="I346" s="50">
        <f>((PlanGrid[[#This Row],[Demand Watt]]*PlanGrid[[#This Row],[Utilization %]]*'Schedule-Building Info'!$N$16)/1000)</f>
        <v>843.15</v>
      </c>
      <c r="J346" s="57">
        <f>PlanGrid[[#This Row],[kWh/yr]]*' Elec Utility (kWh)'!$M$7</f>
        <v>89.891037735682886</v>
      </c>
      <c r="K346" s="38">
        <f>PlanGrid[[#This Row],[kWh/yr]]/'Schedule-Building Info'!$B$6</f>
        <v>1.3865546218487394E-2</v>
      </c>
      <c r="L346" s="50">
        <f>CONVERT(PlanGrid[[#This Row],[kWh/yr]],"Wh","BTU")</f>
        <v>2876.9472179718241</v>
      </c>
      <c r="M346" s="38">
        <f>PlanGrid[[#This Row],[kBtu/yr]]/'Schedule-Building Info'!$B$6</f>
        <v>4.7311207518160536E-2</v>
      </c>
      <c r="N346" t="s">
        <v>1090</v>
      </c>
      <c r="O346">
        <v>0</v>
      </c>
      <c r="P346" t="s">
        <v>87</v>
      </c>
      <c r="Q346" t="s">
        <v>896</v>
      </c>
      <c r="R346" t="s">
        <v>896</v>
      </c>
      <c r="S346" t="s">
        <v>11</v>
      </c>
    </row>
    <row r="347" spans="1:19" x14ac:dyDescent="0.25">
      <c r="A347">
        <v>816</v>
      </c>
      <c r="B347" t="s">
        <v>13</v>
      </c>
      <c r="C347" t="s">
        <v>10</v>
      </c>
      <c r="D347" t="s">
        <v>617</v>
      </c>
      <c r="E347" s="50">
        <v>120</v>
      </c>
      <c r="F347" s="38">
        <v>1</v>
      </c>
      <c r="G347" s="39">
        <v>0.5</v>
      </c>
      <c r="H347" s="58">
        <f>PlanGrid[[#This Row],[Spec Wattage]]*PlanGrid[[#This Row],[Equipment Count]]</f>
        <v>120</v>
      </c>
      <c r="I347" s="50">
        <f>((PlanGrid[[#This Row],[Demand Watt]]*PlanGrid[[#This Row],[Utilization %]]*'Schedule-Building Info'!$N$16)/1000)</f>
        <v>328.5</v>
      </c>
      <c r="J347" s="57">
        <f>PlanGrid[[#This Row],[kWh/yr]]*' Elec Utility (kWh)'!$M$7</f>
        <v>35.022482234681647</v>
      </c>
      <c r="K347" s="38">
        <f>PlanGrid[[#This Row],[kWh/yr]]/'Schedule-Building Info'!$B$6</f>
        <v>5.4021608643457387E-3</v>
      </c>
      <c r="L347" s="50">
        <f>CONVERT(PlanGrid[[#This Row],[kWh/yr]],"Wh","BTU")</f>
        <v>1120.8885264825287</v>
      </c>
      <c r="M347" s="38">
        <f>PlanGrid[[#This Row],[kBtu/yr]]/'Schedule-Building Info'!$B$6</f>
        <v>1.843293799408852E-2</v>
      </c>
      <c r="N347" t="s">
        <v>1090</v>
      </c>
      <c r="O347">
        <v>3</v>
      </c>
      <c r="P347" t="s">
        <v>87</v>
      </c>
      <c r="Q347" t="s">
        <v>830</v>
      </c>
      <c r="R347" t="s">
        <v>904</v>
      </c>
      <c r="S347" t="s">
        <v>11</v>
      </c>
    </row>
    <row r="348" spans="1:19" x14ac:dyDescent="0.25">
      <c r="A348">
        <v>821</v>
      </c>
      <c r="B348" t="s">
        <v>13</v>
      </c>
      <c r="C348" t="s">
        <v>10</v>
      </c>
      <c r="D348" t="s">
        <v>618</v>
      </c>
      <c r="E348" s="50">
        <v>308</v>
      </c>
      <c r="F348" s="38">
        <v>1</v>
      </c>
      <c r="G348" s="39">
        <v>0.5</v>
      </c>
      <c r="H348" s="58">
        <f>PlanGrid[[#This Row],[Spec Wattage]]*PlanGrid[[#This Row],[Equipment Count]]</f>
        <v>308</v>
      </c>
      <c r="I348" s="50">
        <f>((PlanGrid[[#This Row],[Demand Watt]]*PlanGrid[[#This Row],[Utilization %]]*'Schedule-Building Info'!$N$16)/1000)</f>
        <v>843.15</v>
      </c>
      <c r="J348" s="57">
        <f>PlanGrid[[#This Row],[kWh/yr]]*' Elec Utility (kWh)'!$M$7</f>
        <v>89.891037735682886</v>
      </c>
      <c r="K348" s="38">
        <f>PlanGrid[[#This Row],[kWh/yr]]/'Schedule-Building Info'!$B$6</f>
        <v>1.3865546218487394E-2</v>
      </c>
      <c r="L348" s="50">
        <f>CONVERT(PlanGrid[[#This Row],[kWh/yr]],"Wh","BTU")</f>
        <v>2876.9472179718241</v>
      </c>
      <c r="M348" s="38">
        <f>PlanGrid[[#This Row],[kBtu/yr]]/'Schedule-Building Info'!$B$6</f>
        <v>4.7311207518160536E-2</v>
      </c>
      <c r="N348" t="s">
        <v>1090</v>
      </c>
      <c r="O348">
        <v>0</v>
      </c>
      <c r="P348" t="s">
        <v>87</v>
      </c>
      <c r="Q348" t="s">
        <v>1002</v>
      </c>
      <c r="R348" t="s">
        <v>731</v>
      </c>
      <c r="S348" t="s">
        <v>11</v>
      </c>
    </row>
    <row r="349" spans="1:19" x14ac:dyDescent="0.25">
      <c r="A349">
        <v>296</v>
      </c>
      <c r="B349" t="s">
        <v>13</v>
      </c>
      <c r="C349" t="s">
        <v>10</v>
      </c>
      <c r="D349" t="s">
        <v>621</v>
      </c>
      <c r="E349" s="50">
        <v>50</v>
      </c>
      <c r="F349" s="38">
        <v>1</v>
      </c>
      <c r="G349" s="39">
        <v>0.1</v>
      </c>
      <c r="H349" s="58">
        <f>PlanGrid[[#This Row],[Spec Wattage]]*PlanGrid[[#This Row],[Equipment Count]]</f>
        <v>50</v>
      </c>
      <c r="I349" s="50">
        <f>((PlanGrid[[#This Row],[Demand Watt]]*PlanGrid[[#This Row],[Utilization %]]*'Schedule-Building Info'!$N$16)/1000)</f>
        <v>27.375</v>
      </c>
      <c r="J349" s="57">
        <f>PlanGrid[[#This Row],[kWh/yr]]*' Elec Utility (kWh)'!$M$7</f>
        <v>2.9185401862234706</v>
      </c>
      <c r="K349" s="38">
        <f>PlanGrid[[#This Row],[kWh/yr]]/'Schedule-Building Info'!$B$6</f>
        <v>4.5018007202881152E-4</v>
      </c>
      <c r="L349" s="50">
        <f>CONVERT(PlanGrid[[#This Row],[kWh/yr]],"Wh","BTU")</f>
        <v>93.407377206877399</v>
      </c>
      <c r="M349" s="38">
        <f>PlanGrid[[#This Row],[kBtu/yr]]/'Schedule-Building Info'!$B$6</f>
        <v>1.5360781661740432E-3</v>
      </c>
      <c r="N349" t="s">
        <v>1092</v>
      </c>
      <c r="O349">
        <v>1</v>
      </c>
      <c r="P349" t="s">
        <v>87</v>
      </c>
      <c r="Q349" t="s">
        <v>1005</v>
      </c>
      <c r="R349" t="s">
        <v>1042</v>
      </c>
      <c r="S349" t="s">
        <v>11</v>
      </c>
    </row>
    <row r="350" spans="1:19" x14ac:dyDescent="0.25">
      <c r="A350">
        <v>297</v>
      </c>
      <c r="B350" t="s">
        <v>13</v>
      </c>
      <c r="C350" t="s">
        <v>10</v>
      </c>
      <c r="D350" t="s">
        <v>622</v>
      </c>
      <c r="E350" s="50">
        <v>1000</v>
      </c>
      <c r="F350" s="38">
        <v>1</v>
      </c>
      <c r="G350" s="39">
        <v>0.1</v>
      </c>
      <c r="H350" s="58">
        <f>PlanGrid[[#This Row],[Spec Wattage]]*PlanGrid[[#This Row],[Equipment Count]]</f>
        <v>1000</v>
      </c>
      <c r="I350" s="50">
        <f>((PlanGrid[[#This Row],[Demand Watt]]*PlanGrid[[#This Row],[Utilization %]]*'Schedule-Building Info'!$N$16)/1000)</f>
        <v>547.5</v>
      </c>
      <c r="J350" s="57">
        <f>PlanGrid[[#This Row],[kWh/yr]]*' Elec Utility (kWh)'!$M$7</f>
        <v>58.370803724469411</v>
      </c>
      <c r="K350" s="38">
        <f>PlanGrid[[#This Row],[kWh/yr]]/'Schedule-Building Info'!$B$6</f>
        <v>9.00360144057623E-3</v>
      </c>
      <c r="L350" s="50">
        <f>CONVERT(PlanGrid[[#This Row],[kWh/yr]],"Wh","BTU")</f>
        <v>1868.147544137548</v>
      </c>
      <c r="M350" s="38">
        <f>PlanGrid[[#This Row],[kBtu/yr]]/'Schedule-Building Info'!$B$6</f>
        <v>3.0721563323480867E-2</v>
      </c>
      <c r="N350" t="s">
        <v>1092</v>
      </c>
      <c r="O350">
        <v>1</v>
      </c>
      <c r="P350" t="s">
        <v>87</v>
      </c>
      <c r="Q350" t="s">
        <v>989</v>
      </c>
      <c r="R350" t="s">
        <v>1042</v>
      </c>
      <c r="S350" t="s">
        <v>11</v>
      </c>
    </row>
    <row r="351" spans="1:19" x14ac:dyDescent="0.25">
      <c r="A351">
        <v>306</v>
      </c>
      <c r="B351" t="s">
        <v>13</v>
      </c>
      <c r="C351" t="s">
        <v>10</v>
      </c>
      <c r="D351" t="s">
        <v>623</v>
      </c>
      <c r="E351" s="50">
        <v>1000</v>
      </c>
      <c r="F351" s="38">
        <v>1</v>
      </c>
      <c r="G351" s="39">
        <v>0.05</v>
      </c>
      <c r="H351" s="58">
        <f>PlanGrid[[#This Row],[Spec Wattage]]*PlanGrid[[#This Row],[Equipment Count]]</f>
        <v>1000</v>
      </c>
      <c r="I351" s="50">
        <f>((PlanGrid[[#This Row],[Demand Watt]]*PlanGrid[[#This Row],[Utilization %]]*'Schedule-Building Info'!$N$16)/1000)</f>
        <v>273.75</v>
      </c>
      <c r="J351" s="57">
        <f>PlanGrid[[#This Row],[kWh/yr]]*' Elec Utility (kWh)'!$M$7</f>
        <v>29.185401862234706</v>
      </c>
      <c r="K351" s="38">
        <f>PlanGrid[[#This Row],[kWh/yr]]/'Schedule-Building Info'!$B$6</f>
        <v>4.501800720288115E-3</v>
      </c>
      <c r="L351" s="50">
        <f>CONVERT(PlanGrid[[#This Row],[kWh/yr]],"Wh","BTU")</f>
        <v>934.07377206877402</v>
      </c>
      <c r="M351" s="38">
        <f>PlanGrid[[#This Row],[kBtu/yr]]/'Schedule-Building Info'!$B$6</f>
        <v>1.5360781661740434E-2</v>
      </c>
      <c r="N351" t="s">
        <v>1092</v>
      </c>
      <c r="O351">
        <v>0</v>
      </c>
      <c r="P351" t="s">
        <v>87</v>
      </c>
      <c r="Q351" t="s">
        <v>990</v>
      </c>
      <c r="R351" t="s">
        <v>1042</v>
      </c>
      <c r="S351" t="s">
        <v>11</v>
      </c>
    </row>
    <row r="352" spans="1:19" x14ac:dyDescent="0.25">
      <c r="A352">
        <v>629</v>
      </c>
      <c r="B352" t="s">
        <v>13</v>
      </c>
      <c r="C352" t="s">
        <v>10</v>
      </c>
      <c r="D352" t="s">
        <v>601</v>
      </c>
      <c r="E352" s="50">
        <v>308</v>
      </c>
      <c r="F352" s="38">
        <v>1</v>
      </c>
      <c r="G352" s="39">
        <v>0.5</v>
      </c>
      <c r="H352" s="58">
        <f>PlanGrid[[#This Row],[Spec Wattage]]*PlanGrid[[#This Row],[Equipment Count]]</f>
        <v>308</v>
      </c>
      <c r="I352" s="50">
        <f>((PlanGrid[[#This Row],[Demand Watt]]*PlanGrid[[#This Row],[Utilization %]]*'Schedule-Building Info'!$N$16)/1000)</f>
        <v>843.15</v>
      </c>
      <c r="J352" s="57">
        <f>PlanGrid[[#This Row],[kWh/yr]]*' Elec Utility (kWh)'!$M$7</f>
        <v>89.891037735682886</v>
      </c>
      <c r="K352" s="38">
        <f>PlanGrid[[#This Row],[kWh/yr]]/'Schedule-Building Info'!$B$6</f>
        <v>1.3865546218487394E-2</v>
      </c>
      <c r="L352" s="50">
        <f>CONVERT(PlanGrid[[#This Row],[kWh/yr]],"Wh","BTU")</f>
        <v>2876.9472179718241</v>
      </c>
      <c r="M352" s="38">
        <f>PlanGrid[[#This Row],[kBtu/yr]]/'Schedule-Building Info'!$B$6</f>
        <v>4.7311207518160536E-2</v>
      </c>
      <c r="N352" t="s">
        <v>1092</v>
      </c>
      <c r="O352">
        <v>0</v>
      </c>
      <c r="P352" t="s">
        <v>87</v>
      </c>
      <c r="Q352" t="s">
        <v>1006</v>
      </c>
      <c r="R352" t="s">
        <v>1082</v>
      </c>
      <c r="S352" t="s">
        <v>11</v>
      </c>
    </row>
    <row r="353" spans="1:19" x14ac:dyDescent="0.25">
      <c r="A353">
        <v>884</v>
      </c>
      <c r="B353" t="s">
        <v>15</v>
      </c>
      <c r="C353" t="s">
        <v>16</v>
      </c>
      <c r="E353" s="50">
        <f>VLOOKUP(PlanGrid[[#This Row],[Title]],'Spec Wattages'!$A$1:$C$973,2,FALSE)</f>
        <v>21</v>
      </c>
      <c r="F353" s="38">
        <v>1</v>
      </c>
      <c r="G353" s="39">
        <v>1</v>
      </c>
      <c r="H353" s="50">
        <f>PlanGrid[[#This Row],[Spec Wattage]]*PlanGrid[[#This Row],[Equipment Count]]</f>
        <v>21</v>
      </c>
      <c r="I353" s="50">
        <f>((PlanGrid[[#This Row],[Demand Watt]]*PlanGrid[[#This Row],[Utilization %]]*'Schedule-Building Info'!$N$16)/1000)</f>
        <v>114.97499999999999</v>
      </c>
      <c r="J353" s="57">
        <f>PlanGrid[[#This Row],[kWh/yr]]*' Elec Utility (kWh)'!$M$7</f>
        <v>12.257868782138575</v>
      </c>
      <c r="K353" s="49">
        <f>PlanGrid[[#This Row],[kWh/yr]]/'Schedule-Building Info'!$B$6</f>
        <v>1.8907563025210084E-3</v>
      </c>
      <c r="L353" s="50">
        <f>CONVERT(PlanGrid[[#This Row],[kWh/yr]],"Wh","BTU")</f>
        <v>392.31098426888508</v>
      </c>
      <c r="M353" s="49">
        <f>PlanGrid[[#This Row],[kBtu/yr]]/'Schedule-Building Info'!$B$6</f>
        <v>6.4515282979309817E-3</v>
      </c>
      <c r="N353" t="s">
        <v>1089</v>
      </c>
      <c r="O353">
        <v>0</v>
      </c>
      <c r="P353" t="str">
        <f>VLOOKUP(PlanGrid[[#This Row],[Title]],'Spec Wattages'!$A$1:$C$973,3,FALSE)</f>
        <v>Plug Load</v>
      </c>
      <c r="Q353" t="s">
        <v>681</v>
      </c>
      <c r="R353" t="s">
        <v>681</v>
      </c>
      <c r="S353" t="s">
        <v>11</v>
      </c>
    </row>
    <row r="354" spans="1:19" x14ac:dyDescent="0.25">
      <c r="A354">
        <v>896</v>
      </c>
      <c r="B354" t="s">
        <v>15</v>
      </c>
      <c r="C354" t="s">
        <v>16</v>
      </c>
      <c r="E354" s="50">
        <f>VLOOKUP(PlanGrid[[#This Row],[Title]],'Spec Wattages'!$A$1:$C$973,2,FALSE)</f>
        <v>21</v>
      </c>
      <c r="F354" s="38">
        <v>1</v>
      </c>
      <c r="G354" s="39">
        <v>1</v>
      </c>
      <c r="H354" s="50">
        <f>PlanGrid[[#This Row],[Spec Wattage]]*PlanGrid[[#This Row],[Equipment Count]]</f>
        <v>21</v>
      </c>
      <c r="I354" s="50">
        <f>((PlanGrid[[#This Row],[Demand Watt]]*PlanGrid[[#This Row],[Utilization %]]*'Schedule-Building Info'!$N$16)/1000)</f>
        <v>114.97499999999999</v>
      </c>
      <c r="J354" s="57">
        <f>PlanGrid[[#This Row],[kWh/yr]]*' Elec Utility (kWh)'!$M$7</f>
        <v>12.257868782138575</v>
      </c>
      <c r="K354" s="49">
        <f>PlanGrid[[#This Row],[kWh/yr]]/'Schedule-Building Info'!$B$6</f>
        <v>1.8907563025210084E-3</v>
      </c>
      <c r="L354" s="50">
        <f>CONVERT(PlanGrid[[#This Row],[kWh/yr]],"Wh","BTU")</f>
        <v>392.31098426888508</v>
      </c>
      <c r="M354" s="38">
        <f>PlanGrid[[#This Row],[kBtu/yr]]/'Schedule-Building Info'!$B$6</f>
        <v>6.4515282979309817E-3</v>
      </c>
      <c r="N354" t="s">
        <v>1089</v>
      </c>
      <c r="O354">
        <v>0</v>
      </c>
      <c r="P354" t="str">
        <f>VLOOKUP(PlanGrid[[#This Row],[Title]],'Spec Wattages'!$A$1:$C$973,3,FALSE)</f>
        <v>Plug Load</v>
      </c>
      <c r="Q354" t="s">
        <v>692</v>
      </c>
      <c r="R354" t="s">
        <v>692</v>
      </c>
      <c r="S354" t="s">
        <v>51</v>
      </c>
    </row>
    <row r="355" spans="1:19" x14ac:dyDescent="0.25">
      <c r="A355">
        <v>897</v>
      </c>
      <c r="B355" t="s">
        <v>15</v>
      </c>
      <c r="C355" t="s">
        <v>16</v>
      </c>
      <c r="D355" t="s">
        <v>427</v>
      </c>
      <c r="E355" s="50">
        <f>VLOOKUP(PlanGrid[[#This Row],[Title]],'Spec Wattages'!$A$1:$C$973,2,FALSE)</f>
        <v>21</v>
      </c>
      <c r="F355" s="38">
        <v>1</v>
      </c>
      <c r="G355" s="39">
        <v>1</v>
      </c>
      <c r="H355" s="50">
        <f>PlanGrid[[#This Row],[Spec Wattage]]*PlanGrid[[#This Row],[Equipment Count]]</f>
        <v>21</v>
      </c>
      <c r="I355" s="50">
        <f>((PlanGrid[[#This Row],[Demand Watt]]*PlanGrid[[#This Row],[Utilization %]]*'Schedule-Building Info'!$N$16)/1000)</f>
        <v>114.97499999999999</v>
      </c>
      <c r="J355" s="57">
        <f>PlanGrid[[#This Row],[kWh/yr]]*' Elec Utility (kWh)'!$M$7</f>
        <v>12.257868782138575</v>
      </c>
      <c r="K355" s="49">
        <f>PlanGrid[[#This Row],[kWh/yr]]/'Schedule-Building Info'!$B$6</f>
        <v>1.8907563025210084E-3</v>
      </c>
      <c r="L355" s="50">
        <f>CONVERT(PlanGrid[[#This Row],[kWh/yr]],"Wh","BTU")</f>
        <v>392.31098426888508</v>
      </c>
      <c r="M355" s="38">
        <f>PlanGrid[[#This Row],[kBtu/yr]]/'Schedule-Building Info'!$B$6</f>
        <v>6.4515282979309817E-3</v>
      </c>
      <c r="N355" t="s">
        <v>1089</v>
      </c>
      <c r="O355">
        <v>2</v>
      </c>
      <c r="P355" t="str">
        <f>VLOOKUP(PlanGrid[[#This Row],[Title]],'Spec Wattages'!$A$1:$C$973,3,FALSE)</f>
        <v>Plug Load</v>
      </c>
      <c r="Q355" t="s">
        <v>692</v>
      </c>
      <c r="R355" t="s">
        <v>1034</v>
      </c>
      <c r="S355" t="s">
        <v>51</v>
      </c>
    </row>
    <row r="356" spans="1:19" x14ac:dyDescent="0.25">
      <c r="A356">
        <v>902</v>
      </c>
      <c r="B356" t="s">
        <v>15</v>
      </c>
      <c r="C356" t="s">
        <v>16</v>
      </c>
      <c r="E356" s="50">
        <f>VLOOKUP(PlanGrid[[#This Row],[Title]],'Spec Wattages'!$A$1:$C$973,2,FALSE)</f>
        <v>21</v>
      </c>
      <c r="F356" s="38">
        <v>1</v>
      </c>
      <c r="G356" s="39">
        <v>1</v>
      </c>
      <c r="H356" s="50">
        <f>PlanGrid[[#This Row],[Spec Wattage]]*PlanGrid[[#This Row],[Equipment Count]]</f>
        <v>21</v>
      </c>
      <c r="I356" s="50">
        <f>((PlanGrid[[#This Row],[Demand Watt]]*PlanGrid[[#This Row],[Utilization %]]*'Schedule-Building Info'!$N$16)/1000)</f>
        <v>114.97499999999999</v>
      </c>
      <c r="J356" s="57">
        <f>PlanGrid[[#This Row],[kWh/yr]]*' Elec Utility (kWh)'!$M$7</f>
        <v>12.257868782138575</v>
      </c>
      <c r="K356" s="49">
        <f>PlanGrid[[#This Row],[kWh/yr]]/'Schedule-Building Info'!$B$6</f>
        <v>1.8907563025210084E-3</v>
      </c>
      <c r="L356" s="50">
        <f>CONVERT(PlanGrid[[#This Row],[kWh/yr]],"Wh","BTU")</f>
        <v>392.31098426888508</v>
      </c>
      <c r="M356" s="38">
        <f>PlanGrid[[#This Row],[kBtu/yr]]/'Schedule-Building Info'!$B$6</f>
        <v>6.4515282979309817E-3</v>
      </c>
      <c r="N356" t="s">
        <v>1089</v>
      </c>
      <c r="O356">
        <v>0</v>
      </c>
      <c r="P356" t="str">
        <f>VLOOKUP(PlanGrid[[#This Row],[Title]],'Spec Wattages'!$A$1:$C$973,3,FALSE)</f>
        <v>Plug Load</v>
      </c>
      <c r="Q356" t="s">
        <v>689</v>
      </c>
      <c r="R356" t="s">
        <v>689</v>
      </c>
      <c r="S356" t="s">
        <v>11</v>
      </c>
    </row>
    <row r="357" spans="1:19" x14ac:dyDescent="0.25">
      <c r="A357">
        <v>903</v>
      </c>
      <c r="B357" t="s">
        <v>15</v>
      </c>
      <c r="C357" t="s">
        <v>16</v>
      </c>
      <c r="E357" s="50">
        <f>VLOOKUP(PlanGrid[[#This Row],[Title]],'Spec Wattages'!$A$1:$C$973,2,FALSE)</f>
        <v>21</v>
      </c>
      <c r="F357" s="38">
        <v>1</v>
      </c>
      <c r="G357" s="39">
        <v>1</v>
      </c>
      <c r="H357" s="50">
        <f>PlanGrid[[#This Row],[Spec Wattage]]*PlanGrid[[#This Row],[Equipment Count]]</f>
        <v>21</v>
      </c>
      <c r="I357" s="50">
        <f>((PlanGrid[[#This Row],[Demand Watt]]*PlanGrid[[#This Row],[Utilization %]]*'Schedule-Building Info'!$N$16)/1000)</f>
        <v>114.97499999999999</v>
      </c>
      <c r="J357" s="57">
        <f>PlanGrid[[#This Row],[kWh/yr]]*' Elec Utility (kWh)'!$M$7</f>
        <v>12.257868782138575</v>
      </c>
      <c r="K357" s="49">
        <f>PlanGrid[[#This Row],[kWh/yr]]/'Schedule-Building Info'!$B$6</f>
        <v>1.8907563025210084E-3</v>
      </c>
      <c r="L357" s="50">
        <f>CONVERT(PlanGrid[[#This Row],[kWh/yr]],"Wh","BTU")</f>
        <v>392.31098426888508</v>
      </c>
      <c r="M357" s="38">
        <f>PlanGrid[[#This Row],[kBtu/yr]]/'Schedule-Building Info'!$B$6</f>
        <v>6.4515282979309817E-3</v>
      </c>
      <c r="N357" t="s">
        <v>1089</v>
      </c>
      <c r="O357">
        <v>0</v>
      </c>
      <c r="P357" t="str">
        <f>VLOOKUP(PlanGrid[[#This Row],[Title]],'Spec Wattages'!$A$1:$C$973,3,FALSE)</f>
        <v>Plug Load</v>
      </c>
      <c r="Q357" t="s">
        <v>689</v>
      </c>
      <c r="R357" t="s">
        <v>689</v>
      </c>
      <c r="S357" t="s">
        <v>11</v>
      </c>
    </row>
    <row r="358" spans="1:19" x14ac:dyDescent="0.25">
      <c r="A358">
        <v>904</v>
      </c>
      <c r="B358" t="s">
        <v>15</v>
      </c>
      <c r="C358" t="s">
        <v>16</v>
      </c>
      <c r="E358" s="50">
        <f>VLOOKUP(PlanGrid[[#This Row],[Title]],'Spec Wattages'!$A$1:$C$973,2,FALSE)</f>
        <v>21</v>
      </c>
      <c r="F358" s="38">
        <v>1</v>
      </c>
      <c r="G358" s="39">
        <v>1</v>
      </c>
      <c r="H358" s="50">
        <f>PlanGrid[[#This Row],[Spec Wattage]]*PlanGrid[[#This Row],[Equipment Count]]</f>
        <v>21</v>
      </c>
      <c r="I358" s="50">
        <f>((PlanGrid[[#This Row],[Demand Watt]]*PlanGrid[[#This Row],[Utilization %]]*'Schedule-Building Info'!$N$16)/1000)</f>
        <v>114.97499999999999</v>
      </c>
      <c r="J358" s="57">
        <f>PlanGrid[[#This Row],[kWh/yr]]*' Elec Utility (kWh)'!$M$7</f>
        <v>12.257868782138575</v>
      </c>
      <c r="K358" s="49">
        <f>PlanGrid[[#This Row],[kWh/yr]]/'Schedule-Building Info'!$B$6</f>
        <v>1.8907563025210084E-3</v>
      </c>
      <c r="L358" s="50">
        <f>CONVERT(PlanGrid[[#This Row],[kWh/yr]],"Wh","BTU")</f>
        <v>392.31098426888508</v>
      </c>
      <c r="M358" s="38">
        <f>PlanGrid[[#This Row],[kBtu/yr]]/'Schedule-Building Info'!$B$6</f>
        <v>6.4515282979309817E-3</v>
      </c>
      <c r="N358" t="s">
        <v>1089</v>
      </c>
      <c r="O358">
        <v>0</v>
      </c>
      <c r="P358" t="str">
        <f>VLOOKUP(PlanGrid[[#This Row],[Title]],'Spec Wattages'!$A$1:$C$973,3,FALSE)</f>
        <v>Plug Load</v>
      </c>
      <c r="Q358" t="s">
        <v>689</v>
      </c>
      <c r="R358" t="s">
        <v>689</v>
      </c>
      <c r="S358" t="s">
        <v>11</v>
      </c>
    </row>
    <row r="359" spans="1:19" x14ac:dyDescent="0.25">
      <c r="A359">
        <v>905</v>
      </c>
      <c r="B359" t="s">
        <v>15</v>
      </c>
      <c r="C359" t="s">
        <v>16</v>
      </c>
      <c r="E359" s="50">
        <f>VLOOKUP(PlanGrid[[#This Row],[Title]],'Spec Wattages'!$A$1:$C$973,2,FALSE)</f>
        <v>21</v>
      </c>
      <c r="F359" s="38">
        <v>1</v>
      </c>
      <c r="G359" s="39">
        <v>1</v>
      </c>
      <c r="H359" s="50">
        <f>PlanGrid[[#This Row],[Spec Wattage]]*PlanGrid[[#This Row],[Equipment Count]]</f>
        <v>21</v>
      </c>
      <c r="I359" s="50">
        <f>((PlanGrid[[#This Row],[Demand Watt]]*PlanGrid[[#This Row],[Utilization %]]*'Schedule-Building Info'!$N$16)/1000)</f>
        <v>114.97499999999999</v>
      </c>
      <c r="J359" s="57">
        <f>PlanGrid[[#This Row],[kWh/yr]]*' Elec Utility (kWh)'!$M$7</f>
        <v>12.257868782138575</v>
      </c>
      <c r="K359" s="49">
        <f>PlanGrid[[#This Row],[kWh/yr]]/'Schedule-Building Info'!$B$6</f>
        <v>1.8907563025210084E-3</v>
      </c>
      <c r="L359" s="50">
        <f>CONVERT(PlanGrid[[#This Row],[kWh/yr]],"Wh","BTU")</f>
        <v>392.31098426888508</v>
      </c>
      <c r="M359" s="38">
        <f>PlanGrid[[#This Row],[kBtu/yr]]/'Schedule-Building Info'!$B$6</f>
        <v>6.4515282979309817E-3</v>
      </c>
      <c r="N359" t="s">
        <v>1089</v>
      </c>
      <c r="O359">
        <v>0</v>
      </c>
      <c r="P359" t="str">
        <f>VLOOKUP(PlanGrid[[#This Row],[Title]],'Spec Wattages'!$A$1:$C$973,3,FALSE)</f>
        <v>Plug Load</v>
      </c>
      <c r="Q359" t="s">
        <v>689</v>
      </c>
      <c r="R359" t="s">
        <v>689</v>
      </c>
      <c r="S359" t="s">
        <v>11</v>
      </c>
    </row>
    <row r="360" spans="1:19" x14ac:dyDescent="0.25">
      <c r="A360">
        <v>909</v>
      </c>
      <c r="B360" t="s">
        <v>15</v>
      </c>
      <c r="C360" t="s">
        <v>16</v>
      </c>
      <c r="E360" s="50">
        <f>VLOOKUP(PlanGrid[[#This Row],[Title]],'Spec Wattages'!$A$1:$C$973,2,FALSE)</f>
        <v>21</v>
      </c>
      <c r="F360" s="38">
        <v>1</v>
      </c>
      <c r="G360" s="39">
        <v>1</v>
      </c>
      <c r="H360" s="50">
        <f>PlanGrid[[#This Row],[Spec Wattage]]*PlanGrid[[#This Row],[Equipment Count]]</f>
        <v>21</v>
      </c>
      <c r="I360" s="50">
        <f>((PlanGrid[[#This Row],[Demand Watt]]*PlanGrid[[#This Row],[Utilization %]]*'Schedule-Building Info'!$N$16)/1000)</f>
        <v>114.97499999999999</v>
      </c>
      <c r="J360" s="57">
        <f>PlanGrid[[#This Row],[kWh/yr]]*' Elec Utility (kWh)'!$M$7</f>
        <v>12.257868782138575</v>
      </c>
      <c r="K360" s="49">
        <f>PlanGrid[[#This Row],[kWh/yr]]/'Schedule-Building Info'!$B$6</f>
        <v>1.8907563025210084E-3</v>
      </c>
      <c r="L360" s="50">
        <f>CONVERT(PlanGrid[[#This Row],[kWh/yr]],"Wh","BTU")</f>
        <v>392.31098426888508</v>
      </c>
      <c r="M360" s="38">
        <f>PlanGrid[[#This Row],[kBtu/yr]]/'Schedule-Building Info'!$B$6</f>
        <v>6.4515282979309817E-3</v>
      </c>
      <c r="N360" t="s">
        <v>1089</v>
      </c>
      <c r="O360">
        <v>0</v>
      </c>
      <c r="P360" t="str">
        <f>VLOOKUP(PlanGrid[[#This Row],[Title]],'Spec Wattages'!$A$1:$C$973,3,FALSE)</f>
        <v>Plug Load</v>
      </c>
      <c r="Q360" t="s">
        <v>697</v>
      </c>
      <c r="R360" t="s">
        <v>697</v>
      </c>
      <c r="S360" t="s">
        <v>11</v>
      </c>
    </row>
    <row r="361" spans="1:19" x14ac:dyDescent="0.25">
      <c r="A361">
        <v>948</v>
      </c>
      <c r="B361" t="s">
        <v>15</v>
      </c>
      <c r="C361" t="s">
        <v>16</v>
      </c>
      <c r="E361" s="50">
        <f>VLOOKUP(PlanGrid[[#This Row],[Title]],'Spec Wattages'!$A$1:$C$973,2,FALSE)</f>
        <v>21</v>
      </c>
      <c r="F361" s="38">
        <v>1</v>
      </c>
      <c r="G361" s="39">
        <v>1</v>
      </c>
      <c r="H361" s="50">
        <f>PlanGrid[[#This Row],[Spec Wattage]]*PlanGrid[[#This Row],[Equipment Count]]</f>
        <v>21</v>
      </c>
      <c r="I361" s="50">
        <f>((PlanGrid[[#This Row],[Demand Watt]]*PlanGrid[[#This Row],[Utilization %]]*'Schedule-Building Info'!$N$16)/1000)</f>
        <v>114.97499999999999</v>
      </c>
      <c r="J361" s="57">
        <f>PlanGrid[[#This Row],[kWh/yr]]*' Elec Utility (kWh)'!$M$7</f>
        <v>12.257868782138575</v>
      </c>
      <c r="K361" s="49">
        <f>PlanGrid[[#This Row],[kWh/yr]]/'Schedule-Building Info'!$B$6</f>
        <v>1.8907563025210084E-3</v>
      </c>
      <c r="L361" s="50">
        <f>CONVERT(PlanGrid[[#This Row],[kWh/yr]],"Wh","BTU")</f>
        <v>392.31098426888508</v>
      </c>
      <c r="M361" s="38">
        <f>PlanGrid[[#This Row],[kBtu/yr]]/'Schedule-Building Info'!$B$6</f>
        <v>6.4515282979309817E-3</v>
      </c>
      <c r="N361" t="s">
        <v>1089</v>
      </c>
      <c r="O361">
        <v>0</v>
      </c>
      <c r="P361" t="str">
        <f>VLOOKUP(PlanGrid[[#This Row],[Title]],'Spec Wattages'!$A$1:$C$973,3,FALSE)</f>
        <v>Plug Load</v>
      </c>
      <c r="Q361" t="s">
        <v>733</v>
      </c>
      <c r="R361" t="s">
        <v>733</v>
      </c>
      <c r="S361" t="s">
        <v>51</v>
      </c>
    </row>
    <row r="362" spans="1:19" x14ac:dyDescent="0.25">
      <c r="A362">
        <v>949</v>
      </c>
      <c r="B362" t="s">
        <v>15</v>
      </c>
      <c r="C362" t="s">
        <v>16</v>
      </c>
      <c r="E362" s="50">
        <f>VLOOKUP(PlanGrid[[#This Row],[Title]],'Spec Wattages'!$A$1:$C$973,2,FALSE)</f>
        <v>21</v>
      </c>
      <c r="F362" s="38">
        <v>1</v>
      </c>
      <c r="G362" s="39">
        <v>1</v>
      </c>
      <c r="H362" s="50">
        <f>PlanGrid[[#This Row],[Spec Wattage]]*PlanGrid[[#This Row],[Equipment Count]]</f>
        <v>21</v>
      </c>
      <c r="I362" s="50">
        <f>((PlanGrid[[#This Row],[Demand Watt]]*PlanGrid[[#This Row],[Utilization %]]*'Schedule-Building Info'!$N$16)/1000)</f>
        <v>114.97499999999999</v>
      </c>
      <c r="J362" s="57">
        <f>PlanGrid[[#This Row],[kWh/yr]]*' Elec Utility (kWh)'!$M$7</f>
        <v>12.257868782138575</v>
      </c>
      <c r="K362" s="49">
        <f>PlanGrid[[#This Row],[kWh/yr]]/'Schedule-Building Info'!$B$6</f>
        <v>1.8907563025210084E-3</v>
      </c>
      <c r="L362" s="50">
        <f>CONVERT(PlanGrid[[#This Row],[kWh/yr]],"Wh","BTU")</f>
        <v>392.31098426888508</v>
      </c>
      <c r="M362" s="38">
        <f>PlanGrid[[#This Row],[kBtu/yr]]/'Schedule-Building Info'!$B$6</f>
        <v>6.4515282979309817E-3</v>
      </c>
      <c r="N362" t="s">
        <v>1089</v>
      </c>
      <c r="O362">
        <v>0</v>
      </c>
      <c r="P362" t="str">
        <f>VLOOKUP(PlanGrid[[#This Row],[Title]],'Spec Wattages'!$A$1:$C$973,3,FALSE)</f>
        <v>Plug Load</v>
      </c>
      <c r="Q362" t="s">
        <v>733</v>
      </c>
      <c r="R362" t="s">
        <v>733</v>
      </c>
      <c r="S362" t="s">
        <v>51</v>
      </c>
    </row>
    <row r="363" spans="1:19" x14ac:dyDescent="0.25">
      <c r="A363">
        <v>951</v>
      </c>
      <c r="B363" t="s">
        <v>15</v>
      </c>
      <c r="C363" t="s">
        <v>16</v>
      </c>
      <c r="E363" s="50">
        <f>VLOOKUP(PlanGrid[[#This Row],[Title]],'Spec Wattages'!$A$1:$C$973,2,FALSE)</f>
        <v>21</v>
      </c>
      <c r="F363" s="38">
        <v>1</v>
      </c>
      <c r="G363" s="39">
        <v>1</v>
      </c>
      <c r="H363" s="50">
        <f>PlanGrid[[#This Row],[Spec Wattage]]*PlanGrid[[#This Row],[Equipment Count]]</f>
        <v>21</v>
      </c>
      <c r="I363" s="50">
        <f>((PlanGrid[[#This Row],[Demand Watt]]*PlanGrid[[#This Row],[Utilization %]]*'Schedule-Building Info'!$N$16)/1000)</f>
        <v>114.97499999999999</v>
      </c>
      <c r="J363" s="57">
        <f>PlanGrid[[#This Row],[kWh/yr]]*' Elec Utility (kWh)'!$M$7</f>
        <v>12.257868782138575</v>
      </c>
      <c r="K363" s="49">
        <f>PlanGrid[[#This Row],[kWh/yr]]/'Schedule-Building Info'!$B$6</f>
        <v>1.8907563025210084E-3</v>
      </c>
      <c r="L363" s="50">
        <f>CONVERT(PlanGrid[[#This Row],[kWh/yr]],"Wh","BTU")</f>
        <v>392.31098426888508</v>
      </c>
      <c r="M363" s="38">
        <f>PlanGrid[[#This Row],[kBtu/yr]]/'Schedule-Building Info'!$B$6</f>
        <v>6.4515282979309817E-3</v>
      </c>
      <c r="N363" t="s">
        <v>1089</v>
      </c>
      <c r="O363">
        <v>0</v>
      </c>
      <c r="P363" t="str">
        <f>VLOOKUP(PlanGrid[[#This Row],[Title]],'Spec Wattages'!$A$1:$C$973,3,FALSE)</f>
        <v>Plug Load</v>
      </c>
      <c r="Q363" t="s">
        <v>733</v>
      </c>
      <c r="R363" t="s">
        <v>733</v>
      </c>
      <c r="S363" t="s">
        <v>51</v>
      </c>
    </row>
    <row r="364" spans="1:19" x14ac:dyDescent="0.25">
      <c r="A364">
        <v>955</v>
      </c>
      <c r="B364" t="s">
        <v>15</v>
      </c>
      <c r="C364" t="s">
        <v>16</v>
      </c>
      <c r="E364" s="50">
        <f>VLOOKUP(PlanGrid[[#This Row],[Title]],'Spec Wattages'!$A$1:$C$973,2,FALSE)</f>
        <v>21</v>
      </c>
      <c r="F364" s="38">
        <v>1</v>
      </c>
      <c r="G364" s="39">
        <v>1</v>
      </c>
      <c r="H364" s="50">
        <f>PlanGrid[[#This Row],[Spec Wattage]]*PlanGrid[[#This Row],[Equipment Count]]</f>
        <v>21</v>
      </c>
      <c r="I364" s="50">
        <f>((PlanGrid[[#This Row],[Demand Watt]]*PlanGrid[[#This Row],[Utilization %]]*'Schedule-Building Info'!$N$16)/1000)</f>
        <v>114.97499999999999</v>
      </c>
      <c r="J364" s="57">
        <f>PlanGrid[[#This Row],[kWh/yr]]*' Elec Utility (kWh)'!$M$7</f>
        <v>12.257868782138575</v>
      </c>
      <c r="K364" s="49">
        <f>PlanGrid[[#This Row],[kWh/yr]]/'Schedule-Building Info'!$B$6</f>
        <v>1.8907563025210084E-3</v>
      </c>
      <c r="L364" s="50">
        <f>CONVERT(PlanGrid[[#This Row],[kWh/yr]],"Wh","BTU")</f>
        <v>392.31098426888508</v>
      </c>
      <c r="M364" s="38">
        <f>PlanGrid[[#This Row],[kBtu/yr]]/'Schedule-Building Info'!$B$6</f>
        <v>6.4515282979309817E-3</v>
      </c>
      <c r="N364" t="s">
        <v>1089</v>
      </c>
      <c r="O364">
        <v>0</v>
      </c>
      <c r="P364" t="str">
        <f>VLOOKUP(PlanGrid[[#This Row],[Title]],'Spec Wattages'!$A$1:$C$973,3,FALSE)</f>
        <v>Plug Load</v>
      </c>
      <c r="Q364" t="s">
        <v>736</v>
      </c>
      <c r="R364" t="s">
        <v>736</v>
      </c>
      <c r="S364" t="s">
        <v>11</v>
      </c>
    </row>
    <row r="365" spans="1:19" x14ac:dyDescent="0.25">
      <c r="A365">
        <v>956</v>
      </c>
      <c r="B365" t="s">
        <v>15</v>
      </c>
      <c r="C365" t="s">
        <v>16</v>
      </c>
      <c r="E365" s="50">
        <f>VLOOKUP(PlanGrid[[#This Row],[Title]],'Spec Wattages'!$A$1:$C$973,2,FALSE)</f>
        <v>21</v>
      </c>
      <c r="F365" s="38">
        <v>1</v>
      </c>
      <c r="G365" s="39">
        <v>1</v>
      </c>
      <c r="H365" s="50">
        <f>PlanGrid[[#This Row],[Spec Wattage]]*PlanGrid[[#This Row],[Equipment Count]]</f>
        <v>21</v>
      </c>
      <c r="I365" s="50">
        <f>((PlanGrid[[#This Row],[Demand Watt]]*PlanGrid[[#This Row],[Utilization %]]*'Schedule-Building Info'!$N$16)/1000)</f>
        <v>114.97499999999999</v>
      </c>
      <c r="J365" s="57">
        <f>PlanGrid[[#This Row],[kWh/yr]]*' Elec Utility (kWh)'!$M$7</f>
        <v>12.257868782138575</v>
      </c>
      <c r="K365" s="49">
        <f>PlanGrid[[#This Row],[kWh/yr]]/'Schedule-Building Info'!$B$6</f>
        <v>1.8907563025210084E-3</v>
      </c>
      <c r="L365" s="50">
        <f>CONVERT(PlanGrid[[#This Row],[kWh/yr]],"Wh","BTU")</f>
        <v>392.31098426888508</v>
      </c>
      <c r="M365" s="38">
        <f>PlanGrid[[#This Row],[kBtu/yr]]/'Schedule-Building Info'!$B$6</f>
        <v>6.4515282979309817E-3</v>
      </c>
      <c r="N365" t="s">
        <v>1089</v>
      </c>
      <c r="O365">
        <v>0</v>
      </c>
      <c r="P365" t="str">
        <f>VLOOKUP(PlanGrid[[#This Row],[Title]],'Spec Wattages'!$A$1:$C$973,3,FALSE)</f>
        <v>Plug Load</v>
      </c>
      <c r="Q365" t="s">
        <v>736</v>
      </c>
      <c r="R365" t="s">
        <v>736</v>
      </c>
      <c r="S365" t="s">
        <v>11</v>
      </c>
    </row>
    <row r="366" spans="1:19" x14ac:dyDescent="0.25">
      <c r="A366">
        <v>969</v>
      </c>
      <c r="B366" t="s">
        <v>15</v>
      </c>
      <c r="C366" t="s">
        <v>16</v>
      </c>
      <c r="E366" s="50">
        <f>VLOOKUP(PlanGrid[[#This Row],[Title]],'Spec Wattages'!$A$1:$C$973,2,FALSE)</f>
        <v>21</v>
      </c>
      <c r="F366" s="38">
        <v>1</v>
      </c>
      <c r="G366" s="39">
        <v>1</v>
      </c>
      <c r="H366" s="50">
        <f>PlanGrid[[#This Row],[Spec Wattage]]*PlanGrid[[#This Row],[Equipment Count]]</f>
        <v>21</v>
      </c>
      <c r="I366" s="50">
        <f>((PlanGrid[[#This Row],[Demand Watt]]*PlanGrid[[#This Row],[Utilization %]]*'Schedule-Building Info'!$N$16)/1000)</f>
        <v>114.97499999999999</v>
      </c>
      <c r="J366" s="57">
        <f>PlanGrid[[#This Row],[kWh/yr]]*' Elec Utility (kWh)'!$M$7</f>
        <v>12.257868782138575</v>
      </c>
      <c r="K366" s="49">
        <f>PlanGrid[[#This Row],[kWh/yr]]/'Schedule-Building Info'!$B$6</f>
        <v>1.8907563025210084E-3</v>
      </c>
      <c r="L366" s="50">
        <f>CONVERT(PlanGrid[[#This Row],[kWh/yr]],"Wh","BTU")</f>
        <v>392.31098426888508</v>
      </c>
      <c r="M366" s="38">
        <f>PlanGrid[[#This Row],[kBtu/yr]]/'Schedule-Building Info'!$B$6</f>
        <v>6.4515282979309817E-3</v>
      </c>
      <c r="N366" t="s">
        <v>1089</v>
      </c>
      <c r="O366">
        <v>0</v>
      </c>
      <c r="P366" t="str">
        <f>VLOOKUP(PlanGrid[[#This Row],[Title]],'Spec Wattages'!$A$1:$C$973,3,FALSE)</f>
        <v>Plug Load</v>
      </c>
      <c r="Q366" t="s">
        <v>745</v>
      </c>
      <c r="R366" t="s">
        <v>745</v>
      </c>
      <c r="S366" t="s">
        <v>11</v>
      </c>
    </row>
    <row r="367" spans="1:19" x14ac:dyDescent="0.25">
      <c r="A367">
        <v>970</v>
      </c>
      <c r="B367" t="s">
        <v>15</v>
      </c>
      <c r="C367" t="s">
        <v>16</v>
      </c>
      <c r="E367" s="50">
        <f>VLOOKUP(PlanGrid[[#This Row],[Title]],'Spec Wattages'!$A$1:$C$973,2,FALSE)</f>
        <v>21</v>
      </c>
      <c r="F367" s="38">
        <v>1</v>
      </c>
      <c r="G367" s="39">
        <v>1</v>
      </c>
      <c r="H367" s="50">
        <f>PlanGrid[[#This Row],[Spec Wattage]]*PlanGrid[[#This Row],[Equipment Count]]</f>
        <v>21</v>
      </c>
      <c r="I367" s="50">
        <f>((PlanGrid[[#This Row],[Demand Watt]]*PlanGrid[[#This Row],[Utilization %]]*'Schedule-Building Info'!$N$16)/1000)</f>
        <v>114.97499999999999</v>
      </c>
      <c r="J367" s="57">
        <f>PlanGrid[[#This Row],[kWh/yr]]*' Elec Utility (kWh)'!$M$7</f>
        <v>12.257868782138575</v>
      </c>
      <c r="K367" s="49">
        <f>PlanGrid[[#This Row],[kWh/yr]]/'Schedule-Building Info'!$B$6</f>
        <v>1.8907563025210084E-3</v>
      </c>
      <c r="L367" s="50">
        <f>CONVERT(PlanGrid[[#This Row],[kWh/yr]],"Wh","BTU")</f>
        <v>392.31098426888508</v>
      </c>
      <c r="M367" s="38">
        <f>PlanGrid[[#This Row],[kBtu/yr]]/'Schedule-Building Info'!$B$6</f>
        <v>6.4515282979309817E-3</v>
      </c>
      <c r="N367" t="s">
        <v>1089</v>
      </c>
      <c r="O367">
        <v>0</v>
      </c>
      <c r="P367" t="str">
        <f>VLOOKUP(PlanGrid[[#This Row],[Title]],'Spec Wattages'!$A$1:$C$973,3,FALSE)</f>
        <v>Plug Load</v>
      </c>
      <c r="Q367" t="s">
        <v>745</v>
      </c>
      <c r="R367" t="s">
        <v>745</v>
      </c>
      <c r="S367" t="s">
        <v>11</v>
      </c>
    </row>
    <row r="368" spans="1:19" x14ac:dyDescent="0.25">
      <c r="A368">
        <v>984</v>
      </c>
      <c r="B368" t="s">
        <v>15</v>
      </c>
      <c r="C368" t="s">
        <v>16</v>
      </c>
      <c r="E368" s="50">
        <f>VLOOKUP(PlanGrid[[#This Row],[Title]],'Spec Wattages'!$A$1:$C$973,2,FALSE)</f>
        <v>21</v>
      </c>
      <c r="F368" s="38">
        <v>1</v>
      </c>
      <c r="G368" s="39">
        <v>1</v>
      </c>
      <c r="H368" s="50">
        <f>PlanGrid[[#This Row],[Spec Wattage]]*PlanGrid[[#This Row],[Equipment Count]]</f>
        <v>21</v>
      </c>
      <c r="I368" s="50">
        <f>((PlanGrid[[#This Row],[Demand Watt]]*PlanGrid[[#This Row],[Utilization %]]*'Schedule-Building Info'!$N$16)/1000)</f>
        <v>114.97499999999999</v>
      </c>
      <c r="J368" s="57">
        <f>PlanGrid[[#This Row],[kWh/yr]]*' Elec Utility (kWh)'!$M$7</f>
        <v>12.257868782138575</v>
      </c>
      <c r="K368" s="49">
        <f>PlanGrid[[#This Row],[kWh/yr]]/'Schedule-Building Info'!$B$6</f>
        <v>1.8907563025210084E-3</v>
      </c>
      <c r="L368" s="50">
        <f>CONVERT(PlanGrid[[#This Row],[kWh/yr]],"Wh","BTU")</f>
        <v>392.31098426888508</v>
      </c>
      <c r="M368" s="38">
        <f>PlanGrid[[#This Row],[kBtu/yr]]/'Schedule-Building Info'!$B$6</f>
        <v>6.4515282979309817E-3</v>
      </c>
      <c r="N368" t="s">
        <v>1089</v>
      </c>
      <c r="O368">
        <v>0</v>
      </c>
      <c r="P368" t="str">
        <f>VLOOKUP(PlanGrid[[#This Row],[Title]],'Spec Wattages'!$A$1:$C$973,3,FALSE)</f>
        <v>Plug Load</v>
      </c>
      <c r="Q368" t="s">
        <v>753</v>
      </c>
      <c r="R368" t="s">
        <v>753</v>
      </c>
      <c r="S368" t="s">
        <v>11</v>
      </c>
    </row>
    <row r="369" spans="1:19" x14ac:dyDescent="0.25">
      <c r="A369">
        <v>985</v>
      </c>
      <c r="B369" t="s">
        <v>15</v>
      </c>
      <c r="C369" t="s">
        <v>16</v>
      </c>
      <c r="E369" s="50">
        <f>VLOOKUP(PlanGrid[[#This Row],[Title]],'Spec Wattages'!$A$1:$C$973,2,FALSE)</f>
        <v>21</v>
      </c>
      <c r="F369" s="38">
        <v>1</v>
      </c>
      <c r="G369" s="39">
        <v>1</v>
      </c>
      <c r="H369" s="50">
        <f>PlanGrid[[#This Row],[Spec Wattage]]*PlanGrid[[#This Row],[Equipment Count]]</f>
        <v>21</v>
      </c>
      <c r="I369" s="50">
        <f>((PlanGrid[[#This Row],[Demand Watt]]*PlanGrid[[#This Row],[Utilization %]]*'Schedule-Building Info'!$N$16)/1000)</f>
        <v>114.97499999999999</v>
      </c>
      <c r="J369" s="57">
        <f>PlanGrid[[#This Row],[kWh/yr]]*' Elec Utility (kWh)'!$M$7</f>
        <v>12.257868782138575</v>
      </c>
      <c r="K369" s="49">
        <f>PlanGrid[[#This Row],[kWh/yr]]/'Schedule-Building Info'!$B$6</f>
        <v>1.8907563025210084E-3</v>
      </c>
      <c r="L369" s="50">
        <f>CONVERT(PlanGrid[[#This Row],[kWh/yr]],"Wh","BTU")</f>
        <v>392.31098426888508</v>
      </c>
      <c r="M369" s="38">
        <f>PlanGrid[[#This Row],[kBtu/yr]]/'Schedule-Building Info'!$B$6</f>
        <v>6.4515282979309817E-3</v>
      </c>
      <c r="N369" t="s">
        <v>1089</v>
      </c>
      <c r="O369">
        <v>0</v>
      </c>
      <c r="P369" t="str">
        <f>VLOOKUP(PlanGrid[[#This Row],[Title]],'Spec Wattages'!$A$1:$C$973,3,FALSE)</f>
        <v>Plug Load</v>
      </c>
      <c r="Q369" t="s">
        <v>753</v>
      </c>
      <c r="R369" t="s">
        <v>753</v>
      </c>
      <c r="S369" t="s">
        <v>11</v>
      </c>
    </row>
    <row r="370" spans="1:19" x14ac:dyDescent="0.25">
      <c r="A370">
        <v>986</v>
      </c>
      <c r="B370" t="s">
        <v>15</v>
      </c>
      <c r="C370" t="s">
        <v>16</v>
      </c>
      <c r="E370" s="50">
        <f>VLOOKUP(PlanGrid[[#This Row],[Title]],'Spec Wattages'!$A$1:$C$973,2,FALSE)</f>
        <v>21</v>
      </c>
      <c r="F370" s="38">
        <v>1</v>
      </c>
      <c r="G370" s="39">
        <v>1</v>
      </c>
      <c r="H370" s="50">
        <f>PlanGrid[[#This Row],[Spec Wattage]]*PlanGrid[[#This Row],[Equipment Count]]</f>
        <v>21</v>
      </c>
      <c r="I370" s="50">
        <f>((PlanGrid[[#This Row],[Demand Watt]]*PlanGrid[[#This Row],[Utilization %]]*'Schedule-Building Info'!$N$16)/1000)</f>
        <v>114.97499999999999</v>
      </c>
      <c r="J370" s="57">
        <f>PlanGrid[[#This Row],[kWh/yr]]*' Elec Utility (kWh)'!$M$7</f>
        <v>12.257868782138575</v>
      </c>
      <c r="K370" s="49">
        <f>PlanGrid[[#This Row],[kWh/yr]]/'Schedule-Building Info'!$B$6</f>
        <v>1.8907563025210084E-3</v>
      </c>
      <c r="L370" s="50">
        <f>CONVERT(PlanGrid[[#This Row],[kWh/yr]],"Wh","BTU")</f>
        <v>392.31098426888508</v>
      </c>
      <c r="M370" s="38">
        <f>PlanGrid[[#This Row],[kBtu/yr]]/'Schedule-Building Info'!$B$6</f>
        <v>6.4515282979309817E-3</v>
      </c>
      <c r="N370" t="s">
        <v>1089</v>
      </c>
      <c r="O370">
        <v>0</v>
      </c>
      <c r="P370" t="str">
        <f>VLOOKUP(PlanGrid[[#This Row],[Title]],'Spec Wattages'!$A$1:$C$973,3,FALSE)</f>
        <v>Plug Load</v>
      </c>
      <c r="Q370" t="s">
        <v>753</v>
      </c>
      <c r="R370" t="s">
        <v>753</v>
      </c>
      <c r="S370" t="s">
        <v>11</v>
      </c>
    </row>
    <row r="371" spans="1:19" x14ac:dyDescent="0.25">
      <c r="A371">
        <v>995</v>
      </c>
      <c r="B371" t="s">
        <v>15</v>
      </c>
      <c r="C371" t="s">
        <v>16</v>
      </c>
      <c r="E371" s="50">
        <f>VLOOKUP(PlanGrid[[#This Row],[Title]],'Spec Wattages'!$A$1:$C$973,2,FALSE)</f>
        <v>21</v>
      </c>
      <c r="F371" s="38">
        <v>1</v>
      </c>
      <c r="G371" s="39">
        <v>1</v>
      </c>
      <c r="H371" s="50">
        <f>PlanGrid[[#This Row],[Spec Wattage]]*PlanGrid[[#This Row],[Equipment Count]]</f>
        <v>21</v>
      </c>
      <c r="I371" s="50">
        <f>((PlanGrid[[#This Row],[Demand Watt]]*PlanGrid[[#This Row],[Utilization %]]*'Schedule-Building Info'!$N$16)/1000)</f>
        <v>114.97499999999999</v>
      </c>
      <c r="J371" s="57">
        <f>PlanGrid[[#This Row],[kWh/yr]]*' Elec Utility (kWh)'!$M$7</f>
        <v>12.257868782138575</v>
      </c>
      <c r="K371" s="49">
        <f>PlanGrid[[#This Row],[kWh/yr]]/'Schedule-Building Info'!$B$6</f>
        <v>1.8907563025210084E-3</v>
      </c>
      <c r="L371" s="50">
        <f>CONVERT(PlanGrid[[#This Row],[kWh/yr]],"Wh","BTU")</f>
        <v>392.31098426888508</v>
      </c>
      <c r="M371" s="38">
        <f>PlanGrid[[#This Row],[kBtu/yr]]/'Schedule-Building Info'!$B$6</f>
        <v>6.4515282979309817E-3</v>
      </c>
      <c r="N371" t="s">
        <v>1089</v>
      </c>
      <c r="O371">
        <v>0</v>
      </c>
      <c r="P371" t="str">
        <f>VLOOKUP(PlanGrid[[#This Row],[Title]],'Spec Wattages'!$A$1:$C$973,3,FALSE)</f>
        <v>Plug Load</v>
      </c>
      <c r="Q371" t="s">
        <v>760</v>
      </c>
      <c r="R371" t="s">
        <v>1037</v>
      </c>
      <c r="S371" t="s">
        <v>11</v>
      </c>
    </row>
    <row r="372" spans="1:19" x14ac:dyDescent="0.25">
      <c r="A372">
        <v>996</v>
      </c>
      <c r="B372" t="s">
        <v>15</v>
      </c>
      <c r="C372" t="s">
        <v>16</v>
      </c>
      <c r="E372" s="50">
        <f>VLOOKUP(PlanGrid[[#This Row],[Title]],'Spec Wattages'!$A$1:$C$973,2,FALSE)</f>
        <v>21</v>
      </c>
      <c r="F372" s="38">
        <v>1</v>
      </c>
      <c r="G372" s="39">
        <v>1</v>
      </c>
      <c r="H372" s="50">
        <f>PlanGrid[[#This Row],[Spec Wattage]]*PlanGrid[[#This Row],[Equipment Count]]</f>
        <v>21</v>
      </c>
      <c r="I372" s="50">
        <f>((PlanGrid[[#This Row],[Demand Watt]]*PlanGrid[[#This Row],[Utilization %]]*'Schedule-Building Info'!$N$16)/1000)</f>
        <v>114.97499999999999</v>
      </c>
      <c r="J372" s="57">
        <f>PlanGrid[[#This Row],[kWh/yr]]*' Elec Utility (kWh)'!$M$7</f>
        <v>12.257868782138575</v>
      </c>
      <c r="K372" s="49">
        <f>PlanGrid[[#This Row],[kWh/yr]]/'Schedule-Building Info'!$B$6</f>
        <v>1.8907563025210084E-3</v>
      </c>
      <c r="L372" s="50">
        <f>CONVERT(PlanGrid[[#This Row],[kWh/yr]],"Wh","BTU")</f>
        <v>392.31098426888508</v>
      </c>
      <c r="M372" s="38">
        <f>PlanGrid[[#This Row],[kBtu/yr]]/'Schedule-Building Info'!$B$6</f>
        <v>6.4515282979309817E-3</v>
      </c>
      <c r="N372" t="s">
        <v>1089</v>
      </c>
      <c r="O372">
        <v>0</v>
      </c>
      <c r="P372" t="str">
        <f>VLOOKUP(PlanGrid[[#This Row],[Title]],'Spec Wattages'!$A$1:$C$973,3,FALSE)</f>
        <v>Plug Load</v>
      </c>
      <c r="Q372" t="s">
        <v>760</v>
      </c>
      <c r="R372" t="s">
        <v>1037</v>
      </c>
      <c r="S372" t="s">
        <v>11</v>
      </c>
    </row>
    <row r="373" spans="1:19" x14ac:dyDescent="0.25">
      <c r="A373">
        <v>1006</v>
      </c>
      <c r="B373" t="s">
        <v>15</v>
      </c>
      <c r="C373" t="s">
        <v>16</v>
      </c>
      <c r="E373" s="50">
        <f>VLOOKUP(PlanGrid[[#This Row],[Title]],'Spec Wattages'!$A$1:$C$973,2,FALSE)</f>
        <v>21</v>
      </c>
      <c r="F373" s="38">
        <v>1</v>
      </c>
      <c r="G373" s="39">
        <v>1</v>
      </c>
      <c r="H373" s="50">
        <f>PlanGrid[[#This Row],[Spec Wattage]]*PlanGrid[[#This Row],[Equipment Count]]</f>
        <v>21</v>
      </c>
      <c r="I373" s="50">
        <f>((PlanGrid[[#This Row],[Demand Watt]]*PlanGrid[[#This Row],[Utilization %]]*'Schedule-Building Info'!$N$16)/1000)</f>
        <v>114.97499999999999</v>
      </c>
      <c r="J373" s="57">
        <f>PlanGrid[[#This Row],[kWh/yr]]*' Elec Utility (kWh)'!$M$7</f>
        <v>12.257868782138575</v>
      </c>
      <c r="K373" s="49">
        <f>PlanGrid[[#This Row],[kWh/yr]]/'Schedule-Building Info'!$B$6</f>
        <v>1.8907563025210084E-3</v>
      </c>
      <c r="L373" s="50">
        <f>CONVERT(PlanGrid[[#This Row],[kWh/yr]],"Wh","BTU")</f>
        <v>392.31098426888508</v>
      </c>
      <c r="M373" s="38">
        <f>PlanGrid[[#This Row],[kBtu/yr]]/'Schedule-Building Info'!$B$6</f>
        <v>6.4515282979309817E-3</v>
      </c>
      <c r="N373" t="s">
        <v>1089</v>
      </c>
      <c r="O373">
        <v>0</v>
      </c>
      <c r="P373" t="str">
        <f>VLOOKUP(PlanGrid[[#This Row],[Title]],'Spec Wattages'!$A$1:$C$973,3,FALSE)</f>
        <v>Plug Load</v>
      </c>
      <c r="Q373" t="s">
        <v>704</v>
      </c>
      <c r="R373" t="s">
        <v>768</v>
      </c>
      <c r="S373" t="s">
        <v>11</v>
      </c>
    </row>
    <row r="374" spans="1:19" x14ac:dyDescent="0.25">
      <c r="A374">
        <v>1009</v>
      </c>
      <c r="B374" t="s">
        <v>15</v>
      </c>
      <c r="C374" t="s">
        <v>16</v>
      </c>
      <c r="E374" s="50">
        <f>VLOOKUP(PlanGrid[[#This Row],[Title]],'Spec Wattages'!$A$1:$C$973,2,FALSE)</f>
        <v>21</v>
      </c>
      <c r="F374" s="38">
        <v>1</v>
      </c>
      <c r="G374" s="39">
        <v>1</v>
      </c>
      <c r="H374" s="50">
        <f>PlanGrid[[#This Row],[Spec Wattage]]*PlanGrid[[#This Row],[Equipment Count]]</f>
        <v>21</v>
      </c>
      <c r="I374" s="50">
        <f>((PlanGrid[[#This Row],[Demand Watt]]*PlanGrid[[#This Row],[Utilization %]]*'Schedule-Building Info'!$N$16)/1000)</f>
        <v>114.97499999999999</v>
      </c>
      <c r="J374" s="57">
        <f>PlanGrid[[#This Row],[kWh/yr]]*' Elec Utility (kWh)'!$M$7</f>
        <v>12.257868782138575</v>
      </c>
      <c r="K374" s="49">
        <f>PlanGrid[[#This Row],[kWh/yr]]/'Schedule-Building Info'!$B$6</f>
        <v>1.8907563025210084E-3</v>
      </c>
      <c r="L374" s="50">
        <f>CONVERT(PlanGrid[[#This Row],[kWh/yr]],"Wh","BTU")</f>
        <v>392.31098426888508</v>
      </c>
      <c r="M374" s="38">
        <f>PlanGrid[[#This Row],[kBtu/yr]]/'Schedule-Building Info'!$B$6</f>
        <v>6.4515282979309817E-3</v>
      </c>
      <c r="N374" t="s">
        <v>1089</v>
      </c>
      <c r="O374">
        <v>0</v>
      </c>
      <c r="P374" t="str">
        <f>VLOOKUP(PlanGrid[[#This Row],[Title]],'Spec Wattages'!$A$1:$C$973,3,FALSE)</f>
        <v>Plug Load</v>
      </c>
      <c r="Q374" t="s">
        <v>768</v>
      </c>
      <c r="R374" t="s">
        <v>768</v>
      </c>
      <c r="S374" t="s">
        <v>11</v>
      </c>
    </row>
    <row r="375" spans="1:19" x14ac:dyDescent="0.25">
      <c r="A375">
        <v>1018</v>
      </c>
      <c r="B375" t="s">
        <v>15</v>
      </c>
      <c r="C375" t="s">
        <v>16</v>
      </c>
      <c r="E375" s="50">
        <f>VLOOKUP(PlanGrid[[#This Row],[Title]],'Spec Wattages'!$A$1:$C$973,2,FALSE)</f>
        <v>21</v>
      </c>
      <c r="F375" s="38">
        <v>1</v>
      </c>
      <c r="G375" s="39">
        <v>1</v>
      </c>
      <c r="H375" s="50">
        <f>PlanGrid[[#This Row],[Spec Wattage]]*PlanGrid[[#This Row],[Equipment Count]]</f>
        <v>21</v>
      </c>
      <c r="I375" s="50">
        <f>((PlanGrid[[#This Row],[Demand Watt]]*PlanGrid[[#This Row],[Utilization %]]*'Schedule-Building Info'!$N$16)/1000)</f>
        <v>114.97499999999999</v>
      </c>
      <c r="J375" s="57">
        <f>PlanGrid[[#This Row],[kWh/yr]]*' Elec Utility (kWh)'!$M$7</f>
        <v>12.257868782138575</v>
      </c>
      <c r="K375" s="49">
        <f>PlanGrid[[#This Row],[kWh/yr]]/'Schedule-Building Info'!$B$6</f>
        <v>1.8907563025210084E-3</v>
      </c>
      <c r="L375" s="50">
        <f>CONVERT(PlanGrid[[#This Row],[kWh/yr]],"Wh","BTU")</f>
        <v>392.31098426888508</v>
      </c>
      <c r="M375" s="38">
        <f>PlanGrid[[#This Row],[kBtu/yr]]/'Schedule-Building Info'!$B$6</f>
        <v>6.4515282979309817E-3</v>
      </c>
      <c r="N375" t="s">
        <v>1089</v>
      </c>
      <c r="O375">
        <v>0</v>
      </c>
      <c r="P375" t="str">
        <f>VLOOKUP(PlanGrid[[#This Row],[Title]],'Spec Wattages'!$A$1:$C$973,3,FALSE)</f>
        <v>Plug Load</v>
      </c>
      <c r="Q375" t="s">
        <v>760</v>
      </c>
      <c r="R375" t="s">
        <v>760</v>
      </c>
      <c r="S375" t="s">
        <v>11</v>
      </c>
    </row>
    <row r="376" spans="1:19" x14ac:dyDescent="0.25">
      <c r="A376">
        <v>1020</v>
      </c>
      <c r="B376" t="s">
        <v>15</v>
      </c>
      <c r="C376" t="s">
        <v>16</v>
      </c>
      <c r="E376" s="50">
        <f>VLOOKUP(PlanGrid[[#This Row],[Title]],'Spec Wattages'!$A$1:$C$973,2,FALSE)</f>
        <v>21</v>
      </c>
      <c r="F376" s="38">
        <v>1</v>
      </c>
      <c r="G376" s="39">
        <v>1</v>
      </c>
      <c r="H376" s="50">
        <f>PlanGrid[[#This Row],[Spec Wattage]]*PlanGrid[[#This Row],[Equipment Count]]</f>
        <v>21</v>
      </c>
      <c r="I376" s="50">
        <f>((PlanGrid[[#This Row],[Demand Watt]]*PlanGrid[[#This Row],[Utilization %]]*'Schedule-Building Info'!$N$16)/1000)</f>
        <v>114.97499999999999</v>
      </c>
      <c r="J376" s="57">
        <f>PlanGrid[[#This Row],[kWh/yr]]*' Elec Utility (kWh)'!$M$7</f>
        <v>12.257868782138575</v>
      </c>
      <c r="K376" s="49">
        <f>PlanGrid[[#This Row],[kWh/yr]]/'Schedule-Building Info'!$B$6</f>
        <v>1.8907563025210084E-3</v>
      </c>
      <c r="L376" s="50">
        <f>CONVERT(PlanGrid[[#This Row],[kWh/yr]],"Wh","BTU")</f>
        <v>392.31098426888508</v>
      </c>
      <c r="M376" s="38">
        <f>PlanGrid[[#This Row],[kBtu/yr]]/'Schedule-Building Info'!$B$6</f>
        <v>6.4515282979309817E-3</v>
      </c>
      <c r="N376" t="s">
        <v>1089</v>
      </c>
      <c r="O376">
        <v>0</v>
      </c>
      <c r="P376" t="str">
        <f>VLOOKUP(PlanGrid[[#This Row],[Title]],'Spec Wattages'!$A$1:$C$973,3,FALSE)</f>
        <v>Plug Load</v>
      </c>
      <c r="Q376" t="s">
        <v>760</v>
      </c>
      <c r="R376" t="s">
        <v>760</v>
      </c>
      <c r="S376" t="s">
        <v>11</v>
      </c>
    </row>
    <row r="377" spans="1:19" x14ac:dyDescent="0.25">
      <c r="A377">
        <v>1022</v>
      </c>
      <c r="B377" t="s">
        <v>15</v>
      </c>
      <c r="C377" t="s">
        <v>16</v>
      </c>
      <c r="E377" s="50">
        <f>VLOOKUP(PlanGrid[[#This Row],[Title]],'Spec Wattages'!$A$1:$C$973,2,FALSE)</f>
        <v>21</v>
      </c>
      <c r="F377" s="38">
        <v>1</v>
      </c>
      <c r="G377" s="39">
        <v>1</v>
      </c>
      <c r="H377" s="50">
        <f>PlanGrid[[#This Row],[Spec Wattage]]*PlanGrid[[#This Row],[Equipment Count]]</f>
        <v>21</v>
      </c>
      <c r="I377" s="50">
        <f>((PlanGrid[[#This Row],[Demand Watt]]*PlanGrid[[#This Row],[Utilization %]]*'Schedule-Building Info'!$N$16)/1000)</f>
        <v>114.97499999999999</v>
      </c>
      <c r="J377" s="57">
        <f>PlanGrid[[#This Row],[kWh/yr]]*' Elec Utility (kWh)'!$M$7</f>
        <v>12.257868782138575</v>
      </c>
      <c r="K377" s="49">
        <f>PlanGrid[[#This Row],[kWh/yr]]/'Schedule-Building Info'!$B$6</f>
        <v>1.8907563025210084E-3</v>
      </c>
      <c r="L377" s="50">
        <f>CONVERT(PlanGrid[[#This Row],[kWh/yr]],"Wh","BTU")</f>
        <v>392.31098426888508</v>
      </c>
      <c r="M377" s="38">
        <f>PlanGrid[[#This Row],[kBtu/yr]]/'Schedule-Building Info'!$B$6</f>
        <v>6.4515282979309817E-3</v>
      </c>
      <c r="N377" t="s">
        <v>1089</v>
      </c>
      <c r="O377">
        <v>0</v>
      </c>
      <c r="P377" t="str">
        <f>VLOOKUP(PlanGrid[[#This Row],[Title]],'Spec Wattages'!$A$1:$C$973,3,FALSE)</f>
        <v>Plug Load</v>
      </c>
      <c r="Q377" t="s">
        <v>760</v>
      </c>
      <c r="R377" t="s">
        <v>760</v>
      </c>
      <c r="S377" t="s">
        <v>11</v>
      </c>
    </row>
    <row r="378" spans="1:19" x14ac:dyDescent="0.25">
      <c r="A378">
        <v>1031</v>
      </c>
      <c r="B378" t="s">
        <v>15</v>
      </c>
      <c r="C378" t="s">
        <v>16</v>
      </c>
      <c r="E378" s="50">
        <f>VLOOKUP(PlanGrid[[#This Row],[Title]],'Spec Wattages'!$A$1:$C$973,2,FALSE)</f>
        <v>21</v>
      </c>
      <c r="F378" s="38">
        <v>1</v>
      </c>
      <c r="G378" s="39">
        <v>1</v>
      </c>
      <c r="H378" s="50">
        <f>PlanGrid[[#This Row],[Spec Wattage]]*PlanGrid[[#This Row],[Equipment Count]]</f>
        <v>21</v>
      </c>
      <c r="I378" s="50">
        <f>((PlanGrid[[#This Row],[Demand Watt]]*PlanGrid[[#This Row],[Utilization %]]*'Schedule-Building Info'!$N$16)/1000)</f>
        <v>114.97499999999999</v>
      </c>
      <c r="J378" s="57">
        <f>PlanGrid[[#This Row],[kWh/yr]]*' Elec Utility (kWh)'!$M$7</f>
        <v>12.257868782138575</v>
      </c>
      <c r="K378" s="49">
        <f>PlanGrid[[#This Row],[kWh/yr]]/'Schedule-Building Info'!$B$6</f>
        <v>1.8907563025210084E-3</v>
      </c>
      <c r="L378" s="50">
        <f>CONVERT(PlanGrid[[#This Row],[kWh/yr]],"Wh","BTU")</f>
        <v>392.31098426888508</v>
      </c>
      <c r="M378" s="38">
        <f>PlanGrid[[#This Row],[kBtu/yr]]/'Schedule-Building Info'!$B$6</f>
        <v>6.4515282979309817E-3</v>
      </c>
      <c r="N378" t="s">
        <v>1089</v>
      </c>
      <c r="O378">
        <v>0</v>
      </c>
      <c r="P378" t="str">
        <f>VLOOKUP(PlanGrid[[#This Row],[Title]],'Spec Wattages'!$A$1:$C$973,3,FALSE)</f>
        <v>Plug Load</v>
      </c>
      <c r="Q378" t="s">
        <v>780</v>
      </c>
      <c r="R378" t="s">
        <v>780</v>
      </c>
      <c r="S378" t="s">
        <v>11</v>
      </c>
    </row>
    <row r="379" spans="1:19" x14ac:dyDescent="0.25">
      <c r="A379">
        <v>1032</v>
      </c>
      <c r="B379" t="s">
        <v>15</v>
      </c>
      <c r="C379" t="s">
        <v>16</v>
      </c>
      <c r="E379" s="50">
        <f>VLOOKUP(PlanGrid[[#This Row],[Title]],'Spec Wattages'!$A$1:$C$973,2,FALSE)</f>
        <v>21</v>
      </c>
      <c r="F379" s="38">
        <v>1</v>
      </c>
      <c r="G379" s="39">
        <v>1</v>
      </c>
      <c r="H379" s="50">
        <f>PlanGrid[[#This Row],[Spec Wattage]]*PlanGrid[[#This Row],[Equipment Count]]</f>
        <v>21</v>
      </c>
      <c r="I379" s="50">
        <f>((PlanGrid[[#This Row],[Demand Watt]]*PlanGrid[[#This Row],[Utilization %]]*'Schedule-Building Info'!$N$16)/1000)</f>
        <v>114.97499999999999</v>
      </c>
      <c r="J379" s="57">
        <f>PlanGrid[[#This Row],[kWh/yr]]*' Elec Utility (kWh)'!$M$7</f>
        <v>12.257868782138575</v>
      </c>
      <c r="K379" s="49">
        <f>PlanGrid[[#This Row],[kWh/yr]]/'Schedule-Building Info'!$B$6</f>
        <v>1.8907563025210084E-3</v>
      </c>
      <c r="L379" s="50">
        <f>CONVERT(PlanGrid[[#This Row],[kWh/yr]],"Wh","BTU")</f>
        <v>392.31098426888508</v>
      </c>
      <c r="M379" s="38">
        <f>PlanGrid[[#This Row],[kBtu/yr]]/'Schedule-Building Info'!$B$6</f>
        <v>6.4515282979309817E-3</v>
      </c>
      <c r="N379" t="s">
        <v>1089</v>
      </c>
      <c r="O379">
        <v>0</v>
      </c>
      <c r="P379" t="str">
        <f>VLOOKUP(PlanGrid[[#This Row],[Title]],'Spec Wattages'!$A$1:$C$973,3,FALSE)</f>
        <v>Plug Load</v>
      </c>
      <c r="Q379" t="s">
        <v>780</v>
      </c>
      <c r="R379" t="s">
        <v>780</v>
      </c>
      <c r="S379" t="s">
        <v>11</v>
      </c>
    </row>
    <row r="380" spans="1:19" x14ac:dyDescent="0.25">
      <c r="A380">
        <v>1033</v>
      </c>
      <c r="B380" t="s">
        <v>15</v>
      </c>
      <c r="C380" t="s">
        <v>16</v>
      </c>
      <c r="E380" s="50">
        <f>VLOOKUP(PlanGrid[[#This Row],[Title]],'Spec Wattages'!$A$1:$C$973,2,FALSE)</f>
        <v>21</v>
      </c>
      <c r="F380" s="38">
        <v>1</v>
      </c>
      <c r="G380" s="39">
        <v>1</v>
      </c>
      <c r="H380" s="50">
        <f>PlanGrid[[#This Row],[Spec Wattage]]*PlanGrid[[#This Row],[Equipment Count]]</f>
        <v>21</v>
      </c>
      <c r="I380" s="50">
        <f>((PlanGrid[[#This Row],[Demand Watt]]*PlanGrid[[#This Row],[Utilization %]]*'Schedule-Building Info'!$N$16)/1000)</f>
        <v>114.97499999999999</v>
      </c>
      <c r="J380" s="57">
        <f>PlanGrid[[#This Row],[kWh/yr]]*' Elec Utility (kWh)'!$M$7</f>
        <v>12.257868782138575</v>
      </c>
      <c r="K380" s="49">
        <f>PlanGrid[[#This Row],[kWh/yr]]/'Schedule-Building Info'!$B$6</f>
        <v>1.8907563025210084E-3</v>
      </c>
      <c r="L380" s="50">
        <f>CONVERT(PlanGrid[[#This Row],[kWh/yr]],"Wh","BTU")</f>
        <v>392.31098426888508</v>
      </c>
      <c r="M380" s="38">
        <f>PlanGrid[[#This Row],[kBtu/yr]]/'Schedule-Building Info'!$B$6</f>
        <v>6.4515282979309817E-3</v>
      </c>
      <c r="N380" t="s">
        <v>1089</v>
      </c>
      <c r="O380">
        <v>0</v>
      </c>
      <c r="P380" t="str">
        <f>VLOOKUP(PlanGrid[[#This Row],[Title]],'Spec Wattages'!$A$1:$C$973,3,FALSE)</f>
        <v>Plug Load</v>
      </c>
      <c r="Q380" t="s">
        <v>780</v>
      </c>
      <c r="R380" t="s">
        <v>780</v>
      </c>
      <c r="S380" t="s">
        <v>11</v>
      </c>
    </row>
    <row r="381" spans="1:19" x14ac:dyDescent="0.25">
      <c r="A381">
        <v>1064</v>
      </c>
      <c r="B381" t="s">
        <v>15</v>
      </c>
      <c r="C381" t="s">
        <v>16</v>
      </c>
      <c r="E381" s="50">
        <f>VLOOKUP(PlanGrid[[#This Row],[Title]],'Spec Wattages'!$A$1:$C$973,2,FALSE)</f>
        <v>21</v>
      </c>
      <c r="F381" s="38">
        <v>1</v>
      </c>
      <c r="G381" s="39">
        <v>1</v>
      </c>
      <c r="H381" s="50">
        <f>PlanGrid[[#This Row],[Spec Wattage]]*PlanGrid[[#This Row],[Equipment Count]]</f>
        <v>21</v>
      </c>
      <c r="I381" s="50">
        <f>((PlanGrid[[#This Row],[Demand Watt]]*PlanGrid[[#This Row],[Utilization %]]*'Schedule-Building Info'!$N$16)/1000)</f>
        <v>114.97499999999999</v>
      </c>
      <c r="J381" s="57">
        <f>PlanGrid[[#This Row],[kWh/yr]]*' Elec Utility (kWh)'!$M$7</f>
        <v>12.257868782138575</v>
      </c>
      <c r="K381" s="49">
        <f>PlanGrid[[#This Row],[kWh/yr]]/'Schedule-Building Info'!$B$6</f>
        <v>1.8907563025210084E-3</v>
      </c>
      <c r="L381" s="50">
        <f>CONVERT(PlanGrid[[#This Row],[kWh/yr]],"Wh","BTU")</f>
        <v>392.31098426888508</v>
      </c>
      <c r="M381" s="38">
        <f>PlanGrid[[#This Row],[kBtu/yr]]/'Schedule-Building Info'!$B$6</f>
        <v>6.4515282979309817E-3</v>
      </c>
      <c r="N381" t="s">
        <v>1089</v>
      </c>
      <c r="O381">
        <v>0</v>
      </c>
      <c r="P381" t="str">
        <f>VLOOKUP(PlanGrid[[#This Row],[Title]],'Spec Wattages'!$A$1:$C$973,3,FALSE)</f>
        <v>Plug Load</v>
      </c>
      <c r="Q381" t="s">
        <v>776</v>
      </c>
      <c r="R381" t="s">
        <v>776</v>
      </c>
      <c r="S381" t="s">
        <v>51</v>
      </c>
    </row>
    <row r="382" spans="1:19" x14ac:dyDescent="0.25">
      <c r="A382">
        <v>1080</v>
      </c>
      <c r="B382" t="s">
        <v>15</v>
      </c>
      <c r="C382" t="s">
        <v>16</v>
      </c>
      <c r="E382" s="50">
        <f>VLOOKUP(PlanGrid[[#This Row],[Title]],'Spec Wattages'!$A$1:$C$973,2,FALSE)</f>
        <v>21</v>
      </c>
      <c r="F382" s="38">
        <v>1</v>
      </c>
      <c r="G382" s="39">
        <v>1</v>
      </c>
      <c r="H382" s="50">
        <f>PlanGrid[[#This Row],[Spec Wattage]]*PlanGrid[[#This Row],[Equipment Count]]</f>
        <v>21</v>
      </c>
      <c r="I382" s="50">
        <f>((PlanGrid[[#This Row],[Demand Watt]]*PlanGrid[[#This Row],[Utilization %]]*'Schedule-Building Info'!$N$16)/1000)</f>
        <v>114.97499999999999</v>
      </c>
      <c r="J382" s="57">
        <f>PlanGrid[[#This Row],[kWh/yr]]*' Elec Utility (kWh)'!$M$7</f>
        <v>12.257868782138575</v>
      </c>
      <c r="K382" s="49">
        <f>PlanGrid[[#This Row],[kWh/yr]]/'Schedule-Building Info'!$B$6</f>
        <v>1.8907563025210084E-3</v>
      </c>
      <c r="L382" s="50">
        <f>CONVERT(PlanGrid[[#This Row],[kWh/yr]],"Wh","BTU")</f>
        <v>392.31098426888508</v>
      </c>
      <c r="M382" s="38">
        <f>PlanGrid[[#This Row],[kBtu/yr]]/'Schedule-Building Info'!$B$6</f>
        <v>6.4515282979309817E-3</v>
      </c>
      <c r="N382" t="s">
        <v>1089</v>
      </c>
      <c r="O382">
        <v>0</v>
      </c>
      <c r="P382" t="str">
        <f>VLOOKUP(PlanGrid[[#This Row],[Title]],'Spec Wattages'!$A$1:$C$973,3,FALSE)</f>
        <v>Plug Load</v>
      </c>
      <c r="Q382" t="s">
        <v>777</v>
      </c>
      <c r="R382" t="s">
        <v>777</v>
      </c>
      <c r="S382" t="s">
        <v>11</v>
      </c>
    </row>
    <row r="383" spans="1:19" x14ac:dyDescent="0.25">
      <c r="A383">
        <v>1083</v>
      </c>
      <c r="B383" t="s">
        <v>15</v>
      </c>
      <c r="C383" t="s">
        <v>16</v>
      </c>
      <c r="E383" s="50">
        <f>VLOOKUP(PlanGrid[[#This Row],[Title]],'Spec Wattages'!$A$1:$C$973,2,FALSE)</f>
        <v>21</v>
      </c>
      <c r="F383" s="38">
        <v>1</v>
      </c>
      <c r="G383" s="39">
        <v>1</v>
      </c>
      <c r="H383" s="38">
        <f>PlanGrid[[#This Row],[Spec Wattage]]*PlanGrid[[#This Row],[Equipment Count]]</f>
        <v>21</v>
      </c>
      <c r="I383" s="38">
        <f>((PlanGrid[[#This Row],[Demand Watt]]*PlanGrid[[#This Row],[Utilization %]]*'Schedule-Building Info'!$N$16)/1000)</f>
        <v>114.97499999999999</v>
      </c>
      <c r="J383" s="57">
        <f>PlanGrid[[#This Row],[kWh/yr]]*' Elec Utility (kWh)'!$M$7</f>
        <v>12.257868782138575</v>
      </c>
      <c r="K383" s="38">
        <f>PlanGrid[[#This Row],[kWh/yr]]/'Schedule-Building Info'!$B$6</f>
        <v>1.8907563025210084E-3</v>
      </c>
      <c r="L383" s="50">
        <f>CONVERT(PlanGrid[[#This Row],[kWh/yr]],"Wh","BTU")</f>
        <v>392.31098426888508</v>
      </c>
      <c r="M383" s="38">
        <f>PlanGrid[[#This Row],[kBtu/yr]]/'Schedule-Building Info'!$B$6</f>
        <v>6.4515282979309817E-3</v>
      </c>
      <c r="N383" t="s">
        <v>1089</v>
      </c>
      <c r="O383">
        <v>0</v>
      </c>
      <c r="P383" t="str">
        <f>VLOOKUP(PlanGrid[[#This Row],[Title]],'Spec Wattages'!$A$1:$C$973,3,FALSE)</f>
        <v>Plug Load</v>
      </c>
      <c r="Q383" t="s">
        <v>777</v>
      </c>
      <c r="R383" t="s">
        <v>777</v>
      </c>
      <c r="S383" t="s">
        <v>11</v>
      </c>
    </row>
    <row r="384" spans="1:19" x14ac:dyDescent="0.25">
      <c r="A384">
        <v>662</v>
      </c>
      <c r="B384" t="s">
        <v>15</v>
      </c>
      <c r="C384" t="s">
        <v>16</v>
      </c>
      <c r="E384" s="50">
        <f>VLOOKUP(PlanGrid[[#This Row],[Title]],'Spec Wattages'!$A$1:$C$973,2,FALSE)</f>
        <v>21</v>
      </c>
      <c r="F384" s="38">
        <v>1</v>
      </c>
      <c r="G384" s="39">
        <v>1</v>
      </c>
      <c r="H384" s="50">
        <f>PlanGrid[[#This Row],[Spec Wattage]]*PlanGrid[[#This Row],[Equipment Count]]</f>
        <v>21</v>
      </c>
      <c r="I384" s="50">
        <f>((PlanGrid[[#This Row],[Demand Watt]]*PlanGrid[[#This Row],[Utilization %]]*'Schedule-Building Info'!$N$16)/1000)</f>
        <v>114.97499999999999</v>
      </c>
      <c r="J384" s="57">
        <f>PlanGrid[[#This Row],[kWh/yr]]*' Elec Utility (kWh)'!$M$7</f>
        <v>12.257868782138575</v>
      </c>
      <c r="K384" s="49">
        <f>PlanGrid[[#This Row],[kWh/yr]]/'Schedule-Building Info'!$B$6</f>
        <v>1.8907563025210084E-3</v>
      </c>
      <c r="L384" s="50">
        <f>CONVERT(PlanGrid[[#This Row],[kWh/yr]],"Wh","BTU")</f>
        <v>392.31098426888508</v>
      </c>
      <c r="M384" s="38">
        <f>PlanGrid[[#This Row],[kBtu/yr]]/'Schedule-Building Info'!$B$6</f>
        <v>6.4515282979309817E-3</v>
      </c>
      <c r="N384" t="s">
        <v>1090</v>
      </c>
      <c r="O384">
        <v>0</v>
      </c>
      <c r="P384" t="str">
        <f>VLOOKUP(PlanGrid[[#This Row],[Title]],'Spec Wattages'!$A$1:$C$973,3,FALSE)</f>
        <v>Plug Load</v>
      </c>
      <c r="Q384" t="s">
        <v>810</v>
      </c>
      <c r="R384" t="s">
        <v>810</v>
      </c>
      <c r="S384" t="s">
        <v>51</v>
      </c>
    </row>
    <row r="385" spans="1:19" x14ac:dyDescent="0.25">
      <c r="A385">
        <v>663</v>
      </c>
      <c r="B385" t="s">
        <v>15</v>
      </c>
      <c r="C385" t="s">
        <v>16</v>
      </c>
      <c r="E385" s="50">
        <f>VLOOKUP(PlanGrid[[#This Row],[Title]],'Spec Wattages'!$A$1:$C$973,2,FALSE)</f>
        <v>21</v>
      </c>
      <c r="F385" s="38">
        <v>1</v>
      </c>
      <c r="G385" s="39">
        <v>1</v>
      </c>
      <c r="H385" s="50">
        <f>PlanGrid[[#This Row],[Spec Wattage]]*PlanGrid[[#This Row],[Equipment Count]]</f>
        <v>21</v>
      </c>
      <c r="I385" s="50">
        <f>((PlanGrid[[#This Row],[Demand Watt]]*PlanGrid[[#This Row],[Utilization %]]*'Schedule-Building Info'!$N$16)/1000)</f>
        <v>114.97499999999999</v>
      </c>
      <c r="J385" s="57">
        <f>PlanGrid[[#This Row],[kWh/yr]]*' Elec Utility (kWh)'!$M$7</f>
        <v>12.257868782138575</v>
      </c>
      <c r="K385" s="49">
        <f>PlanGrid[[#This Row],[kWh/yr]]/'Schedule-Building Info'!$B$6</f>
        <v>1.8907563025210084E-3</v>
      </c>
      <c r="L385" s="50">
        <f>CONVERT(PlanGrid[[#This Row],[kWh/yr]],"Wh","BTU")</f>
        <v>392.31098426888508</v>
      </c>
      <c r="M385" s="38">
        <f>PlanGrid[[#This Row],[kBtu/yr]]/'Schedule-Building Info'!$B$6</f>
        <v>6.4515282979309817E-3</v>
      </c>
      <c r="N385" t="s">
        <v>1090</v>
      </c>
      <c r="O385">
        <v>0</v>
      </c>
      <c r="P385" t="str">
        <f>VLOOKUP(PlanGrid[[#This Row],[Title]],'Spec Wattages'!$A$1:$C$973,3,FALSE)</f>
        <v>Plug Load</v>
      </c>
      <c r="Q385" t="s">
        <v>810</v>
      </c>
      <c r="R385" t="s">
        <v>810</v>
      </c>
      <c r="S385" t="s">
        <v>51</v>
      </c>
    </row>
    <row r="386" spans="1:19" x14ac:dyDescent="0.25">
      <c r="A386">
        <v>672</v>
      </c>
      <c r="B386" t="s">
        <v>15</v>
      </c>
      <c r="C386" t="s">
        <v>16</v>
      </c>
      <c r="E386" s="50">
        <f>VLOOKUP(PlanGrid[[#This Row],[Title]],'Spec Wattages'!$A$1:$C$973,2,FALSE)</f>
        <v>21</v>
      </c>
      <c r="F386" s="38">
        <v>1</v>
      </c>
      <c r="G386" s="39">
        <v>1</v>
      </c>
      <c r="H386" s="50">
        <f>PlanGrid[[#This Row],[Spec Wattage]]*PlanGrid[[#This Row],[Equipment Count]]</f>
        <v>21</v>
      </c>
      <c r="I386" s="50">
        <f>((PlanGrid[[#This Row],[Demand Watt]]*PlanGrid[[#This Row],[Utilization %]]*'Schedule-Building Info'!$N$16)/1000)</f>
        <v>114.97499999999999</v>
      </c>
      <c r="J386" s="57">
        <f>PlanGrid[[#This Row],[kWh/yr]]*' Elec Utility (kWh)'!$M$7</f>
        <v>12.257868782138575</v>
      </c>
      <c r="K386" s="49">
        <f>PlanGrid[[#This Row],[kWh/yr]]/'Schedule-Building Info'!$B$6</f>
        <v>1.8907563025210084E-3</v>
      </c>
      <c r="L386" s="50">
        <f>CONVERT(PlanGrid[[#This Row],[kWh/yr]],"Wh","BTU")</f>
        <v>392.31098426888508</v>
      </c>
      <c r="M386" s="38">
        <f>PlanGrid[[#This Row],[kBtu/yr]]/'Schedule-Building Info'!$B$6</f>
        <v>6.4515282979309817E-3</v>
      </c>
      <c r="N386" t="s">
        <v>1090</v>
      </c>
      <c r="O386">
        <v>0</v>
      </c>
      <c r="P386" t="str">
        <f>VLOOKUP(PlanGrid[[#This Row],[Title]],'Spec Wattages'!$A$1:$C$973,3,FALSE)</f>
        <v>Plug Load</v>
      </c>
      <c r="Q386" t="s">
        <v>833</v>
      </c>
      <c r="R386" t="s">
        <v>833</v>
      </c>
      <c r="S386" t="s">
        <v>11</v>
      </c>
    </row>
    <row r="387" spans="1:19" x14ac:dyDescent="0.25">
      <c r="A387">
        <v>674</v>
      </c>
      <c r="B387" t="s">
        <v>15</v>
      </c>
      <c r="C387" t="s">
        <v>16</v>
      </c>
      <c r="E387" s="50">
        <f>VLOOKUP(PlanGrid[[#This Row],[Title]],'Spec Wattages'!$A$1:$C$973,2,FALSE)</f>
        <v>21</v>
      </c>
      <c r="F387" s="38">
        <v>1</v>
      </c>
      <c r="G387" s="39">
        <v>1</v>
      </c>
      <c r="H387" s="50">
        <f>PlanGrid[[#This Row],[Spec Wattage]]*PlanGrid[[#This Row],[Equipment Count]]</f>
        <v>21</v>
      </c>
      <c r="I387" s="50">
        <f>((PlanGrid[[#This Row],[Demand Watt]]*PlanGrid[[#This Row],[Utilization %]]*'Schedule-Building Info'!$N$16)/1000)</f>
        <v>114.97499999999999</v>
      </c>
      <c r="J387" s="57">
        <f>PlanGrid[[#This Row],[kWh/yr]]*' Elec Utility (kWh)'!$M$7</f>
        <v>12.257868782138575</v>
      </c>
      <c r="K387" s="49">
        <f>PlanGrid[[#This Row],[kWh/yr]]/'Schedule-Building Info'!$B$6</f>
        <v>1.8907563025210084E-3</v>
      </c>
      <c r="L387" s="50">
        <f>CONVERT(PlanGrid[[#This Row],[kWh/yr]],"Wh","BTU")</f>
        <v>392.31098426888508</v>
      </c>
      <c r="M387" s="38">
        <f>PlanGrid[[#This Row],[kBtu/yr]]/'Schedule-Building Info'!$B$6</f>
        <v>6.4515282979309817E-3</v>
      </c>
      <c r="N387" t="s">
        <v>1090</v>
      </c>
      <c r="O387">
        <v>0</v>
      </c>
      <c r="P387" t="str">
        <f>VLOOKUP(PlanGrid[[#This Row],[Title]],'Spec Wattages'!$A$1:$C$973,3,FALSE)</f>
        <v>Plug Load</v>
      </c>
      <c r="Q387" t="s">
        <v>812</v>
      </c>
      <c r="R387" t="s">
        <v>812</v>
      </c>
      <c r="S387" t="s">
        <v>11</v>
      </c>
    </row>
    <row r="388" spans="1:19" x14ac:dyDescent="0.25">
      <c r="A388">
        <v>675</v>
      </c>
      <c r="B388" t="s">
        <v>15</v>
      </c>
      <c r="C388" t="s">
        <v>16</v>
      </c>
      <c r="E388" s="50">
        <f>VLOOKUP(PlanGrid[[#This Row],[Title]],'Spec Wattages'!$A$1:$C$973,2,FALSE)</f>
        <v>21</v>
      </c>
      <c r="F388" s="38">
        <v>1</v>
      </c>
      <c r="G388" s="39">
        <v>1</v>
      </c>
      <c r="H388" s="50">
        <f>PlanGrid[[#This Row],[Spec Wattage]]*PlanGrid[[#This Row],[Equipment Count]]</f>
        <v>21</v>
      </c>
      <c r="I388" s="50">
        <f>((PlanGrid[[#This Row],[Demand Watt]]*PlanGrid[[#This Row],[Utilization %]]*'Schedule-Building Info'!$N$16)/1000)</f>
        <v>114.97499999999999</v>
      </c>
      <c r="J388" s="57">
        <f>PlanGrid[[#This Row],[kWh/yr]]*' Elec Utility (kWh)'!$M$7</f>
        <v>12.257868782138575</v>
      </c>
      <c r="K388" s="49">
        <f>PlanGrid[[#This Row],[kWh/yr]]/'Schedule-Building Info'!$B$6</f>
        <v>1.8907563025210084E-3</v>
      </c>
      <c r="L388" s="50">
        <f>CONVERT(PlanGrid[[#This Row],[kWh/yr]],"Wh","BTU")</f>
        <v>392.31098426888508</v>
      </c>
      <c r="M388" s="38">
        <f>PlanGrid[[#This Row],[kBtu/yr]]/'Schedule-Building Info'!$B$6</f>
        <v>6.4515282979309817E-3</v>
      </c>
      <c r="N388" t="s">
        <v>1090</v>
      </c>
      <c r="O388">
        <v>0</v>
      </c>
      <c r="P388" t="str">
        <f>VLOOKUP(PlanGrid[[#This Row],[Title]],'Spec Wattages'!$A$1:$C$973,3,FALSE)</f>
        <v>Plug Load</v>
      </c>
      <c r="Q388" t="s">
        <v>812</v>
      </c>
      <c r="R388" t="s">
        <v>812</v>
      </c>
      <c r="S388" t="s">
        <v>11</v>
      </c>
    </row>
    <row r="389" spans="1:19" x14ac:dyDescent="0.25">
      <c r="A389">
        <v>683</v>
      </c>
      <c r="B389" t="s">
        <v>15</v>
      </c>
      <c r="C389" t="s">
        <v>16</v>
      </c>
      <c r="E389" s="50">
        <f>VLOOKUP(PlanGrid[[#This Row],[Title]],'Spec Wattages'!$A$1:$C$973,2,FALSE)</f>
        <v>21</v>
      </c>
      <c r="F389" s="38">
        <v>1</v>
      </c>
      <c r="G389" s="39">
        <v>1</v>
      </c>
      <c r="H389" s="50">
        <f>PlanGrid[[#This Row],[Spec Wattage]]*PlanGrid[[#This Row],[Equipment Count]]</f>
        <v>21</v>
      </c>
      <c r="I389" s="50">
        <f>((PlanGrid[[#This Row],[Demand Watt]]*PlanGrid[[#This Row],[Utilization %]]*'Schedule-Building Info'!$N$16)/1000)</f>
        <v>114.97499999999999</v>
      </c>
      <c r="J389" s="57">
        <f>PlanGrid[[#This Row],[kWh/yr]]*' Elec Utility (kWh)'!$M$7</f>
        <v>12.257868782138575</v>
      </c>
      <c r="K389" s="49">
        <f>PlanGrid[[#This Row],[kWh/yr]]/'Schedule-Building Info'!$B$6</f>
        <v>1.8907563025210084E-3</v>
      </c>
      <c r="L389" s="50">
        <f>CONVERT(PlanGrid[[#This Row],[kWh/yr]],"Wh","BTU")</f>
        <v>392.31098426888508</v>
      </c>
      <c r="M389" s="38">
        <f>PlanGrid[[#This Row],[kBtu/yr]]/'Schedule-Building Info'!$B$6</f>
        <v>6.4515282979309817E-3</v>
      </c>
      <c r="N389" t="s">
        <v>1090</v>
      </c>
      <c r="O389">
        <v>0</v>
      </c>
      <c r="P389" t="str">
        <f>VLOOKUP(PlanGrid[[#This Row],[Title]],'Spec Wattages'!$A$1:$C$973,3,FALSE)</f>
        <v>Plug Load</v>
      </c>
      <c r="Q389" t="s">
        <v>719</v>
      </c>
      <c r="R389" t="s">
        <v>719</v>
      </c>
      <c r="S389" t="s">
        <v>11</v>
      </c>
    </row>
    <row r="390" spans="1:19" x14ac:dyDescent="0.25">
      <c r="A390">
        <v>684</v>
      </c>
      <c r="B390" t="s">
        <v>15</v>
      </c>
      <c r="C390" t="s">
        <v>16</v>
      </c>
      <c r="E390" s="50">
        <f>VLOOKUP(PlanGrid[[#This Row],[Title]],'Spec Wattages'!$A$1:$C$973,2,FALSE)</f>
        <v>21</v>
      </c>
      <c r="F390" s="38">
        <v>1</v>
      </c>
      <c r="G390" s="39">
        <v>1</v>
      </c>
      <c r="H390" s="50">
        <f>PlanGrid[[#This Row],[Spec Wattage]]*PlanGrid[[#This Row],[Equipment Count]]</f>
        <v>21</v>
      </c>
      <c r="I390" s="50">
        <f>((PlanGrid[[#This Row],[Demand Watt]]*PlanGrid[[#This Row],[Utilization %]]*'Schedule-Building Info'!$N$16)/1000)</f>
        <v>114.97499999999999</v>
      </c>
      <c r="J390" s="57">
        <f>PlanGrid[[#This Row],[kWh/yr]]*' Elec Utility (kWh)'!$M$7</f>
        <v>12.257868782138575</v>
      </c>
      <c r="K390" s="49">
        <f>PlanGrid[[#This Row],[kWh/yr]]/'Schedule-Building Info'!$B$6</f>
        <v>1.8907563025210084E-3</v>
      </c>
      <c r="L390" s="50">
        <f>CONVERT(PlanGrid[[#This Row],[kWh/yr]],"Wh","BTU")</f>
        <v>392.31098426888508</v>
      </c>
      <c r="M390" s="38">
        <f>PlanGrid[[#This Row],[kBtu/yr]]/'Schedule-Building Info'!$B$6</f>
        <v>6.4515282979309817E-3</v>
      </c>
      <c r="N390" t="s">
        <v>1090</v>
      </c>
      <c r="O390">
        <v>0</v>
      </c>
      <c r="P390" t="str">
        <f>VLOOKUP(PlanGrid[[#This Row],[Title]],'Spec Wattages'!$A$1:$C$973,3,FALSE)</f>
        <v>Plug Load</v>
      </c>
      <c r="Q390" t="s">
        <v>719</v>
      </c>
      <c r="R390" t="s">
        <v>719</v>
      </c>
      <c r="S390" t="s">
        <v>11</v>
      </c>
    </row>
    <row r="391" spans="1:19" x14ac:dyDescent="0.25">
      <c r="A391">
        <v>693</v>
      </c>
      <c r="B391" t="s">
        <v>15</v>
      </c>
      <c r="C391" t="s">
        <v>16</v>
      </c>
      <c r="E391" s="50">
        <f>VLOOKUP(PlanGrid[[#This Row],[Title]],'Spec Wattages'!$A$1:$C$973,2,FALSE)</f>
        <v>21</v>
      </c>
      <c r="F391" s="38">
        <v>1</v>
      </c>
      <c r="G391" s="39">
        <v>1</v>
      </c>
      <c r="H391" s="50">
        <f>PlanGrid[[#This Row],[Spec Wattage]]*PlanGrid[[#This Row],[Equipment Count]]</f>
        <v>21</v>
      </c>
      <c r="I391" s="50">
        <f>((PlanGrid[[#This Row],[Demand Watt]]*PlanGrid[[#This Row],[Utilization %]]*'Schedule-Building Info'!$N$16)/1000)</f>
        <v>114.97499999999999</v>
      </c>
      <c r="J391" s="57">
        <f>PlanGrid[[#This Row],[kWh/yr]]*' Elec Utility (kWh)'!$M$7</f>
        <v>12.257868782138575</v>
      </c>
      <c r="K391" s="49">
        <f>PlanGrid[[#This Row],[kWh/yr]]/'Schedule-Building Info'!$B$6</f>
        <v>1.8907563025210084E-3</v>
      </c>
      <c r="L391" s="50">
        <f>CONVERT(PlanGrid[[#This Row],[kWh/yr]],"Wh","BTU")</f>
        <v>392.31098426888508</v>
      </c>
      <c r="M391" s="38">
        <f>PlanGrid[[#This Row],[kBtu/yr]]/'Schedule-Building Info'!$B$6</f>
        <v>6.4515282979309817E-3</v>
      </c>
      <c r="N391" t="s">
        <v>1090</v>
      </c>
      <c r="O391">
        <v>0</v>
      </c>
      <c r="P391" t="str">
        <f>VLOOKUP(PlanGrid[[#This Row],[Title]],'Spec Wattages'!$A$1:$C$973,3,FALSE)</f>
        <v>Plug Load</v>
      </c>
      <c r="Q391" t="s">
        <v>720</v>
      </c>
      <c r="R391" t="s">
        <v>720</v>
      </c>
      <c r="S391" t="s">
        <v>51</v>
      </c>
    </row>
    <row r="392" spans="1:19" x14ac:dyDescent="0.25">
      <c r="A392">
        <v>700</v>
      </c>
      <c r="B392" t="s">
        <v>15</v>
      </c>
      <c r="C392" t="s">
        <v>16</v>
      </c>
      <c r="E392" s="50">
        <f>VLOOKUP(PlanGrid[[#This Row],[Title]],'Spec Wattages'!$A$1:$C$973,2,FALSE)</f>
        <v>21</v>
      </c>
      <c r="F392" s="38">
        <v>1</v>
      </c>
      <c r="G392" s="39">
        <v>1</v>
      </c>
      <c r="H392" s="50">
        <f>PlanGrid[[#This Row],[Spec Wattage]]*PlanGrid[[#This Row],[Equipment Count]]</f>
        <v>21</v>
      </c>
      <c r="I392" s="50">
        <f>((PlanGrid[[#This Row],[Demand Watt]]*PlanGrid[[#This Row],[Utilization %]]*'Schedule-Building Info'!$N$16)/1000)</f>
        <v>114.97499999999999</v>
      </c>
      <c r="J392" s="57">
        <f>PlanGrid[[#This Row],[kWh/yr]]*' Elec Utility (kWh)'!$M$7</f>
        <v>12.257868782138575</v>
      </c>
      <c r="K392" s="49">
        <f>PlanGrid[[#This Row],[kWh/yr]]/'Schedule-Building Info'!$B$6</f>
        <v>1.8907563025210084E-3</v>
      </c>
      <c r="L392" s="50">
        <f>CONVERT(PlanGrid[[#This Row],[kWh/yr]],"Wh","BTU")</f>
        <v>392.31098426888508</v>
      </c>
      <c r="M392" s="38">
        <f>PlanGrid[[#This Row],[kBtu/yr]]/'Schedule-Building Info'!$B$6</f>
        <v>6.4515282979309817E-3</v>
      </c>
      <c r="N392" t="s">
        <v>1090</v>
      </c>
      <c r="O392">
        <v>0</v>
      </c>
      <c r="P392" t="str">
        <f>VLOOKUP(PlanGrid[[#This Row],[Title]],'Spec Wattages'!$A$1:$C$973,3,FALSE)</f>
        <v>Plug Load</v>
      </c>
      <c r="Q392" t="s">
        <v>815</v>
      </c>
      <c r="R392" t="s">
        <v>815</v>
      </c>
      <c r="S392" t="s">
        <v>51</v>
      </c>
    </row>
    <row r="393" spans="1:19" x14ac:dyDescent="0.25">
      <c r="A393">
        <v>702</v>
      </c>
      <c r="B393" t="s">
        <v>15</v>
      </c>
      <c r="C393" t="s">
        <v>16</v>
      </c>
      <c r="E393" s="50">
        <f>VLOOKUP(PlanGrid[[#This Row],[Title]],'Spec Wattages'!$A$1:$C$973,2,FALSE)</f>
        <v>21</v>
      </c>
      <c r="F393" s="38">
        <v>1</v>
      </c>
      <c r="G393" s="39">
        <v>1</v>
      </c>
      <c r="H393" s="50">
        <f>PlanGrid[[#This Row],[Spec Wattage]]*PlanGrid[[#This Row],[Equipment Count]]</f>
        <v>21</v>
      </c>
      <c r="I393" s="50">
        <f>((PlanGrid[[#This Row],[Demand Watt]]*PlanGrid[[#This Row],[Utilization %]]*'Schedule-Building Info'!$N$16)/1000)</f>
        <v>114.97499999999999</v>
      </c>
      <c r="J393" s="57">
        <f>PlanGrid[[#This Row],[kWh/yr]]*' Elec Utility (kWh)'!$M$7</f>
        <v>12.257868782138575</v>
      </c>
      <c r="K393" s="49">
        <f>PlanGrid[[#This Row],[kWh/yr]]/'Schedule-Building Info'!$B$6</f>
        <v>1.8907563025210084E-3</v>
      </c>
      <c r="L393" s="50">
        <f>CONVERT(PlanGrid[[#This Row],[kWh/yr]],"Wh","BTU")</f>
        <v>392.31098426888508</v>
      </c>
      <c r="M393" s="38">
        <f>PlanGrid[[#This Row],[kBtu/yr]]/'Schedule-Building Info'!$B$6</f>
        <v>6.4515282979309817E-3</v>
      </c>
      <c r="N393" t="s">
        <v>1090</v>
      </c>
      <c r="O393">
        <v>0</v>
      </c>
      <c r="P393" t="str">
        <f>VLOOKUP(PlanGrid[[#This Row],[Title]],'Spec Wattages'!$A$1:$C$973,3,FALSE)</f>
        <v>Plug Load</v>
      </c>
      <c r="Q393" t="s">
        <v>815</v>
      </c>
      <c r="R393" t="s">
        <v>815</v>
      </c>
      <c r="S393" t="s">
        <v>51</v>
      </c>
    </row>
    <row r="394" spans="1:19" x14ac:dyDescent="0.25">
      <c r="A394">
        <v>707</v>
      </c>
      <c r="B394" t="s">
        <v>15</v>
      </c>
      <c r="C394" t="s">
        <v>16</v>
      </c>
      <c r="E394" s="50">
        <f>VLOOKUP(PlanGrid[[#This Row],[Title]],'Spec Wattages'!$A$1:$C$973,2,FALSE)</f>
        <v>21</v>
      </c>
      <c r="F394" s="38">
        <v>1</v>
      </c>
      <c r="G394" s="39">
        <v>1</v>
      </c>
      <c r="H394" s="50">
        <f>PlanGrid[[#This Row],[Spec Wattage]]*PlanGrid[[#This Row],[Equipment Count]]</f>
        <v>21</v>
      </c>
      <c r="I394" s="50">
        <f>((PlanGrid[[#This Row],[Demand Watt]]*PlanGrid[[#This Row],[Utilization %]]*'Schedule-Building Info'!$N$16)/1000)</f>
        <v>114.97499999999999</v>
      </c>
      <c r="J394" s="57">
        <f>PlanGrid[[#This Row],[kWh/yr]]*' Elec Utility (kWh)'!$M$7</f>
        <v>12.257868782138575</v>
      </c>
      <c r="K394" s="49">
        <f>PlanGrid[[#This Row],[kWh/yr]]/'Schedule-Building Info'!$B$6</f>
        <v>1.8907563025210084E-3</v>
      </c>
      <c r="L394" s="50">
        <f>CONVERT(PlanGrid[[#This Row],[kWh/yr]],"Wh","BTU")</f>
        <v>392.31098426888508</v>
      </c>
      <c r="M394" s="38">
        <f>PlanGrid[[#This Row],[kBtu/yr]]/'Schedule-Building Info'!$B$6</f>
        <v>6.4515282979309817E-3</v>
      </c>
      <c r="N394" t="s">
        <v>1090</v>
      </c>
      <c r="O394">
        <v>0</v>
      </c>
      <c r="P394" t="str">
        <f>VLOOKUP(PlanGrid[[#This Row],[Title]],'Spec Wattages'!$A$1:$C$973,3,FALSE)</f>
        <v>Plug Load</v>
      </c>
      <c r="Q394" t="s">
        <v>816</v>
      </c>
      <c r="R394" t="s">
        <v>816</v>
      </c>
      <c r="S394" t="s">
        <v>51</v>
      </c>
    </row>
    <row r="395" spans="1:19" x14ac:dyDescent="0.25">
      <c r="A395" s="3">
        <v>730</v>
      </c>
      <c r="B395" t="s">
        <v>15</v>
      </c>
      <c r="C395" t="s">
        <v>16</v>
      </c>
      <c r="E395" s="50">
        <f>VLOOKUP(PlanGrid[[#This Row],[Title]],'Spec Wattages'!$A$1:$C$973,2,FALSE)</f>
        <v>21</v>
      </c>
      <c r="F395" s="38">
        <v>1</v>
      </c>
      <c r="G395" s="39">
        <v>1</v>
      </c>
      <c r="H395" s="58">
        <f>PlanGrid[[#This Row],[Spec Wattage]]*PlanGrid[[#This Row],[Equipment Count]]</f>
        <v>21</v>
      </c>
      <c r="I395" s="50">
        <f>((PlanGrid[[#This Row],[Demand Watt]]*PlanGrid[[#This Row],[Utilization %]]*'Schedule-Building Info'!$N$16)/1000)</f>
        <v>114.97499999999999</v>
      </c>
      <c r="J395" s="57">
        <f>PlanGrid[[#This Row],[kWh/yr]]*' Elec Utility (kWh)'!$M$7</f>
        <v>12.257868782138575</v>
      </c>
      <c r="K395" s="38">
        <f>PlanGrid[[#This Row],[kWh/yr]]/'Schedule-Building Info'!$B$6</f>
        <v>1.8907563025210084E-3</v>
      </c>
      <c r="L395" s="50">
        <f>CONVERT(PlanGrid[[#This Row],[kWh/yr]],"Wh","BTU")</f>
        <v>392.31098426888508</v>
      </c>
      <c r="M395" s="38">
        <f>PlanGrid[[#This Row],[kBtu/yr]]/'Schedule-Building Info'!$B$6</f>
        <v>6.4515282979309817E-3</v>
      </c>
      <c r="N395" t="s">
        <v>1090</v>
      </c>
      <c r="O395">
        <v>0</v>
      </c>
      <c r="P395" t="str">
        <f>VLOOKUP(PlanGrid[[#This Row],[Title]],'Spec Wattages'!$A$1:$C$973,3,FALSE)</f>
        <v>Plug Load</v>
      </c>
      <c r="Q395" t="s">
        <v>858</v>
      </c>
      <c r="R395" t="s">
        <v>858</v>
      </c>
      <c r="S395" t="s">
        <v>11</v>
      </c>
    </row>
    <row r="396" spans="1:19" x14ac:dyDescent="0.25">
      <c r="A396" s="3">
        <v>740</v>
      </c>
      <c r="B396" t="s">
        <v>15</v>
      </c>
      <c r="C396" t="s">
        <v>16</v>
      </c>
      <c r="E396" s="50">
        <f>VLOOKUP(PlanGrid[[#This Row],[Title]],'Spec Wattages'!$A$1:$C$973,2,FALSE)</f>
        <v>21</v>
      </c>
      <c r="F396" s="38">
        <v>1</v>
      </c>
      <c r="G396" s="39">
        <v>1</v>
      </c>
      <c r="H396" s="58">
        <f>PlanGrid[[#This Row],[Spec Wattage]]*PlanGrid[[#This Row],[Equipment Count]]</f>
        <v>21</v>
      </c>
      <c r="I396" s="50">
        <f>((PlanGrid[[#This Row],[Demand Watt]]*PlanGrid[[#This Row],[Utilization %]]*'Schedule-Building Info'!$N$16)/1000)</f>
        <v>114.97499999999999</v>
      </c>
      <c r="J396" s="57">
        <f>PlanGrid[[#This Row],[kWh/yr]]*' Elec Utility (kWh)'!$M$7</f>
        <v>12.257868782138575</v>
      </c>
      <c r="K396" s="38">
        <f>PlanGrid[[#This Row],[kWh/yr]]/'Schedule-Building Info'!$B$6</f>
        <v>1.8907563025210084E-3</v>
      </c>
      <c r="L396" s="50">
        <f>CONVERT(PlanGrid[[#This Row],[kWh/yr]],"Wh","BTU")</f>
        <v>392.31098426888508</v>
      </c>
      <c r="M396" s="38">
        <f>PlanGrid[[#This Row],[kBtu/yr]]/'Schedule-Building Info'!$B$6</f>
        <v>6.4515282979309817E-3</v>
      </c>
      <c r="N396" t="s">
        <v>1090</v>
      </c>
      <c r="O396">
        <v>0</v>
      </c>
      <c r="P396" t="str">
        <f>VLOOKUP(PlanGrid[[#This Row],[Title]],'Spec Wattages'!$A$1:$C$973,3,FALSE)</f>
        <v>Plug Load</v>
      </c>
      <c r="Q396" t="s">
        <v>862</v>
      </c>
      <c r="R396" t="s">
        <v>862</v>
      </c>
      <c r="S396" t="s">
        <v>11</v>
      </c>
    </row>
    <row r="397" spans="1:19" x14ac:dyDescent="0.25">
      <c r="A397">
        <v>758</v>
      </c>
      <c r="B397" t="s">
        <v>15</v>
      </c>
      <c r="C397" t="s">
        <v>16</v>
      </c>
      <c r="E397" s="50">
        <f>VLOOKUP(PlanGrid[[#This Row],[Title]],'Spec Wattages'!$A$1:$C$973,2,FALSE)</f>
        <v>21</v>
      </c>
      <c r="F397" s="38">
        <v>1</v>
      </c>
      <c r="G397" s="39">
        <v>1</v>
      </c>
      <c r="H397" s="58">
        <f>PlanGrid[[#This Row],[Spec Wattage]]*PlanGrid[[#This Row],[Equipment Count]]</f>
        <v>21</v>
      </c>
      <c r="I397" s="50">
        <f>((PlanGrid[[#This Row],[Demand Watt]]*PlanGrid[[#This Row],[Utilization %]]*'Schedule-Building Info'!$N$16)/1000)</f>
        <v>114.97499999999999</v>
      </c>
      <c r="J397" s="57">
        <f>PlanGrid[[#This Row],[kWh/yr]]*' Elec Utility (kWh)'!$M$7</f>
        <v>12.257868782138575</v>
      </c>
      <c r="K397" s="38">
        <f>PlanGrid[[#This Row],[kWh/yr]]/'Schedule-Building Info'!$B$6</f>
        <v>1.8907563025210084E-3</v>
      </c>
      <c r="L397" s="50">
        <f>CONVERT(PlanGrid[[#This Row],[kWh/yr]],"Wh","BTU")</f>
        <v>392.31098426888508</v>
      </c>
      <c r="M397" s="38">
        <f>PlanGrid[[#This Row],[kBtu/yr]]/'Schedule-Building Info'!$B$6</f>
        <v>6.4515282979309817E-3</v>
      </c>
      <c r="N397" t="s">
        <v>1090</v>
      </c>
      <c r="O397">
        <v>0</v>
      </c>
      <c r="P397" t="str">
        <f>VLOOKUP(PlanGrid[[#This Row],[Title]],'Spec Wattages'!$A$1:$C$973,3,FALSE)</f>
        <v>Plug Load</v>
      </c>
      <c r="Q397" t="s">
        <v>726</v>
      </c>
      <c r="R397" t="s">
        <v>726</v>
      </c>
      <c r="S397" t="s">
        <v>11</v>
      </c>
    </row>
    <row r="398" spans="1:19" x14ac:dyDescent="0.25">
      <c r="A398">
        <v>759</v>
      </c>
      <c r="B398" t="s">
        <v>15</v>
      </c>
      <c r="C398" t="s">
        <v>16</v>
      </c>
      <c r="E398" s="50">
        <f>VLOOKUP(PlanGrid[[#This Row],[Title]],'Spec Wattages'!$A$1:$C$973,2,FALSE)</f>
        <v>21</v>
      </c>
      <c r="F398" s="38">
        <v>1</v>
      </c>
      <c r="G398" s="39">
        <v>1</v>
      </c>
      <c r="H398" s="58">
        <f>PlanGrid[[#This Row],[Spec Wattage]]*PlanGrid[[#This Row],[Equipment Count]]</f>
        <v>21</v>
      </c>
      <c r="I398" s="50">
        <f>((PlanGrid[[#This Row],[Demand Watt]]*PlanGrid[[#This Row],[Utilization %]]*'Schedule-Building Info'!$N$16)/1000)</f>
        <v>114.97499999999999</v>
      </c>
      <c r="J398" s="57">
        <f>PlanGrid[[#This Row],[kWh/yr]]*' Elec Utility (kWh)'!$M$7</f>
        <v>12.257868782138575</v>
      </c>
      <c r="K398" s="38">
        <f>PlanGrid[[#This Row],[kWh/yr]]/'Schedule-Building Info'!$B$6</f>
        <v>1.8907563025210084E-3</v>
      </c>
      <c r="L398" s="50">
        <f>CONVERT(PlanGrid[[#This Row],[kWh/yr]],"Wh","BTU")</f>
        <v>392.31098426888508</v>
      </c>
      <c r="M398" s="38">
        <f>PlanGrid[[#This Row],[kBtu/yr]]/'Schedule-Building Info'!$B$6</f>
        <v>6.4515282979309817E-3</v>
      </c>
      <c r="N398" t="s">
        <v>1090</v>
      </c>
      <c r="O398">
        <v>0</v>
      </c>
      <c r="P398" t="str">
        <f>VLOOKUP(PlanGrid[[#This Row],[Title]],'Spec Wattages'!$A$1:$C$973,3,FALSE)</f>
        <v>Plug Load</v>
      </c>
      <c r="Q398" t="s">
        <v>726</v>
      </c>
      <c r="R398" t="s">
        <v>726</v>
      </c>
      <c r="S398" t="s">
        <v>11</v>
      </c>
    </row>
    <row r="399" spans="1:19" x14ac:dyDescent="0.25">
      <c r="A399">
        <v>760</v>
      </c>
      <c r="B399" t="s">
        <v>15</v>
      </c>
      <c r="C399" t="s">
        <v>16</v>
      </c>
      <c r="E399" s="50">
        <f>VLOOKUP(PlanGrid[[#This Row],[Title]],'Spec Wattages'!$A$1:$C$973,2,FALSE)</f>
        <v>21</v>
      </c>
      <c r="F399" s="38">
        <v>1</v>
      </c>
      <c r="G399" s="39">
        <v>1</v>
      </c>
      <c r="H399" s="58">
        <f>PlanGrid[[#This Row],[Spec Wattage]]*PlanGrid[[#This Row],[Equipment Count]]</f>
        <v>21</v>
      </c>
      <c r="I399" s="50">
        <f>((PlanGrid[[#This Row],[Demand Watt]]*PlanGrid[[#This Row],[Utilization %]]*'Schedule-Building Info'!$N$16)/1000)</f>
        <v>114.97499999999999</v>
      </c>
      <c r="J399" s="57">
        <f>PlanGrid[[#This Row],[kWh/yr]]*' Elec Utility (kWh)'!$M$7</f>
        <v>12.257868782138575</v>
      </c>
      <c r="K399" s="38">
        <f>PlanGrid[[#This Row],[kWh/yr]]/'Schedule-Building Info'!$B$6</f>
        <v>1.8907563025210084E-3</v>
      </c>
      <c r="L399" s="50">
        <f>CONVERT(PlanGrid[[#This Row],[kWh/yr]],"Wh","BTU")</f>
        <v>392.31098426888508</v>
      </c>
      <c r="M399" s="38">
        <f>PlanGrid[[#This Row],[kBtu/yr]]/'Schedule-Building Info'!$B$6</f>
        <v>6.4515282979309817E-3</v>
      </c>
      <c r="N399" t="s">
        <v>1090</v>
      </c>
      <c r="O399">
        <v>0</v>
      </c>
      <c r="P399" t="str">
        <f>VLOOKUP(PlanGrid[[#This Row],[Title]],'Spec Wattages'!$A$1:$C$973,3,FALSE)</f>
        <v>Plug Load</v>
      </c>
      <c r="Q399" t="s">
        <v>726</v>
      </c>
      <c r="R399" t="s">
        <v>726</v>
      </c>
      <c r="S399" t="s">
        <v>11</v>
      </c>
    </row>
    <row r="400" spans="1:19" x14ac:dyDescent="0.25">
      <c r="A400">
        <v>762</v>
      </c>
      <c r="B400" t="s">
        <v>15</v>
      </c>
      <c r="C400" t="s">
        <v>16</v>
      </c>
      <c r="E400" s="50">
        <f>VLOOKUP(PlanGrid[[#This Row],[Title]],'Spec Wattages'!$A$1:$C$973,2,FALSE)</f>
        <v>21</v>
      </c>
      <c r="F400" s="38">
        <v>1</v>
      </c>
      <c r="G400" s="39">
        <v>1</v>
      </c>
      <c r="H400" s="58">
        <f>PlanGrid[[#This Row],[Spec Wattage]]*PlanGrid[[#This Row],[Equipment Count]]</f>
        <v>21</v>
      </c>
      <c r="I400" s="50">
        <f>((PlanGrid[[#This Row],[Demand Watt]]*PlanGrid[[#This Row],[Utilization %]]*'Schedule-Building Info'!$N$16)/1000)</f>
        <v>114.97499999999999</v>
      </c>
      <c r="J400" s="57">
        <f>PlanGrid[[#This Row],[kWh/yr]]*' Elec Utility (kWh)'!$M$7</f>
        <v>12.257868782138575</v>
      </c>
      <c r="K400" s="38">
        <f>PlanGrid[[#This Row],[kWh/yr]]/'Schedule-Building Info'!$B$6</f>
        <v>1.8907563025210084E-3</v>
      </c>
      <c r="L400" s="50">
        <f>CONVERT(PlanGrid[[#This Row],[kWh/yr]],"Wh","BTU")</f>
        <v>392.31098426888508</v>
      </c>
      <c r="M400" s="38">
        <f>PlanGrid[[#This Row],[kBtu/yr]]/'Schedule-Building Info'!$B$6</f>
        <v>6.4515282979309817E-3</v>
      </c>
      <c r="N400" t="s">
        <v>1090</v>
      </c>
      <c r="O400">
        <v>0</v>
      </c>
      <c r="P400" t="str">
        <f>VLOOKUP(PlanGrid[[#This Row],[Title]],'Spec Wattages'!$A$1:$C$973,3,FALSE)</f>
        <v>Plug Load</v>
      </c>
      <c r="Q400" t="s">
        <v>726</v>
      </c>
      <c r="R400" t="s">
        <v>726</v>
      </c>
      <c r="S400" t="s">
        <v>11</v>
      </c>
    </row>
    <row r="401" spans="1:19" x14ac:dyDescent="0.25">
      <c r="A401">
        <v>767</v>
      </c>
      <c r="B401" t="s">
        <v>15</v>
      </c>
      <c r="C401" t="s">
        <v>16</v>
      </c>
      <c r="E401" s="50">
        <f>VLOOKUP(PlanGrid[[#This Row],[Title]],'Spec Wattages'!$A$1:$C$973,2,FALSE)</f>
        <v>21</v>
      </c>
      <c r="F401" s="38">
        <v>1</v>
      </c>
      <c r="G401" s="39">
        <v>1</v>
      </c>
      <c r="H401" s="58">
        <f>PlanGrid[[#This Row],[Spec Wattage]]*PlanGrid[[#This Row],[Equipment Count]]</f>
        <v>21</v>
      </c>
      <c r="I401" s="50">
        <f>((PlanGrid[[#This Row],[Demand Watt]]*PlanGrid[[#This Row],[Utilization %]]*'Schedule-Building Info'!$N$16)/1000)</f>
        <v>114.97499999999999</v>
      </c>
      <c r="J401" s="57">
        <f>PlanGrid[[#This Row],[kWh/yr]]*' Elec Utility (kWh)'!$M$7</f>
        <v>12.257868782138575</v>
      </c>
      <c r="K401" s="38">
        <f>PlanGrid[[#This Row],[kWh/yr]]/'Schedule-Building Info'!$B$6</f>
        <v>1.8907563025210084E-3</v>
      </c>
      <c r="L401" s="50">
        <f>CONVERT(PlanGrid[[#This Row],[kWh/yr]],"Wh","BTU")</f>
        <v>392.31098426888508</v>
      </c>
      <c r="M401" s="38">
        <f>PlanGrid[[#This Row],[kBtu/yr]]/'Schedule-Building Info'!$B$6</f>
        <v>6.4515282979309817E-3</v>
      </c>
      <c r="N401" t="s">
        <v>1090</v>
      </c>
      <c r="O401">
        <v>0</v>
      </c>
      <c r="P401" t="str">
        <f>VLOOKUP(PlanGrid[[#This Row],[Title]],'Spec Wattages'!$A$1:$C$973,3,FALSE)</f>
        <v>Plug Load</v>
      </c>
      <c r="Q401" t="s">
        <v>874</v>
      </c>
      <c r="R401" t="s">
        <v>779</v>
      </c>
      <c r="S401" t="s">
        <v>11</v>
      </c>
    </row>
    <row r="402" spans="1:19" x14ac:dyDescent="0.25">
      <c r="A402">
        <v>770</v>
      </c>
      <c r="B402" t="s">
        <v>15</v>
      </c>
      <c r="C402" t="s">
        <v>16</v>
      </c>
      <c r="E402" s="50">
        <f>VLOOKUP(PlanGrid[[#This Row],[Title]],'Spec Wattages'!$A$1:$C$973,2,FALSE)</f>
        <v>21</v>
      </c>
      <c r="F402" s="38">
        <v>1</v>
      </c>
      <c r="G402" s="39">
        <v>1</v>
      </c>
      <c r="H402" s="58">
        <f>PlanGrid[[#This Row],[Spec Wattage]]*PlanGrid[[#This Row],[Equipment Count]]</f>
        <v>21</v>
      </c>
      <c r="I402" s="50">
        <f>((PlanGrid[[#This Row],[Demand Watt]]*PlanGrid[[#This Row],[Utilization %]]*'Schedule-Building Info'!$N$16)/1000)</f>
        <v>114.97499999999999</v>
      </c>
      <c r="J402" s="57">
        <f>PlanGrid[[#This Row],[kWh/yr]]*' Elec Utility (kWh)'!$M$7</f>
        <v>12.257868782138575</v>
      </c>
      <c r="K402" s="38">
        <f>PlanGrid[[#This Row],[kWh/yr]]/'Schedule-Building Info'!$B$6</f>
        <v>1.8907563025210084E-3</v>
      </c>
      <c r="L402" s="50">
        <f>CONVERT(PlanGrid[[#This Row],[kWh/yr]],"Wh","BTU")</f>
        <v>392.31098426888508</v>
      </c>
      <c r="M402" s="38">
        <f>PlanGrid[[#This Row],[kBtu/yr]]/'Schedule-Building Info'!$B$6</f>
        <v>6.4515282979309817E-3</v>
      </c>
      <c r="N402" t="s">
        <v>1090</v>
      </c>
      <c r="O402">
        <v>0</v>
      </c>
      <c r="P402" t="str">
        <f>VLOOKUP(PlanGrid[[#This Row],[Title]],'Spec Wattages'!$A$1:$C$973,3,FALSE)</f>
        <v>Plug Load</v>
      </c>
      <c r="Q402" t="s">
        <v>877</v>
      </c>
      <c r="R402" t="s">
        <v>878</v>
      </c>
      <c r="S402" t="s">
        <v>11</v>
      </c>
    </row>
    <row r="403" spans="1:19" x14ac:dyDescent="0.25">
      <c r="A403">
        <v>774</v>
      </c>
      <c r="B403" t="s">
        <v>15</v>
      </c>
      <c r="C403" t="s">
        <v>16</v>
      </c>
      <c r="E403" s="50">
        <f>VLOOKUP(PlanGrid[[#This Row],[Title]],'Spec Wattages'!$A$1:$C$973,2,FALSE)</f>
        <v>21</v>
      </c>
      <c r="F403" s="38">
        <v>1</v>
      </c>
      <c r="G403" s="39">
        <v>1</v>
      </c>
      <c r="H403" s="58">
        <f>PlanGrid[[#This Row],[Spec Wattage]]*PlanGrid[[#This Row],[Equipment Count]]</f>
        <v>21</v>
      </c>
      <c r="I403" s="50">
        <f>((PlanGrid[[#This Row],[Demand Watt]]*PlanGrid[[#This Row],[Utilization %]]*'Schedule-Building Info'!$N$16)/1000)</f>
        <v>114.97499999999999</v>
      </c>
      <c r="J403" s="57">
        <f>PlanGrid[[#This Row],[kWh/yr]]*' Elec Utility (kWh)'!$M$7</f>
        <v>12.257868782138575</v>
      </c>
      <c r="K403" s="38">
        <f>PlanGrid[[#This Row],[kWh/yr]]/'Schedule-Building Info'!$B$6</f>
        <v>1.8907563025210084E-3</v>
      </c>
      <c r="L403" s="50">
        <f>CONVERT(PlanGrid[[#This Row],[kWh/yr]],"Wh","BTU")</f>
        <v>392.31098426888508</v>
      </c>
      <c r="M403" s="38">
        <f>PlanGrid[[#This Row],[kBtu/yr]]/'Schedule-Building Info'!$B$6</f>
        <v>6.4515282979309817E-3</v>
      </c>
      <c r="N403" t="s">
        <v>1090</v>
      </c>
      <c r="O403">
        <v>0</v>
      </c>
      <c r="P403" t="str">
        <f>VLOOKUP(PlanGrid[[#This Row],[Title]],'Spec Wattages'!$A$1:$C$973,3,FALSE)</f>
        <v>Plug Load</v>
      </c>
      <c r="Q403" t="s">
        <v>878</v>
      </c>
      <c r="R403" t="s">
        <v>878</v>
      </c>
      <c r="S403" t="s">
        <v>11</v>
      </c>
    </row>
    <row r="404" spans="1:19" x14ac:dyDescent="0.25">
      <c r="A404">
        <v>775</v>
      </c>
      <c r="B404" t="s">
        <v>15</v>
      </c>
      <c r="C404" t="s">
        <v>16</v>
      </c>
      <c r="E404" s="50">
        <f>VLOOKUP(PlanGrid[[#This Row],[Title]],'Spec Wattages'!$A$1:$C$973,2,FALSE)</f>
        <v>21</v>
      </c>
      <c r="F404" s="38">
        <v>1</v>
      </c>
      <c r="G404" s="39">
        <v>1</v>
      </c>
      <c r="H404" s="58">
        <f>PlanGrid[[#This Row],[Spec Wattage]]*PlanGrid[[#This Row],[Equipment Count]]</f>
        <v>21</v>
      </c>
      <c r="I404" s="50">
        <f>((PlanGrid[[#This Row],[Demand Watt]]*PlanGrid[[#This Row],[Utilization %]]*'Schedule-Building Info'!$N$16)/1000)</f>
        <v>114.97499999999999</v>
      </c>
      <c r="J404" s="57">
        <f>PlanGrid[[#This Row],[kWh/yr]]*' Elec Utility (kWh)'!$M$7</f>
        <v>12.257868782138575</v>
      </c>
      <c r="K404" s="38">
        <f>PlanGrid[[#This Row],[kWh/yr]]/'Schedule-Building Info'!$B$6</f>
        <v>1.8907563025210084E-3</v>
      </c>
      <c r="L404" s="50">
        <f>CONVERT(PlanGrid[[#This Row],[kWh/yr]],"Wh","BTU")</f>
        <v>392.31098426888508</v>
      </c>
      <c r="M404" s="38">
        <f>PlanGrid[[#This Row],[kBtu/yr]]/'Schedule-Building Info'!$B$6</f>
        <v>6.4515282979309817E-3</v>
      </c>
      <c r="N404" t="s">
        <v>1090</v>
      </c>
      <c r="O404">
        <v>0</v>
      </c>
      <c r="P404" t="str">
        <f>VLOOKUP(PlanGrid[[#This Row],[Title]],'Spec Wattages'!$A$1:$C$973,3,FALSE)</f>
        <v>Plug Load</v>
      </c>
      <c r="Q404" t="s">
        <v>878</v>
      </c>
      <c r="R404" t="s">
        <v>878</v>
      </c>
      <c r="S404" t="s">
        <v>11</v>
      </c>
    </row>
    <row r="405" spans="1:19" x14ac:dyDescent="0.25">
      <c r="A405">
        <v>789</v>
      </c>
      <c r="B405" t="s">
        <v>15</v>
      </c>
      <c r="C405" t="s">
        <v>16</v>
      </c>
      <c r="E405" s="50">
        <f>VLOOKUP(PlanGrid[[#This Row],[Title]],'Spec Wattages'!$A$1:$C$973,2,FALSE)</f>
        <v>21</v>
      </c>
      <c r="F405" s="38">
        <v>1</v>
      </c>
      <c r="G405" s="39">
        <v>1</v>
      </c>
      <c r="H405" s="58">
        <f>PlanGrid[[#This Row],[Spec Wattage]]*PlanGrid[[#This Row],[Equipment Count]]</f>
        <v>21</v>
      </c>
      <c r="I405" s="50">
        <f>((PlanGrid[[#This Row],[Demand Watt]]*PlanGrid[[#This Row],[Utilization %]]*'Schedule-Building Info'!$N$16)/1000)</f>
        <v>114.97499999999999</v>
      </c>
      <c r="J405" s="57">
        <f>PlanGrid[[#This Row],[kWh/yr]]*' Elec Utility (kWh)'!$M$7</f>
        <v>12.257868782138575</v>
      </c>
      <c r="K405" s="38">
        <f>PlanGrid[[#This Row],[kWh/yr]]/'Schedule-Building Info'!$B$6</f>
        <v>1.8907563025210084E-3</v>
      </c>
      <c r="L405" s="50">
        <f>CONVERT(PlanGrid[[#This Row],[kWh/yr]],"Wh","BTU")</f>
        <v>392.31098426888508</v>
      </c>
      <c r="M405" s="38">
        <f>PlanGrid[[#This Row],[kBtu/yr]]/'Schedule-Building Info'!$B$6</f>
        <v>6.4515282979309817E-3</v>
      </c>
      <c r="N405" t="s">
        <v>1090</v>
      </c>
      <c r="O405">
        <v>0</v>
      </c>
      <c r="P405" t="str">
        <f>VLOOKUP(PlanGrid[[#This Row],[Title]],'Spec Wattages'!$A$1:$C$973,3,FALSE)</f>
        <v>Plug Load</v>
      </c>
      <c r="Q405" t="s">
        <v>889</v>
      </c>
      <c r="R405" t="s">
        <v>889</v>
      </c>
      <c r="S405" t="s">
        <v>11</v>
      </c>
    </row>
    <row r="406" spans="1:19" x14ac:dyDescent="0.25">
      <c r="A406">
        <v>799</v>
      </c>
      <c r="B406" t="s">
        <v>15</v>
      </c>
      <c r="C406" t="s">
        <v>16</v>
      </c>
      <c r="E406" s="50">
        <f>VLOOKUP(PlanGrid[[#This Row],[Title]],'Spec Wattages'!$A$1:$C$973,2,FALSE)</f>
        <v>21</v>
      </c>
      <c r="F406" s="38">
        <v>1</v>
      </c>
      <c r="G406" s="39">
        <v>1</v>
      </c>
      <c r="H406" s="58">
        <f>PlanGrid[[#This Row],[Spec Wattage]]*PlanGrid[[#This Row],[Equipment Count]]</f>
        <v>21</v>
      </c>
      <c r="I406" s="50">
        <f>((PlanGrid[[#This Row],[Demand Watt]]*PlanGrid[[#This Row],[Utilization %]]*'Schedule-Building Info'!$N$16)/1000)</f>
        <v>114.97499999999999</v>
      </c>
      <c r="J406" s="57">
        <f>PlanGrid[[#This Row],[kWh/yr]]*' Elec Utility (kWh)'!$M$7</f>
        <v>12.257868782138575</v>
      </c>
      <c r="K406" s="38">
        <f>PlanGrid[[#This Row],[kWh/yr]]/'Schedule-Building Info'!$B$6</f>
        <v>1.8907563025210084E-3</v>
      </c>
      <c r="L406" s="50">
        <f>CONVERT(PlanGrid[[#This Row],[kWh/yr]],"Wh","BTU")</f>
        <v>392.31098426888508</v>
      </c>
      <c r="M406" s="38">
        <f>PlanGrid[[#This Row],[kBtu/yr]]/'Schedule-Building Info'!$B$6</f>
        <v>6.4515282979309817E-3</v>
      </c>
      <c r="N406" t="s">
        <v>1090</v>
      </c>
      <c r="O406">
        <v>0</v>
      </c>
      <c r="P406" t="str">
        <f>VLOOKUP(PlanGrid[[#This Row],[Title]],'Spec Wattages'!$A$1:$C$973,3,FALSE)</f>
        <v>Plug Load</v>
      </c>
      <c r="Q406" t="s">
        <v>896</v>
      </c>
      <c r="R406" t="s">
        <v>896</v>
      </c>
      <c r="S406" t="s">
        <v>11</v>
      </c>
    </row>
    <row r="407" spans="1:19" x14ac:dyDescent="0.25">
      <c r="A407">
        <v>815</v>
      </c>
      <c r="B407" t="s">
        <v>15</v>
      </c>
      <c r="C407" t="s">
        <v>16</v>
      </c>
      <c r="E407" s="50">
        <f>VLOOKUP(PlanGrid[[#This Row],[Title]],'Spec Wattages'!$A$1:$C$973,2,FALSE)</f>
        <v>21</v>
      </c>
      <c r="F407" s="38">
        <v>1</v>
      </c>
      <c r="G407" s="39">
        <v>1</v>
      </c>
      <c r="H407" s="58">
        <f>PlanGrid[[#This Row],[Spec Wattage]]*PlanGrid[[#This Row],[Equipment Count]]</f>
        <v>21</v>
      </c>
      <c r="I407" s="50">
        <f>((PlanGrid[[#This Row],[Demand Watt]]*PlanGrid[[#This Row],[Utilization %]]*'Schedule-Building Info'!$N$16)/1000)</f>
        <v>114.97499999999999</v>
      </c>
      <c r="J407" s="57">
        <f>PlanGrid[[#This Row],[kWh/yr]]*' Elec Utility (kWh)'!$M$7</f>
        <v>12.257868782138575</v>
      </c>
      <c r="K407" s="38">
        <f>PlanGrid[[#This Row],[kWh/yr]]/'Schedule-Building Info'!$B$6</f>
        <v>1.8907563025210084E-3</v>
      </c>
      <c r="L407" s="50">
        <f>CONVERT(PlanGrid[[#This Row],[kWh/yr]],"Wh","BTU")</f>
        <v>392.31098426888508</v>
      </c>
      <c r="M407" s="38">
        <f>PlanGrid[[#This Row],[kBtu/yr]]/'Schedule-Building Info'!$B$6</f>
        <v>6.4515282979309817E-3</v>
      </c>
      <c r="N407" t="s">
        <v>1090</v>
      </c>
      <c r="O407">
        <v>0</v>
      </c>
      <c r="P407" t="str">
        <f>VLOOKUP(PlanGrid[[#This Row],[Title]],'Spec Wattages'!$A$1:$C$973,3,FALSE)</f>
        <v>Plug Load</v>
      </c>
      <c r="Q407" t="s">
        <v>904</v>
      </c>
      <c r="R407" t="s">
        <v>830</v>
      </c>
      <c r="S407" t="s">
        <v>11</v>
      </c>
    </row>
    <row r="408" spans="1:19" x14ac:dyDescent="0.25">
      <c r="A408">
        <v>841</v>
      </c>
      <c r="B408" t="s">
        <v>15</v>
      </c>
      <c r="C408" t="s">
        <v>16</v>
      </c>
      <c r="E408" s="50">
        <f>VLOOKUP(PlanGrid[[#This Row],[Title]],'Spec Wattages'!$A$1:$C$973,2,FALSE)</f>
        <v>21</v>
      </c>
      <c r="F408" s="38">
        <v>1</v>
      </c>
      <c r="G408" s="39">
        <v>1</v>
      </c>
      <c r="H408" s="58">
        <f>PlanGrid[[#This Row],[Spec Wattage]]*PlanGrid[[#This Row],[Equipment Count]]</f>
        <v>21</v>
      </c>
      <c r="I408" s="50">
        <f>((PlanGrid[[#This Row],[Demand Watt]]*PlanGrid[[#This Row],[Utilization %]]*'Schedule-Building Info'!$N$16)/1000)</f>
        <v>114.97499999999999</v>
      </c>
      <c r="J408" s="57">
        <f>PlanGrid[[#This Row],[kWh/yr]]*' Elec Utility (kWh)'!$M$7</f>
        <v>12.257868782138575</v>
      </c>
      <c r="K408" s="38">
        <f>PlanGrid[[#This Row],[kWh/yr]]/'Schedule-Building Info'!$B$6</f>
        <v>1.8907563025210084E-3</v>
      </c>
      <c r="L408" s="50">
        <f>CONVERT(PlanGrid[[#This Row],[kWh/yr]],"Wh","BTU")</f>
        <v>392.31098426888508</v>
      </c>
      <c r="M408" s="38">
        <f>PlanGrid[[#This Row],[kBtu/yr]]/'Schedule-Building Info'!$B$6</f>
        <v>6.4515282979309817E-3</v>
      </c>
      <c r="N408" t="s">
        <v>1090</v>
      </c>
      <c r="O408">
        <v>0</v>
      </c>
      <c r="P408" t="str">
        <f>VLOOKUP(PlanGrid[[#This Row],[Title]],'Spec Wattages'!$A$1:$C$973,3,FALSE)</f>
        <v>Plug Load</v>
      </c>
      <c r="Q408" t="s">
        <v>915</v>
      </c>
      <c r="R408" t="s">
        <v>915</v>
      </c>
      <c r="S408" t="s">
        <v>51</v>
      </c>
    </row>
    <row r="409" spans="1:19" x14ac:dyDescent="0.25">
      <c r="A409">
        <v>842</v>
      </c>
      <c r="B409" t="s">
        <v>15</v>
      </c>
      <c r="C409" t="s">
        <v>16</v>
      </c>
      <c r="E409" s="50">
        <f>VLOOKUP(PlanGrid[[#This Row],[Title]],'Spec Wattages'!$A$1:$C$973,2,FALSE)</f>
        <v>21</v>
      </c>
      <c r="F409" s="38">
        <v>1</v>
      </c>
      <c r="G409" s="39">
        <v>1</v>
      </c>
      <c r="H409" s="58">
        <f>PlanGrid[[#This Row],[Spec Wattage]]*PlanGrid[[#This Row],[Equipment Count]]</f>
        <v>21</v>
      </c>
      <c r="I409" s="50">
        <f>((PlanGrid[[#This Row],[Demand Watt]]*PlanGrid[[#This Row],[Utilization %]]*'Schedule-Building Info'!$N$16)/1000)</f>
        <v>114.97499999999999</v>
      </c>
      <c r="J409" s="57">
        <f>PlanGrid[[#This Row],[kWh/yr]]*' Elec Utility (kWh)'!$M$7</f>
        <v>12.257868782138575</v>
      </c>
      <c r="K409" s="38">
        <f>PlanGrid[[#This Row],[kWh/yr]]/'Schedule-Building Info'!$B$6</f>
        <v>1.8907563025210084E-3</v>
      </c>
      <c r="L409" s="50">
        <f>CONVERT(PlanGrid[[#This Row],[kWh/yr]],"Wh","BTU")</f>
        <v>392.31098426888508</v>
      </c>
      <c r="M409" s="38">
        <f>PlanGrid[[#This Row],[kBtu/yr]]/'Schedule-Building Info'!$B$6</f>
        <v>6.4515282979309817E-3</v>
      </c>
      <c r="N409" t="s">
        <v>1090</v>
      </c>
      <c r="O409">
        <v>0</v>
      </c>
      <c r="P409" t="str">
        <f>VLOOKUP(PlanGrid[[#This Row],[Title]],'Spec Wattages'!$A$1:$C$973,3,FALSE)</f>
        <v>Plug Load</v>
      </c>
      <c r="Q409" t="s">
        <v>915</v>
      </c>
      <c r="R409" t="s">
        <v>915</v>
      </c>
      <c r="S409" t="s">
        <v>51</v>
      </c>
    </row>
    <row r="410" spans="1:19" x14ac:dyDescent="0.25">
      <c r="A410">
        <v>845</v>
      </c>
      <c r="B410" t="s">
        <v>15</v>
      </c>
      <c r="C410" t="s">
        <v>16</v>
      </c>
      <c r="E410" s="50">
        <f>VLOOKUP(PlanGrid[[#This Row],[Title]],'Spec Wattages'!$A$1:$C$973,2,FALSE)</f>
        <v>21</v>
      </c>
      <c r="F410" s="38">
        <v>1</v>
      </c>
      <c r="G410" s="39">
        <v>1</v>
      </c>
      <c r="H410" s="58">
        <f>PlanGrid[[#This Row],[Spec Wattage]]*PlanGrid[[#This Row],[Equipment Count]]</f>
        <v>21</v>
      </c>
      <c r="I410" s="50">
        <f>((PlanGrid[[#This Row],[Demand Watt]]*PlanGrid[[#This Row],[Utilization %]]*'Schedule-Building Info'!$N$16)/1000)</f>
        <v>114.97499999999999</v>
      </c>
      <c r="J410" s="57">
        <f>PlanGrid[[#This Row],[kWh/yr]]*' Elec Utility (kWh)'!$M$7</f>
        <v>12.257868782138575</v>
      </c>
      <c r="K410" s="38">
        <f>PlanGrid[[#This Row],[kWh/yr]]/'Schedule-Building Info'!$B$6</f>
        <v>1.8907563025210084E-3</v>
      </c>
      <c r="L410" s="50">
        <f>CONVERT(PlanGrid[[#This Row],[kWh/yr]],"Wh","BTU")</f>
        <v>392.31098426888508</v>
      </c>
      <c r="M410" s="38">
        <f>PlanGrid[[#This Row],[kBtu/yr]]/'Schedule-Building Info'!$B$6</f>
        <v>6.4515282979309817E-3</v>
      </c>
      <c r="N410" t="s">
        <v>1090</v>
      </c>
      <c r="O410">
        <v>0</v>
      </c>
      <c r="P410" t="str">
        <f>VLOOKUP(PlanGrid[[#This Row],[Title]],'Spec Wattages'!$A$1:$C$973,3,FALSE)</f>
        <v>Plug Load</v>
      </c>
      <c r="Q410" t="s">
        <v>915</v>
      </c>
      <c r="R410" t="s">
        <v>915</v>
      </c>
      <c r="S410" t="s">
        <v>11</v>
      </c>
    </row>
    <row r="411" spans="1:19" x14ac:dyDescent="0.25">
      <c r="A411">
        <v>846</v>
      </c>
      <c r="B411" t="s">
        <v>15</v>
      </c>
      <c r="C411" t="s">
        <v>16</v>
      </c>
      <c r="E411" s="50">
        <f>VLOOKUP(PlanGrid[[#This Row],[Title]],'Spec Wattages'!$A$1:$C$973,2,FALSE)</f>
        <v>21</v>
      </c>
      <c r="F411" s="38">
        <v>1</v>
      </c>
      <c r="G411" s="39">
        <v>1</v>
      </c>
      <c r="H411" s="58">
        <f>PlanGrid[[#This Row],[Spec Wattage]]*PlanGrid[[#This Row],[Equipment Count]]</f>
        <v>21</v>
      </c>
      <c r="I411" s="50">
        <f>((PlanGrid[[#This Row],[Demand Watt]]*PlanGrid[[#This Row],[Utilization %]]*'Schedule-Building Info'!$N$16)/1000)</f>
        <v>114.97499999999999</v>
      </c>
      <c r="J411" s="57">
        <f>PlanGrid[[#This Row],[kWh/yr]]*' Elec Utility (kWh)'!$M$7</f>
        <v>12.257868782138575</v>
      </c>
      <c r="K411" s="38">
        <f>PlanGrid[[#This Row],[kWh/yr]]/'Schedule-Building Info'!$B$6</f>
        <v>1.8907563025210084E-3</v>
      </c>
      <c r="L411" s="50">
        <f>CONVERT(PlanGrid[[#This Row],[kWh/yr]],"Wh","BTU")</f>
        <v>392.31098426888508</v>
      </c>
      <c r="M411" s="38">
        <f>PlanGrid[[#This Row],[kBtu/yr]]/'Schedule-Building Info'!$B$6</f>
        <v>6.4515282979309817E-3</v>
      </c>
      <c r="N411" t="s">
        <v>1090</v>
      </c>
      <c r="O411">
        <v>0</v>
      </c>
      <c r="P411" t="str">
        <f>VLOOKUP(PlanGrid[[#This Row],[Title]],'Spec Wattages'!$A$1:$C$973,3,FALSE)</f>
        <v>Plug Load</v>
      </c>
      <c r="Q411" t="s">
        <v>915</v>
      </c>
      <c r="R411" t="s">
        <v>915</v>
      </c>
      <c r="S411" t="s">
        <v>11</v>
      </c>
    </row>
    <row r="412" spans="1:19" x14ac:dyDescent="0.25">
      <c r="A412">
        <v>854</v>
      </c>
      <c r="B412" t="s">
        <v>15</v>
      </c>
      <c r="C412" t="s">
        <v>16</v>
      </c>
      <c r="E412" s="50">
        <f>VLOOKUP(PlanGrid[[#This Row],[Title]],'Spec Wattages'!$A$1:$C$973,2,FALSE)</f>
        <v>21</v>
      </c>
      <c r="F412" s="38">
        <v>1</v>
      </c>
      <c r="G412" s="39">
        <v>1</v>
      </c>
      <c r="H412" s="58">
        <f>PlanGrid[[#This Row],[Spec Wattage]]*PlanGrid[[#This Row],[Equipment Count]]</f>
        <v>21</v>
      </c>
      <c r="I412" s="50">
        <f>((PlanGrid[[#This Row],[Demand Watt]]*PlanGrid[[#This Row],[Utilization %]]*'Schedule-Building Info'!$N$16)/1000)</f>
        <v>114.97499999999999</v>
      </c>
      <c r="J412" s="57">
        <f>PlanGrid[[#This Row],[kWh/yr]]*' Elec Utility (kWh)'!$M$7</f>
        <v>12.257868782138575</v>
      </c>
      <c r="K412" s="38">
        <f>PlanGrid[[#This Row],[kWh/yr]]/'Schedule-Building Info'!$B$6</f>
        <v>1.8907563025210084E-3</v>
      </c>
      <c r="L412" s="50">
        <f>CONVERT(PlanGrid[[#This Row],[kWh/yr]],"Wh","BTU")</f>
        <v>392.31098426888508</v>
      </c>
      <c r="M412" s="38">
        <f>PlanGrid[[#This Row],[kBtu/yr]]/'Schedule-Building Info'!$B$6</f>
        <v>6.4515282979309817E-3</v>
      </c>
      <c r="N412" t="s">
        <v>1090</v>
      </c>
      <c r="O412">
        <v>0</v>
      </c>
      <c r="P412" t="str">
        <f>VLOOKUP(PlanGrid[[#This Row],[Title]],'Spec Wattages'!$A$1:$C$973,3,FALSE)</f>
        <v>Plug Load</v>
      </c>
      <c r="Q412" t="s">
        <v>837</v>
      </c>
      <c r="R412" t="s">
        <v>832</v>
      </c>
      <c r="S412" t="s">
        <v>11</v>
      </c>
    </row>
    <row r="413" spans="1:19" x14ac:dyDescent="0.25">
      <c r="A413">
        <v>859</v>
      </c>
      <c r="B413" t="s">
        <v>15</v>
      </c>
      <c r="C413" t="s">
        <v>16</v>
      </c>
      <c r="E413" s="50">
        <f>VLOOKUP(PlanGrid[[#This Row],[Title]],'Spec Wattages'!$A$1:$C$973,2,FALSE)</f>
        <v>21</v>
      </c>
      <c r="F413" s="38">
        <v>1</v>
      </c>
      <c r="G413" s="39">
        <v>1</v>
      </c>
      <c r="H413" s="58">
        <f>PlanGrid[[#This Row],[Spec Wattage]]*PlanGrid[[#This Row],[Equipment Count]]</f>
        <v>21</v>
      </c>
      <c r="I413" s="50">
        <f>((PlanGrid[[#This Row],[Demand Watt]]*PlanGrid[[#This Row],[Utilization %]]*'Schedule-Building Info'!$N$16)/1000)</f>
        <v>114.97499999999999</v>
      </c>
      <c r="J413" s="57">
        <f>PlanGrid[[#This Row],[kWh/yr]]*' Elec Utility (kWh)'!$M$7</f>
        <v>12.257868782138575</v>
      </c>
      <c r="K413" s="38">
        <f>PlanGrid[[#This Row],[kWh/yr]]/'Schedule-Building Info'!$B$6</f>
        <v>1.8907563025210084E-3</v>
      </c>
      <c r="L413" s="50">
        <f>CONVERT(PlanGrid[[#This Row],[kWh/yr]],"Wh","BTU")</f>
        <v>392.31098426888508</v>
      </c>
      <c r="M413" s="38">
        <f>PlanGrid[[#This Row],[kBtu/yr]]/'Schedule-Building Info'!$B$6</f>
        <v>6.4515282979309817E-3</v>
      </c>
      <c r="N413" t="s">
        <v>1090</v>
      </c>
      <c r="O413">
        <v>0</v>
      </c>
      <c r="P413" t="str">
        <f>VLOOKUP(PlanGrid[[#This Row],[Title]],'Spec Wattages'!$A$1:$C$973,3,FALSE)</f>
        <v>Plug Load</v>
      </c>
      <c r="Q413" t="s">
        <v>781</v>
      </c>
      <c r="R413" t="s">
        <v>781</v>
      </c>
      <c r="S413" t="s">
        <v>11</v>
      </c>
    </row>
    <row r="414" spans="1:19" x14ac:dyDescent="0.25">
      <c r="A414">
        <v>860</v>
      </c>
      <c r="B414" t="s">
        <v>15</v>
      </c>
      <c r="C414" t="s">
        <v>16</v>
      </c>
      <c r="E414" s="50">
        <f>VLOOKUP(PlanGrid[[#This Row],[Title]],'Spec Wattages'!$A$1:$C$973,2,FALSE)</f>
        <v>21</v>
      </c>
      <c r="F414" s="38">
        <v>1</v>
      </c>
      <c r="G414" s="39">
        <v>1</v>
      </c>
      <c r="H414" s="58">
        <f>PlanGrid[[#This Row],[Spec Wattage]]*PlanGrid[[#This Row],[Equipment Count]]</f>
        <v>21</v>
      </c>
      <c r="I414" s="50">
        <f>((PlanGrid[[#This Row],[Demand Watt]]*PlanGrid[[#This Row],[Utilization %]]*'Schedule-Building Info'!$N$16)/1000)</f>
        <v>114.97499999999999</v>
      </c>
      <c r="J414" s="57">
        <f>PlanGrid[[#This Row],[kWh/yr]]*' Elec Utility (kWh)'!$M$7</f>
        <v>12.257868782138575</v>
      </c>
      <c r="K414" s="38">
        <f>PlanGrid[[#This Row],[kWh/yr]]/'Schedule-Building Info'!$B$6</f>
        <v>1.8907563025210084E-3</v>
      </c>
      <c r="L414" s="50">
        <f>CONVERT(PlanGrid[[#This Row],[kWh/yr]],"Wh","BTU")</f>
        <v>392.31098426888508</v>
      </c>
      <c r="M414" s="38">
        <f>PlanGrid[[#This Row],[kBtu/yr]]/'Schedule-Building Info'!$B$6</f>
        <v>6.4515282979309817E-3</v>
      </c>
      <c r="N414" t="s">
        <v>1090</v>
      </c>
      <c r="O414">
        <v>0</v>
      </c>
      <c r="P414" t="str">
        <f>VLOOKUP(PlanGrid[[#This Row],[Title]],'Spec Wattages'!$A$1:$C$973,3,FALSE)</f>
        <v>Plug Load</v>
      </c>
      <c r="Q414" t="s">
        <v>781</v>
      </c>
      <c r="R414" t="s">
        <v>781</v>
      </c>
      <c r="S414" t="s">
        <v>51</v>
      </c>
    </row>
    <row r="415" spans="1:19" x14ac:dyDescent="0.25">
      <c r="A415">
        <v>868</v>
      </c>
      <c r="B415" t="s">
        <v>15</v>
      </c>
      <c r="C415" t="s">
        <v>16</v>
      </c>
      <c r="E415" s="50">
        <f>VLOOKUP(PlanGrid[[#This Row],[Title]],'Spec Wattages'!$A$1:$C$973,2,FALSE)</f>
        <v>21</v>
      </c>
      <c r="F415" s="38">
        <v>1</v>
      </c>
      <c r="G415" s="39">
        <v>1</v>
      </c>
      <c r="H415" s="58">
        <f>PlanGrid[[#This Row],[Spec Wattage]]*PlanGrid[[#This Row],[Equipment Count]]</f>
        <v>21</v>
      </c>
      <c r="I415" s="50">
        <f>((PlanGrid[[#This Row],[Demand Watt]]*PlanGrid[[#This Row],[Utilization %]]*'Schedule-Building Info'!$N$16)/1000)</f>
        <v>114.97499999999999</v>
      </c>
      <c r="J415" s="57">
        <f>PlanGrid[[#This Row],[kWh/yr]]*' Elec Utility (kWh)'!$M$7</f>
        <v>12.257868782138575</v>
      </c>
      <c r="K415" s="38">
        <f>PlanGrid[[#This Row],[kWh/yr]]/'Schedule-Building Info'!$B$6</f>
        <v>1.8907563025210084E-3</v>
      </c>
      <c r="L415" s="50">
        <f>CONVERT(PlanGrid[[#This Row],[kWh/yr]],"Wh","BTU")</f>
        <v>392.31098426888508</v>
      </c>
      <c r="M415" s="38">
        <f>PlanGrid[[#This Row],[kBtu/yr]]/'Schedule-Building Info'!$B$6</f>
        <v>6.4515282979309817E-3</v>
      </c>
      <c r="N415" t="s">
        <v>1090</v>
      </c>
      <c r="O415">
        <v>0</v>
      </c>
      <c r="P415" t="str">
        <f>VLOOKUP(PlanGrid[[#This Row],[Title]],'Spec Wattages'!$A$1:$C$973,3,FALSE)</f>
        <v>Plug Load</v>
      </c>
      <c r="Q415" t="s">
        <v>737</v>
      </c>
      <c r="R415" t="s">
        <v>732</v>
      </c>
      <c r="S415" t="s">
        <v>11</v>
      </c>
    </row>
    <row r="416" spans="1:19" x14ac:dyDescent="0.25">
      <c r="A416">
        <v>869</v>
      </c>
      <c r="B416" t="s">
        <v>15</v>
      </c>
      <c r="C416" t="s">
        <v>16</v>
      </c>
      <c r="E416" s="50">
        <f>VLOOKUP(PlanGrid[[#This Row],[Title]],'Spec Wattages'!$A$1:$C$973,2,FALSE)</f>
        <v>21</v>
      </c>
      <c r="F416" s="38">
        <v>1</v>
      </c>
      <c r="G416" s="39">
        <v>1</v>
      </c>
      <c r="H416" s="58">
        <f>PlanGrid[[#This Row],[Spec Wattage]]*PlanGrid[[#This Row],[Equipment Count]]</f>
        <v>21</v>
      </c>
      <c r="I416" s="50">
        <f>((PlanGrid[[#This Row],[Demand Watt]]*PlanGrid[[#This Row],[Utilization %]]*'Schedule-Building Info'!$N$16)/1000)</f>
        <v>114.97499999999999</v>
      </c>
      <c r="J416" s="57">
        <f>PlanGrid[[#This Row],[kWh/yr]]*' Elec Utility (kWh)'!$M$7</f>
        <v>12.257868782138575</v>
      </c>
      <c r="K416" s="38">
        <f>PlanGrid[[#This Row],[kWh/yr]]/'Schedule-Building Info'!$B$6</f>
        <v>1.8907563025210084E-3</v>
      </c>
      <c r="L416" s="50">
        <f>CONVERT(PlanGrid[[#This Row],[kWh/yr]],"Wh","BTU")</f>
        <v>392.31098426888508</v>
      </c>
      <c r="M416" s="38">
        <f>PlanGrid[[#This Row],[kBtu/yr]]/'Schedule-Building Info'!$B$6</f>
        <v>6.4515282979309817E-3</v>
      </c>
      <c r="N416" t="s">
        <v>1090</v>
      </c>
      <c r="O416">
        <v>0</v>
      </c>
      <c r="P416" t="str">
        <f>VLOOKUP(PlanGrid[[#This Row],[Title]],'Spec Wattages'!$A$1:$C$973,3,FALSE)</f>
        <v>Plug Load</v>
      </c>
      <c r="Q416" t="s">
        <v>924</v>
      </c>
      <c r="R416" t="s">
        <v>732</v>
      </c>
      <c r="S416" t="s">
        <v>11</v>
      </c>
    </row>
    <row r="417" spans="1:19" x14ac:dyDescent="0.25">
      <c r="A417">
        <v>1074</v>
      </c>
      <c r="B417" t="s">
        <v>15</v>
      </c>
      <c r="C417" t="s">
        <v>16</v>
      </c>
      <c r="E417" s="50">
        <f>VLOOKUP(PlanGrid[[#This Row],[Title]],'Spec Wattages'!$A$1:$C$973,2,FALSE)</f>
        <v>21</v>
      </c>
      <c r="F417" s="38">
        <v>1</v>
      </c>
      <c r="G417" s="39">
        <v>1</v>
      </c>
      <c r="H417" s="58">
        <f>PlanGrid[[#This Row],[Spec Wattage]]*PlanGrid[[#This Row],[Equipment Count]]</f>
        <v>21</v>
      </c>
      <c r="I417" s="50">
        <f>((PlanGrid[[#This Row],[Demand Watt]]*PlanGrid[[#This Row],[Utilization %]]*'Schedule-Building Info'!$N$16)/1000)</f>
        <v>114.97499999999999</v>
      </c>
      <c r="J417" s="57">
        <f>PlanGrid[[#This Row],[kWh/yr]]*' Elec Utility (kWh)'!$M$7</f>
        <v>12.257868782138575</v>
      </c>
      <c r="K417" s="38">
        <f>PlanGrid[[#This Row],[kWh/yr]]/'Schedule-Building Info'!$B$6</f>
        <v>1.8907563025210084E-3</v>
      </c>
      <c r="L417" s="50">
        <f>CONVERT(PlanGrid[[#This Row],[kWh/yr]],"Wh","BTU")</f>
        <v>392.31098426888508</v>
      </c>
      <c r="M417" s="38">
        <f>PlanGrid[[#This Row],[kBtu/yr]]/'Schedule-Building Info'!$B$6</f>
        <v>6.4515282979309817E-3</v>
      </c>
      <c r="N417" t="s">
        <v>1090</v>
      </c>
      <c r="O417">
        <v>0</v>
      </c>
      <c r="P417" t="str">
        <f>VLOOKUP(PlanGrid[[#This Row],[Title]],'Spec Wattages'!$A$1:$C$973,3,FALSE)</f>
        <v>Plug Load</v>
      </c>
      <c r="Q417" t="s">
        <v>837</v>
      </c>
      <c r="R417" t="s">
        <v>797</v>
      </c>
      <c r="S417" t="s">
        <v>11</v>
      </c>
    </row>
    <row r="418" spans="1:19" x14ac:dyDescent="0.25">
      <c r="A418">
        <v>20</v>
      </c>
      <c r="B418" t="s">
        <v>15</v>
      </c>
      <c r="C418" t="s">
        <v>16</v>
      </c>
      <c r="E418" s="50">
        <f>VLOOKUP(PlanGrid[[#This Row],[Title]],'Spec Wattages'!$A$1:$C$973,2,FALSE)</f>
        <v>21</v>
      </c>
      <c r="F418" s="38">
        <v>1</v>
      </c>
      <c r="G418" s="39">
        <v>1</v>
      </c>
      <c r="H418" s="58">
        <f>PlanGrid[[#This Row],[Spec Wattage]]*PlanGrid[[#This Row],[Equipment Count]]</f>
        <v>21</v>
      </c>
      <c r="I418" s="50">
        <f>((PlanGrid[[#This Row],[Demand Watt]]*PlanGrid[[#This Row],[Utilization %]]*'Schedule-Building Info'!$N$16)/1000)</f>
        <v>114.97499999999999</v>
      </c>
      <c r="J418" s="57">
        <f>PlanGrid[[#This Row],[kWh/yr]]*' Elec Utility (kWh)'!$M$7</f>
        <v>12.257868782138575</v>
      </c>
      <c r="K418" s="38">
        <f>PlanGrid[[#This Row],[kWh/yr]]/'Schedule-Building Info'!$B$6</f>
        <v>1.8907563025210084E-3</v>
      </c>
      <c r="L418" s="50">
        <f>CONVERT(PlanGrid[[#This Row],[kWh/yr]],"Wh","BTU")</f>
        <v>392.31098426888508</v>
      </c>
      <c r="M418" s="38">
        <f>PlanGrid[[#This Row],[kBtu/yr]]/'Schedule-Building Info'!$B$6</f>
        <v>6.4515282979309817E-3</v>
      </c>
      <c r="N418" t="s">
        <v>1092</v>
      </c>
      <c r="O418">
        <v>0</v>
      </c>
      <c r="P418" t="str">
        <f>VLOOKUP(PlanGrid[[#This Row],[Title]],'Spec Wattages'!$A$1:$C$973,3,FALSE)</f>
        <v>Plug Load</v>
      </c>
      <c r="Q418" t="s">
        <v>783</v>
      </c>
      <c r="R418" t="s">
        <v>931</v>
      </c>
      <c r="S418" t="s">
        <v>11</v>
      </c>
    </row>
    <row r="419" spans="1:19" x14ac:dyDescent="0.25">
      <c r="A419">
        <v>22</v>
      </c>
      <c r="B419" t="s">
        <v>15</v>
      </c>
      <c r="C419" t="s">
        <v>16</v>
      </c>
      <c r="E419" s="50">
        <f>VLOOKUP(PlanGrid[[#This Row],[Title]],'Spec Wattages'!$A$1:$C$973,2,FALSE)</f>
        <v>21</v>
      </c>
      <c r="F419" s="38">
        <v>1</v>
      </c>
      <c r="G419" s="39">
        <v>1</v>
      </c>
      <c r="H419" s="58">
        <f>PlanGrid[[#This Row],[Spec Wattage]]*PlanGrid[[#This Row],[Equipment Count]]</f>
        <v>21</v>
      </c>
      <c r="I419" s="50">
        <f>((PlanGrid[[#This Row],[Demand Watt]]*PlanGrid[[#This Row],[Utilization %]]*'Schedule-Building Info'!$N$16)/1000)</f>
        <v>114.97499999999999</v>
      </c>
      <c r="J419" s="57">
        <f>PlanGrid[[#This Row],[kWh/yr]]*' Elec Utility (kWh)'!$M$7</f>
        <v>12.257868782138575</v>
      </c>
      <c r="K419" s="38">
        <f>PlanGrid[[#This Row],[kWh/yr]]/'Schedule-Building Info'!$B$6</f>
        <v>1.8907563025210084E-3</v>
      </c>
      <c r="L419" s="50">
        <f>CONVERT(PlanGrid[[#This Row],[kWh/yr]],"Wh","BTU")</f>
        <v>392.31098426888508</v>
      </c>
      <c r="M419" s="38">
        <f>PlanGrid[[#This Row],[kBtu/yr]]/'Schedule-Building Info'!$B$6</f>
        <v>6.4515282979309817E-3</v>
      </c>
      <c r="N419" t="s">
        <v>1092</v>
      </c>
      <c r="O419">
        <v>0</v>
      </c>
      <c r="P419" t="str">
        <f>VLOOKUP(PlanGrid[[#This Row],[Title]],'Spec Wattages'!$A$1:$C$973,3,FALSE)</f>
        <v>Plug Load</v>
      </c>
      <c r="Q419" t="s">
        <v>931</v>
      </c>
      <c r="R419" t="s">
        <v>931</v>
      </c>
      <c r="S419" t="s">
        <v>51</v>
      </c>
    </row>
    <row r="420" spans="1:19" x14ac:dyDescent="0.25">
      <c r="A420">
        <v>34</v>
      </c>
      <c r="B420" t="s">
        <v>15</v>
      </c>
      <c r="C420" t="s">
        <v>16</v>
      </c>
      <c r="E420" s="50">
        <f>VLOOKUP(PlanGrid[[#This Row],[Title]],'Spec Wattages'!$A$1:$C$973,2,FALSE)</f>
        <v>21</v>
      </c>
      <c r="F420" s="38">
        <v>1</v>
      </c>
      <c r="G420" s="39">
        <v>1</v>
      </c>
      <c r="H420" s="58">
        <f>PlanGrid[[#This Row],[Spec Wattage]]*PlanGrid[[#This Row],[Equipment Count]]</f>
        <v>21</v>
      </c>
      <c r="I420" s="50">
        <f>((PlanGrid[[#This Row],[Demand Watt]]*PlanGrid[[#This Row],[Utilization %]]*'Schedule-Building Info'!$N$16)/1000)</f>
        <v>114.97499999999999</v>
      </c>
      <c r="J420" s="57">
        <f>PlanGrid[[#This Row],[kWh/yr]]*' Elec Utility (kWh)'!$M$7</f>
        <v>12.257868782138575</v>
      </c>
      <c r="K420" s="38">
        <f>PlanGrid[[#This Row],[kWh/yr]]/'Schedule-Building Info'!$B$6</f>
        <v>1.8907563025210084E-3</v>
      </c>
      <c r="L420" s="50">
        <f>CONVERT(PlanGrid[[#This Row],[kWh/yr]],"Wh","BTU")</f>
        <v>392.31098426888508</v>
      </c>
      <c r="M420" s="38">
        <f>PlanGrid[[#This Row],[kBtu/yr]]/'Schedule-Building Info'!$B$6</f>
        <v>6.4515282979309817E-3</v>
      </c>
      <c r="N420" t="s">
        <v>1092</v>
      </c>
      <c r="O420">
        <v>0</v>
      </c>
      <c r="P420" t="str">
        <f>VLOOKUP(PlanGrid[[#This Row],[Title]],'Spec Wattages'!$A$1:$C$973,3,FALSE)</f>
        <v>Plug Load</v>
      </c>
      <c r="Q420" t="s">
        <v>933</v>
      </c>
      <c r="R420" t="s">
        <v>933</v>
      </c>
      <c r="S420" t="s">
        <v>51</v>
      </c>
    </row>
    <row r="421" spans="1:19" x14ac:dyDescent="0.25">
      <c r="A421">
        <v>38</v>
      </c>
      <c r="B421" t="s">
        <v>15</v>
      </c>
      <c r="C421" t="s">
        <v>16</v>
      </c>
      <c r="E421" s="50">
        <f>VLOOKUP(PlanGrid[[#This Row],[Title]],'Spec Wattages'!$A$1:$C$973,2,FALSE)</f>
        <v>21</v>
      </c>
      <c r="F421" s="38">
        <v>1</v>
      </c>
      <c r="G421" s="39">
        <v>1</v>
      </c>
      <c r="H421" s="58">
        <f>PlanGrid[[#This Row],[Spec Wattage]]*PlanGrid[[#This Row],[Equipment Count]]</f>
        <v>21</v>
      </c>
      <c r="I421" s="50">
        <f>((PlanGrid[[#This Row],[Demand Watt]]*PlanGrid[[#This Row],[Utilization %]]*'Schedule-Building Info'!$N$16)/1000)</f>
        <v>114.97499999999999</v>
      </c>
      <c r="J421" s="57">
        <f>PlanGrid[[#This Row],[kWh/yr]]*' Elec Utility (kWh)'!$M$7</f>
        <v>12.257868782138575</v>
      </c>
      <c r="K421" s="38">
        <f>PlanGrid[[#This Row],[kWh/yr]]/'Schedule-Building Info'!$B$6</f>
        <v>1.8907563025210084E-3</v>
      </c>
      <c r="L421" s="50">
        <f>CONVERT(PlanGrid[[#This Row],[kWh/yr]],"Wh","BTU")</f>
        <v>392.31098426888508</v>
      </c>
      <c r="M421" s="38">
        <f>PlanGrid[[#This Row],[kBtu/yr]]/'Schedule-Building Info'!$B$6</f>
        <v>6.4515282979309817E-3</v>
      </c>
      <c r="N421" t="s">
        <v>1092</v>
      </c>
      <c r="O421">
        <v>0</v>
      </c>
      <c r="P421" t="str">
        <f>VLOOKUP(PlanGrid[[#This Row],[Title]],'Spec Wattages'!$A$1:$C$973,3,FALSE)</f>
        <v>Plug Load</v>
      </c>
      <c r="Q421" t="s">
        <v>934</v>
      </c>
      <c r="R421" t="s">
        <v>742</v>
      </c>
      <c r="S421" t="s">
        <v>11</v>
      </c>
    </row>
    <row r="422" spans="1:19" x14ac:dyDescent="0.25">
      <c r="A422">
        <v>64</v>
      </c>
      <c r="B422" t="s">
        <v>15</v>
      </c>
      <c r="C422" t="s">
        <v>16</v>
      </c>
      <c r="E422" s="50">
        <f>VLOOKUP(PlanGrid[[#This Row],[Title]],'Spec Wattages'!$A$1:$C$973,2,FALSE)</f>
        <v>21</v>
      </c>
      <c r="F422" s="38">
        <v>1</v>
      </c>
      <c r="G422" s="39">
        <v>1</v>
      </c>
      <c r="H422" s="58">
        <f>PlanGrid[[#This Row],[Spec Wattage]]*PlanGrid[[#This Row],[Equipment Count]]</f>
        <v>21</v>
      </c>
      <c r="I422" s="50">
        <f>((PlanGrid[[#This Row],[Demand Watt]]*PlanGrid[[#This Row],[Utilization %]]*'Schedule-Building Info'!$N$16)/1000)</f>
        <v>114.97499999999999</v>
      </c>
      <c r="J422" s="57">
        <f>PlanGrid[[#This Row],[kWh/yr]]*' Elec Utility (kWh)'!$M$7</f>
        <v>12.257868782138575</v>
      </c>
      <c r="K422" s="38">
        <f>PlanGrid[[#This Row],[kWh/yr]]/'Schedule-Building Info'!$B$6</f>
        <v>1.8907563025210084E-3</v>
      </c>
      <c r="L422" s="50">
        <f>CONVERT(PlanGrid[[#This Row],[kWh/yr]],"Wh","BTU")</f>
        <v>392.31098426888508</v>
      </c>
      <c r="M422" s="38">
        <f>PlanGrid[[#This Row],[kBtu/yr]]/'Schedule-Building Info'!$B$6</f>
        <v>6.4515282979309817E-3</v>
      </c>
      <c r="N422" t="s">
        <v>1092</v>
      </c>
      <c r="O422">
        <v>0</v>
      </c>
      <c r="P422" t="str">
        <f>VLOOKUP(PlanGrid[[#This Row],[Title]],'Spec Wattages'!$A$1:$C$973,3,FALSE)</f>
        <v>Plug Load</v>
      </c>
      <c r="Q422" t="s">
        <v>847</v>
      </c>
      <c r="R422" t="s">
        <v>847</v>
      </c>
      <c r="S422" t="s">
        <v>51</v>
      </c>
    </row>
    <row r="423" spans="1:19" x14ac:dyDescent="0.25">
      <c r="A423">
        <v>68</v>
      </c>
      <c r="B423" t="s">
        <v>15</v>
      </c>
      <c r="C423" t="s">
        <v>16</v>
      </c>
      <c r="E423" s="50">
        <f>VLOOKUP(PlanGrid[[#This Row],[Title]],'Spec Wattages'!$A$1:$C$973,2,FALSE)</f>
        <v>21</v>
      </c>
      <c r="F423" s="38">
        <v>1</v>
      </c>
      <c r="G423" s="39">
        <v>1</v>
      </c>
      <c r="H423" s="58">
        <f>PlanGrid[[#This Row],[Spec Wattage]]*PlanGrid[[#This Row],[Equipment Count]]</f>
        <v>21</v>
      </c>
      <c r="I423" s="50">
        <f>((PlanGrid[[#This Row],[Demand Watt]]*PlanGrid[[#This Row],[Utilization %]]*'Schedule-Building Info'!$N$16)/1000)</f>
        <v>114.97499999999999</v>
      </c>
      <c r="J423" s="57">
        <f>PlanGrid[[#This Row],[kWh/yr]]*' Elec Utility (kWh)'!$M$7</f>
        <v>12.257868782138575</v>
      </c>
      <c r="K423" s="38">
        <f>PlanGrid[[#This Row],[kWh/yr]]/'Schedule-Building Info'!$B$6</f>
        <v>1.8907563025210084E-3</v>
      </c>
      <c r="L423" s="50">
        <f>CONVERT(PlanGrid[[#This Row],[kWh/yr]],"Wh","BTU")</f>
        <v>392.31098426888508</v>
      </c>
      <c r="M423" s="38">
        <f>PlanGrid[[#This Row],[kBtu/yr]]/'Schedule-Building Info'!$B$6</f>
        <v>6.4515282979309817E-3</v>
      </c>
      <c r="N423" t="s">
        <v>1092</v>
      </c>
      <c r="O423">
        <v>0</v>
      </c>
      <c r="P423" t="str">
        <f>VLOOKUP(PlanGrid[[#This Row],[Title]],'Spec Wattages'!$A$1:$C$973,3,FALSE)</f>
        <v>Plug Load</v>
      </c>
      <c r="Q423" t="s">
        <v>851</v>
      </c>
      <c r="R423" t="s">
        <v>932</v>
      </c>
      <c r="S423" t="s">
        <v>11</v>
      </c>
    </row>
    <row r="424" spans="1:19" x14ac:dyDescent="0.25">
      <c r="A424">
        <v>71</v>
      </c>
      <c r="B424" t="s">
        <v>15</v>
      </c>
      <c r="C424" t="s">
        <v>16</v>
      </c>
      <c r="E424" s="50">
        <f>VLOOKUP(PlanGrid[[#This Row],[Title]],'Spec Wattages'!$A$1:$C$973,2,FALSE)</f>
        <v>21</v>
      </c>
      <c r="F424" s="38">
        <v>1</v>
      </c>
      <c r="G424" s="39">
        <v>1</v>
      </c>
      <c r="H424" s="58">
        <f>PlanGrid[[#This Row],[Spec Wattage]]*PlanGrid[[#This Row],[Equipment Count]]</f>
        <v>21</v>
      </c>
      <c r="I424" s="50">
        <f>((PlanGrid[[#This Row],[Demand Watt]]*PlanGrid[[#This Row],[Utilization %]]*'Schedule-Building Info'!$N$16)/1000)</f>
        <v>114.97499999999999</v>
      </c>
      <c r="J424" s="57">
        <f>PlanGrid[[#This Row],[kWh/yr]]*' Elec Utility (kWh)'!$M$7</f>
        <v>12.257868782138575</v>
      </c>
      <c r="K424" s="38">
        <f>PlanGrid[[#This Row],[kWh/yr]]/'Schedule-Building Info'!$B$6</f>
        <v>1.8907563025210084E-3</v>
      </c>
      <c r="L424" s="50">
        <f>CONVERT(PlanGrid[[#This Row],[kWh/yr]],"Wh","BTU")</f>
        <v>392.31098426888508</v>
      </c>
      <c r="M424" s="38">
        <f>PlanGrid[[#This Row],[kBtu/yr]]/'Schedule-Building Info'!$B$6</f>
        <v>6.4515282979309817E-3</v>
      </c>
      <c r="N424" t="s">
        <v>1092</v>
      </c>
      <c r="O424">
        <v>0</v>
      </c>
      <c r="P424" t="str">
        <f>VLOOKUP(PlanGrid[[#This Row],[Title]],'Spec Wattages'!$A$1:$C$973,3,FALSE)</f>
        <v>Plug Load</v>
      </c>
      <c r="Q424" t="s">
        <v>852</v>
      </c>
      <c r="R424" t="s">
        <v>850</v>
      </c>
      <c r="S424" t="s">
        <v>11</v>
      </c>
    </row>
    <row r="425" spans="1:19" x14ac:dyDescent="0.25">
      <c r="A425">
        <v>72</v>
      </c>
      <c r="B425" t="s">
        <v>15</v>
      </c>
      <c r="C425" t="s">
        <v>16</v>
      </c>
      <c r="E425" s="50">
        <f>VLOOKUP(PlanGrid[[#This Row],[Title]],'Spec Wattages'!$A$1:$C$973,2,FALSE)</f>
        <v>21</v>
      </c>
      <c r="F425" s="38">
        <v>1</v>
      </c>
      <c r="G425" s="39">
        <v>1</v>
      </c>
      <c r="H425" s="58">
        <f>PlanGrid[[#This Row],[Spec Wattage]]*PlanGrid[[#This Row],[Equipment Count]]</f>
        <v>21</v>
      </c>
      <c r="I425" s="50">
        <f>((PlanGrid[[#This Row],[Demand Watt]]*PlanGrid[[#This Row],[Utilization %]]*'Schedule-Building Info'!$N$16)/1000)</f>
        <v>114.97499999999999</v>
      </c>
      <c r="J425" s="57">
        <f>PlanGrid[[#This Row],[kWh/yr]]*' Elec Utility (kWh)'!$M$7</f>
        <v>12.257868782138575</v>
      </c>
      <c r="K425" s="38">
        <f>PlanGrid[[#This Row],[kWh/yr]]/'Schedule-Building Info'!$B$6</f>
        <v>1.8907563025210084E-3</v>
      </c>
      <c r="L425" s="50">
        <f>CONVERT(PlanGrid[[#This Row],[kWh/yr]],"Wh","BTU")</f>
        <v>392.31098426888508</v>
      </c>
      <c r="M425" s="38">
        <f>PlanGrid[[#This Row],[kBtu/yr]]/'Schedule-Building Info'!$B$6</f>
        <v>6.4515282979309817E-3</v>
      </c>
      <c r="N425" t="s">
        <v>1092</v>
      </c>
      <c r="O425">
        <v>0</v>
      </c>
      <c r="P425" t="str">
        <f>VLOOKUP(PlanGrid[[#This Row],[Title]],'Spec Wattages'!$A$1:$C$973,3,FALSE)</f>
        <v>Plug Load</v>
      </c>
      <c r="Q425" t="s">
        <v>852</v>
      </c>
      <c r="R425" t="s">
        <v>850</v>
      </c>
      <c r="S425" t="s">
        <v>11</v>
      </c>
    </row>
    <row r="426" spans="1:19" x14ac:dyDescent="0.25">
      <c r="A426">
        <v>76</v>
      </c>
      <c r="B426" t="s">
        <v>15</v>
      </c>
      <c r="C426" t="s">
        <v>16</v>
      </c>
      <c r="D426" t="s">
        <v>538</v>
      </c>
      <c r="E426" s="50">
        <f>VLOOKUP(PlanGrid[[#This Row],[Title]],'Spec Wattages'!$A$1:$C$973,2,FALSE)</f>
        <v>21</v>
      </c>
      <c r="F426" s="38">
        <v>1</v>
      </c>
      <c r="G426" s="39">
        <v>1</v>
      </c>
      <c r="H426" s="58">
        <f>PlanGrid[[#This Row],[Spec Wattage]]*PlanGrid[[#This Row],[Equipment Count]]</f>
        <v>21</v>
      </c>
      <c r="I426" s="50">
        <f>((PlanGrid[[#This Row],[Demand Watt]]*PlanGrid[[#This Row],[Utilization %]]*'Schedule-Building Info'!$N$16)/1000)</f>
        <v>114.97499999999999</v>
      </c>
      <c r="J426" s="57">
        <f>PlanGrid[[#This Row],[kWh/yr]]*' Elec Utility (kWh)'!$M$7</f>
        <v>12.257868782138575</v>
      </c>
      <c r="K426" s="38">
        <f>PlanGrid[[#This Row],[kWh/yr]]/'Schedule-Building Info'!$B$6</f>
        <v>1.8907563025210084E-3</v>
      </c>
      <c r="L426" s="50">
        <f>CONVERT(PlanGrid[[#This Row],[kWh/yr]],"Wh","BTU")</f>
        <v>392.31098426888508</v>
      </c>
      <c r="M426" s="38">
        <f>PlanGrid[[#This Row],[kBtu/yr]]/'Schedule-Building Info'!$B$6</f>
        <v>6.4515282979309817E-3</v>
      </c>
      <c r="N426" t="s">
        <v>1092</v>
      </c>
      <c r="O426">
        <v>0</v>
      </c>
      <c r="P426" t="str">
        <f>VLOOKUP(PlanGrid[[#This Row],[Title]],'Spec Wattages'!$A$1:$C$973,3,FALSE)</f>
        <v>Plug Load</v>
      </c>
      <c r="Q426" t="s">
        <v>941</v>
      </c>
      <c r="R426" t="s">
        <v>941</v>
      </c>
      <c r="S426" t="s">
        <v>51</v>
      </c>
    </row>
    <row r="427" spans="1:19" x14ac:dyDescent="0.25">
      <c r="A427">
        <v>83</v>
      </c>
      <c r="B427" t="s">
        <v>15</v>
      </c>
      <c r="C427" t="s">
        <v>16</v>
      </c>
      <c r="E427" s="50">
        <f>VLOOKUP(PlanGrid[[#This Row],[Title]],'Spec Wattages'!$A$1:$C$973,2,FALSE)</f>
        <v>21</v>
      </c>
      <c r="F427" s="38">
        <v>1</v>
      </c>
      <c r="G427" s="39">
        <v>1</v>
      </c>
      <c r="H427" s="58">
        <f>PlanGrid[[#This Row],[Spec Wattage]]*PlanGrid[[#This Row],[Equipment Count]]</f>
        <v>21</v>
      </c>
      <c r="I427" s="50">
        <f>((PlanGrid[[#This Row],[Demand Watt]]*PlanGrid[[#This Row],[Utilization %]]*'Schedule-Building Info'!$N$16)/1000)</f>
        <v>114.97499999999999</v>
      </c>
      <c r="J427" s="57">
        <f>PlanGrid[[#This Row],[kWh/yr]]*' Elec Utility (kWh)'!$M$7</f>
        <v>12.257868782138575</v>
      </c>
      <c r="K427" s="38">
        <f>PlanGrid[[#This Row],[kWh/yr]]/'Schedule-Building Info'!$B$6</f>
        <v>1.8907563025210084E-3</v>
      </c>
      <c r="L427" s="50">
        <f>CONVERT(PlanGrid[[#This Row],[kWh/yr]],"Wh","BTU")</f>
        <v>392.31098426888508</v>
      </c>
      <c r="M427" s="38">
        <f>PlanGrid[[#This Row],[kBtu/yr]]/'Schedule-Building Info'!$B$6</f>
        <v>6.4515282979309817E-3</v>
      </c>
      <c r="N427" t="s">
        <v>1092</v>
      </c>
      <c r="O427">
        <v>0</v>
      </c>
      <c r="P427" t="str">
        <f>VLOOKUP(PlanGrid[[#This Row],[Title]],'Spec Wattages'!$A$1:$C$973,3,FALSE)</f>
        <v>Plug Load</v>
      </c>
      <c r="Q427" t="s">
        <v>942</v>
      </c>
      <c r="R427" t="s">
        <v>942</v>
      </c>
      <c r="S427" t="s">
        <v>51</v>
      </c>
    </row>
    <row r="428" spans="1:19" x14ac:dyDescent="0.25">
      <c r="A428">
        <v>91</v>
      </c>
      <c r="B428" t="s">
        <v>15</v>
      </c>
      <c r="C428" t="s">
        <v>16</v>
      </c>
      <c r="E428" s="50">
        <f>VLOOKUP(PlanGrid[[#This Row],[Title]],'Spec Wattages'!$A$1:$C$973,2,FALSE)</f>
        <v>21</v>
      </c>
      <c r="F428" s="38">
        <v>1</v>
      </c>
      <c r="G428" s="39">
        <v>1</v>
      </c>
      <c r="H428" s="58">
        <f>PlanGrid[[#This Row],[Spec Wattage]]*PlanGrid[[#This Row],[Equipment Count]]</f>
        <v>21</v>
      </c>
      <c r="I428" s="50">
        <f>((PlanGrid[[#This Row],[Demand Watt]]*PlanGrid[[#This Row],[Utilization %]]*'Schedule-Building Info'!$N$16)/1000)</f>
        <v>114.97499999999999</v>
      </c>
      <c r="J428" s="57">
        <f>PlanGrid[[#This Row],[kWh/yr]]*' Elec Utility (kWh)'!$M$7</f>
        <v>12.257868782138575</v>
      </c>
      <c r="K428" s="38">
        <f>PlanGrid[[#This Row],[kWh/yr]]/'Schedule-Building Info'!$B$6</f>
        <v>1.8907563025210084E-3</v>
      </c>
      <c r="L428" s="50">
        <f>CONVERT(PlanGrid[[#This Row],[kWh/yr]],"Wh","BTU")</f>
        <v>392.31098426888508</v>
      </c>
      <c r="M428" s="38">
        <f>PlanGrid[[#This Row],[kBtu/yr]]/'Schedule-Building Info'!$B$6</f>
        <v>6.4515282979309817E-3</v>
      </c>
      <c r="N428" t="s">
        <v>1092</v>
      </c>
      <c r="O428">
        <v>0</v>
      </c>
      <c r="P428" t="str">
        <f>VLOOKUP(PlanGrid[[#This Row],[Title]],'Spec Wattages'!$A$1:$C$973,3,FALSE)</f>
        <v>Plug Load</v>
      </c>
      <c r="Q428" t="s">
        <v>749</v>
      </c>
      <c r="R428" t="s">
        <v>851</v>
      </c>
      <c r="S428" t="s">
        <v>11</v>
      </c>
    </row>
    <row r="429" spans="1:19" x14ac:dyDescent="0.25">
      <c r="A429">
        <v>94</v>
      </c>
      <c r="B429" t="s">
        <v>15</v>
      </c>
      <c r="C429" t="s">
        <v>16</v>
      </c>
      <c r="E429" s="50">
        <f>VLOOKUP(PlanGrid[[#This Row],[Title]],'Spec Wattages'!$A$1:$C$973,2,FALSE)</f>
        <v>21</v>
      </c>
      <c r="F429" s="38">
        <v>1</v>
      </c>
      <c r="G429" s="39">
        <v>1</v>
      </c>
      <c r="H429" s="58">
        <f>PlanGrid[[#This Row],[Spec Wattage]]*PlanGrid[[#This Row],[Equipment Count]]</f>
        <v>21</v>
      </c>
      <c r="I429" s="50">
        <f>((PlanGrid[[#This Row],[Demand Watt]]*PlanGrid[[#This Row],[Utilization %]]*'Schedule-Building Info'!$N$16)/1000)</f>
        <v>114.97499999999999</v>
      </c>
      <c r="J429" s="57">
        <f>PlanGrid[[#This Row],[kWh/yr]]*' Elec Utility (kWh)'!$M$7</f>
        <v>12.257868782138575</v>
      </c>
      <c r="K429" s="38">
        <f>PlanGrid[[#This Row],[kWh/yr]]/'Schedule-Building Info'!$B$6</f>
        <v>1.8907563025210084E-3</v>
      </c>
      <c r="L429" s="50">
        <f>CONVERT(PlanGrid[[#This Row],[kWh/yr]],"Wh","BTU")</f>
        <v>392.31098426888508</v>
      </c>
      <c r="M429" s="38">
        <f>PlanGrid[[#This Row],[kBtu/yr]]/'Schedule-Building Info'!$B$6</f>
        <v>6.4515282979309817E-3</v>
      </c>
      <c r="N429" t="s">
        <v>1092</v>
      </c>
      <c r="O429">
        <v>0</v>
      </c>
      <c r="P429" t="str">
        <f>VLOOKUP(PlanGrid[[#This Row],[Title]],'Spec Wattages'!$A$1:$C$973,3,FALSE)</f>
        <v>Plug Load</v>
      </c>
      <c r="Q429" t="s">
        <v>855</v>
      </c>
      <c r="R429" t="s">
        <v>852</v>
      </c>
      <c r="S429" t="s">
        <v>11</v>
      </c>
    </row>
    <row r="430" spans="1:19" x14ac:dyDescent="0.25">
      <c r="A430">
        <v>95</v>
      </c>
      <c r="B430" t="s">
        <v>15</v>
      </c>
      <c r="C430" t="s">
        <v>16</v>
      </c>
      <c r="E430" s="50">
        <f>VLOOKUP(PlanGrid[[#This Row],[Title]],'Spec Wattages'!$A$1:$C$973,2,FALSE)</f>
        <v>21</v>
      </c>
      <c r="F430" s="38">
        <v>1</v>
      </c>
      <c r="G430" s="39">
        <v>1</v>
      </c>
      <c r="H430" s="58">
        <f>PlanGrid[[#This Row],[Spec Wattage]]*PlanGrid[[#This Row],[Equipment Count]]</f>
        <v>21</v>
      </c>
      <c r="I430" s="50">
        <f>((PlanGrid[[#This Row],[Demand Watt]]*PlanGrid[[#This Row],[Utilization %]]*'Schedule-Building Info'!$N$16)/1000)</f>
        <v>114.97499999999999</v>
      </c>
      <c r="J430" s="57">
        <f>PlanGrid[[#This Row],[kWh/yr]]*' Elec Utility (kWh)'!$M$7</f>
        <v>12.257868782138575</v>
      </c>
      <c r="K430" s="38">
        <f>PlanGrid[[#This Row],[kWh/yr]]/'Schedule-Building Info'!$B$6</f>
        <v>1.8907563025210084E-3</v>
      </c>
      <c r="L430" s="50">
        <f>CONVERT(PlanGrid[[#This Row],[kWh/yr]],"Wh","BTU")</f>
        <v>392.31098426888508</v>
      </c>
      <c r="M430" s="38">
        <f>PlanGrid[[#This Row],[kBtu/yr]]/'Schedule-Building Info'!$B$6</f>
        <v>6.4515282979309817E-3</v>
      </c>
      <c r="N430" t="s">
        <v>1092</v>
      </c>
      <c r="O430">
        <v>0</v>
      </c>
      <c r="P430" t="str">
        <f>VLOOKUP(PlanGrid[[#This Row],[Title]],'Spec Wattages'!$A$1:$C$973,3,FALSE)</f>
        <v>Plug Load</v>
      </c>
      <c r="Q430" t="s">
        <v>855</v>
      </c>
      <c r="R430" t="s">
        <v>852</v>
      </c>
      <c r="S430" t="s">
        <v>11</v>
      </c>
    </row>
    <row r="431" spans="1:19" x14ac:dyDescent="0.25">
      <c r="A431">
        <v>102</v>
      </c>
      <c r="B431" t="s">
        <v>15</v>
      </c>
      <c r="C431" t="s">
        <v>16</v>
      </c>
      <c r="E431" s="50">
        <f>VLOOKUP(PlanGrid[[#This Row],[Title]],'Spec Wattages'!$A$1:$C$973,2,FALSE)</f>
        <v>21</v>
      </c>
      <c r="F431" s="38">
        <v>1</v>
      </c>
      <c r="G431" s="39">
        <v>1</v>
      </c>
      <c r="H431" s="58">
        <f>PlanGrid[[#This Row],[Spec Wattage]]*PlanGrid[[#This Row],[Equipment Count]]</f>
        <v>21</v>
      </c>
      <c r="I431" s="50">
        <f>((PlanGrid[[#This Row],[Demand Watt]]*PlanGrid[[#This Row],[Utilization %]]*'Schedule-Building Info'!$N$16)/1000)</f>
        <v>114.97499999999999</v>
      </c>
      <c r="J431" s="57">
        <f>PlanGrid[[#This Row],[kWh/yr]]*' Elec Utility (kWh)'!$M$7</f>
        <v>12.257868782138575</v>
      </c>
      <c r="K431" s="38">
        <f>PlanGrid[[#This Row],[kWh/yr]]/'Schedule-Building Info'!$B$6</f>
        <v>1.8907563025210084E-3</v>
      </c>
      <c r="L431" s="50">
        <f>CONVERT(PlanGrid[[#This Row],[kWh/yr]],"Wh","BTU")</f>
        <v>392.31098426888508</v>
      </c>
      <c r="M431" s="38">
        <f>PlanGrid[[#This Row],[kBtu/yr]]/'Schedule-Building Info'!$B$6</f>
        <v>6.4515282979309817E-3</v>
      </c>
      <c r="N431" t="s">
        <v>1092</v>
      </c>
      <c r="O431">
        <v>0</v>
      </c>
      <c r="P431" t="str">
        <f>VLOOKUP(PlanGrid[[#This Row],[Title]],'Spec Wattages'!$A$1:$C$973,3,FALSE)</f>
        <v>Plug Load</v>
      </c>
      <c r="Q431" t="s">
        <v>935</v>
      </c>
      <c r="R431" t="s">
        <v>935</v>
      </c>
      <c r="S431" t="s">
        <v>51</v>
      </c>
    </row>
    <row r="432" spans="1:19" x14ac:dyDescent="0.25">
      <c r="A432">
        <v>108</v>
      </c>
      <c r="B432" t="s">
        <v>15</v>
      </c>
      <c r="C432" t="s">
        <v>16</v>
      </c>
      <c r="E432" s="50">
        <f>VLOOKUP(PlanGrid[[#This Row],[Title]],'Spec Wattages'!$A$1:$C$973,2,FALSE)</f>
        <v>21</v>
      </c>
      <c r="F432" s="38">
        <v>1</v>
      </c>
      <c r="G432" s="39">
        <v>1</v>
      </c>
      <c r="H432" s="58">
        <f>PlanGrid[[#This Row],[Spec Wattage]]*PlanGrid[[#This Row],[Equipment Count]]</f>
        <v>21</v>
      </c>
      <c r="I432" s="50">
        <f>((PlanGrid[[#This Row],[Demand Watt]]*PlanGrid[[#This Row],[Utilization %]]*'Schedule-Building Info'!$N$16)/1000)</f>
        <v>114.97499999999999</v>
      </c>
      <c r="J432" s="57">
        <f>PlanGrid[[#This Row],[kWh/yr]]*' Elec Utility (kWh)'!$M$7</f>
        <v>12.257868782138575</v>
      </c>
      <c r="K432" s="38">
        <f>PlanGrid[[#This Row],[kWh/yr]]/'Schedule-Building Info'!$B$6</f>
        <v>1.8907563025210084E-3</v>
      </c>
      <c r="L432" s="50">
        <f>CONVERT(PlanGrid[[#This Row],[kWh/yr]],"Wh","BTU")</f>
        <v>392.31098426888508</v>
      </c>
      <c r="M432" s="38">
        <f>PlanGrid[[#This Row],[kBtu/yr]]/'Schedule-Building Info'!$B$6</f>
        <v>6.4515282979309817E-3</v>
      </c>
      <c r="N432" t="s">
        <v>1092</v>
      </c>
      <c r="O432">
        <v>0</v>
      </c>
      <c r="P432" t="str">
        <f>VLOOKUP(PlanGrid[[#This Row],[Title]],'Spec Wattages'!$A$1:$C$973,3,FALSE)</f>
        <v>Plug Load</v>
      </c>
      <c r="Q432" t="s">
        <v>853</v>
      </c>
      <c r="R432" t="s">
        <v>853</v>
      </c>
      <c r="S432" t="s">
        <v>51</v>
      </c>
    </row>
    <row r="433" spans="1:19" x14ac:dyDescent="0.25">
      <c r="A433">
        <v>121</v>
      </c>
      <c r="B433" t="s">
        <v>15</v>
      </c>
      <c r="C433" t="s">
        <v>16</v>
      </c>
      <c r="E433" s="50">
        <f>VLOOKUP(PlanGrid[[#This Row],[Title]],'Spec Wattages'!$A$1:$C$973,2,FALSE)</f>
        <v>21</v>
      </c>
      <c r="F433" s="38">
        <v>1</v>
      </c>
      <c r="G433" s="39">
        <v>1</v>
      </c>
      <c r="H433" s="58">
        <f>PlanGrid[[#This Row],[Spec Wattage]]*PlanGrid[[#This Row],[Equipment Count]]</f>
        <v>21</v>
      </c>
      <c r="I433" s="50">
        <f>((PlanGrid[[#This Row],[Demand Watt]]*PlanGrid[[#This Row],[Utilization %]]*'Schedule-Building Info'!$N$16)/1000)</f>
        <v>114.97499999999999</v>
      </c>
      <c r="J433" s="57">
        <f>PlanGrid[[#This Row],[kWh/yr]]*' Elec Utility (kWh)'!$M$7</f>
        <v>12.257868782138575</v>
      </c>
      <c r="K433" s="38">
        <f>PlanGrid[[#This Row],[kWh/yr]]/'Schedule-Building Info'!$B$6</f>
        <v>1.8907563025210084E-3</v>
      </c>
      <c r="L433" s="50">
        <f>CONVERT(PlanGrid[[#This Row],[kWh/yr]],"Wh","BTU")</f>
        <v>392.31098426888508</v>
      </c>
      <c r="M433" s="38">
        <f>PlanGrid[[#This Row],[kBtu/yr]]/'Schedule-Building Info'!$B$6</f>
        <v>6.4515282979309817E-3</v>
      </c>
      <c r="N433" t="s">
        <v>1092</v>
      </c>
      <c r="O433">
        <v>0</v>
      </c>
      <c r="P433" t="str">
        <f>VLOOKUP(PlanGrid[[#This Row],[Title]],'Spec Wattages'!$A$1:$C$973,3,FALSE)</f>
        <v>Plug Load</v>
      </c>
      <c r="Q433" t="s">
        <v>949</v>
      </c>
      <c r="R433" t="s">
        <v>949</v>
      </c>
      <c r="S433" t="s">
        <v>51</v>
      </c>
    </row>
    <row r="434" spans="1:19" x14ac:dyDescent="0.25">
      <c r="A434">
        <v>122</v>
      </c>
      <c r="B434" t="s">
        <v>15</v>
      </c>
      <c r="C434" t="s">
        <v>16</v>
      </c>
      <c r="E434" s="50">
        <f>VLOOKUP(PlanGrid[[#This Row],[Title]],'Spec Wattages'!$A$1:$C$973,2,FALSE)</f>
        <v>21</v>
      </c>
      <c r="F434" s="38">
        <v>1</v>
      </c>
      <c r="G434" s="39">
        <v>1</v>
      </c>
      <c r="H434" s="58">
        <f>PlanGrid[[#This Row],[Spec Wattage]]*PlanGrid[[#This Row],[Equipment Count]]</f>
        <v>21</v>
      </c>
      <c r="I434" s="50">
        <f>((PlanGrid[[#This Row],[Demand Watt]]*PlanGrid[[#This Row],[Utilization %]]*'Schedule-Building Info'!$N$16)/1000)</f>
        <v>114.97499999999999</v>
      </c>
      <c r="J434" s="57">
        <f>PlanGrid[[#This Row],[kWh/yr]]*' Elec Utility (kWh)'!$M$7</f>
        <v>12.257868782138575</v>
      </c>
      <c r="K434" s="38">
        <f>PlanGrid[[#This Row],[kWh/yr]]/'Schedule-Building Info'!$B$6</f>
        <v>1.8907563025210084E-3</v>
      </c>
      <c r="L434" s="50">
        <f>CONVERT(PlanGrid[[#This Row],[kWh/yr]],"Wh","BTU")</f>
        <v>392.31098426888508</v>
      </c>
      <c r="M434" s="38">
        <f>PlanGrid[[#This Row],[kBtu/yr]]/'Schedule-Building Info'!$B$6</f>
        <v>6.4515282979309817E-3</v>
      </c>
      <c r="N434" t="s">
        <v>1092</v>
      </c>
      <c r="O434">
        <v>0</v>
      </c>
      <c r="P434" t="str">
        <f>VLOOKUP(PlanGrid[[#This Row],[Title]],'Spec Wattages'!$A$1:$C$973,3,FALSE)</f>
        <v>Plug Load</v>
      </c>
      <c r="Q434" t="s">
        <v>748</v>
      </c>
      <c r="R434" t="s">
        <v>949</v>
      </c>
      <c r="S434" t="s">
        <v>11</v>
      </c>
    </row>
    <row r="435" spans="1:19" x14ac:dyDescent="0.25">
      <c r="A435">
        <v>129</v>
      </c>
      <c r="B435" t="s">
        <v>15</v>
      </c>
      <c r="C435" t="s">
        <v>16</v>
      </c>
      <c r="E435" s="50">
        <f>VLOOKUP(PlanGrid[[#This Row],[Title]],'Spec Wattages'!$A$1:$C$973,2,FALSE)</f>
        <v>21</v>
      </c>
      <c r="F435" s="38">
        <v>1</v>
      </c>
      <c r="G435" s="39">
        <v>1</v>
      </c>
      <c r="H435" s="58">
        <f>PlanGrid[[#This Row],[Spec Wattage]]*PlanGrid[[#This Row],[Equipment Count]]</f>
        <v>21</v>
      </c>
      <c r="I435" s="50">
        <f>((PlanGrid[[#This Row],[Demand Watt]]*PlanGrid[[#This Row],[Utilization %]]*'Schedule-Building Info'!$N$16)/1000)</f>
        <v>114.97499999999999</v>
      </c>
      <c r="J435" s="57">
        <f>PlanGrid[[#This Row],[kWh/yr]]*' Elec Utility (kWh)'!$M$7</f>
        <v>12.257868782138575</v>
      </c>
      <c r="K435" s="38">
        <f>PlanGrid[[#This Row],[kWh/yr]]/'Schedule-Building Info'!$B$6</f>
        <v>1.8907563025210084E-3</v>
      </c>
      <c r="L435" s="50">
        <f>CONVERT(PlanGrid[[#This Row],[kWh/yr]],"Wh","BTU")</f>
        <v>392.31098426888508</v>
      </c>
      <c r="M435" s="38">
        <f>PlanGrid[[#This Row],[kBtu/yr]]/'Schedule-Building Info'!$B$6</f>
        <v>6.4515282979309817E-3</v>
      </c>
      <c r="N435" t="s">
        <v>1092</v>
      </c>
      <c r="O435">
        <v>0</v>
      </c>
      <c r="P435" t="str">
        <f>VLOOKUP(PlanGrid[[#This Row],[Title]],'Spec Wattages'!$A$1:$C$973,3,FALSE)</f>
        <v>Plug Load</v>
      </c>
      <c r="Q435" t="s">
        <v>749</v>
      </c>
      <c r="R435" t="s">
        <v>749</v>
      </c>
      <c r="S435" t="s">
        <v>51</v>
      </c>
    </row>
    <row r="436" spans="1:19" x14ac:dyDescent="0.25">
      <c r="A436">
        <v>139</v>
      </c>
      <c r="B436" t="s">
        <v>15</v>
      </c>
      <c r="C436" t="s">
        <v>16</v>
      </c>
      <c r="E436" s="50">
        <f>VLOOKUP(PlanGrid[[#This Row],[Title]],'Spec Wattages'!$A$1:$C$973,2,FALSE)</f>
        <v>21</v>
      </c>
      <c r="F436" s="38">
        <v>1</v>
      </c>
      <c r="G436" s="39">
        <v>1</v>
      </c>
      <c r="H436" s="58">
        <f>PlanGrid[[#This Row],[Spec Wattage]]*PlanGrid[[#This Row],[Equipment Count]]</f>
        <v>21</v>
      </c>
      <c r="I436" s="50">
        <f>((PlanGrid[[#This Row],[Demand Watt]]*PlanGrid[[#This Row],[Utilization %]]*'Schedule-Building Info'!$N$16)/1000)</f>
        <v>114.97499999999999</v>
      </c>
      <c r="J436" s="57">
        <f>PlanGrid[[#This Row],[kWh/yr]]*' Elec Utility (kWh)'!$M$7</f>
        <v>12.257868782138575</v>
      </c>
      <c r="K436" s="38">
        <f>PlanGrid[[#This Row],[kWh/yr]]/'Schedule-Building Info'!$B$6</f>
        <v>1.8907563025210084E-3</v>
      </c>
      <c r="L436" s="50">
        <f>CONVERT(PlanGrid[[#This Row],[kWh/yr]],"Wh","BTU")</f>
        <v>392.31098426888508</v>
      </c>
      <c r="M436" s="38">
        <f>PlanGrid[[#This Row],[kBtu/yr]]/'Schedule-Building Info'!$B$6</f>
        <v>6.4515282979309817E-3</v>
      </c>
      <c r="N436" t="s">
        <v>1092</v>
      </c>
      <c r="O436">
        <v>0</v>
      </c>
      <c r="P436" t="str">
        <f>VLOOKUP(PlanGrid[[#This Row],[Title]],'Spec Wattages'!$A$1:$C$973,3,FALSE)</f>
        <v>Plug Load</v>
      </c>
      <c r="Q436" t="s">
        <v>861</v>
      </c>
      <c r="R436" t="s">
        <v>855</v>
      </c>
      <c r="S436" t="s">
        <v>11</v>
      </c>
    </row>
    <row r="437" spans="1:19" x14ac:dyDescent="0.25">
      <c r="A437">
        <v>140</v>
      </c>
      <c r="B437" t="s">
        <v>15</v>
      </c>
      <c r="C437" t="s">
        <v>16</v>
      </c>
      <c r="E437" s="50">
        <f>VLOOKUP(PlanGrid[[#This Row],[Title]],'Spec Wattages'!$A$1:$C$973,2,FALSE)</f>
        <v>21</v>
      </c>
      <c r="F437" s="38">
        <v>1</v>
      </c>
      <c r="G437" s="39">
        <v>1</v>
      </c>
      <c r="H437" s="58">
        <f>PlanGrid[[#This Row],[Spec Wattage]]*PlanGrid[[#This Row],[Equipment Count]]</f>
        <v>21</v>
      </c>
      <c r="I437" s="50">
        <f>((PlanGrid[[#This Row],[Demand Watt]]*PlanGrid[[#This Row],[Utilization %]]*'Schedule-Building Info'!$N$16)/1000)</f>
        <v>114.97499999999999</v>
      </c>
      <c r="J437" s="57">
        <f>PlanGrid[[#This Row],[kWh/yr]]*' Elec Utility (kWh)'!$M$7</f>
        <v>12.257868782138575</v>
      </c>
      <c r="K437" s="38">
        <f>PlanGrid[[#This Row],[kWh/yr]]/'Schedule-Building Info'!$B$6</f>
        <v>1.8907563025210084E-3</v>
      </c>
      <c r="L437" s="50">
        <f>CONVERT(PlanGrid[[#This Row],[kWh/yr]],"Wh","BTU")</f>
        <v>392.31098426888508</v>
      </c>
      <c r="M437" s="38">
        <f>PlanGrid[[#This Row],[kBtu/yr]]/'Schedule-Building Info'!$B$6</f>
        <v>6.4515282979309817E-3</v>
      </c>
      <c r="N437" t="s">
        <v>1092</v>
      </c>
      <c r="O437">
        <v>0</v>
      </c>
      <c r="P437" t="str">
        <f>VLOOKUP(PlanGrid[[#This Row],[Title]],'Spec Wattages'!$A$1:$C$973,3,FALSE)</f>
        <v>Plug Load</v>
      </c>
      <c r="Q437" t="s">
        <v>855</v>
      </c>
      <c r="R437" t="s">
        <v>855</v>
      </c>
      <c r="S437" t="s">
        <v>51</v>
      </c>
    </row>
    <row r="438" spans="1:19" x14ac:dyDescent="0.25">
      <c r="A438">
        <v>149</v>
      </c>
      <c r="B438" t="s">
        <v>15</v>
      </c>
      <c r="C438" t="s">
        <v>16</v>
      </c>
      <c r="D438" t="s">
        <v>539</v>
      </c>
      <c r="E438" s="50">
        <f>VLOOKUP(PlanGrid[[#This Row],[Title]],'Spec Wattages'!$A$1:$C$973,2,FALSE)</f>
        <v>21</v>
      </c>
      <c r="F438" s="38">
        <v>1</v>
      </c>
      <c r="G438" s="39">
        <v>1</v>
      </c>
      <c r="H438" s="58">
        <f>PlanGrid[[#This Row],[Spec Wattage]]*PlanGrid[[#This Row],[Equipment Count]]</f>
        <v>21</v>
      </c>
      <c r="I438" s="50">
        <f>((PlanGrid[[#This Row],[Demand Watt]]*PlanGrid[[#This Row],[Utilization %]]*'Schedule-Building Info'!$N$16)/1000)</f>
        <v>114.97499999999999</v>
      </c>
      <c r="J438" s="57">
        <f>PlanGrid[[#This Row],[kWh/yr]]*' Elec Utility (kWh)'!$M$7</f>
        <v>12.257868782138575</v>
      </c>
      <c r="K438" s="38">
        <f>PlanGrid[[#This Row],[kWh/yr]]/'Schedule-Building Info'!$B$6</f>
        <v>1.8907563025210084E-3</v>
      </c>
      <c r="L438" s="50">
        <f>CONVERT(PlanGrid[[#This Row],[kWh/yr]],"Wh","BTU")</f>
        <v>392.31098426888508</v>
      </c>
      <c r="M438" s="38">
        <f>PlanGrid[[#This Row],[kBtu/yr]]/'Schedule-Building Info'!$B$6</f>
        <v>6.4515282979309817E-3</v>
      </c>
      <c r="N438" t="s">
        <v>1092</v>
      </c>
      <c r="O438">
        <v>0</v>
      </c>
      <c r="P438" t="str">
        <f>VLOOKUP(PlanGrid[[#This Row],[Title]],'Spec Wattages'!$A$1:$C$973,3,FALSE)</f>
        <v>Plug Load</v>
      </c>
      <c r="Q438" t="s">
        <v>746</v>
      </c>
      <c r="R438" t="s">
        <v>746</v>
      </c>
      <c r="S438" t="s">
        <v>51</v>
      </c>
    </row>
    <row r="439" spans="1:19" x14ac:dyDescent="0.25">
      <c r="A439">
        <v>159</v>
      </c>
      <c r="B439" t="s">
        <v>15</v>
      </c>
      <c r="C439" t="s">
        <v>16</v>
      </c>
      <c r="E439" s="50">
        <f>VLOOKUP(PlanGrid[[#This Row],[Title]],'Spec Wattages'!$A$1:$C$973,2,FALSE)</f>
        <v>21</v>
      </c>
      <c r="F439" s="38">
        <v>1</v>
      </c>
      <c r="G439" s="39">
        <v>1</v>
      </c>
      <c r="H439" s="58">
        <f>PlanGrid[[#This Row],[Spec Wattage]]*PlanGrid[[#This Row],[Equipment Count]]</f>
        <v>21</v>
      </c>
      <c r="I439" s="50">
        <f>((PlanGrid[[#This Row],[Demand Watt]]*PlanGrid[[#This Row],[Utilization %]]*'Schedule-Building Info'!$N$16)/1000)</f>
        <v>114.97499999999999</v>
      </c>
      <c r="J439" s="57">
        <f>PlanGrid[[#This Row],[kWh/yr]]*' Elec Utility (kWh)'!$M$7</f>
        <v>12.257868782138575</v>
      </c>
      <c r="K439" s="38">
        <f>PlanGrid[[#This Row],[kWh/yr]]/'Schedule-Building Info'!$B$6</f>
        <v>1.8907563025210084E-3</v>
      </c>
      <c r="L439" s="50">
        <f>CONVERT(PlanGrid[[#This Row],[kWh/yr]],"Wh","BTU")</f>
        <v>392.31098426888508</v>
      </c>
      <c r="M439" s="38">
        <f>PlanGrid[[#This Row],[kBtu/yr]]/'Schedule-Building Info'!$B$6</f>
        <v>6.4515282979309817E-3</v>
      </c>
      <c r="N439" t="s">
        <v>1092</v>
      </c>
      <c r="O439">
        <v>0</v>
      </c>
      <c r="P439" t="str">
        <f>VLOOKUP(PlanGrid[[#This Row],[Title]],'Spec Wattages'!$A$1:$C$973,3,FALSE)</f>
        <v>Plug Load</v>
      </c>
      <c r="Q439" t="s">
        <v>938</v>
      </c>
      <c r="R439" t="s">
        <v>748</v>
      </c>
      <c r="S439" t="s">
        <v>11</v>
      </c>
    </row>
    <row r="440" spans="1:19" x14ac:dyDescent="0.25">
      <c r="A440">
        <v>165</v>
      </c>
      <c r="B440" t="s">
        <v>15</v>
      </c>
      <c r="C440" t="s">
        <v>16</v>
      </c>
      <c r="E440" s="50">
        <f>VLOOKUP(PlanGrid[[#This Row],[Title]],'Spec Wattages'!$A$1:$C$973,2,FALSE)</f>
        <v>21</v>
      </c>
      <c r="F440" s="38">
        <v>1</v>
      </c>
      <c r="G440" s="39">
        <v>1</v>
      </c>
      <c r="H440" s="58">
        <f>PlanGrid[[#This Row],[Spec Wattage]]*PlanGrid[[#This Row],[Equipment Count]]</f>
        <v>21</v>
      </c>
      <c r="I440" s="50">
        <f>((PlanGrid[[#This Row],[Demand Watt]]*PlanGrid[[#This Row],[Utilization %]]*'Schedule-Building Info'!$N$16)/1000)</f>
        <v>114.97499999999999</v>
      </c>
      <c r="J440" s="57">
        <f>PlanGrid[[#This Row],[kWh/yr]]*' Elec Utility (kWh)'!$M$7</f>
        <v>12.257868782138575</v>
      </c>
      <c r="K440" s="38">
        <f>PlanGrid[[#This Row],[kWh/yr]]/'Schedule-Building Info'!$B$6</f>
        <v>1.8907563025210084E-3</v>
      </c>
      <c r="L440" s="50">
        <f>CONVERT(PlanGrid[[#This Row],[kWh/yr]],"Wh","BTU")</f>
        <v>392.31098426888508</v>
      </c>
      <c r="M440" s="38">
        <f>PlanGrid[[#This Row],[kBtu/yr]]/'Schedule-Building Info'!$B$6</f>
        <v>6.4515282979309817E-3</v>
      </c>
      <c r="N440" t="s">
        <v>1092</v>
      </c>
      <c r="O440">
        <v>0</v>
      </c>
      <c r="P440" t="str">
        <f>VLOOKUP(PlanGrid[[#This Row],[Title]],'Spec Wattages'!$A$1:$C$973,3,FALSE)</f>
        <v>Plug Load</v>
      </c>
      <c r="Q440" t="s">
        <v>751</v>
      </c>
      <c r="R440" t="s">
        <v>860</v>
      </c>
      <c r="S440" t="s">
        <v>11</v>
      </c>
    </row>
    <row r="441" spans="1:19" x14ac:dyDescent="0.25">
      <c r="A441">
        <v>169</v>
      </c>
      <c r="B441" t="s">
        <v>15</v>
      </c>
      <c r="C441" t="s">
        <v>16</v>
      </c>
      <c r="E441" s="50">
        <f>VLOOKUP(PlanGrid[[#This Row],[Title]],'Spec Wattages'!$A$1:$C$973,2,FALSE)</f>
        <v>21</v>
      </c>
      <c r="F441" s="38">
        <v>1</v>
      </c>
      <c r="G441" s="39">
        <v>1</v>
      </c>
      <c r="H441" s="58">
        <f>PlanGrid[[#This Row],[Spec Wattage]]*PlanGrid[[#This Row],[Equipment Count]]</f>
        <v>21</v>
      </c>
      <c r="I441" s="50">
        <f>((PlanGrid[[#This Row],[Demand Watt]]*PlanGrid[[#This Row],[Utilization %]]*'Schedule-Building Info'!$N$16)/1000)</f>
        <v>114.97499999999999</v>
      </c>
      <c r="J441" s="57">
        <f>PlanGrid[[#This Row],[kWh/yr]]*' Elec Utility (kWh)'!$M$7</f>
        <v>12.257868782138575</v>
      </c>
      <c r="K441" s="38">
        <f>PlanGrid[[#This Row],[kWh/yr]]/'Schedule-Building Info'!$B$6</f>
        <v>1.8907563025210084E-3</v>
      </c>
      <c r="L441" s="50">
        <f>CONVERT(PlanGrid[[#This Row],[kWh/yr]],"Wh","BTU")</f>
        <v>392.31098426888508</v>
      </c>
      <c r="M441" s="38">
        <f>PlanGrid[[#This Row],[kBtu/yr]]/'Schedule-Building Info'!$B$6</f>
        <v>6.4515282979309817E-3</v>
      </c>
      <c r="N441" t="s">
        <v>1092</v>
      </c>
      <c r="O441">
        <v>0</v>
      </c>
      <c r="P441" t="str">
        <f>VLOOKUP(PlanGrid[[#This Row],[Title]],'Spec Wattages'!$A$1:$C$973,3,FALSE)</f>
        <v>Plug Load</v>
      </c>
      <c r="Q441" t="s">
        <v>854</v>
      </c>
      <c r="R441" t="s">
        <v>854</v>
      </c>
      <c r="S441" t="s">
        <v>51</v>
      </c>
    </row>
    <row r="442" spans="1:19" x14ac:dyDescent="0.25">
      <c r="A442">
        <v>178</v>
      </c>
      <c r="B442" t="s">
        <v>15</v>
      </c>
      <c r="C442" t="s">
        <v>16</v>
      </c>
      <c r="E442" s="50">
        <f>VLOOKUP(PlanGrid[[#This Row],[Title]],'Spec Wattages'!$A$1:$C$973,2,FALSE)</f>
        <v>21</v>
      </c>
      <c r="F442" s="38">
        <v>1</v>
      </c>
      <c r="G442" s="39">
        <v>1</v>
      </c>
      <c r="H442" s="58">
        <f>PlanGrid[[#This Row],[Spec Wattage]]*PlanGrid[[#This Row],[Equipment Count]]</f>
        <v>21</v>
      </c>
      <c r="I442" s="50">
        <f>((PlanGrid[[#This Row],[Demand Watt]]*PlanGrid[[#This Row],[Utilization %]]*'Schedule-Building Info'!$N$16)/1000)</f>
        <v>114.97499999999999</v>
      </c>
      <c r="J442" s="57">
        <f>PlanGrid[[#This Row],[kWh/yr]]*' Elec Utility (kWh)'!$M$7</f>
        <v>12.257868782138575</v>
      </c>
      <c r="K442" s="38">
        <f>PlanGrid[[#This Row],[kWh/yr]]/'Schedule-Building Info'!$B$6</f>
        <v>1.8907563025210084E-3</v>
      </c>
      <c r="L442" s="50">
        <f>CONVERT(PlanGrid[[#This Row],[kWh/yr]],"Wh","BTU")</f>
        <v>392.31098426888508</v>
      </c>
      <c r="M442" s="38">
        <f>PlanGrid[[#This Row],[kBtu/yr]]/'Schedule-Building Info'!$B$6</f>
        <v>6.4515282979309817E-3</v>
      </c>
      <c r="N442" t="s">
        <v>1092</v>
      </c>
      <c r="O442">
        <v>0</v>
      </c>
      <c r="P442" t="str">
        <f>VLOOKUP(PlanGrid[[#This Row],[Title]],'Spec Wattages'!$A$1:$C$973,3,FALSE)</f>
        <v>Plug Load</v>
      </c>
      <c r="Q442" t="s">
        <v>754</v>
      </c>
      <c r="R442" t="s">
        <v>857</v>
      </c>
      <c r="S442" t="s">
        <v>11</v>
      </c>
    </row>
    <row r="443" spans="1:19" x14ac:dyDescent="0.25">
      <c r="A443">
        <v>182</v>
      </c>
      <c r="B443" t="s">
        <v>15</v>
      </c>
      <c r="C443" t="s">
        <v>16</v>
      </c>
      <c r="E443" s="50">
        <f>VLOOKUP(PlanGrid[[#This Row],[Title]],'Spec Wattages'!$A$1:$C$973,2,FALSE)</f>
        <v>21</v>
      </c>
      <c r="F443" s="38">
        <v>1</v>
      </c>
      <c r="G443" s="39">
        <v>1</v>
      </c>
      <c r="H443" s="58">
        <f>PlanGrid[[#This Row],[Spec Wattage]]*PlanGrid[[#This Row],[Equipment Count]]</f>
        <v>21</v>
      </c>
      <c r="I443" s="50">
        <f>((PlanGrid[[#This Row],[Demand Watt]]*PlanGrid[[#This Row],[Utilization %]]*'Schedule-Building Info'!$N$16)/1000)</f>
        <v>114.97499999999999</v>
      </c>
      <c r="J443" s="57">
        <f>PlanGrid[[#This Row],[kWh/yr]]*' Elec Utility (kWh)'!$M$7</f>
        <v>12.257868782138575</v>
      </c>
      <c r="K443" s="38">
        <f>PlanGrid[[#This Row],[kWh/yr]]/'Schedule-Building Info'!$B$6</f>
        <v>1.8907563025210084E-3</v>
      </c>
      <c r="L443" s="50">
        <f>CONVERT(PlanGrid[[#This Row],[kWh/yr]],"Wh","BTU")</f>
        <v>392.31098426888508</v>
      </c>
      <c r="M443" s="38">
        <f>PlanGrid[[#This Row],[kBtu/yr]]/'Schedule-Building Info'!$B$6</f>
        <v>6.4515282979309817E-3</v>
      </c>
      <c r="N443" t="s">
        <v>1092</v>
      </c>
      <c r="O443">
        <v>0</v>
      </c>
      <c r="P443" t="str">
        <f>VLOOKUP(PlanGrid[[#This Row],[Title]],'Spec Wattages'!$A$1:$C$973,3,FALSE)</f>
        <v>Plug Load</v>
      </c>
      <c r="Q443" t="s">
        <v>859</v>
      </c>
      <c r="R443" t="s">
        <v>859</v>
      </c>
      <c r="S443" t="s">
        <v>51</v>
      </c>
    </row>
    <row r="444" spans="1:19" x14ac:dyDescent="0.25">
      <c r="A444">
        <v>183</v>
      </c>
      <c r="B444" t="s">
        <v>15</v>
      </c>
      <c r="C444" t="s">
        <v>16</v>
      </c>
      <c r="E444" s="50">
        <f>VLOOKUP(PlanGrid[[#This Row],[Title]],'Spec Wattages'!$A$1:$C$973,2,FALSE)</f>
        <v>21</v>
      </c>
      <c r="F444" s="38">
        <v>1</v>
      </c>
      <c r="G444" s="39">
        <v>1</v>
      </c>
      <c r="H444" s="58">
        <f>PlanGrid[[#This Row],[Spec Wattage]]*PlanGrid[[#This Row],[Equipment Count]]</f>
        <v>21</v>
      </c>
      <c r="I444" s="50">
        <f>((PlanGrid[[#This Row],[Demand Watt]]*PlanGrid[[#This Row],[Utilization %]]*'Schedule-Building Info'!$N$16)/1000)</f>
        <v>114.97499999999999</v>
      </c>
      <c r="J444" s="57">
        <f>PlanGrid[[#This Row],[kWh/yr]]*' Elec Utility (kWh)'!$M$7</f>
        <v>12.257868782138575</v>
      </c>
      <c r="K444" s="38">
        <f>PlanGrid[[#This Row],[kWh/yr]]/'Schedule-Building Info'!$B$6</f>
        <v>1.8907563025210084E-3</v>
      </c>
      <c r="L444" s="50">
        <f>CONVERT(PlanGrid[[#This Row],[kWh/yr]],"Wh","BTU")</f>
        <v>392.31098426888508</v>
      </c>
      <c r="M444" s="38">
        <f>PlanGrid[[#This Row],[kBtu/yr]]/'Schedule-Building Info'!$B$6</f>
        <v>6.4515282979309817E-3</v>
      </c>
      <c r="N444" t="s">
        <v>1092</v>
      </c>
      <c r="O444">
        <v>0</v>
      </c>
      <c r="P444" t="str">
        <f>VLOOKUP(PlanGrid[[#This Row],[Title]],'Spec Wattages'!$A$1:$C$973,3,FALSE)</f>
        <v>Plug Load</v>
      </c>
      <c r="Q444" t="s">
        <v>954</v>
      </c>
      <c r="R444" t="s">
        <v>938</v>
      </c>
      <c r="S444" t="s">
        <v>11</v>
      </c>
    </row>
    <row r="445" spans="1:19" x14ac:dyDescent="0.25">
      <c r="A445">
        <v>184</v>
      </c>
      <c r="B445" t="s">
        <v>15</v>
      </c>
      <c r="C445" t="s">
        <v>16</v>
      </c>
      <c r="E445" s="50">
        <f>VLOOKUP(PlanGrid[[#This Row],[Title]],'Spec Wattages'!$A$1:$C$973,2,FALSE)</f>
        <v>21</v>
      </c>
      <c r="F445" s="38">
        <v>1</v>
      </c>
      <c r="G445" s="39">
        <v>1</v>
      </c>
      <c r="H445" s="58">
        <f>PlanGrid[[#This Row],[Spec Wattage]]*PlanGrid[[#This Row],[Equipment Count]]</f>
        <v>21</v>
      </c>
      <c r="I445" s="50">
        <f>((PlanGrid[[#This Row],[Demand Watt]]*PlanGrid[[#This Row],[Utilization %]]*'Schedule-Building Info'!$N$16)/1000)</f>
        <v>114.97499999999999</v>
      </c>
      <c r="J445" s="57">
        <f>PlanGrid[[#This Row],[kWh/yr]]*' Elec Utility (kWh)'!$M$7</f>
        <v>12.257868782138575</v>
      </c>
      <c r="K445" s="38">
        <f>PlanGrid[[#This Row],[kWh/yr]]/'Schedule-Building Info'!$B$6</f>
        <v>1.8907563025210084E-3</v>
      </c>
      <c r="L445" s="50">
        <f>CONVERT(PlanGrid[[#This Row],[kWh/yr]],"Wh","BTU")</f>
        <v>392.31098426888508</v>
      </c>
      <c r="M445" s="38">
        <f>PlanGrid[[#This Row],[kBtu/yr]]/'Schedule-Building Info'!$B$6</f>
        <v>6.4515282979309817E-3</v>
      </c>
      <c r="N445" t="s">
        <v>1092</v>
      </c>
      <c r="O445">
        <v>0</v>
      </c>
      <c r="P445" t="str">
        <f>VLOOKUP(PlanGrid[[#This Row],[Title]],'Spec Wattages'!$A$1:$C$973,3,FALSE)</f>
        <v>Plug Load</v>
      </c>
      <c r="Q445" t="s">
        <v>954</v>
      </c>
      <c r="R445" t="s">
        <v>938</v>
      </c>
      <c r="S445" t="s">
        <v>11</v>
      </c>
    </row>
    <row r="446" spans="1:19" x14ac:dyDescent="0.25">
      <c r="A446">
        <v>195</v>
      </c>
      <c r="B446" t="s">
        <v>15</v>
      </c>
      <c r="C446" t="s">
        <v>16</v>
      </c>
      <c r="E446" s="50">
        <f>VLOOKUP(PlanGrid[[#This Row],[Title]],'Spec Wattages'!$A$1:$C$973,2,FALSE)</f>
        <v>21</v>
      </c>
      <c r="F446" s="38">
        <v>1</v>
      </c>
      <c r="G446" s="39">
        <v>1</v>
      </c>
      <c r="H446" s="58">
        <f>PlanGrid[[#This Row],[Spec Wattage]]*PlanGrid[[#This Row],[Equipment Count]]</f>
        <v>21</v>
      </c>
      <c r="I446" s="50">
        <f>((PlanGrid[[#This Row],[Demand Watt]]*PlanGrid[[#This Row],[Utilization %]]*'Schedule-Building Info'!$N$16)/1000)</f>
        <v>114.97499999999999</v>
      </c>
      <c r="J446" s="57">
        <f>PlanGrid[[#This Row],[kWh/yr]]*' Elec Utility (kWh)'!$M$7</f>
        <v>12.257868782138575</v>
      </c>
      <c r="K446" s="38">
        <f>PlanGrid[[#This Row],[kWh/yr]]/'Schedule-Building Info'!$B$6</f>
        <v>1.8907563025210084E-3</v>
      </c>
      <c r="L446" s="50">
        <f>CONVERT(PlanGrid[[#This Row],[kWh/yr]],"Wh","BTU")</f>
        <v>392.31098426888508</v>
      </c>
      <c r="M446" s="38">
        <f>PlanGrid[[#This Row],[kBtu/yr]]/'Schedule-Building Info'!$B$6</f>
        <v>6.4515282979309817E-3</v>
      </c>
      <c r="N446" t="s">
        <v>1092</v>
      </c>
      <c r="O446">
        <v>0</v>
      </c>
      <c r="P446" t="str">
        <f>VLOOKUP(PlanGrid[[#This Row],[Title]],'Spec Wattages'!$A$1:$C$973,3,FALSE)</f>
        <v>Plug Load</v>
      </c>
      <c r="Q446" t="s">
        <v>752</v>
      </c>
      <c r="R446" t="s">
        <v>960</v>
      </c>
      <c r="S446" t="s">
        <v>11</v>
      </c>
    </row>
    <row r="447" spans="1:19" x14ac:dyDescent="0.25">
      <c r="A447">
        <v>197</v>
      </c>
      <c r="B447" t="s">
        <v>15</v>
      </c>
      <c r="C447" t="s">
        <v>16</v>
      </c>
      <c r="E447" s="50">
        <f>VLOOKUP(PlanGrid[[#This Row],[Title]],'Spec Wattages'!$A$1:$C$973,2,FALSE)</f>
        <v>21</v>
      </c>
      <c r="F447" s="38">
        <v>1</v>
      </c>
      <c r="G447" s="39">
        <v>1</v>
      </c>
      <c r="H447" s="58">
        <f>PlanGrid[[#This Row],[Spec Wattage]]*PlanGrid[[#This Row],[Equipment Count]]</f>
        <v>21</v>
      </c>
      <c r="I447" s="50">
        <f>((PlanGrid[[#This Row],[Demand Watt]]*PlanGrid[[#This Row],[Utilization %]]*'Schedule-Building Info'!$N$16)/1000)</f>
        <v>114.97499999999999</v>
      </c>
      <c r="J447" s="57">
        <f>PlanGrid[[#This Row],[kWh/yr]]*' Elec Utility (kWh)'!$M$7</f>
        <v>12.257868782138575</v>
      </c>
      <c r="K447" s="38">
        <f>PlanGrid[[#This Row],[kWh/yr]]/'Schedule-Building Info'!$B$6</f>
        <v>1.8907563025210084E-3</v>
      </c>
      <c r="L447" s="50">
        <f>CONVERT(PlanGrid[[#This Row],[kWh/yr]],"Wh","BTU")</f>
        <v>392.31098426888508</v>
      </c>
      <c r="M447" s="38">
        <f>PlanGrid[[#This Row],[kBtu/yr]]/'Schedule-Building Info'!$B$6</f>
        <v>6.4515282979309817E-3</v>
      </c>
      <c r="N447" t="s">
        <v>1092</v>
      </c>
      <c r="O447">
        <v>0</v>
      </c>
      <c r="P447" t="str">
        <f>VLOOKUP(PlanGrid[[#This Row],[Title]],'Spec Wattages'!$A$1:$C$973,3,FALSE)</f>
        <v>Plug Load</v>
      </c>
      <c r="Q447" t="s">
        <v>960</v>
      </c>
      <c r="R447" t="s">
        <v>960</v>
      </c>
      <c r="S447" t="s">
        <v>51</v>
      </c>
    </row>
    <row r="448" spans="1:19" x14ac:dyDescent="0.25">
      <c r="A448">
        <v>211</v>
      </c>
      <c r="B448" t="s">
        <v>15</v>
      </c>
      <c r="C448" t="s">
        <v>16</v>
      </c>
      <c r="E448" s="50">
        <f>VLOOKUP(PlanGrid[[#This Row],[Title]],'Spec Wattages'!$A$1:$C$973,2,FALSE)</f>
        <v>21</v>
      </c>
      <c r="F448" s="38">
        <v>1</v>
      </c>
      <c r="G448" s="39">
        <v>1</v>
      </c>
      <c r="H448" s="58">
        <f>PlanGrid[[#This Row],[Spec Wattage]]*PlanGrid[[#This Row],[Equipment Count]]</f>
        <v>21</v>
      </c>
      <c r="I448" s="50">
        <f>((PlanGrid[[#This Row],[Demand Watt]]*PlanGrid[[#This Row],[Utilization %]]*'Schedule-Building Info'!$N$16)/1000)</f>
        <v>114.97499999999999</v>
      </c>
      <c r="J448" s="57">
        <f>PlanGrid[[#This Row],[kWh/yr]]*' Elec Utility (kWh)'!$M$7</f>
        <v>12.257868782138575</v>
      </c>
      <c r="K448" s="38">
        <f>PlanGrid[[#This Row],[kWh/yr]]/'Schedule-Building Info'!$B$6</f>
        <v>1.8907563025210084E-3</v>
      </c>
      <c r="L448" s="50">
        <f>CONVERT(PlanGrid[[#This Row],[kWh/yr]],"Wh","BTU")</f>
        <v>392.31098426888508</v>
      </c>
      <c r="M448" s="38">
        <f>PlanGrid[[#This Row],[kBtu/yr]]/'Schedule-Building Info'!$B$6</f>
        <v>6.4515282979309817E-3</v>
      </c>
      <c r="N448" t="s">
        <v>1092</v>
      </c>
      <c r="O448">
        <v>0</v>
      </c>
      <c r="P448" t="str">
        <f>VLOOKUP(PlanGrid[[#This Row],[Title]],'Spec Wattages'!$A$1:$C$973,3,FALSE)</f>
        <v>Plug Load</v>
      </c>
      <c r="Q448" t="s">
        <v>966</v>
      </c>
      <c r="R448" t="s">
        <v>966</v>
      </c>
      <c r="S448" t="s">
        <v>51</v>
      </c>
    </row>
    <row r="449" spans="1:19" x14ac:dyDescent="0.25">
      <c r="A449">
        <v>220</v>
      </c>
      <c r="B449" t="s">
        <v>15</v>
      </c>
      <c r="C449" t="s">
        <v>16</v>
      </c>
      <c r="E449" s="50">
        <f>VLOOKUP(PlanGrid[[#This Row],[Title]],'Spec Wattages'!$A$1:$C$973,2,FALSE)</f>
        <v>21</v>
      </c>
      <c r="F449" s="38">
        <v>1</v>
      </c>
      <c r="G449" s="39">
        <v>1</v>
      </c>
      <c r="H449" s="58">
        <f>PlanGrid[[#This Row],[Spec Wattage]]*PlanGrid[[#This Row],[Equipment Count]]</f>
        <v>21</v>
      </c>
      <c r="I449" s="50">
        <f>((PlanGrid[[#This Row],[Demand Watt]]*PlanGrid[[#This Row],[Utilization %]]*'Schedule-Building Info'!$N$16)/1000)</f>
        <v>114.97499999999999</v>
      </c>
      <c r="J449" s="57">
        <f>PlanGrid[[#This Row],[kWh/yr]]*' Elec Utility (kWh)'!$M$7</f>
        <v>12.257868782138575</v>
      </c>
      <c r="K449" s="38">
        <f>PlanGrid[[#This Row],[kWh/yr]]/'Schedule-Building Info'!$B$6</f>
        <v>1.8907563025210084E-3</v>
      </c>
      <c r="L449" s="50">
        <f>CONVERT(PlanGrid[[#This Row],[kWh/yr]],"Wh","BTU")</f>
        <v>392.31098426888508</v>
      </c>
      <c r="M449" s="38">
        <f>PlanGrid[[#This Row],[kBtu/yr]]/'Schedule-Building Info'!$B$6</f>
        <v>6.4515282979309817E-3</v>
      </c>
      <c r="N449" t="s">
        <v>1092</v>
      </c>
      <c r="O449">
        <v>0</v>
      </c>
      <c r="P449" t="str">
        <f>VLOOKUP(PlanGrid[[#This Row],[Title]],'Spec Wattages'!$A$1:$C$973,3,FALSE)</f>
        <v>Plug Load</v>
      </c>
      <c r="Q449" t="s">
        <v>967</v>
      </c>
      <c r="R449" t="s">
        <v>954</v>
      </c>
      <c r="S449" t="s">
        <v>11</v>
      </c>
    </row>
    <row r="450" spans="1:19" x14ac:dyDescent="0.25">
      <c r="A450">
        <v>221</v>
      </c>
      <c r="B450" t="s">
        <v>15</v>
      </c>
      <c r="C450" t="s">
        <v>16</v>
      </c>
      <c r="E450" s="50">
        <f>VLOOKUP(PlanGrid[[#This Row],[Title]],'Spec Wattages'!$A$1:$C$973,2,FALSE)</f>
        <v>21</v>
      </c>
      <c r="F450" s="38">
        <v>1</v>
      </c>
      <c r="G450" s="39">
        <v>1</v>
      </c>
      <c r="H450" s="58">
        <f>PlanGrid[[#This Row],[Spec Wattage]]*PlanGrid[[#This Row],[Equipment Count]]</f>
        <v>21</v>
      </c>
      <c r="I450" s="50">
        <f>((PlanGrid[[#This Row],[Demand Watt]]*PlanGrid[[#This Row],[Utilization %]]*'Schedule-Building Info'!$N$16)/1000)</f>
        <v>114.97499999999999</v>
      </c>
      <c r="J450" s="57">
        <f>PlanGrid[[#This Row],[kWh/yr]]*' Elec Utility (kWh)'!$M$7</f>
        <v>12.257868782138575</v>
      </c>
      <c r="K450" s="38">
        <f>PlanGrid[[#This Row],[kWh/yr]]/'Schedule-Building Info'!$B$6</f>
        <v>1.8907563025210084E-3</v>
      </c>
      <c r="L450" s="50">
        <f>CONVERT(PlanGrid[[#This Row],[kWh/yr]],"Wh","BTU")</f>
        <v>392.31098426888508</v>
      </c>
      <c r="M450" s="38">
        <f>PlanGrid[[#This Row],[kBtu/yr]]/'Schedule-Building Info'!$B$6</f>
        <v>6.4515282979309817E-3</v>
      </c>
      <c r="N450" t="s">
        <v>1092</v>
      </c>
      <c r="O450">
        <v>0</v>
      </c>
      <c r="P450" t="str">
        <f>VLOOKUP(PlanGrid[[#This Row],[Title]],'Spec Wattages'!$A$1:$C$973,3,FALSE)</f>
        <v>Plug Load</v>
      </c>
      <c r="Q450" t="s">
        <v>954</v>
      </c>
      <c r="R450" t="s">
        <v>954</v>
      </c>
      <c r="S450" t="s">
        <v>51</v>
      </c>
    </row>
    <row r="451" spans="1:19" x14ac:dyDescent="0.25">
      <c r="A451">
        <v>222</v>
      </c>
      <c r="B451" t="s">
        <v>15</v>
      </c>
      <c r="C451" t="s">
        <v>16</v>
      </c>
      <c r="D451" t="s">
        <v>538</v>
      </c>
      <c r="E451" s="50">
        <f>VLOOKUP(PlanGrid[[#This Row],[Title]],'Spec Wattages'!$A$1:$C$973,2,FALSE)</f>
        <v>21</v>
      </c>
      <c r="F451" s="38">
        <v>1</v>
      </c>
      <c r="G451" s="39">
        <v>1</v>
      </c>
      <c r="H451" s="58">
        <f>PlanGrid[[#This Row],[Spec Wattage]]*PlanGrid[[#This Row],[Equipment Count]]</f>
        <v>21</v>
      </c>
      <c r="I451" s="50">
        <f>((PlanGrid[[#This Row],[Demand Watt]]*PlanGrid[[#This Row],[Utilization %]]*'Schedule-Building Info'!$N$16)/1000)</f>
        <v>114.97499999999999</v>
      </c>
      <c r="J451" s="57">
        <f>PlanGrid[[#This Row],[kWh/yr]]*' Elec Utility (kWh)'!$M$7</f>
        <v>12.257868782138575</v>
      </c>
      <c r="K451" s="38">
        <f>PlanGrid[[#This Row],[kWh/yr]]/'Schedule-Building Info'!$B$6</f>
        <v>1.8907563025210084E-3</v>
      </c>
      <c r="L451" s="50">
        <f>CONVERT(PlanGrid[[#This Row],[kWh/yr]],"Wh","BTU")</f>
        <v>392.31098426888508</v>
      </c>
      <c r="M451" s="38">
        <f>PlanGrid[[#This Row],[kBtu/yr]]/'Schedule-Building Info'!$B$6</f>
        <v>6.4515282979309817E-3</v>
      </c>
      <c r="N451" t="s">
        <v>1092</v>
      </c>
      <c r="O451">
        <v>0</v>
      </c>
      <c r="P451" t="str">
        <f>VLOOKUP(PlanGrid[[#This Row],[Title]],'Spec Wattages'!$A$1:$C$973,3,FALSE)</f>
        <v>Plug Load</v>
      </c>
      <c r="Q451" t="s">
        <v>954</v>
      </c>
      <c r="R451" t="s">
        <v>954</v>
      </c>
      <c r="S451" t="s">
        <v>51</v>
      </c>
    </row>
    <row r="452" spans="1:19" x14ac:dyDescent="0.25">
      <c r="A452">
        <v>234</v>
      </c>
      <c r="B452" t="s">
        <v>15</v>
      </c>
      <c r="C452" t="s">
        <v>16</v>
      </c>
      <c r="E452" s="50">
        <f>VLOOKUP(PlanGrid[[#This Row],[Title]],'Spec Wattages'!$A$1:$C$973,2,FALSE)</f>
        <v>21</v>
      </c>
      <c r="F452" s="38">
        <v>1</v>
      </c>
      <c r="G452" s="39">
        <v>1</v>
      </c>
      <c r="H452" s="58">
        <f>PlanGrid[[#This Row],[Spec Wattage]]*PlanGrid[[#This Row],[Equipment Count]]</f>
        <v>21</v>
      </c>
      <c r="I452" s="50">
        <f>((PlanGrid[[#This Row],[Demand Watt]]*PlanGrid[[#This Row],[Utilization %]]*'Schedule-Building Info'!$N$16)/1000)</f>
        <v>114.97499999999999</v>
      </c>
      <c r="J452" s="57">
        <f>PlanGrid[[#This Row],[kWh/yr]]*' Elec Utility (kWh)'!$M$7</f>
        <v>12.257868782138575</v>
      </c>
      <c r="K452" s="38">
        <f>PlanGrid[[#This Row],[kWh/yr]]/'Schedule-Building Info'!$B$6</f>
        <v>1.8907563025210084E-3</v>
      </c>
      <c r="L452" s="50">
        <f>CONVERT(PlanGrid[[#This Row],[kWh/yr]],"Wh","BTU")</f>
        <v>392.31098426888508</v>
      </c>
      <c r="M452" s="38">
        <f>PlanGrid[[#This Row],[kBtu/yr]]/'Schedule-Building Info'!$B$6</f>
        <v>6.4515282979309817E-3</v>
      </c>
      <c r="N452" t="s">
        <v>1092</v>
      </c>
      <c r="O452">
        <v>0</v>
      </c>
      <c r="P452" t="str">
        <f>VLOOKUP(PlanGrid[[#This Row],[Title]],'Spec Wattages'!$A$1:$C$973,3,FALSE)</f>
        <v>Plug Load</v>
      </c>
      <c r="Q452" t="s">
        <v>793</v>
      </c>
      <c r="R452" t="s">
        <v>752</v>
      </c>
      <c r="S452" t="s">
        <v>11</v>
      </c>
    </row>
    <row r="453" spans="1:19" x14ac:dyDescent="0.25">
      <c r="A453">
        <v>235</v>
      </c>
      <c r="B453" t="s">
        <v>15</v>
      </c>
      <c r="C453" t="s">
        <v>16</v>
      </c>
      <c r="E453" s="50">
        <f>VLOOKUP(PlanGrid[[#This Row],[Title]],'Spec Wattages'!$A$1:$C$973,2,FALSE)</f>
        <v>21</v>
      </c>
      <c r="F453" s="38">
        <v>1</v>
      </c>
      <c r="G453" s="39">
        <v>1</v>
      </c>
      <c r="H453" s="58">
        <f>PlanGrid[[#This Row],[Spec Wattage]]*PlanGrid[[#This Row],[Equipment Count]]</f>
        <v>21</v>
      </c>
      <c r="I453" s="50">
        <f>((PlanGrid[[#This Row],[Demand Watt]]*PlanGrid[[#This Row],[Utilization %]]*'Schedule-Building Info'!$N$16)/1000)</f>
        <v>114.97499999999999</v>
      </c>
      <c r="J453" s="57">
        <f>PlanGrid[[#This Row],[kWh/yr]]*' Elec Utility (kWh)'!$M$7</f>
        <v>12.257868782138575</v>
      </c>
      <c r="K453" s="38">
        <f>PlanGrid[[#This Row],[kWh/yr]]/'Schedule-Building Info'!$B$6</f>
        <v>1.8907563025210084E-3</v>
      </c>
      <c r="L453" s="50">
        <f>CONVERT(PlanGrid[[#This Row],[kWh/yr]],"Wh","BTU")</f>
        <v>392.31098426888508</v>
      </c>
      <c r="M453" s="38">
        <f>PlanGrid[[#This Row],[kBtu/yr]]/'Schedule-Building Info'!$B$6</f>
        <v>6.4515282979309817E-3</v>
      </c>
      <c r="N453" t="s">
        <v>1092</v>
      </c>
      <c r="O453">
        <v>0</v>
      </c>
      <c r="P453" t="str">
        <f>VLOOKUP(PlanGrid[[#This Row],[Title]],'Spec Wattages'!$A$1:$C$973,3,FALSE)</f>
        <v>Plug Load</v>
      </c>
      <c r="Q453" t="s">
        <v>793</v>
      </c>
      <c r="R453" t="s">
        <v>789</v>
      </c>
      <c r="S453" t="s">
        <v>11</v>
      </c>
    </row>
    <row r="454" spans="1:19" x14ac:dyDescent="0.25">
      <c r="A454">
        <v>248</v>
      </c>
      <c r="B454" t="s">
        <v>15</v>
      </c>
      <c r="C454" t="s">
        <v>16</v>
      </c>
      <c r="E454" s="50">
        <f>VLOOKUP(PlanGrid[[#This Row],[Title]],'Spec Wattages'!$A$1:$C$973,2,FALSE)</f>
        <v>21</v>
      </c>
      <c r="F454" s="38">
        <v>1</v>
      </c>
      <c r="G454" s="39">
        <v>1</v>
      </c>
      <c r="H454" s="58">
        <f>PlanGrid[[#This Row],[Spec Wattage]]*PlanGrid[[#This Row],[Equipment Count]]</f>
        <v>21</v>
      </c>
      <c r="I454" s="50">
        <f>((PlanGrid[[#This Row],[Demand Watt]]*PlanGrid[[#This Row],[Utilization %]]*'Schedule-Building Info'!$N$16)/1000)</f>
        <v>114.97499999999999</v>
      </c>
      <c r="J454" s="57">
        <f>PlanGrid[[#This Row],[kWh/yr]]*' Elec Utility (kWh)'!$M$7</f>
        <v>12.257868782138575</v>
      </c>
      <c r="K454" s="38">
        <f>PlanGrid[[#This Row],[kWh/yr]]/'Schedule-Building Info'!$B$6</f>
        <v>1.8907563025210084E-3</v>
      </c>
      <c r="L454" s="50">
        <f>CONVERT(PlanGrid[[#This Row],[kWh/yr]],"Wh","BTU")</f>
        <v>392.31098426888508</v>
      </c>
      <c r="M454" s="38">
        <f>PlanGrid[[#This Row],[kBtu/yr]]/'Schedule-Building Info'!$B$6</f>
        <v>6.4515282979309817E-3</v>
      </c>
      <c r="N454" t="s">
        <v>1092</v>
      </c>
      <c r="O454">
        <v>0</v>
      </c>
      <c r="P454" t="str">
        <f>VLOOKUP(PlanGrid[[#This Row],[Title]],'Spec Wattages'!$A$1:$C$973,3,FALSE)</f>
        <v>Plug Load</v>
      </c>
      <c r="Q454" t="s">
        <v>978</v>
      </c>
      <c r="R454" t="s">
        <v>978</v>
      </c>
      <c r="S454" t="s">
        <v>51</v>
      </c>
    </row>
    <row r="455" spans="1:19" x14ac:dyDescent="0.25">
      <c r="A455">
        <v>249</v>
      </c>
      <c r="B455" t="s">
        <v>15</v>
      </c>
      <c r="C455" t="s">
        <v>16</v>
      </c>
      <c r="E455" s="50">
        <f>VLOOKUP(PlanGrid[[#This Row],[Title]],'Spec Wattages'!$A$1:$C$973,2,FALSE)</f>
        <v>21</v>
      </c>
      <c r="F455" s="38">
        <v>1</v>
      </c>
      <c r="G455" s="39">
        <v>1</v>
      </c>
      <c r="H455" s="58">
        <f>PlanGrid[[#This Row],[Spec Wattage]]*PlanGrid[[#This Row],[Equipment Count]]</f>
        <v>21</v>
      </c>
      <c r="I455" s="50">
        <f>((PlanGrid[[#This Row],[Demand Watt]]*PlanGrid[[#This Row],[Utilization %]]*'Schedule-Building Info'!$N$16)/1000)</f>
        <v>114.97499999999999</v>
      </c>
      <c r="J455" s="57">
        <f>PlanGrid[[#This Row],[kWh/yr]]*' Elec Utility (kWh)'!$M$7</f>
        <v>12.257868782138575</v>
      </c>
      <c r="K455" s="38">
        <f>PlanGrid[[#This Row],[kWh/yr]]/'Schedule-Building Info'!$B$6</f>
        <v>1.8907563025210084E-3</v>
      </c>
      <c r="L455" s="50">
        <f>CONVERT(PlanGrid[[#This Row],[kWh/yr]],"Wh","BTU")</f>
        <v>392.31098426888508</v>
      </c>
      <c r="M455" s="38">
        <f>PlanGrid[[#This Row],[kBtu/yr]]/'Schedule-Building Info'!$B$6</f>
        <v>6.4515282979309817E-3</v>
      </c>
      <c r="N455" t="s">
        <v>1092</v>
      </c>
      <c r="O455">
        <v>0</v>
      </c>
      <c r="P455" t="str">
        <f>VLOOKUP(PlanGrid[[#This Row],[Title]],'Spec Wattages'!$A$1:$C$973,3,FALSE)</f>
        <v>Plug Load</v>
      </c>
      <c r="Q455" t="s">
        <v>978</v>
      </c>
      <c r="R455" t="s">
        <v>978</v>
      </c>
      <c r="S455" t="s">
        <v>51</v>
      </c>
    </row>
    <row r="456" spans="1:19" x14ac:dyDescent="0.25">
      <c r="A456">
        <v>268</v>
      </c>
      <c r="B456" t="s">
        <v>15</v>
      </c>
      <c r="C456" t="s">
        <v>16</v>
      </c>
      <c r="E456" s="50">
        <f>VLOOKUP(PlanGrid[[#This Row],[Title]],'Spec Wattages'!$A$1:$C$973,2,FALSE)</f>
        <v>21</v>
      </c>
      <c r="F456" s="38">
        <v>1</v>
      </c>
      <c r="G456" s="39">
        <v>1</v>
      </c>
      <c r="H456" s="58">
        <f>PlanGrid[[#This Row],[Spec Wattage]]*PlanGrid[[#This Row],[Equipment Count]]</f>
        <v>21</v>
      </c>
      <c r="I456" s="50">
        <f>((PlanGrid[[#This Row],[Demand Watt]]*PlanGrid[[#This Row],[Utilization %]]*'Schedule-Building Info'!$N$16)/1000)</f>
        <v>114.97499999999999</v>
      </c>
      <c r="J456" s="57">
        <f>PlanGrid[[#This Row],[kWh/yr]]*' Elec Utility (kWh)'!$M$7</f>
        <v>12.257868782138575</v>
      </c>
      <c r="K456" s="38">
        <f>PlanGrid[[#This Row],[kWh/yr]]/'Schedule-Building Info'!$B$6</f>
        <v>1.8907563025210084E-3</v>
      </c>
      <c r="L456" s="50">
        <f>CONVERT(PlanGrid[[#This Row],[kWh/yr]],"Wh","BTU")</f>
        <v>392.31098426888508</v>
      </c>
      <c r="M456" s="38">
        <f>PlanGrid[[#This Row],[kBtu/yr]]/'Schedule-Building Info'!$B$6</f>
        <v>6.4515282979309817E-3</v>
      </c>
      <c r="N456" t="s">
        <v>1092</v>
      </c>
      <c r="O456">
        <v>0</v>
      </c>
      <c r="P456" t="str">
        <f>VLOOKUP(PlanGrid[[#This Row],[Title]],'Spec Wattages'!$A$1:$C$973,3,FALSE)</f>
        <v>Plug Load</v>
      </c>
      <c r="Q456" t="s">
        <v>983</v>
      </c>
      <c r="R456" t="s">
        <v>872</v>
      </c>
      <c r="S456" t="s">
        <v>11</v>
      </c>
    </row>
    <row r="457" spans="1:19" x14ac:dyDescent="0.25">
      <c r="A457">
        <v>269</v>
      </c>
      <c r="B457" t="s">
        <v>15</v>
      </c>
      <c r="C457" t="s">
        <v>16</v>
      </c>
      <c r="E457" s="50">
        <f>VLOOKUP(PlanGrid[[#This Row],[Title]],'Spec Wattages'!$A$1:$C$973,2,FALSE)</f>
        <v>21</v>
      </c>
      <c r="F457" s="38">
        <v>1</v>
      </c>
      <c r="G457" s="39">
        <v>1</v>
      </c>
      <c r="H457" s="58">
        <f>PlanGrid[[#This Row],[Spec Wattage]]*PlanGrid[[#This Row],[Equipment Count]]</f>
        <v>21</v>
      </c>
      <c r="I457" s="50">
        <f>((PlanGrid[[#This Row],[Demand Watt]]*PlanGrid[[#This Row],[Utilization %]]*'Schedule-Building Info'!$N$16)/1000)</f>
        <v>114.97499999999999</v>
      </c>
      <c r="J457" s="57">
        <f>PlanGrid[[#This Row],[kWh/yr]]*' Elec Utility (kWh)'!$M$7</f>
        <v>12.257868782138575</v>
      </c>
      <c r="K457" s="38">
        <f>PlanGrid[[#This Row],[kWh/yr]]/'Schedule-Building Info'!$B$6</f>
        <v>1.8907563025210084E-3</v>
      </c>
      <c r="L457" s="50">
        <f>CONVERT(PlanGrid[[#This Row],[kWh/yr]],"Wh","BTU")</f>
        <v>392.31098426888508</v>
      </c>
      <c r="M457" s="38">
        <f>PlanGrid[[#This Row],[kBtu/yr]]/'Schedule-Building Info'!$B$6</f>
        <v>6.4515282979309817E-3</v>
      </c>
      <c r="N457" t="s">
        <v>1092</v>
      </c>
      <c r="O457">
        <v>0</v>
      </c>
      <c r="P457" t="str">
        <f>VLOOKUP(PlanGrid[[#This Row],[Title]],'Spec Wattages'!$A$1:$C$973,3,FALSE)</f>
        <v>Plug Load</v>
      </c>
      <c r="Q457" t="s">
        <v>983</v>
      </c>
      <c r="R457" t="s">
        <v>872</v>
      </c>
      <c r="S457" t="s">
        <v>11</v>
      </c>
    </row>
    <row r="458" spans="1:19" x14ac:dyDescent="0.25">
      <c r="A458">
        <v>273</v>
      </c>
      <c r="B458" t="s">
        <v>15</v>
      </c>
      <c r="C458" t="s">
        <v>16</v>
      </c>
      <c r="E458" s="50">
        <f>VLOOKUP(PlanGrid[[#This Row],[Title]],'Spec Wattages'!$A$1:$C$973,2,FALSE)</f>
        <v>21</v>
      </c>
      <c r="F458" s="38">
        <v>1</v>
      </c>
      <c r="G458" s="39">
        <v>1</v>
      </c>
      <c r="H458" s="58">
        <f>PlanGrid[[#This Row],[Spec Wattage]]*PlanGrid[[#This Row],[Equipment Count]]</f>
        <v>21</v>
      </c>
      <c r="I458" s="50">
        <f>((PlanGrid[[#This Row],[Demand Watt]]*PlanGrid[[#This Row],[Utilization %]]*'Schedule-Building Info'!$N$16)/1000)</f>
        <v>114.97499999999999</v>
      </c>
      <c r="J458" s="57">
        <f>PlanGrid[[#This Row],[kWh/yr]]*' Elec Utility (kWh)'!$M$7</f>
        <v>12.257868782138575</v>
      </c>
      <c r="K458" s="38">
        <f>PlanGrid[[#This Row],[kWh/yr]]/'Schedule-Building Info'!$B$6</f>
        <v>1.8907563025210084E-3</v>
      </c>
      <c r="L458" s="50">
        <f>CONVERT(PlanGrid[[#This Row],[kWh/yr]],"Wh","BTU")</f>
        <v>392.31098426888508</v>
      </c>
      <c r="M458" s="38">
        <f>PlanGrid[[#This Row],[kBtu/yr]]/'Schedule-Building Info'!$B$6</f>
        <v>6.4515282979309817E-3</v>
      </c>
      <c r="N458" t="s">
        <v>1092</v>
      </c>
      <c r="O458">
        <v>0</v>
      </c>
      <c r="P458" t="str">
        <f>VLOOKUP(PlanGrid[[#This Row],[Title]],'Spec Wattages'!$A$1:$C$973,3,FALSE)</f>
        <v>Plug Load</v>
      </c>
      <c r="Q458" t="s">
        <v>872</v>
      </c>
      <c r="R458" t="s">
        <v>872</v>
      </c>
      <c r="S458" t="s">
        <v>51</v>
      </c>
    </row>
    <row r="459" spans="1:19" x14ac:dyDescent="0.25">
      <c r="A459">
        <v>278</v>
      </c>
      <c r="B459" t="s">
        <v>15</v>
      </c>
      <c r="C459" t="s">
        <v>16</v>
      </c>
      <c r="E459" s="50">
        <f>VLOOKUP(PlanGrid[[#This Row],[Title]],'Spec Wattages'!$A$1:$C$973,2,FALSE)</f>
        <v>21</v>
      </c>
      <c r="F459" s="38">
        <v>1</v>
      </c>
      <c r="G459" s="39">
        <v>1</v>
      </c>
      <c r="H459" s="58">
        <f>PlanGrid[[#This Row],[Spec Wattage]]*PlanGrid[[#This Row],[Equipment Count]]</f>
        <v>21</v>
      </c>
      <c r="I459" s="50">
        <f>((PlanGrid[[#This Row],[Demand Watt]]*PlanGrid[[#This Row],[Utilization %]]*'Schedule-Building Info'!$N$16)/1000)</f>
        <v>114.97499999999999</v>
      </c>
      <c r="J459" s="57">
        <f>PlanGrid[[#This Row],[kWh/yr]]*' Elec Utility (kWh)'!$M$7</f>
        <v>12.257868782138575</v>
      </c>
      <c r="K459" s="38">
        <f>PlanGrid[[#This Row],[kWh/yr]]/'Schedule-Building Info'!$B$6</f>
        <v>1.8907563025210084E-3</v>
      </c>
      <c r="L459" s="50">
        <f>CONVERT(PlanGrid[[#This Row],[kWh/yr]],"Wh","BTU")</f>
        <v>392.31098426888508</v>
      </c>
      <c r="M459" s="38">
        <f>PlanGrid[[#This Row],[kBtu/yr]]/'Schedule-Building Info'!$B$6</f>
        <v>6.4515282979309817E-3</v>
      </c>
      <c r="N459" t="s">
        <v>1092</v>
      </c>
      <c r="O459">
        <v>0</v>
      </c>
      <c r="P459" t="str">
        <f>VLOOKUP(PlanGrid[[#This Row],[Title]],'Spec Wattages'!$A$1:$C$973,3,FALSE)</f>
        <v>Plug Load</v>
      </c>
      <c r="Q459" t="s">
        <v>987</v>
      </c>
      <c r="R459" t="s">
        <v>1010</v>
      </c>
      <c r="S459" t="s">
        <v>11</v>
      </c>
    </row>
    <row r="460" spans="1:19" x14ac:dyDescent="0.25">
      <c r="A460">
        <v>282</v>
      </c>
      <c r="B460" t="s">
        <v>15</v>
      </c>
      <c r="C460" t="s">
        <v>16</v>
      </c>
      <c r="E460" s="50">
        <f>VLOOKUP(PlanGrid[[#This Row],[Title]],'Spec Wattages'!$A$1:$C$973,2,FALSE)</f>
        <v>21</v>
      </c>
      <c r="F460" s="38">
        <v>1</v>
      </c>
      <c r="G460" s="39">
        <v>1</v>
      </c>
      <c r="H460" s="58">
        <f>PlanGrid[[#This Row],[Spec Wattage]]*PlanGrid[[#This Row],[Equipment Count]]</f>
        <v>21</v>
      </c>
      <c r="I460" s="50">
        <f>((PlanGrid[[#This Row],[Demand Watt]]*PlanGrid[[#This Row],[Utilization %]]*'Schedule-Building Info'!$N$16)/1000)</f>
        <v>114.97499999999999</v>
      </c>
      <c r="J460" s="57">
        <f>PlanGrid[[#This Row],[kWh/yr]]*' Elec Utility (kWh)'!$M$7</f>
        <v>12.257868782138575</v>
      </c>
      <c r="K460" s="38">
        <f>PlanGrid[[#This Row],[kWh/yr]]/'Schedule-Building Info'!$B$6</f>
        <v>1.8907563025210084E-3</v>
      </c>
      <c r="L460" s="50">
        <f>CONVERT(PlanGrid[[#This Row],[kWh/yr]],"Wh","BTU")</f>
        <v>392.31098426888508</v>
      </c>
      <c r="M460" s="38">
        <f>PlanGrid[[#This Row],[kBtu/yr]]/'Schedule-Building Info'!$B$6</f>
        <v>6.4515282979309817E-3</v>
      </c>
      <c r="N460" t="s">
        <v>1092</v>
      </c>
      <c r="O460">
        <v>0</v>
      </c>
      <c r="P460" t="str">
        <f>VLOOKUP(PlanGrid[[#This Row],[Title]],'Spec Wattages'!$A$1:$C$973,3,FALSE)</f>
        <v>Plug Load</v>
      </c>
      <c r="Q460" t="s">
        <v>944</v>
      </c>
      <c r="R460" t="s">
        <v>1069</v>
      </c>
      <c r="S460" t="s">
        <v>11</v>
      </c>
    </row>
    <row r="461" spans="1:19" x14ac:dyDescent="0.25">
      <c r="A461">
        <v>290</v>
      </c>
      <c r="B461" t="s">
        <v>15</v>
      </c>
      <c r="C461" t="s">
        <v>16</v>
      </c>
      <c r="E461" s="50">
        <f>VLOOKUP(PlanGrid[[#This Row],[Title]],'Spec Wattages'!$A$1:$C$973,2,FALSE)</f>
        <v>21</v>
      </c>
      <c r="F461" s="38">
        <v>1</v>
      </c>
      <c r="G461" s="39">
        <v>1</v>
      </c>
      <c r="H461" s="58">
        <f>PlanGrid[[#This Row],[Spec Wattage]]*PlanGrid[[#This Row],[Equipment Count]]</f>
        <v>21</v>
      </c>
      <c r="I461" s="50">
        <f>((PlanGrid[[#This Row],[Demand Watt]]*PlanGrid[[#This Row],[Utilization %]]*'Schedule-Building Info'!$N$16)/1000)</f>
        <v>114.97499999999999</v>
      </c>
      <c r="J461" s="57">
        <f>PlanGrid[[#This Row],[kWh/yr]]*' Elec Utility (kWh)'!$M$7</f>
        <v>12.257868782138575</v>
      </c>
      <c r="K461" s="38">
        <f>PlanGrid[[#This Row],[kWh/yr]]/'Schedule-Building Info'!$B$6</f>
        <v>1.8907563025210084E-3</v>
      </c>
      <c r="L461" s="50">
        <f>CONVERT(PlanGrid[[#This Row],[kWh/yr]],"Wh","BTU")</f>
        <v>392.31098426888508</v>
      </c>
      <c r="M461" s="38">
        <f>PlanGrid[[#This Row],[kBtu/yr]]/'Schedule-Building Info'!$B$6</f>
        <v>6.4515282979309817E-3</v>
      </c>
      <c r="N461" t="s">
        <v>1092</v>
      </c>
      <c r="O461">
        <v>0</v>
      </c>
      <c r="P461" t="str">
        <f>VLOOKUP(PlanGrid[[#This Row],[Title]],'Spec Wattages'!$A$1:$C$973,3,FALSE)</f>
        <v>Plug Load</v>
      </c>
      <c r="Q461" t="s">
        <v>875</v>
      </c>
      <c r="R461" t="s">
        <v>1042</v>
      </c>
      <c r="S461" t="s">
        <v>11</v>
      </c>
    </row>
    <row r="462" spans="1:19" x14ac:dyDescent="0.25">
      <c r="A462">
        <v>291</v>
      </c>
      <c r="B462" t="s">
        <v>15</v>
      </c>
      <c r="C462" t="s">
        <v>16</v>
      </c>
      <c r="E462" s="50">
        <f>VLOOKUP(PlanGrid[[#This Row],[Title]],'Spec Wattages'!$A$1:$C$973,2,FALSE)</f>
        <v>21</v>
      </c>
      <c r="F462" s="38">
        <v>1</v>
      </c>
      <c r="G462" s="39">
        <v>1</v>
      </c>
      <c r="H462" s="58">
        <f>PlanGrid[[#This Row],[Spec Wattage]]*PlanGrid[[#This Row],[Equipment Count]]</f>
        <v>21</v>
      </c>
      <c r="I462" s="50">
        <f>((PlanGrid[[#This Row],[Demand Watt]]*PlanGrid[[#This Row],[Utilization %]]*'Schedule-Building Info'!$N$16)/1000)</f>
        <v>114.97499999999999</v>
      </c>
      <c r="J462" s="57">
        <f>PlanGrid[[#This Row],[kWh/yr]]*' Elec Utility (kWh)'!$M$7</f>
        <v>12.257868782138575</v>
      </c>
      <c r="K462" s="38">
        <f>PlanGrid[[#This Row],[kWh/yr]]/'Schedule-Building Info'!$B$6</f>
        <v>1.8907563025210084E-3</v>
      </c>
      <c r="L462" s="50">
        <f>CONVERT(PlanGrid[[#This Row],[kWh/yr]],"Wh","BTU")</f>
        <v>392.31098426888508</v>
      </c>
      <c r="M462" s="38">
        <f>PlanGrid[[#This Row],[kBtu/yr]]/'Schedule-Building Info'!$B$6</f>
        <v>6.4515282979309817E-3</v>
      </c>
      <c r="N462" t="s">
        <v>1092</v>
      </c>
      <c r="O462">
        <v>0</v>
      </c>
      <c r="P462" t="str">
        <f>VLOOKUP(PlanGrid[[#This Row],[Title]],'Spec Wattages'!$A$1:$C$973,3,FALSE)</f>
        <v>Plug Load</v>
      </c>
      <c r="Q462" t="s">
        <v>875</v>
      </c>
      <c r="R462" t="s">
        <v>1042</v>
      </c>
      <c r="S462" t="s">
        <v>11</v>
      </c>
    </row>
    <row r="463" spans="1:19" hidden="1" x14ac:dyDescent="0.25">
      <c r="A463">
        <v>889</v>
      </c>
      <c r="B463" t="s">
        <v>32</v>
      </c>
      <c r="C463" t="s">
        <v>521</v>
      </c>
      <c r="D463" t="s">
        <v>522</v>
      </c>
      <c r="E463" s="50"/>
      <c r="F463" s="38"/>
      <c r="G463" s="38"/>
      <c r="H463" s="58">
        <f>PlanGrid[[#This Row],[Spec Wattage]]*PlanGrid[[#This Row],[Equipment Count]]</f>
        <v>0</v>
      </c>
      <c r="I463" s="50">
        <f>((PlanGrid[[#This Row],[Demand Watt]]*PlanGrid[[#This Row],[Utilization %]]*'Schedule-Building Info'!$N$16)/1000)</f>
        <v>0</v>
      </c>
      <c r="J463" s="50">
        <f>PlanGrid[[#This Row],[kWh/yr]]*' Elec Utility (kWh)'!$M$7</f>
        <v>0</v>
      </c>
      <c r="K463" s="38">
        <f>PlanGrid[[#This Row],[kWh/yr]]/'Schedule-Building Info'!$B$6</f>
        <v>0</v>
      </c>
      <c r="L463" s="50">
        <f>CONVERT(PlanGrid[[#This Row],[kWh/yr]],"Wh","BTU")</f>
        <v>0</v>
      </c>
      <c r="M463" s="38">
        <f>PlanGrid[[#This Row],[kBtu/yr]]/'Schedule-Building Info'!$B$6</f>
        <v>0</v>
      </c>
      <c r="N463" t="s">
        <v>1089</v>
      </c>
      <c r="O463">
        <v>0</v>
      </c>
      <c r="P463" t="e">
        <f>VLOOKUP(PlanGrid[[#This Row],[Title]],'Spec Wattages'!$A$1:$C$973,3,FALSE)</f>
        <v>#N/A</v>
      </c>
      <c r="Q463" t="s">
        <v>918</v>
      </c>
      <c r="R463" t="s">
        <v>918</v>
      </c>
      <c r="S463" t="s">
        <v>51</v>
      </c>
    </row>
    <row r="464" spans="1:19" hidden="1" x14ac:dyDescent="0.25">
      <c r="A464">
        <v>911</v>
      </c>
      <c r="B464" t="s">
        <v>32</v>
      </c>
      <c r="C464" t="s">
        <v>521</v>
      </c>
      <c r="D464" t="s">
        <v>522</v>
      </c>
      <c r="E464" s="50"/>
      <c r="F464" s="38"/>
      <c r="G464" s="38"/>
      <c r="H464" s="58">
        <f>PlanGrid[[#This Row],[Spec Wattage]]*PlanGrid[[#This Row],[Equipment Count]]</f>
        <v>0</v>
      </c>
      <c r="I464" s="50">
        <f>((PlanGrid[[#This Row],[Demand Watt]]*PlanGrid[[#This Row],[Utilization %]]*'Schedule-Building Info'!$N$16)/1000)</f>
        <v>0</v>
      </c>
      <c r="J464" s="50">
        <f>PlanGrid[[#This Row],[kWh/yr]]*' Elec Utility (kWh)'!$M$7</f>
        <v>0</v>
      </c>
      <c r="K464" s="38">
        <f>PlanGrid[[#This Row],[kWh/yr]]/'Schedule-Building Info'!$B$6</f>
        <v>0</v>
      </c>
      <c r="L464" s="50">
        <f>CONVERT(PlanGrid[[#This Row],[kWh/yr]],"Wh","BTU")</f>
        <v>0</v>
      </c>
      <c r="M464" s="38">
        <f>PlanGrid[[#This Row],[kBtu/yr]]/'Schedule-Building Info'!$B$6</f>
        <v>0</v>
      </c>
      <c r="N464" t="s">
        <v>1089</v>
      </c>
      <c r="O464">
        <v>0</v>
      </c>
      <c r="P464" t="e">
        <f>VLOOKUP(PlanGrid[[#This Row],[Title]],'Spec Wattages'!$A$1:$C$973,3,FALSE)</f>
        <v>#N/A</v>
      </c>
      <c r="Q464" t="s">
        <v>919</v>
      </c>
      <c r="R464" t="s">
        <v>690</v>
      </c>
      <c r="S464" t="s">
        <v>51</v>
      </c>
    </row>
    <row r="465" spans="1:19" hidden="1" x14ac:dyDescent="0.25">
      <c r="A465">
        <v>917</v>
      </c>
      <c r="B465" t="s">
        <v>32</v>
      </c>
      <c r="C465" t="s">
        <v>521</v>
      </c>
      <c r="D465" t="s">
        <v>522</v>
      </c>
      <c r="E465" s="50"/>
      <c r="F465" s="38"/>
      <c r="G465" s="38"/>
      <c r="H465" s="58">
        <f>PlanGrid[[#This Row],[Spec Wattage]]*PlanGrid[[#This Row],[Equipment Count]]</f>
        <v>0</v>
      </c>
      <c r="I465" s="50">
        <f>((PlanGrid[[#This Row],[Demand Watt]]*PlanGrid[[#This Row],[Utilization %]]*'Schedule-Building Info'!$N$16)/1000)</f>
        <v>0</v>
      </c>
      <c r="J465" s="50">
        <f>PlanGrid[[#This Row],[kWh/yr]]*' Elec Utility (kWh)'!$M$7</f>
        <v>0</v>
      </c>
      <c r="K465" s="38">
        <f>PlanGrid[[#This Row],[kWh/yr]]/'Schedule-Building Info'!$B$6</f>
        <v>0</v>
      </c>
      <c r="L465" s="50">
        <f>CONVERT(PlanGrid[[#This Row],[kWh/yr]],"Wh","BTU")</f>
        <v>0</v>
      </c>
      <c r="M465" s="38">
        <f>PlanGrid[[#This Row],[kBtu/yr]]/'Schedule-Building Info'!$B$6</f>
        <v>0</v>
      </c>
      <c r="N465" t="s">
        <v>1089</v>
      </c>
      <c r="O465">
        <v>0</v>
      </c>
      <c r="P465" t="e">
        <f>VLOOKUP(PlanGrid[[#This Row],[Title]],'Spec Wattages'!$A$1:$C$973,3,FALSE)</f>
        <v>#N/A</v>
      </c>
      <c r="Q465" t="s">
        <v>696</v>
      </c>
      <c r="R465" t="s">
        <v>696</v>
      </c>
      <c r="S465" t="s">
        <v>51</v>
      </c>
    </row>
    <row r="466" spans="1:19" hidden="1" x14ac:dyDescent="0.25">
      <c r="A466">
        <v>919</v>
      </c>
      <c r="B466" t="s">
        <v>32</v>
      </c>
      <c r="C466" t="s">
        <v>521</v>
      </c>
      <c r="D466" t="s">
        <v>523</v>
      </c>
      <c r="E466" s="50"/>
      <c r="F466" s="38"/>
      <c r="G466" s="38"/>
      <c r="H466" s="58">
        <f>PlanGrid[[#This Row],[Spec Wattage]]*PlanGrid[[#This Row],[Equipment Count]]</f>
        <v>0</v>
      </c>
      <c r="I466" s="50">
        <f>((PlanGrid[[#This Row],[Demand Watt]]*PlanGrid[[#This Row],[Utilization %]]*'Schedule-Building Info'!$N$16)/1000)</f>
        <v>0</v>
      </c>
      <c r="J466" s="50">
        <f>PlanGrid[[#This Row],[kWh/yr]]*' Elec Utility (kWh)'!$M$7</f>
        <v>0</v>
      </c>
      <c r="K466" s="38">
        <f>PlanGrid[[#This Row],[kWh/yr]]/'Schedule-Building Info'!$B$6</f>
        <v>0</v>
      </c>
      <c r="L466" s="50">
        <f>CONVERT(PlanGrid[[#This Row],[kWh/yr]],"Wh","BTU")</f>
        <v>0</v>
      </c>
      <c r="M466" s="38">
        <f>PlanGrid[[#This Row],[kBtu/yr]]/'Schedule-Building Info'!$B$6</f>
        <v>0</v>
      </c>
      <c r="N466" t="s">
        <v>1089</v>
      </c>
      <c r="O466">
        <v>2</v>
      </c>
      <c r="P466" t="e">
        <f>VLOOKUP(PlanGrid[[#This Row],[Title]],'Spec Wattages'!$A$1:$C$973,3,FALSE)</f>
        <v>#N/A</v>
      </c>
      <c r="Q466" t="s">
        <v>920</v>
      </c>
      <c r="R466" t="s">
        <v>698</v>
      </c>
      <c r="S466" t="s">
        <v>51</v>
      </c>
    </row>
    <row r="467" spans="1:19" hidden="1" x14ac:dyDescent="0.25">
      <c r="A467">
        <v>932</v>
      </c>
      <c r="B467" t="s">
        <v>32</v>
      </c>
      <c r="C467" t="s">
        <v>521</v>
      </c>
      <c r="D467" t="s">
        <v>524</v>
      </c>
      <c r="E467" s="50"/>
      <c r="F467" s="38"/>
      <c r="G467" s="38"/>
      <c r="H467" s="58">
        <f>PlanGrid[[#This Row],[Spec Wattage]]*PlanGrid[[#This Row],[Equipment Count]]</f>
        <v>0</v>
      </c>
      <c r="I467" s="50">
        <f>((PlanGrid[[#This Row],[Demand Watt]]*PlanGrid[[#This Row],[Utilization %]]*'Schedule-Building Info'!$N$16)/1000)</f>
        <v>0</v>
      </c>
      <c r="J467" s="50">
        <f>PlanGrid[[#This Row],[kWh/yr]]*' Elec Utility (kWh)'!$M$7</f>
        <v>0</v>
      </c>
      <c r="K467" s="38">
        <f>PlanGrid[[#This Row],[kWh/yr]]/'Schedule-Building Info'!$B$6</f>
        <v>0</v>
      </c>
      <c r="L467" s="50">
        <f>CONVERT(PlanGrid[[#This Row],[kWh/yr]],"Wh","BTU")</f>
        <v>0</v>
      </c>
      <c r="M467" s="38">
        <f>PlanGrid[[#This Row],[kBtu/yr]]/'Schedule-Building Info'!$B$6</f>
        <v>0</v>
      </c>
      <c r="N467" t="s">
        <v>1089</v>
      </c>
      <c r="O467">
        <v>0</v>
      </c>
      <c r="P467" t="e">
        <f>VLOOKUP(PlanGrid[[#This Row],[Title]],'Spec Wattages'!$A$1:$C$973,3,FALSE)</f>
        <v>#N/A</v>
      </c>
      <c r="Q467" t="s">
        <v>921</v>
      </c>
      <c r="R467" t="s">
        <v>1059</v>
      </c>
      <c r="S467" t="s">
        <v>11</v>
      </c>
    </row>
    <row r="468" spans="1:19" hidden="1" x14ac:dyDescent="0.25">
      <c r="A468">
        <v>942</v>
      </c>
      <c r="B468" t="s">
        <v>32</v>
      </c>
      <c r="C468" t="s">
        <v>521</v>
      </c>
      <c r="D468" t="s">
        <v>522</v>
      </c>
      <c r="E468" s="50"/>
      <c r="F468" s="38"/>
      <c r="G468" s="38"/>
      <c r="H468" s="58">
        <f>PlanGrid[[#This Row],[Spec Wattage]]*PlanGrid[[#This Row],[Equipment Count]]</f>
        <v>0</v>
      </c>
      <c r="I468" s="50">
        <f>((PlanGrid[[#This Row],[Demand Watt]]*PlanGrid[[#This Row],[Utilization %]]*'Schedule-Building Info'!$N$16)/1000)</f>
        <v>0</v>
      </c>
      <c r="J468" s="50">
        <f>PlanGrid[[#This Row],[kWh/yr]]*' Elec Utility (kWh)'!$M$7</f>
        <v>0</v>
      </c>
      <c r="K468" s="38">
        <f>PlanGrid[[#This Row],[kWh/yr]]/'Schedule-Building Info'!$B$6</f>
        <v>0</v>
      </c>
      <c r="L468" s="50">
        <f>CONVERT(PlanGrid[[#This Row],[kWh/yr]],"Wh","BTU")</f>
        <v>0</v>
      </c>
      <c r="M468" s="38">
        <f>PlanGrid[[#This Row],[kBtu/yr]]/'Schedule-Building Info'!$B$6</f>
        <v>0</v>
      </c>
      <c r="N468" t="s">
        <v>1089</v>
      </c>
      <c r="O468">
        <v>0</v>
      </c>
      <c r="P468" t="e">
        <f>VLOOKUP(PlanGrid[[#This Row],[Title]],'Spec Wattages'!$A$1:$C$973,3,FALSE)</f>
        <v>#N/A</v>
      </c>
      <c r="Q468" t="s">
        <v>730</v>
      </c>
      <c r="R468" t="s">
        <v>730</v>
      </c>
      <c r="S468" t="s">
        <v>51</v>
      </c>
    </row>
    <row r="469" spans="1:19" hidden="1" x14ac:dyDescent="0.25">
      <c r="A469">
        <v>957</v>
      </c>
      <c r="B469" t="s">
        <v>32</v>
      </c>
      <c r="C469" t="s">
        <v>521</v>
      </c>
      <c r="D469" t="s">
        <v>522</v>
      </c>
      <c r="E469" s="50"/>
      <c r="F469" s="38"/>
      <c r="G469" s="38"/>
      <c r="H469" s="58">
        <f>PlanGrid[[#This Row],[Spec Wattage]]*PlanGrid[[#This Row],[Equipment Count]]</f>
        <v>0</v>
      </c>
      <c r="I469" s="50">
        <f>((PlanGrid[[#This Row],[Demand Watt]]*PlanGrid[[#This Row],[Utilization %]]*'Schedule-Building Info'!$N$16)/1000)</f>
        <v>0</v>
      </c>
      <c r="J469" s="50">
        <f>PlanGrid[[#This Row],[kWh/yr]]*' Elec Utility (kWh)'!$M$7</f>
        <v>0</v>
      </c>
      <c r="K469" s="38">
        <f>PlanGrid[[#This Row],[kWh/yr]]/'Schedule-Building Info'!$B$6</f>
        <v>0</v>
      </c>
      <c r="L469" s="50">
        <f>CONVERT(PlanGrid[[#This Row],[kWh/yr]],"Wh","BTU")</f>
        <v>0</v>
      </c>
      <c r="M469" s="38">
        <f>PlanGrid[[#This Row],[kBtu/yr]]/'Schedule-Building Info'!$B$6</f>
        <v>0</v>
      </c>
      <c r="N469" t="s">
        <v>1089</v>
      </c>
      <c r="O469">
        <v>0</v>
      </c>
      <c r="P469" t="e">
        <f>VLOOKUP(PlanGrid[[#This Row],[Title]],'Spec Wattages'!$A$1:$C$973,3,FALSE)</f>
        <v>#N/A</v>
      </c>
      <c r="Q469" t="s">
        <v>736</v>
      </c>
      <c r="R469" t="s">
        <v>736</v>
      </c>
      <c r="S469" t="s">
        <v>51</v>
      </c>
    </row>
    <row r="470" spans="1:19" hidden="1" x14ac:dyDescent="0.25">
      <c r="A470">
        <v>975</v>
      </c>
      <c r="B470" t="s">
        <v>32</v>
      </c>
      <c r="C470" t="s">
        <v>521</v>
      </c>
      <c r="D470" t="s">
        <v>522</v>
      </c>
      <c r="E470" s="50"/>
      <c r="F470" s="38"/>
      <c r="G470" s="38"/>
      <c r="H470" s="58">
        <f>PlanGrid[[#This Row],[Spec Wattage]]*PlanGrid[[#This Row],[Equipment Count]]</f>
        <v>0</v>
      </c>
      <c r="I470" s="50">
        <f>((PlanGrid[[#This Row],[Demand Watt]]*PlanGrid[[#This Row],[Utilization %]]*'Schedule-Building Info'!$N$16)/1000)</f>
        <v>0</v>
      </c>
      <c r="J470" s="50">
        <f>PlanGrid[[#This Row],[kWh/yr]]*' Elec Utility (kWh)'!$M$7</f>
        <v>0</v>
      </c>
      <c r="K470" s="38">
        <f>PlanGrid[[#This Row],[kWh/yr]]/'Schedule-Building Info'!$B$6</f>
        <v>0</v>
      </c>
      <c r="L470" s="50">
        <f>CONVERT(PlanGrid[[#This Row],[kWh/yr]],"Wh","BTU")</f>
        <v>0</v>
      </c>
      <c r="M470" s="38">
        <f>PlanGrid[[#This Row],[kBtu/yr]]/'Schedule-Building Info'!$B$6</f>
        <v>0</v>
      </c>
      <c r="N470" t="s">
        <v>1089</v>
      </c>
      <c r="O470">
        <v>0</v>
      </c>
      <c r="P470" t="e">
        <f>VLOOKUP(PlanGrid[[#This Row],[Title]],'Spec Wattages'!$A$1:$C$973,3,FALSE)</f>
        <v>#N/A</v>
      </c>
      <c r="Q470" t="s">
        <v>701</v>
      </c>
      <c r="R470" t="s">
        <v>701</v>
      </c>
      <c r="S470" t="s">
        <v>51</v>
      </c>
    </row>
    <row r="471" spans="1:19" hidden="1" x14ac:dyDescent="0.25">
      <c r="A471">
        <v>989</v>
      </c>
      <c r="B471" t="s">
        <v>32</v>
      </c>
      <c r="C471" t="s">
        <v>521</v>
      </c>
      <c r="D471" t="s">
        <v>522</v>
      </c>
      <c r="E471" s="50"/>
      <c r="F471" s="38"/>
      <c r="G471" s="38"/>
      <c r="H471" s="58">
        <f>PlanGrid[[#This Row],[Spec Wattage]]*PlanGrid[[#This Row],[Equipment Count]]</f>
        <v>0</v>
      </c>
      <c r="I471" s="50">
        <f>((PlanGrid[[#This Row],[Demand Watt]]*PlanGrid[[#This Row],[Utilization %]]*'Schedule-Building Info'!$N$16)/1000)</f>
        <v>0</v>
      </c>
      <c r="J471" s="50">
        <f>PlanGrid[[#This Row],[kWh/yr]]*' Elec Utility (kWh)'!$M$7</f>
        <v>0</v>
      </c>
      <c r="K471" s="38">
        <f>PlanGrid[[#This Row],[kWh/yr]]/'Schedule-Building Info'!$B$6</f>
        <v>0</v>
      </c>
      <c r="L471" s="50">
        <f>CONVERT(PlanGrid[[#This Row],[kWh/yr]],"Wh","BTU")</f>
        <v>0</v>
      </c>
      <c r="M471" s="38">
        <f>PlanGrid[[#This Row],[kBtu/yr]]/'Schedule-Building Info'!$B$6</f>
        <v>0</v>
      </c>
      <c r="N471" t="s">
        <v>1089</v>
      </c>
      <c r="O471">
        <v>0</v>
      </c>
      <c r="P471" t="e">
        <f>VLOOKUP(PlanGrid[[#This Row],[Title]],'Spec Wattages'!$A$1:$C$973,3,FALSE)</f>
        <v>#N/A</v>
      </c>
      <c r="Q471" t="s">
        <v>734</v>
      </c>
      <c r="R471" t="s">
        <v>734</v>
      </c>
      <c r="S471" t="s">
        <v>51</v>
      </c>
    </row>
    <row r="472" spans="1:19" hidden="1" x14ac:dyDescent="0.25">
      <c r="A472">
        <v>1004</v>
      </c>
      <c r="B472" t="s">
        <v>32</v>
      </c>
      <c r="C472" t="s">
        <v>521</v>
      </c>
      <c r="D472" t="s">
        <v>522</v>
      </c>
      <c r="E472" s="50"/>
      <c r="F472" s="38"/>
      <c r="G472" s="38"/>
      <c r="H472" s="58">
        <f>PlanGrid[[#This Row],[Spec Wattage]]*PlanGrid[[#This Row],[Equipment Count]]</f>
        <v>0</v>
      </c>
      <c r="I472" s="50">
        <f>((PlanGrid[[#This Row],[Demand Watt]]*PlanGrid[[#This Row],[Utilization %]]*'Schedule-Building Info'!$N$16)/1000)</f>
        <v>0</v>
      </c>
      <c r="J472" s="50">
        <f>PlanGrid[[#This Row],[kWh/yr]]*' Elec Utility (kWh)'!$M$7</f>
        <v>0</v>
      </c>
      <c r="K472" s="38">
        <f>PlanGrid[[#This Row],[kWh/yr]]/'Schedule-Building Info'!$B$6</f>
        <v>0</v>
      </c>
      <c r="L472" s="50">
        <f>CONVERT(PlanGrid[[#This Row],[kWh/yr]],"Wh","BTU")</f>
        <v>0</v>
      </c>
      <c r="M472" s="38">
        <f>PlanGrid[[#This Row],[kBtu/yr]]/'Schedule-Building Info'!$B$6</f>
        <v>0</v>
      </c>
      <c r="N472" t="s">
        <v>1089</v>
      </c>
      <c r="O472">
        <v>0</v>
      </c>
      <c r="P472" t="e">
        <f>VLOOKUP(PlanGrid[[#This Row],[Title]],'Spec Wattages'!$A$1:$C$973,3,FALSE)</f>
        <v>#N/A</v>
      </c>
      <c r="Q472" t="s">
        <v>704</v>
      </c>
      <c r="R472" t="s">
        <v>704</v>
      </c>
      <c r="S472" t="s">
        <v>51</v>
      </c>
    </row>
    <row r="473" spans="1:19" hidden="1" x14ac:dyDescent="0.25">
      <c r="A473">
        <v>1049</v>
      </c>
      <c r="B473" t="s">
        <v>32</v>
      </c>
      <c r="C473" t="s">
        <v>521</v>
      </c>
      <c r="D473" t="s">
        <v>525</v>
      </c>
      <c r="E473" s="50"/>
      <c r="F473" s="38"/>
      <c r="G473" s="38"/>
      <c r="H473" s="58">
        <f>PlanGrid[[#This Row],[Spec Wattage]]*PlanGrid[[#This Row],[Equipment Count]]</f>
        <v>0</v>
      </c>
      <c r="I473" s="50">
        <f>((PlanGrid[[#This Row],[Demand Watt]]*PlanGrid[[#This Row],[Utilization %]]*'Schedule-Building Info'!$N$16)/1000)</f>
        <v>0</v>
      </c>
      <c r="J473" s="50">
        <f>PlanGrid[[#This Row],[kWh/yr]]*' Elec Utility (kWh)'!$M$7</f>
        <v>0</v>
      </c>
      <c r="K473" s="38">
        <f>PlanGrid[[#This Row],[kWh/yr]]/'Schedule-Building Info'!$B$6</f>
        <v>0</v>
      </c>
      <c r="L473" s="50">
        <f>CONVERT(PlanGrid[[#This Row],[kWh/yr]],"Wh","BTU")</f>
        <v>0</v>
      </c>
      <c r="M473" s="38">
        <f>PlanGrid[[#This Row],[kBtu/yr]]/'Schedule-Building Info'!$B$6</f>
        <v>0</v>
      </c>
      <c r="N473" t="s">
        <v>1089</v>
      </c>
      <c r="O473">
        <v>0</v>
      </c>
      <c r="P473" t="e">
        <f>VLOOKUP(PlanGrid[[#This Row],[Title]],'Spec Wattages'!$A$1:$C$973,3,FALSE)</f>
        <v>#N/A</v>
      </c>
      <c r="Q473" t="s">
        <v>922</v>
      </c>
      <c r="R473" t="s">
        <v>922</v>
      </c>
      <c r="S473" t="s">
        <v>11</v>
      </c>
    </row>
    <row r="474" spans="1:19" hidden="1" x14ac:dyDescent="0.25">
      <c r="A474">
        <v>1070</v>
      </c>
      <c r="B474" t="s">
        <v>32</v>
      </c>
      <c r="C474" t="s">
        <v>521</v>
      </c>
      <c r="D474" t="s">
        <v>522</v>
      </c>
      <c r="E474" s="50"/>
      <c r="F474" s="38"/>
      <c r="G474" s="38"/>
      <c r="H474" s="58">
        <f>PlanGrid[[#This Row],[Spec Wattage]]*PlanGrid[[#This Row],[Equipment Count]]</f>
        <v>0</v>
      </c>
      <c r="I474" s="50">
        <f>((PlanGrid[[#This Row],[Demand Watt]]*PlanGrid[[#This Row],[Utilization %]]*'Schedule-Building Info'!$N$16)/1000)</f>
        <v>0</v>
      </c>
      <c r="J474" s="50">
        <f>PlanGrid[[#This Row],[kWh/yr]]*' Elec Utility (kWh)'!$M$7</f>
        <v>0</v>
      </c>
      <c r="K474" s="38">
        <f>PlanGrid[[#This Row],[kWh/yr]]/'Schedule-Building Info'!$B$6</f>
        <v>0</v>
      </c>
      <c r="L474" s="50">
        <f>CONVERT(PlanGrid[[#This Row],[kWh/yr]],"Wh","BTU")</f>
        <v>0</v>
      </c>
      <c r="M474" s="38">
        <f>PlanGrid[[#This Row],[kBtu/yr]]/'Schedule-Building Info'!$B$6</f>
        <v>0</v>
      </c>
      <c r="N474" t="s">
        <v>1089</v>
      </c>
      <c r="O474">
        <v>0</v>
      </c>
      <c r="P474" t="e">
        <f>VLOOKUP(PlanGrid[[#This Row],[Title]],'Spec Wattages'!$A$1:$C$973,3,FALSE)</f>
        <v>#N/A</v>
      </c>
      <c r="Q474" t="s">
        <v>797</v>
      </c>
      <c r="R474" t="s">
        <v>797</v>
      </c>
      <c r="S474" t="s">
        <v>51</v>
      </c>
    </row>
    <row r="475" spans="1:19" hidden="1" x14ac:dyDescent="0.25">
      <c r="A475">
        <v>634</v>
      </c>
      <c r="B475" t="s">
        <v>32</v>
      </c>
      <c r="C475" t="s">
        <v>521</v>
      </c>
      <c r="D475" t="s">
        <v>526</v>
      </c>
      <c r="E475" s="50"/>
      <c r="F475" s="38"/>
      <c r="G475" s="38"/>
      <c r="H475" s="58">
        <f>PlanGrid[[#This Row],[Spec Wattage]]*PlanGrid[[#This Row],[Equipment Count]]</f>
        <v>0</v>
      </c>
      <c r="I475" s="50">
        <f>((PlanGrid[[#This Row],[Demand Watt]]*PlanGrid[[#This Row],[Utilization %]]*'Schedule-Building Info'!$N$16)/1000)</f>
        <v>0</v>
      </c>
      <c r="J475" s="50">
        <f>PlanGrid[[#This Row],[kWh/yr]]*' Elec Utility (kWh)'!$M$7</f>
        <v>0</v>
      </c>
      <c r="K475" s="38">
        <f>PlanGrid[[#This Row],[kWh/yr]]/'Schedule-Building Info'!$B$6</f>
        <v>0</v>
      </c>
      <c r="L475" s="50">
        <f>CONVERT(PlanGrid[[#This Row],[kWh/yr]],"Wh","BTU")</f>
        <v>0</v>
      </c>
      <c r="M475" s="38">
        <f>PlanGrid[[#This Row],[kBtu/yr]]/'Schedule-Building Info'!$B$6</f>
        <v>0</v>
      </c>
      <c r="N475" t="s">
        <v>1090</v>
      </c>
      <c r="O475">
        <v>1</v>
      </c>
      <c r="P475" t="e">
        <f>VLOOKUP(PlanGrid[[#This Row],[Title]],'Spec Wattages'!$A$1:$C$973,3,FALSE)</f>
        <v>#N/A</v>
      </c>
      <c r="Q475" t="s">
        <v>923</v>
      </c>
      <c r="R475" t="s">
        <v>923</v>
      </c>
      <c r="S475" t="s">
        <v>51</v>
      </c>
    </row>
    <row r="476" spans="1:19" hidden="1" x14ac:dyDescent="0.25">
      <c r="A476">
        <v>637</v>
      </c>
      <c r="B476" t="s">
        <v>32</v>
      </c>
      <c r="C476" t="s">
        <v>521</v>
      </c>
      <c r="D476" t="s">
        <v>527</v>
      </c>
      <c r="E476" s="50"/>
      <c r="F476" s="38"/>
      <c r="G476" s="38"/>
      <c r="H476" s="58">
        <f>PlanGrid[[#This Row],[Spec Wattage]]*PlanGrid[[#This Row],[Equipment Count]]</f>
        <v>0</v>
      </c>
      <c r="I476" s="50">
        <f>((PlanGrid[[#This Row],[Demand Watt]]*PlanGrid[[#This Row],[Utilization %]]*'Schedule-Building Info'!$N$16)/1000)</f>
        <v>0</v>
      </c>
      <c r="J476" s="50">
        <f>PlanGrid[[#This Row],[kWh/yr]]*' Elec Utility (kWh)'!$M$7</f>
        <v>0</v>
      </c>
      <c r="K476" s="38">
        <f>PlanGrid[[#This Row],[kWh/yr]]/'Schedule-Building Info'!$B$6</f>
        <v>0</v>
      </c>
      <c r="L476" s="50">
        <f>CONVERT(PlanGrid[[#This Row],[kWh/yr]],"Wh","BTU")</f>
        <v>0</v>
      </c>
      <c r="M476" s="38">
        <f>PlanGrid[[#This Row],[kBtu/yr]]/'Schedule-Building Info'!$B$6</f>
        <v>0</v>
      </c>
      <c r="N476" t="s">
        <v>1090</v>
      </c>
      <c r="O476">
        <v>0</v>
      </c>
      <c r="P476" t="e">
        <f>VLOOKUP(PlanGrid[[#This Row],[Title]],'Spec Wattages'!$A$1:$C$973,3,FALSE)</f>
        <v>#N/A</v>
      </c>
      <c r="Q476" t="s">
        <v>925</v>
      </c>
      <c r="R476" t="s">
        <v>925</v>
      </c>
      <c r="S476" t="s">
        <v>51</v>
      </c>
    </row>
    <row r="477" spans="1:19" hidden="1" x14ac:dyDescent="0.25">
      <c r="A477">
        <v>638</v>
      </c>
      <c r="B477" t="s">
        <v>32</v>
      </c>
      <c r="C477" t="s">
        <v>521</v>
      </c>
      <c r="D477" t="s">
        <v>528</v>
      </c>
      <c r="E477" s="50"/>
      <c r="F477" s="38"/>
      <c r="G477" s="38"/>
      <c r="H477" s="58">
        <f>PlanGrid[[#This Row],[Spec Wattage]]*PlanGrid[[#This Row],[Equipment Count]]</f>
        <v>0</v>
      </c>
      <c r="I477" s="50">
        <f>((PlanGrid[[#This Row],[Demand Watt]]*PlanGrid[[#This Row],[Utilization %]]*'Schedule-Building Info'!$N$16)/1000)</f>
        <v>0</v>
      </c>
      <c r="J477" s="50">
        <f>PlanGrid[[#This Row],[kWh/yr]]*' Elec Utility (kWh)'!$M$7</f>
        <v>0</v>
      </c>
      <c r="K477" s="38">
        <f>PlanGrid[[#This Row],[kWh/yr]]/'Schedule-Building Info'!$B$6</f>
        <v>0</v>
      </c>
      <c r="L477" s="50">
        <f>CONVERT(PlanGrid[[#This Row],[kWh/yr]],"Wh","BTU")</f>
        <v>0</v>
      </c>
      <c r="M477" s="38">
        <f>PlanGrid[[#This Row],[kBtu/yr]]/'Schedule-Building Info'!$B$6</f>
        <v>0</v>
      </c>
      <c r="N477" t="s">
        <v>1090</v>
      </c>
      <c r="O477">
        <v>0</v>
      </c>
      <c r="P477" t="e">
        <f>VLOOKUP(PlanGrid[[#This Row],[Title]],'Spec Wattages'!$A$1:$C$973,3,FALSE)</f>
        <v>#N/A</v>
      </c>
      <c r="Q477" t="s">
        <v>925</v>
      </c>
      <c r="R477" t="s">
        <v>712</v>
      </c>
      <c r="S477" t="s">
        <v>51</v>
      </c>
    </row>
    <row r="478" spans="1:19" hidden="1" x14ac:dyDescent="0.25">
      <c r="A478">
        <v>641</v>
      </c>
      <c r="B478" t="s">
        <v>32</v>
      </c>
      <c r="C478" t="s">
        <v>521</v>
      </c>
      <c r="D478" t="s">
        <v>525</v>
      </c>
      <c r="E478" s="50"/>
      <c r="F478" s="38"/>
      <c r="G478" s="38"/>
      <c r="H478" s="58">
        <f>PlanGrid[[#This Row],[Spec Wattage]]*PlanGrid[[#This Row],[Equipment Count]]</f>
        <v>0</v>
      </c>
      <c r="I478" s="50">
        <f>((PlanGrid[[#This Row],[Demand Watt]]*PlanGrid[[#This Row],[Utilization %]]*'Schedule-Building Info'!$N$16)/1000)</f>
        <v>0</v>
      </c>
      <c r="J478" s="50">
        <f>PlanGrid[[#This Row],[kWh/yr]]*' Elec Utility (kWh)'!$M$7</f>
        <v>0</v>
      </c>
      <c r="K478" s="38">
        <f>PlanGrid[[#This Row],[kWh/yr]]/'Schedule-Building Info'!$B$6</f>
        <v>0</v>
      </c>
      <c r="L478" s="50">
        <f>CONVERT(PlanGrid[[#This Row],[kWh/yr]],"Wh","BTU")</f>
        <v>0</v>
      </c>
      <c r="M478" s="38">
        <f>PlanGrid[[#This Row],[kBtu/yr]]/'Schedule-Building Info'!$B$6</f>
        <v>0</v>
      </c>
      <c r="N478" t="s">
        <v>1090</v>
      </c>
      <c r="O478">
        <v>0</v>
      </c>
      <c r="P478" t="e">
        <f>VLOOKUP(PlanGrid[[#This Row],[Title]],'Spec Wattages'!$A$1:$C$973,3,FALSE)</f>
        <v>#N/A</v>
      </c>
      <c r="Q478" t="s">
        <v>714</v>
      </c>
      <c r="R478" t="s">
        <v>1060</v>
      </c>
      <c r="S478" t="s">
        <v>11</v>
      </c>
    </row>
    <row r="479" spans="1:19" hidden="1" x14ac:dyDescent="0.25">
      <c r="A479">
        <v>644</v>
      </c>
      <c r="B479" t="s">
        <v>32</v>
      </c>
      <c r="C479" t="s">
        <v>521</v>
      </c>
      <c r="D479" t="s">
        <v>367</v>
      </c>
      <c r="E479" s="50"/>
      <c r="F479" s="38"/>
      <c r="G479" s="38"/>
      <c r="H479" s="58">
        <f>PlanGrid[[#This Row],[Spec Wattage]]*PlanGrid[[#This Row],[Equipment Count]]</f>
        <v>0</v>
      </c>
      <c r="I479" s="50">
        <f>((PlanGrid[[#This Row],[Demand Watt]]*PlanGrid[[#This Row],[Utilization %]]*'Schedule-Building Info'!$N$16)/1000)</f>
        <v>0</v>
      </c>
      <c r="J479" s="50">
        <f>PlanGrid[[#This Row],[kWh/yr]]*' Elec Utility (kWh)'!$M$7</f>
        <v>0</v>
      </c>
      <c r="K479" s="38">
        <f>PlanGrid[[#This Row],[kWh/yr]]/'Schedule-Building Info'!$B$6</f>
        <v>0</v>
      </c>
      <c r="L479" s="50">
        <f>CONVERT(PlanGrid[[#This Row],[kWh/yr]],"Wh","BTU")</f>
        <v>0</v>
      </c>
      <c r="M479" s="38">
        <f>PlanGrid[[#This Row],[kBtu/yr]]/'Schedule-Building Info'!$B$6</f>
        <v>0</v>
      </c>
      <c r="N479" t="s">
        <v>1090</v>
      </c>
      <c r="O479">
        <v>0</v>
      </c>
      <c r="P479" t="e">
        <f>VLOOKUP(PlanGrid[[#This Row],[Title]],'Spec Wattages'!$A$1:$C$973,3,FALSE)</f>
        <v>#N/A</v>
      </c>
      <c r="Q479" t="s">
        <v>715</v>
      </c>
      <c r="R479" t="s">
        <v>715</v>
      </c>
      <c r="S479" t="s">
        <v>51</v>
      </c>
    </row>
    <row r="480" spans="1:19" hidden="1" x14ac:dyDescent="0.25">
      <c r="A480">
        <v>649</v>
      </c>
      <c r="B480" t="s">
        <v>32</v>
      </c>
      <c r="C480" t="s">
        <v>521</v>
      </c>
      <c r="D480" t="s">
        <v>529</v>
      </c>
      <c r="E480" s="50"/>
      <c r="F480" s="38"/>
      <c r="G480" s="38"/>
      <c r="H480" s="58">
        <f>PlanGrid[[#This Row],[Spec Wattage]]*PlanGrid[[#This Row],[Equipment Count]]</f>
        <v>0</v>
      </c>
      <c r="I480" s="50">
        <f>((PlanGrid[[#This Row],[Demand Watt]]*PlanGrid[[#This Row],[Utilization %]]*'Schedule-Building Info'!$N$16)/1000)</f>
        <v>0</v>
      </c>
      <c r="J480" s="50">
        <f>PlanGrid[[#This Row],[kWh/yr]]*' Elec Utility (kWh)'!$M$7</f>
        <v>0</v>
      </c>
      <c r="K480" s="38">
        <f>PlanGrid[[#This Row],[kWh/yr]]/'Schedule-Building Info'!$B$6</f>
        <v>0</v>
      </c>
      <c r="L480" s="50">
        <f>CONVERT(PlanGrid[[#This Row],[kWh/yr]],"Wh","BTU")</f>
        <v>0</v>
      </c>
      <c r="M480" s="38">
        <f>PlanGrid[[#This Row],[kBtu/yr]]/'Schedule-Building Info'!$B$6</f>
        <v>0</v>
      </c>
      <c r="N480" t="s">
        <v>1090</v>
      </c>
      <c r="O480">
        <v>0</v>
      </c>
      <c r="P480" t="e">
        <f>VLOOKUP(PlanGrid[[#This Row],[Title]],'Spec Wattages'!$A$1:$C$973,3,FALSE)</f>
        <v>#N/A</v>
      </c>
      <c r="Q480" t="s">
        <v>926</v>
      </c>
      <c r="R480" t="s">
        <v>1061</v>
      </c>
      <c r="S480" t="s">
        <v>11</v>
      </c>
    </row>
    <row r="481" spans="1:19" hidden="1" x14ac:dyDescent="0.25">
      <c r="A481">
        <v>654</v>
      </c>
      <c r="B481" t="s">
        <v>32</v>
      </c>
      <c r="C481" t="s">
        <v>521</v>
      </c>
      <c r="D481" t="s">
        <v>530</v>
      </c>
      <c r="E481" s="50"/>
      <c r="F481" s="38"/>
      <c r="G481" s="38"/>
      <c r="H481" s="58">
        <f>PlanGrid[[#This Row],[Spec Wattage]]*PlanGrid[[#This Row],[Equipment Count]]</f>
        <v>0</v>
      </c>
      <c r="I481" s="50">
        <f>((PlanGrid[[#This Row],[Demand Watt]]*PlanGrid[[#This Row],[Utilization %]]*'Schedule-Building Info'!$N$16)/1000)</f>
        <v>0</v>
      </c>
      <c r="J481" s="50">
        <f>PlanGrid[[#This Row],[kWh/yr]]*' Elec Utility (kWh)'!$M$7</f>
        <v>0</v>
      </c>
      <c r="K481" s="38">
        <f>PlanGrid[[#This Row],[kWh/yr]]/'Schedule-Building Info'!$B$6</f>
        <v>0</v>
      </c>
      <c r="L481" s="50">
        <f>CONVERT(PlanGrid[[#This Row],[kWh/yr]],"Wh","BTU")</f>
        <v>0</v>
      </c>
      <c r="M481" s="38">
        <f>PlanGrid[[#This Row],[kBtu/yr]]/'Schedule-Building Info'!$B$6</f>
        <v>0</v>
      </c>
      <c r="N481" t="s">
        <v>1090</v>
      </c>
      <c r="O481">
        <v>0</v>
      </c>
      <c r="P481" t="e">
        <f>VLOOKUP(PlanGrid[[#This Row],[Title]],'Spec Wattages'!$A$1:$C$973,3,FALSE)</f>
        <v>#N/A</v>
      </c>
      <c r="Q481" t="s">
        <v>718</v>
      </c>
      <c r="R481" t="s">
        <v>718</v>
      </c>
      <c r="S481" t="s">
        <v>51</v>
      </c>
    </row>
    <row r="482" spans="1:19" hidden="1" x14ac:dyDescent="0.25">
      <c r="A482">
        <v>660</v>
      </c>
      <c r="B482" t="s">
        <v>32</v>
      </c>
      <c r="C482" t="s">
        <v>521</v>
      </c>
      <c r="D482" t="s">
        <v>531</v>
      </c>
      <c r="E482" s="50"/>
      <c r="F482" s="38"/>
      <c r="G482" s="38"/>
      <c r="H482" s="58">
        <f>PlanGrid[[#This Row],[Spec Wattage]]*PlanGrid[[#This Row],[Equipment Count]]</f>
        <v>0</v>
      </c>
      <c r="I482" s="50">
        <f>((PlanGrid[[#This Row],[Demand Watt]]*PlanGrid[[#This Row],[Utilization %]]*'Schedule-Building Info'!$N$16)/1000)</f>
        <v>0</v>
      </c>
      <c r="J482" s="50">
        <f>PlanGrid[[#This Row],[kWh/yr]]*' Elec Utility (kWh)'!$M$7</f>
        <v>0</v>
      </c>
      <c r="K482" s="38">
        <f>PlanGrid[[#This Row],[kWh/yr]]/'Schedule-Building Info'!$B$6</f>
        <v>0</v>
      </c>
      <c r="L482" s="50">
        <f>CONVERT(PlanGrid[[#This Row],[kWh/yr]],"Wh","BTU")</f>
        <v>0</v>
      </c>
      <c r="M482" s="38">
        <f>PlanGrid[[#This Row],[kBtu/yr]]/'Schedule-Building Info'!$B$6</f>
        <v>0</v>
      </c>
      <c r="N482" t="s">
        <v>1090</v>
      </c>
      <c r="O482">
        <v>0</v>
      </c>
      <c r="P482" t="e">
        <f>VLOOKUP(PlanGrid[[#This Row],[Title]],'Spec Wattages'!$A$1:$C$973,3,FALSE)</f>
        <v>#N/A</v>
      </c>
      <c r="Q482" t="s">
        <v>809</v>
      </c>
      <c r="R482" t="s">
        <v>810</v>
      </c>
      <c r="S482" t="s">
        <v>51</v>
      </c>
    </row>
    <row r="483" spans="1:19" hidden="1" x14ac:dyDescent="0.25">
      <c r="A483">
        <v>688</v>
      </c>
      <c r="B483" t="s">
        <v>32</v>
      </c>
      <c r="C483" t="s">
        <v>521</v>
      </c>
      <c r="D483" t="s">
        <v>522</v>
      </c>
      <c r="E483" s="50"/>
      <c r="F483" s="38"/>
      <c r="G483" s="38"/>
      <c r="H483" s="58">
        <f>PlanGrid[[#This Row],[Spec Wattage]]*PlanGrid[[#This Row],[Equipment Count]]</f>
        <v>0</v>
      </c>
      <c r="I483" s="50">
        <f>((PlanGrid[[#This Row],[Demand Watt]]*PlanGrid[[#This Row],[Utilization %]]*'Schedule-Building Info'!$N$16)/1000)</f>
        <v>0</v>
      </c>
      <c r="J483" s="50">
        <f>PlanGrid[[#This Row],[kWh/yr]]*' Elec Utility (kWh)'!$M$7</f>
        <v>0</v>
      </c>
      <c r="K483" s="38">
        <f>PlanGrid[[#This Row],[kWh/yr]]/'Schedule-Building Info'!$B$6</f>
        <v>0</v>
      </c>
      <c r="L483" s="50">
        <f>CONVERT(PlanGrid[[#This Row],[kWh/yr]],"Wh","BTU")</f>
        <v>0</v>
      </c>
      <c r="M483" s="38">
        <f>PlanGrid[[#This Row],[kBtu/yr]]/'Schedule-Building Info'!$B$6</f>
        <v>0</v>
      </c>
      <c r="N483" t="s">
        <v>1090</v>
      </c>
      <c r="O483">
        <v>0</v>
      </c>
      <c r="P483" t="e">
        <f>VLOOKUP(PlanGrid[[#This Row],[Title]],'Spec Wattages'!$A$1:$C$973,3,FALSE)</f>
        <v>#N/A</v>
      </c>
      <c r="Q483" t="s">
        <v>719</v>
      </c>
      <c r="R483" t="s">
        <v>719</v>
      </c>
      <c r="S483" t="s">
        <v>51</v>
      </c>
    </row>
    <row r="484" spans="1:19" hidden="1" x14ac:dyDescent="0.25">
      <c r="A484">
        <v>698</v>
      </c>
      <c r="B484" t="s">
        <v>32</v>
      </c>
      <c r="C484" t="s">
        <v>521</v>
      </c>
      <c r="D484" t="s">
        <v>425</v>
      </c>
      <c r="E484" s="50"/>
      <c r="F484" s="38"/>
      <c r="G484" s="38"/>
      <c r="H484" s="58">
        <f>PlanGrid[[#This Row],[Spec Wattage]]*PlanGrid[[#This Row],[Equipment Count]]</f>
        <v>0</v>
      </c>
      <c r="I484" s="50">
        <f>((PlanGrid[[#This Row],[Demand Watt]]*PlanGrid[[#This Row],[Utilization %]]*'Schedule-Building Info'!$N$16)/1000)</f>
        <v>0</v>
      </c>
      <c r="J484" s="50">
        <f>PlanGrid[[#This Row],[kWh/yr]]*' Elec Utility (kWh)'!$M$7</f>
        <v>0</v>
      </c>
      <c r="K484" s="38">
        <f>PlanGrid[[#This Row],[kWh/yr]]/'Schedule-Building Info'!$B$6</f>
        <v>0</v>
      </c>
      <c r="L484" s="50">
        <f>CONVERT(PlanGrid[[#This Row],[kWh/yr]],"Wh","BTU")</f>
        <v>0</v>
      </c>
      <c r="M484" s="38">
        <f>PlanGrid[[#This Row],[kBtu/yr]]/'Schedule-Building Info'!$B$6</f>
        <v>0</v>
      </c>
      <c r="N484" t="s">
        <v>1090</v>
      </c>
      <c r="O484">
        <v>0</v>
      </c>
      <c r="P484" t="e">
        <f>VLOOKUP(PlanGrid[[#This Row],[Title]],'Spec Wattages'!$A$1:$C$973,3,FALSE)</f>
        <v>#N/A</v>
      </c>
      <c r="Q484" t="s">
        <v>815</v>
      </c>
      <c r="R484" t="s">
        <v>815</v>
      </c>
      <c r="S484" t="s">
        <v>51</v>
      </c>
    </row>
    <row r="485" spans="1:19" hidden="1" x14ac:dyDescent="0.25">
      <c r="A485">
        <v>704</v>
      </c>
      <c r="B485" t="s">
        <v>32</v>
      </c>
      <c r="C485" t="s">
        <v>521</v>
      </c>
      <c r="D485" t="s">
        <v>522</v>
      </c>
      <c r="E485" s="50"/>
      <c r="F485" s="38"/>
      <c r="G485" s="38"/>
      <c r="H485" s="58">
        <f>PlanGrid[[#This Row],[Spec Wattage]]*PlanGrid[[#This Row],[Equipment Count]]</f>
        <v>0</v>
      </c>
      <c r="I485" s="50">
        <f>((PlanGrid[[#This Row],[Demand Watt]]*PlanGrid[[#This Row],[Utilization %]]*'Schedule-Building Info'!$N$16)/1000)</f>
        <v>0</v>
      </c>
      <c r="J485" s="50">
        <f>PlanGrid[[#This Row],[kWh/yr]]*' Elec Utility (kWh)'!$M$7</f>
        <v>0</v>
      </c>
      <c r="K485" s="38">
        <f>PlanGrid[[#This Row],[kWh/yr]]/'Schedule-Building Info'!$B$6</f>
        <v>0</v>
      </c>
      <c r="L485" s="50">
        <f>CONVERT(PlanGrid[[#This Row],[kWh/yr]],"Wh","BTU")</f>
        <v>0</v>
      </c>
      <c r="M485" s="38">
        <f>PlanGrid[[#This Row],[kBtu/yr]]/'Schedule-Building Info'!$B$6</f>
        <v>0</v>
      </c>
      <c r="N485" t="s">
        <v>1090</v>
      </c>
      <c r="O485">
        <v>0</v>
      </c>
      <c r="P485" t="e">
        <f>VLOOKUP(PlanGrid[[#This Row],[Title]],'Spec Wattages'!$A$1:$C$973,3,FALSE)</f>
        <v>#N/A</v>
      </c>
      <c r="Q485" t="s">
        <v>811</v>
      </c>
      <c r="R485" t="s">
        <v>816</v>
      </c>
      <c r="S485" t="s">
        <v>51</v>
      </c>
    </row>
    <row r="486" spans="1:19" hidden="1" x14ac:dyDescent="0.25">
      <c r="A486">
        <v>721</v>
      </c>
      <c r="B486" t="s">
        <v>32</v>
      </c>
      <c r="C486" t="s">
        <v>521</v>
      </c>
      <c r="D486" t="s">
        <v>367</v>
      </c>
      <c r="E486" s="50"/>
      <c r="F486" s="38"/>
      <c r="G486" s="38"/>
      <c r="H486" s="58">
        <f>PlanGrid[[#This Row],[Spec Wattage]]*PlanGrid[[#This Row],[Equipment Count]]</f>
        <v>0</v>
      </c>
      <c r="I486" s="50">
        <f>((PlanGrid[[#This Row],[Demand Watt]]*PlanGrid[[#This Row],[Utilization %]]*'Schedule-Building Info'!$N$16)/1000)</f>
        <v>0</v>
      </c>
      <c r="J486" s="50">
        <f>PlanGrid[[#This Row],[kWh/yr]]*' Elec Utility (kWh)'!$M$7</f>
        <v>0</v>
      </c>
      <c r="K486" s="38">
        <f>PlanGrid[[#This Row],[kWh/yr]]/'Schedule-Building Info'!$B$6</f>
        <v>0</v>
      </c>
      <c r="L486" s="50">
        <f>CONVERT(PlanGrid[[#This Row],[kWh/yr]],"Wh","BTU")</f>
        <v>0</v>
      </c>
      <c r="M486" s="38">
        <f>PlanGrid[[#This Row],[kBtu/yr]]/'Schedule-Building Info'!$B$6</f>
        <v>0</v>
      </c>
      <c r="N486" t="s">
        <v>1090</v>
      </c>
      <c r="O486">
        <v>0</v>
      </c>
      <c r="P486" t="e">
        <f>VLOOKUP(PlanGrid[[#This Row],[Title]],'Spec Wattages'!$A$1:$C$973,3,FALSE)</f>
        <v>#N/A</v>
      </c>
      <c r="Q486" t="s">
        <v>927</v>
      </c>
      <c r="R486" t="s">
        <v>927</v>
      </c>
      <c r="S486" t="s">
        <v>51</v>
      </c>
    </row>
    <row r="487" spans="1:19" hidden="1" x14ac:dyDescent="0.25">
      <c r="A487">
        <v>724</v>
      </c>
      <c r="B487" t="s">
        <v>32</v>
      </c>
      <c r="C487" t="s">
        <v>521</v>
      </c>
      <c r="D487" t="s">
        <v>522</v>
      </c>
      <c r="E487" s="50"/>
      <c r="F487" s="38"/>
      <c r="G487" s="38"/>
      <c r="H487" s="58">
        <f>PlanGrid[[#This Row],[Spec Wattage]]*PlanGrid[[#This Row],[Equipment Count]]</f>
        <v>0</v>
      </c>
      <c r="I487" s="50">
        <f>((PlanGrid[[#This Row],[Demand Watt]]*PlanGrid[[#This Row],[Utilization %]]*'Schedule-Building Info'!$N$16)/1000)</f>
        <v>0</v>
      </c>
      <c r="J487" s="50">
        <f>PlanGrid[[#This Row],[kWh/yr]]*' Elec Utility (kWh)'!$M$7</f>
        <v>0</v>
      </c>
      <c r="K487" s="38">
        <f>PlanGrid[[#This Row],[kWh/yr]]/'Schedule-Building Info'!$B$6</f>
        <v>0</v>
      </c>
      <c r="L487" s="50">
        <f>CONVERT(PlanGrid[[#This Row],[kWh/yr]],"Wh","BTU")</f>
        <v>0</v>
      </c>
      <c r="M487" s="38">
        <f>PlanGrid[[#This Row],[kBtu/yr]]/'Schedule-Building Info'!$B$6</f>
        <v>0</v>
      </c>
      <c r="N487" t="s">
        <v>1090</v>
      </c>
      <c r="O487">
        <v>0</v>
      </c>
      <c r="P487" t="e">
        <f>VLOOKUP(PlanGrid[[#This Row],[Title]],'Spec Wattages'!$A$1:$C$973,3,FALSE)</f>
        <v>#N/A</v>
      </c>
      <c r="Q487" t="s">
        <v>819</v>
      </c>
      <c r="R487" t="s">
        <v>819</v>
      </c>
      <c r="S487" t="s">
        <v>51</v>
      </c>
    </row>
    <row r="488" spans="1:19" hidden="1" x14ac:dyDescent="0.25">
      <c r="A488">
        <v>731</v>
      </c>
      <c r="B488" t="s">
        <v>32</v>
      </c>
      <c r="C488" t="s">
        <v>521</v>
      </c>
      <c r="D488" t="s">
        <v>367</v>
      </c>
      <c r="E488" s="50"/>
      <c r="F488" s="38"/>
      <c r="G488" s="38"/>
      <c r="H488" s="58">
        <f>PlanGrid[[#This Row],[Spec Wattage]]*PlanGrid[[#This Row],[Equipment Count]]</f>
        <v>0</v>
      </c>
      <c r="I488" s="50">
        <f>((PlanGrid[[#This Row],[Demand Watt]]*PlanGrid[[#This Row],[Utilization %]]*'Schedule-Building Info'!$N$16)/1000)</f>
        <v>0</v>
      </c>
      <c r="J488" s="50">
        <f>PlanGrid[[#This Row],[kWh/yr]]*' Elec Utility (kWh)'!$M$7</f>
        <v>0</v>
      </c>
      <c r="K488" s="38">
        <f>PlanGrid[[#This Row],[kWh/yr]]/'Schedule-Building Info'!$B$6</f>
        <v>0</v>
      </c>
      <c r="L488" s="50">
        <f>CONVERT(PlanGrid[[#This Row],[kWh/yr]],"Wh","BTU")</f>
        <v>0</v>
      </c>
      <c r="M488" s="38">
        <f>PlanGrid[[#This Row],[kBtu/yr]]/'Schedule-Building Info'!$B$6</f>
        <v>0</v>
      </c>
      <c r="N488" t="s">
        <v>1090</v>
      </c>
      <c r="O488">
        <v>0</v>
      </c>
      <c r="P488" t="e">
        <f>VLOOKUP(PlanGrid[[#This Row],[Title]],'Spec Wattages'!$A$1:$C$973,3,FALSE)</f>
        <v>#N/A</v>
      </c>
      <c r="Q488" t="s">
        <v>723</v>
      </c>
      <c r="R488" t="s">
        <v>1063</v>
      </c>
      <c r="S488" t="s">
        <v>11</v>
      </c>
    </row>
    <row r="489" spans="1:19" hidden="1" x14ac:dyDescent="0.25">
      <c r="A489">
        <v>736</v>
      </c>
      <c r="B489" t="s">
        <v>32</v>
      </c>
      <c r="C489" t="s">
        <v>521</v>
      </c>
      <c r="D489" t="s">
        <v>532</v>
      </c>
      <c r="E489" s="50"/>
      <c r="F489" s="38"/>
      <c r="G489" s="38"/>
      <c r="H489" s="58">
        <f>PlanGrid[[#This Row],[Spec Wattage]]*PlanGrid[[#This Row],[Equipment Count]]</f>
        <v>0</v>
      </c>
      <c r="I489" s="50">
        <f>((PlanGrid[[#This Row],[Demand Watt]]*PlanGrid[[#This Row],[Utilization %]]*'Schedule-Building Info'!$N$16)/1000)</f>
        <v>0</v>
      </c>
      <c r="J489" s="50">
        <f>PlanGrid[[#This Row],[kWh/yr]]*' Elec Utility (kWh)'!$M$7</f>
        <v>0</v>
      </c>
      <c r="K489" s="38">
        <f>PlanGrid[[#This Row],[kWh/yr]]/'Schedule-Building Info'!$B$6</f>
        <v>0</v>
      </c>
      <c r="L489" s="50">
        <f>CONVERT(PlanGrid[[#This Row],[kWh/yr]],"Wh","BTU")</f>
        <v>0</v>
      </c>
      <c r="M489" s="38">
        <f>PlanGrid[[#This Row],[kBtu/yr]]/'Schedule-Building Info'!$B$6</f>
        <v>0</v>
      </c>
      <c r="N489" t="s">
        <v>1090</v>
      </c>
      <c r="O489">
        <v>1</v>
      </c>
      <c r="P489" t="e">
        <f>VLOOKUP(PlanGrid[[#This Row],[Title]],'Spec Wattages'!$A$1:$C$973,3,FALSE)</f>
        <v>#N/A</v>
      </c>
      <c r="Q489" t="s">
        <v>723</v>
      </c>
      <c r="R489" t="s">
        <v>862</v>
      </c>
      <c r="S489" t="s">
        <v>51</v>
      </c>
    </row>
    <row r="490" spans="1:19" hidden="1" x14ac:dyDescent="0.25">
      <c r="A490">
        <v>751</v>
      </c>
      <c r="B490" t="s">
        <v>32</v>
      </c>
      <c r="C490" t="s">
        <v>521</v>
      </c>
      <c r="D490" t="s">
        <v>34</v>
      </c>
      <c r="E490" s="50"/>
      <c r="F490" s="38"/>
      <c r="G490" s="38"/>
      <c r="H490" s="58">
        <f>PlanGrid[[#This Row],[Spec Wattage]]*PlanGrid[[#This Row],[Equipment Count]]</f>
        <v>0</v>
      </c>
      <c r="I490" s="50">
        <f>((PlanGrid[[#This Row],[Demand Watt]]*PlanGrid[[#This Row],[Utilization %]]*'Schedule-Building Info'!$N$16)/1000)</f>
        <v>0</v>
      </c>
      <c r="J490" s="50">
        <f>PlanGrid[[#This Row],[kWh/yr]]*' Elec Utility (kWh)'!$M$7</f>
        <v>0</v>
      </c>
      <c r="K490" s="38">
        <f>PlanGrid[[#This Row],[kWh/yr]]/'Schedule-Building Info'!$B$6</f>
        <v>0</v>
      </c>
      <c r="L490" s="50">
        <f>CONVERT(PlanGrid[[#This Row],[kWh/yr]],"Wh","BTU")</f>
        <v>0</v>
      </c>
      <c r="M490" s="38">
        <f>PlanGrid[[#This Row],[kBtu/yr]]/'Schedule-Building Info'!$B$6</f>
        <v>0</v>
      </c>
      <c r="N490" t="s">
        <v>1090</v>
      </c>
      <c r="O490">
        <v>0</v>
      </c>
      <c r="P490" t="e">
        <f>VLOOKUP(PlanGrid[[#This Row],[Title]],'Spec Wattages'!$A$1:$C$973,3,FALSE)</f>
        <v>#N/A</v>
      </c>
      <c r="Q490" t="s">
        <v>779</v>
      </c>
      <c r="R490" t="s">
        <v>1064</v>
      </c>
      <c r="S490" t="s">
        <v>11</v>
      </c>
    </row>
    <row r="491" spans="1:19" hidden="1" x14ac:dyDescent="0.25">
      <c r="A491">
        <v>754</v>
      </c>
      <c r="B491" t="s">
        <v>32</v>
      </c>
      <c r="C491" t="s">
        <v>521</v>
      </c>
      <c r="D491" t="s">
        <v>522</v>
      </c>
      <c r="E491" s="50"/>
      <c r="F491" s="38"/>
      <c r="G491" s="38"/>
      <c r="H491" s="58">
        <f>PlanGrid[[#This Row],[Spec Wattage]]*PlanGrid[[#This Row],[Equipment Count]]</f>
        <v>0</v>
      </c>
      <c r="I491" s="50">
        <f>((PlanGrid[[#This Row],[Demand Watt]]*PlanGrid[[#This Row],[Utilization %]]*'Schedule-Building Info'!$N$16)/1000)</f>
        <v>0</v>
      </c>
      <c r="J491" s="50">
        <f>PlanGrid[[#This Row],[kWh/yr]]*' Elec Utility (kWh)'!$M$7</f>
        <v>0</v>
      </c>
      <c r="K491" s="38">
        <f>PlanGrid[[#This Row],[kWh/yr]]/'Schedule-Building Info'!$B$6</f>
        <v>0</v>
      </c>
      <c r="L491" s="50">
        <f>CONVERT(PlanGrid[[#This Row],[kWh/yr]],"Wh","BTU")</f>
        <v>0</v>
      </c>
      <c r="M491" s="38">
        <f>PlanGrid[[#This Row],[kBtu/yr]]/'Schedule-Building Info'!$B$6</f>
        <v>0</v>
      </c>
      <c r="N491" t="s">
        <v>1090</v>
      </c>
      <c r="O491">
        <v>0</v>
      </c>
      <c r="P491" t="e">
        <f>VLOOKUP(PlanGrid[[#This Row],[Title]],'Spec Wattages'!$A$1:$C$973,3,FALSE)</f>
        <v>#N/A</v>
      </c>
      <c r="Q491" t="s">
        <v>826</v>
      </c>
      <c r="R491" t="s">
        <v>726</v>
      </c>
      <c r="S491" t="s">
        <v>51</v>
      </c>
    </row>
    <row r="492" spans="1:19" hidden="1" x14ac:dyDescent="0.25">
      <c r="A492">
        <v>795</v>
      </c>
      <c r="B492" t="s">
        <v>32</v>
      </c>
      <c r="C492" t="s">
        <v>521</v>
      </c>
      <c r="D492" t="s">
        <v>524</v>
      </c>
      <c r="E492" s="50"/>
      <c r="F492" s="38"/>
      <c r="G492" s="38"/>
      <c r="H492" s="58">
        <f>PlanGrid[[#This Row],[Spec Wattage]]*PlanGrid[[#This Row],[Equipment Count]]</f>
        <v>0</v>
      </c>
      <c r="I492" s="50">
        <f>((PlanGrid[[#This Row],[Demand Watt]]*PlanGrid[[#This Row],[Utilization %]]*'Schedule-Building Info'!$N$16)/1000)</f>
        <v>0</v>
      </c>
      <c r="J492" s="50">
        <f>PlanGrid[[#This Row],[kWh/yr]]*' Elec Utility (kWh)'!$M$7</f>
        <v>0</v>
      </c>
      <c r="K492" s="38">
        <f>PlanGrid[[#This Row],[kWh/yr]]/'Schedule-Building Info'!$B$6</f>
        <v>0</v>
      </c>
      <c r="L492" s="50">
        <f>CONVERT(PlanGrid[[#This Row],[kWh/yr]],"Wh","BTU")</f>
        <v>0</v>
      </c>
      <c r="M492" s="38">
        <f>PlanGrid[[#This Row],[kBtu/yr]]/'Schedule-Building Info'!$B$6</f>
        <v>0</v>
      </c>
      <c r="N492" t="s">
        <v>1090</v>
      </c>
      <c r="O492">
        <v>0</v>
      </c>
      <c r="P492" t="e">
        <f>VLOOKUP(PlanGrid[[#This Row],[Title]],'Spec Wattages'!$A$1:$C$973,3,FALSE)</f>
        <v>#N/A</v>
      </c>
      <c r="Q492" t="s">
        <v>729</v>
      </c>
      <c r="R492" t="s">
        <v>828</v>
      </c>
      <c r="S492" t="s">
        <v>11</v>
      </c>
    </row>
    <row r="493" spans="1:19" hidden="1" x14ac:dyDescent="0.25">
      <c r="A493">
        <v>801</v>
      </c>
      <c r="B493" t="s">
        <v>32</v>
      </c>
      <c r="C493" t="s">
        <v>521</v>
      </c>
      <c r="D493" t="s">
        <v>522</v>
      </c>
      <c r="E493" s="50"/>
      <c r="F493" s="38"/>
      <c r="G493" s="38"/>
      <c r="H493" s="58">
        <f>PlanGrid[[#This Row],[Spec Wattage]]*PlanGrid[[#This Row],[Equipment Count]]</f>
        <v>0</v>
      </c>
      <c r="I493" s="50">
        <f>((PlanGrid[[#This Row],[Demand Watt]]*PlanGrid[[#This Row],[Utilization %]]*'Schedule-Building Info'!$N$16)/1000)</f>
        <v>0</v>
      </c>
      <c r="J493" s="50">
        <f>PlanGrid[[#This Row],[kWh/yr]]*' Elec Utility (kWh)'!$M$7</f>
        <v>0</v>
      </c>
      <c r="K493" s="38">
        <f>PlanGrid[[#This Row],[kWh/yr]]/'Schedule-Building Info'!$B$6</f>
        <v>0</v>
      </c>
      <c r="L493" s="50">
        <f>CONVERT(PlanGrid[[#This Row],[kWh/yr]],"Wh","BTU")</f>
        <v>0</v>
      </c>
      <c r="M493" s="38">
        <f>PlanGrid[[#This Row],[kBtu/yr]]/'Schedule-Building Info'!$B$6</f>
        <v>0</v>
      </c>
      <c r="N493" t="s">
        <v>1090</v>
      </c>
      <c r="O493">
        <v>0</v>
      </c>
      <c r="P493" t="e">
        <f>VLOOKUP(PlanGrid[[#This Row],[Title]],'Spec Wattages'!$A$1:$C$973,3,FALSE)</f>
        <v>#N/A</v>
      </c>
      <c r="Q493" t="s">
        <v>896</v>
      </c>
      <c r="R493" t="s">
        <v>828</v>
      </c>
      <c r="S493" t="s">
        <v>51</v>
      </c>
    </row>
    <row r="494" spans="1:19" hidden="1" x14ac:dyDescent="0.25">
      <c r="A494">
        <v>838</v>
      </c>
      <c r="B494" t="s">
        <v>32</v>
      </c>
      <c r="C494" t="s">
        <v>521</v>
      </c>
      <c r="D494" t="s">
        <v>522</v>
      </c>
      <c r="E494" s="50"/>
      <c r="F494" s="38"/>
      <c r="G494" s="38"/>
      <c r="H494" s="58">
        <f>PlanGrid[[#This Row],[Spec Wattage]]*PlanGrid[[#This Row],[Equipment Count]]</f>
        <v>0</v>
      </c>
      <c r="I494" s="50">
        <f>((PlanGrid[[#This Row],[Demand Watt]]*PlanGrid[[#This Row],[Utilization %]]*'Schedule-Building Info'!$N$16)/1000)</f>
        <v>0</v>
      </c>
      <c r="J494" s="50">
        <f>PlanGrid[[#This Row],[kWh/yr]]*' Elec Utility (kWh)'!$M$7</f>
        <v>0</v>
      </c>
      <c r="K494" s="38">
        <f>PlanGrid[[#This Row],[kWh/yr]]/'Schedule-Building Info'!$B$6</f>
        <v>0</v>
      </c>
      <c r="L494" s="50">
        <f>CONVERT(PlanGrid[[#This Row],[kWh/yr]],"Wh","BTU")</f>
        <v>0</v>
      </c>
      <c r="M494" s="38">
        <f>PlanGrid[[#This Row],[kBtu/yr]]/'Schedule-Building Info'!$B$6</f>
        <v>0</v>
      </c>
      <c r="N494" t="s">
        <v>1090</v>
      </c>
      <c r="O494">
        <v>0</v>
      </c>
      <c r="P494" t="e">
        <f>VLOOKUP(PlanGrid[[#This Row],[Title]],'Spec Wattages'!$A$1:$C$973,3,FALSE)</f>
        <v>#N/A</v>
      </c>
      <c r="Q494" t="s">
        <v>835</v>
      </c>
      <c r="R494" t="s">
        <v>835</v>
      </c>
      <c r="S494" t="s">
        <v>51</v>
      </c>
    </row>
    <row r="495" spans="1:19" hidden="1" x14ac:dyDescent="0.25">
      <c r="A495">
        <v>852</v>
      </c>
      <c r="B495" t="s">
        <v>32</v>
      </c>
      <c r="C495" t="s">
        <v>521</v>
      </c>
      <c r="D495" t="s">
        <v>522</v>
      </c>
      <c r="E495" s="50"/>
      <c r="F495" s="38"/>
      <c r="G495" s="38"/>
      <c r="H495" s="58">
        <f>PlanGrid[[#This Row],[Spec Wattage]]*PlanGrid[[#This Row],[Equipment Count]]</f>
        <v>0</v>
      </c>
      <c r="I495" s="50">
        <f>((PlanGrid[[#This Row],[Demand Watt]]*PlanGrid[[#This Row],[Utilization %]]*'Schedule-Building Info'!$N$16)/1000)</f>
        <v>0</v>
      </c>
      <c r="J495" s="50">
        <f>PlanGrid[[#This Row],[kWh/yr]]*' Elec Utility (kWh)'!$M$7</f>
        <v>0</v>
      </c>
      <c r="K495" s="38">
        <f>PlanGrid[[#This Row],[kWh/yr]]/'Schedule-Building Info'!$B$6</f>
        <v>0</v>
      </c>
      <c r="L495" s="50">
        <f>CONVERT(PlanGrid[[#This Row],[kWh/yr]],"Wh","BTU")</f>
        <v>0</v>
      </c>
      <c r="M495" s="38">
        <f>PlanGrid[[#This Row],[kBtu/yr]]/'Schedule-Building Info'!$B$6</f>
        <v>0</v>
      </c>
      <c r="N495" t="s">
        <v>1090</v>
      </c>
      <c r="O495">
        <v>0</v>
      </c>
      <c r="P495" t="e">
        <f>VLOOKUP(PlanGrid[[#This Row],[Title]],'Spec Wattages'!$A$1:$C$973,3,FALSE)</f>
        <v>#N/A</v>
      </c>
      <c r="Q495" t="s">
        <v>832</v>
      </c>
      <c r="R495" t="s">
        <v>832</v>
      </c>
      <c r="S495" t="s">
        <v>51</v>
      </c>
    </row>
    <row r="496" spans="1:19" hidden="1" x14ac:dyDescent="0.25">
      <c r="A496">
        <v>871</v>
      </c>
      <c r="B496" t="s">
        <v>32</v>
      </c>
      <c r="C496" t="s">
        <v>521</v>
      </c>
      <c r="D496" t="s">
        <v>522</v>
      </c>
      <c r="E496" s="50"/>
      <c r="F496" s="38"/>
      <c r="G496" s="38"/>
      <c r="H496" s="58">
        <f>PlanGrid[[#This Row],[Spec Wattage]]*PlanGrid[[#This Row],[Equipment Count]]</f>
        <v>0</v>
      </c>
      <c r="I496" s="50">
        <f>((PlanGrid[[#This Row],[Demand Watt]]*PlanGrid[[#This Row],[Utilization %]]*'Schedule-Building Info'!$N$16)/1000)</f>
        <v>0</v>
      </c>
      <c r="J496" s="50">
        <f>PlanGrid[[#This Row],[kWh/yr]]*' Elec Utility (kWh)'!$M$7</f>
        <v>0</v>
      </c>
      <c r="K496" s="38">
        <f>PlanGrid[[#This Row],[kWh/yr]]/'Schedule-Building Info'!$B$6</f>
        <v>0</v>
      </c>
      <c r="L496" s="50">
        <f>CONVERT(PlanGrid[[#This Row],[kWh/yr]],"Wh","BTU")</f>
        <v>0</v>
      </c>
      <c r="M496" s="38">
        <f>PlanGrid[[#This Row],[kBtu/yr]]/'Schedule-Building Info'!$B$6</f>
        <v>0</v>
      </c>
      <c r="N496" t="s">
        <v>1090</v>
      </c>
      <c r="O496">
        <v>0</v>
      </c>
      <c r="P496" t="e">
        <f>VLOOKUP(PlanGrid[[#This Row],[Title]],'Spec Wattages'!$A$1:$C$973,3,FALSE)</f>
        <v>#N/A</v>
      </c>
      <c r="Q496" t="s">
        <v>732</v>
      </c>
      <c r="R496" t="s">
        <v>838</v>
      </c>
      <c r="S496" t="s">
        <v>51</v>
      </c>
    </row>
    <row r="497" spans="1:19" hidden="1" x14ac:dyDescent="0.25">
      <c r="A497">
        <v>7</v>
      </c>
      <c r="B497" t="s">
        <v>32</v>
      </c>
      <c r="C497" t="s">
        <v>521</v>
      </c>
      <c r="D497" t="s">
        <v>536</v>
      </c>
      <c r="E497" s="50"/>
      <c r="F497" s="38"/>
      <c r="G497" s="38"/>
      <c r="H497" s="58">
        <f>PlanGrid[[#This Row],[Spec Wattage]]*PlanGrid[[#This Row],[Equipment Count]]</f>
        <v>0</v>
      </c>
      <c r="I497" s="50">
        <f>((PlanGrid[[#This Row],[Demand Watt]]*PlanGrid[[#This Row],[Utilization %]]*'Schedule-Building Info'!$N$16)/1000)</f>
        <v>0</v>
      </c>
      <c r="J497" s="50">
        <f>PlanGrid[[#This Row],[kWh/yr]]*' Elec Utility (kWh)'!$M$7</f>
        <v>0</v>
      </c>
      <c r="K497" s="38">
        <f>PlanGrid[[#This Row],[kWh/yr]]/'Schedule-Building Info'!$B$6</f>
        <v>0</v>
      </c>
      <c r="L497" s="50">
        <f>CONVERT(PlanGrid[[#This Row],[kWh/yr]],"Wh","BTU")</f>
        <v>0</v>
      </c>
      <c r="M497" s="38">
        <f>PlanGrid[[#This Row],[kBtu/yr]]/'Schedule-Building Info'!$B$6</f>
        <v>0</v>
      </c>
      <c r="N497" t="s">
        <v>1091</v>
      </c>
      <c r="O497">
        <v>0</v>
      </c>
      <c r="P497" t="e">
        <f>VLOOKUP(PlanGrid[[#This Row],[Title]],'Spec Wattages'!$A$1:$C$973,3,FALSE)</f>
        <v>#N/A</v>
      </c>
      <c r="Q497" t="s">
        <v>930</v>
      </c>
      <c r="R497" t="s">
        <v>928</v>
      </c>
      <c r="S497" t="s">
        <v>51</v>
      </c>
    </row>
    <row r="498" spans="1:19" hidden="1" x14ac:dyDescent="0.25">
      <c r="A498">
        <v>27</v>
      </c>
      <c r="B498" t="s">
        <v>32</v>
      </c>
      <c r="C498" t="s">
        <v>521</v>
      </c>
      <c r="D498" t="s">
        <v>522</v>
      </c>
      <c r="E498" s="50"/>
      <c r="F498" s="38"/>
      <c r="G498" s="38"/>
      <c r="H498" s="58">
        <f>PlanGrid[[#This Row],[Spec Wattage]]*PlanGrid[[#This Row],[Equipment Count]]</f>
        <v>0</v>
      </c>
      <c r="I498" s="50">
        <f>((PlanGrid[[#This Row],[Demand Watt]]*PlanGrid[[#This Row],[Utilization %]]*'Schedule-Building Info'!$N$16)/1000)</f>
        <v>0</v>
      </c>
      <c r="J498" s="50">
        <f>PlanGrid[[#This Row],[kWh/yr]]*' Elec Utility (kWh)'!$M$7</f>
        <v>0</v>
      </c>
      <c r="K498" s="38">
        <f>PlanGrid[[#This Row],[kWh/yr]]/'Schedule-Building Info'!$B$6</f>
        <v>0</v>
      </c>
      <c r="L498" s="50">
        <f>CONVERT(PlanGrid[[#This Row],[kWh/yr]],"Wh","BTU")</f>
        <v>0</v>
      </c>
      <c r="M498" s="38">
        <f>PlanGrid[[#This Row],[kBtu/yr]]/'Schedule-Building Info'!$B$6</f>
        <v>0</v>
      </c>
      <c r="N498" t="s">
        <v>1092</v>
      </c>
      <c r="O498">
        <v>0</v>
      </c>
      <c r="P498" t="e">
        <f>VLOOKUP(PlanGrid[[#This Row],[Title]],'Spec Wattages'!$A$1:$C$973,3,FALSE)</f>
        <v>#N/A</v>
      </c>
      <c r="Q498" t="s">
        <v>841</v>
      </c>
      <c r="R498" t="s">
        <v>841</v>
      </c>
      <c r="S498" t="s">
        <v>51</v>
      </c>
    </row>
    <row r="499" spans="1:19" hidden="1" x14ac:dyDescent="0.25">
      <c r="A499">
        <v>28</v>
      </c>
      <c r="B499" t="s">
        <v>32</v>
      </c>
      <c r="C499" t="s">
        <v>521</v>
      </c>
      <c r="D499" t="s">
        <v>522</v>
      </c>
      <c r="E499" s="50"/>
      <c r="F499" s="38"/>
      <c r="G499" s="38"/>
      <c r="H499" s="58">
        <f>PlanGrid[[#This Row],[Spec Wattage]]*PlanGrid[[#This Row],[Equipment Count]]</f>
        <v>0</v>
      </c>
      <c r="I499" s="50">
        <f>((PlanGrid[[#This Row],[Demand Watt]]*PlanGrid[[#This Row],[Utilization %]]*'Schedule-Building Info'!$N$16)/1000)</f>
        <v>0</v>
      </c>
      <c r="J499" s="50">
        <f>PlanGrid[[#This Row],[kWh/yr]]*' Elec Utility (kWh)'!$M$7</f>
        <v>0</v>
      </c>
      <c r="K499" s="38">
        <f>PlanGrid[[#This Row],[kWh/yr]]/'Schedule-Building Info'!$B$6</f>
        <v>0</v>
      </c>
      <c r="L499" s="50">
        <f>CONVERT(PlanGrid[[#This Row],[kWh/yr]],"Wh","BTU")</f>
        <v>0</v>
      </c>
      <c r="M499" s="38">
        <f>PlanGrid[[#This Row],[kBtu/yr]]/'Schedule-Building Info'!$B$6</f>
        <v>0</v>
      </c>
      <c r="N499" t="s">
        <v>1092</v>
      </c>
      <c r="O499">
        <v>0</v>
      </c>
      <c r="P499" t="e">
        <f>VLOOKUP(PlanGrid[[#This Row],[Title]],'Spec Wattages'!$A$1:$C$973,3,FALSE)</f>
        <v>#N/A</v>
      </c>
      <c r="Q499" t="s">
        <v>841</v>
      </c>
      <c r="R499" t="s">
        <v>841</v>
      </c>
      <c r="S499" t="s">
        <v>51</v>
      </c>
    </row>
    <row r="500" spans="1:19" hidden="1" x14ac:dyDescent="0.25">
      <c r="A500">
        <v>30</v>
      </c>
      <c r="B500" t="s">
        <v>32</v>
      </c>
      <c r="C500" t="s">
        <v>521</v>
      </c>
      <c r="D500" t="s">
        <v>34</v>
      </c>
      <c r="E500" s="50"/>
      <c r="F500" s="38"/>
      <c r="G500" s="38"/>
      <c r="H500" s="58">
        <f>PlanGrid[[#This Row],[Spec Wattage]]*PlanGrid[[#This Row],[Equipment Count]]</f>
        <v>0</v>
      </c>
      <c r="I500" s="50">
        <f>((PlanGrid[[#This Row],[Demand Watt]]*PlanGrid[[#This Row],[Utilization %]]*'Schedule-Building Info'!$N$16)/1000)</f>
        <v>0</v>
      </c>
      <c r="J500" s="50">
        <f>PlanGrid[[#This Row],[kWh/yr]]*' Elec Utility (kWh)'!$M$7</f>
        <v>0</v>
      </c>
      <c r="K500" s="38">
        <f>PlanGrid[[#This Row],[kWh/yr]]/'Schedule-Building Info'!$B$6</f>
        <v>0</v>
      </c>
      <c r="L500" s="50">
        <f>CONVERT(PlanGrid[[#This Row],[kWh/yr]],"Wh","BTU")</f>
        <v>0</v>
      </c>
      <c r="M500" s="38">
        <f>PlanGrid[[#This Row],[kBtu/yr]]/'Schedule-Building Info'!$B$6</f>
        <v>0</v>
      </c>
      <c r="N500" t="s">
        <v>1092</v>
      </c>
      <c r="O500">
        <v>0</v>
      </c>
      <c r="P500" t="e">
        <f>VLOOKUP(PlanGrid[[#This Row],[Title]],'Spec Wattages'!$A$1:$C$973,3,FALSE)</f>
        <v>#N/A</v>
      </c>
      <c r="Q500" t="s">
        <v>842</v>
      </c>
      <c r="R500" t="s">
        <v>933</v>
      </c>
      <c r="S500" t="s">
        <v>11</v>
      </c>
    </row>
    <row r="501" spans="1:19" hidden="1" x14ac:dyDescent="0.25">
      <c r="A501">
        <v>36</v>
      </c>
      <c r="B501" t="s">
        <v>32</v>
      </c>
      <c r="C501" t="s">
        <v>521</v>
      </c>
      <c r="D501" t="s">
        <v>522</v>
      </c>
      <c r="E501" s="50"/>
      <c r="F501" s="38"/>
      <c r="G501" s="38"/>
      <c r="H501" s="58">
        <f>PlanGrid[[#This Row],[Spec Wattage]]*PlanGrid[[#This Row],[Equipment Count]]</f>
        <v>0</v>
      </c>
      <c r="I501" s="50">
        <f>((PlanGrid[[#This Row],[Demand Watt]]*PlanGrid[[#This Row],[Utilization %]]*'Schedule-Building Info'!$N$16)/1000)</f>
        <v>0</v>
      </c>
      <c r="J501" s="50">
        <f>PlanGrid[[#This Row],[kWh/yr]]*' Elec Utility (kWh)'!$M$7</f>
        <v>0</v>
      </c>
      <c r="K501" s="38">
        <f>PlanGrid[[#This Row],[kWh/yr]]/'Schedule-Building Info'!$B$6</f>
        <v>0</v>
      </c>
      <c r="L501" s="50">
        <f>CONVERT(PlanGrid[[#This Row],[kWh/yr]],"Wh","BTU")</f>
        <v>0</v>
      </c>
      <c r="M501" s="38">
        <f>PlanGrid[[#This Row],[kBtu/yr]]/'Schedule-Building Info'!$B$6</f>
        <v>0</v>
      </c>
      <c r="N501" t="s">
        <v>1092</v>
      </c>
      <c r="O501">
        <v>0</v>
      </c>
      <c r="P501" t="e">
        <f>VLOOKUP(PlanGrid[[#This Row],[Title]],'Spec Wattages'!$A$1:$C$973,3,FALSE)</f>
        <v>#N/A</v>
      </c>
      <c r="Q501" t="s">
        <v>742</v>
      </c>
      <c r="R501" t="s">
        <v>742</v>
      </c>
      <c r="S501" t="s">
        <v>51</v>
      </c>
    </row>
    <row r="502" spans="1:19" hidden="1" x14ac:dyDescent="0.25">
      <c r="A502">
        <v>49</v>
      </c>
      <c r="B502" t="s">
        <v>32</v>
      </c>
      <c r="C502" t="s">
        <v>521</v>
      </c>
      <c r="D502" t="s">
        <v>34</v>
      </c>
      <c r="E502" s="50"/>
      <c r="F502" s="38"/>
      <c r="G502" s="38"/>
      <c r="H502" s="58">
        <f>PlanGrid[[#This Row],[Spec Wattage]]*PlanGrid[[#This Row],[Equipment Count]]</f>
        <v>0</v>
      </c>
      <c r="I502" s="50">
        <f>((PlanGrid[[#This Row],[Demand Watt]]*PlanGrid[[#This Row],[Utilization %]]*'Schedule-Building Info'!$N$16)/1000)</f>
        <v>0</v>
      </c>
      <c r="J502" s="50">
        <f>PlanGrid[[#This Row],[kWh/yr]]*' Elec Utility (kWh)'!$M$7</f>
        <v>0</v>
      </c>
      <c r="K502" s="38">
        <f>PlanGrid[[#This Row],[kWh/yr]]/'Schedule-Building Info'!$B$6</f>
        <v>0</v>
      </c>
      <c r="L502" s="50">
        <f>CONVERT(PlanGrid[[#This Row],[kWh/yr]],"Wh","BTU")</f>
        <v>0</v>
      </c>
      <c r="M502" s="38">
        <f>PlanGrid[[#This Row],[kBtu/yr]]/'Schedule-Building Info'!$B$6</f>
        <v>0</v>
      </c>
      <c r="N502" t="s">
        <v>1092</v>
      </c>
      <c r="O502">
        <v>0</v>
      </c>
      <c r="P502" t="e">
        <f>VLOOKUP(PlanGrid[[#This Row],[Title]],'Spec Wattages'!$A$1:$C$973,3,FALSE)</f>
        <v>#N/A</v>
      </c>
      <c r="Q502" t="s">
        <v>744</v>
      </c>
      <c r="R502" t="s">
        <v>846</v>
      </c>
      <c r="S502" t="s">
        <v>11</v>
      </c>
    </row>
    <row r="503" spans="1:19" hidden="1" x14ac:dyDescent="0.25">
      <c r="A503">
        <v>50</v>
      </c>
      <c r="B503" t="s">
        <v>32</v>
      </c>
      <c r="C503" t="s">
        <v>521</v>
      </c>
      <c r="D503" t="s">
        <v>522</v>
      </c>
      <c r="E503" s="50"/>
      <c r="F503" s="38"/>
      <c r="G503" s="38"/>
      <c r="H503" s="58">
        <f>PlanGrid[[#This Row],[Spec Wattage]]*PlanGrid[[#This Row],[Equipment Count]]</f>
        <v>0</v>
      </c>
      <c r="I503" s="50">
        <f>((PlanGrid[[#This Row],[Demand Watt]]*PlanGrid[[#This Row],[Utilization %]]*'Schedule-Building Info'!$N$16)/1000)</f>
        <v>0</v>
      </c>
      <c r="J503" s="50">
        <f>PlanGrid[[#This Row],[kWh/yr]]*' Elec Utility (kWh)'!$M$7</f>
        <v>0</v>
      </c>
      <c r="K503" s="38">
        <f>PlanGrid[[#This Row],[kWh/yr]]/'Schedule-Building Info'!$B$6</f>
        <v>0</v>
      </c>
      <c r="L503" s="50">
        <f>CONVERT(PlanGrid[[#This Row],[kWh/yr]],"Wh","BTU")</f>
        <v>0</v>
      </c>
      <c r="M503" s="38">
        <f>PlanGrid[[#This Row],[kBtu/yr]]/'Schedule-Building Info'!$B$6</f>
        <v>0</v>
      </c>
      <c r="N503" t="s">
        <v>1092</v>
      </c>
      <c r="O503">
        <v>0</v>
      </c>
      <c r="P503" t="e">
        <f>VLOOKUP(PlanGrid[[#This Row],[Title]],'Spec Wattages'!$A$1:$C$973,3,FALSE)</f>
        <v>#N/A</v>
      </c>
      <c r="Q503" t="s">
        <v>846</v>
      </c>
      <c r="R503" t="s">
        <v>846</v>
      </c>
      <c r="S503" t="s">
        <v>51</v>
      </c>
    </row>
    <row r="504" spans="1:19" hidden="1" x14ac:dyDescent="0.25">
      <c r="A504">
        <v>52</v>
      </c>
      <c r="B504" t="s">
        <v>32</v>
      </c>
      <c r="C504" t="s">
        <v>521</v>
      </c>
      <c r="D504" t="s">
        <v>34</v>
      </c>
      <c r="E504" s="50"/>
      <c r="F504" s="38"/>
      <c r="G504" s="38"/>
      <c r="H504" s="58">
        <f>PlanGrid[[#This Row],[Spec Wattage]]*PlanGrid[[#This Row],[Equipment Count]]</f>
        <v>0</v>
      </c>
      <c r="I504" s="50">
        <f>((PlanGrid[[#This Row],[Demand Watt]]*PlanGrid[[#This Row],[Utilization %]]*'Schedule-Building Info'!$N$16)/1000)</f>
        <v>0</v>
      </c>
      <c r="J504" s="50">
        <f>PlanGrid[[#This Row],[kWh/yr]]*' Elec Utility (kWh)'!$M$7</f>
        <v>0</v>
      </c>
      <c r="K504" s="38">
        <f>PlanGrid[[#This Row],[kWh/yr]]/'Schedule-Building Info'!$B$6</f>
        <v>0</v>
      </c>
      <c r="L504" s="50">
        <f>CONVERT(PlanGrid[[#This Row],[kWh/yr]],"Wh","BTU")</f>
        <v>0</v>
      </c>
      <c r="M504" s="38">
        <f>PlanGrid[[#This Row],[kBtu/yr]]/'Schedule-Building Info'!$B$6</f>
        <v>0</v>
      </c>
      <c r="N504" t="s">
        <v>1092</v>
      </c>
      <c r="O504">
        <v>0</v>
      </c>
      <c r="P504" t="e">
        <f>VLOOKUP(PlanGrid[[#This Row],[Title]],'Spec Wattages'!$A$1:$C$973,3,FALSE)</f>
        <v>#N/A</v>
      </c>
      <c r="Q504" t="s">
        <v>847</v>
      </c>
      <c r="R504" t="s">
        <v>846</v>
      </c>
      <c r="S504" t="s">
        <v>11</v>
      </c>
    </row>
    <row r="505" spans="1:19" hidden="1" x14ac:dyDescent="0.25">
      <c r="A505">
        <v>59</v>
      </c>
      <c r="B505" t="s">
        <v>32</v>
      </c>
      <c r="C505" t="s">
        <v>521</v>
      </c>
      <c r="D505" t="s">
        <v>522</v>
      </c>
      <c r="E505" s="50"/>
      <c r="F505" s="38"/>
      <c r="G505" s="38"/>
      <c r="H505" s="58">
        <f>PlanGrid[[#This Row],[Spec Wattage]]*PlanGrid[[#This Row],[Equipment Count]]</f>
        <v>0</v>
      </c>
      <c r="I505" s="50">
        <f>((PlanGrid[[#This Row],[Demand Watt]]*PlanGrid[[#This Row],[Utilization %]]*'Schedule-Building Info'!$N$16)/1000)</f>
        <v>0</v>
      </c>
      <c r="J505" s="50">
        <f>PlanGrid[[#This Row],[kWh/yr]]*' Elec Utility (kWh)'!$M$7</f>
        <v>0</v>
      </c>
      <c r="K505" s="38">
        <f>PlanGrid[[#This Row],[kWh/yr]]/'Schedule-Building Info'!$B$6</f>
        <v>0</v>
      </c>
      <c r="L505" s="50">
        <f>CONVERT(PlanGrid[[#This Row],[kWh/yr]],"Wh","BTU")</f>
        <v>0</v>
      </c>
      <c r="M505" s="38">
        <f>PlanGrid[[#This Row],[kBtu/yr]]/'Schedule-Building Info'!$B$6</f>
        <v>0</v>
      </c>
      <c r="N505" t="s">
        <v>1092</v>
      </c>
      <c r="O505">
        <v>0</v>
      </c>
      <c r="P505" t="e">
        <f>VLOOKUP(PlanGrid[[#This Row],[Title]],'Spec Wattages'!$A$1:$C$973,3,FALSE)</f>
        <v>#N/A</v>
      </c>
      <c r="Q505" t="s">
        <v>744</v>
      </c>
      <c r="R505" t="s">
        <v>744</v>
      </c>
      <c r="S505" t="s">
        <v>51</v>
      </c>
    </row>
    <row r="506" spans="1:19" hidden="1" x14ac:dyDescent="0.25">
      <c r="A506">
        <v>66</v>
      </c>
      <c r="B506" t="s">
        <v>32</v>
      </c>
      <c r="C506" t="s">
        <v>521</v>
      </c>
      <c r="D506" t="s">
        <v>537</v>
      </c>
      <c r="E506" s="50"/>
      <c r="F506" s="38"/>
      <c r="G506" s="38"/>
      <c r="H506" s="58">
        <f>PlanGrid[[#This Row],[Spec Wattage]]*PlanGrid[[#This Row],[Equipment Count]]</f>
        <v>0</v>
      </c>
      <c r="I506" s="50">
        <f>((PlanGrid[[#This Row],[Demand Watt]]*PlanGrid[[#This Row],[Utilization %]]*'Schedule-Building Info'!$N$16)/1000)</f>
        <v>0</v>
      </c>
      <c r="J506" s="50">
        <f>PlanGrid[[#This Row],[kWh/yr]]*' Elec Utility (kWh)'!$M$7</f>
        <v>0</v>
      </c>
      <c r="K506" s="38">
        <f>PlanGrid[[#This Row],[kWh/yr]]/'Schedule-Building Info'!$B$6</f>
        <v>0</v>
      </c>
      <c r="L506" s="50">
        <f>CONVERT(PlanGrid[[#This Row],[kWh/yr]],"Wh","BTU")</f>
        <v>0</v>
      </c>
      <c r="M506" s="38">
        <f>PlanGrid[[#This Row],[kBtu/yr]]/'Schedule-Building Info'!$B$6</f>
        <v>0</v>
      </c>
      <c r="N506" t="s">
        <v>1092</v>
      </c>
      <c r="O506">
        <v>0</v>
      </c>
      <c r="P506" t="e">
        <f>VLOOKUP(PlanGrid[[#This Row],[Title]],'Spec Wattages'!$A$1:$C$973,3,FALSE)</f>
        <v>#N/A</v>
      </c>
      <c r="Q506" t="s">
        <v>932</v>
      </c>
      <c r="R506" t="s">
        <v>849</v>
      </c>
      <c r="S506" t="s">
        <v>51</v>
      </c>
    </row>
    <row r="507" spans="1:19" hidden="1" x14ac:dyDescent="0.25">
      <c r="A507">
        <v>73</v>
      </c>
      <c r="B507" t="s">
        <v>32</v>
      </c>
      <c r="C507" t="s">
        <v>521</v>
      </c>
      <c r="D507" t="s">
        <v>522</v>
      </c>
      <c r="E507" s="50"/>
      <c r="F507" s="38"/>
      <c r="G507" s="38"/>
      <c r="H507" s="58">
        <f>PlanGrid[[#This Row],[Spec Wattage]]*PlanGrid[[#This Row],[Equipment Count]]</f>
        <v>0</v>
      </c>
      <c r="I507" s="50">
        <f>((PlanGrid[[#This Row],[Demand Watt]]*PlanGrid[[#This Row],[Utilization %]]*'Schedule-Building Info'!$N$16)/1000)</f>
        <v>0</v>
      </c>
      <c r="J507" s="50">
        <f>PlanGrid[[#This Row],[kWh/yr]]*' Elec Utility (kWh)'!$M$7</f>
        <v>0</v>
      </c>
      <c r="K507" s="38">
        <f>PlanGrid[[#This Row],[kWh/yr]]/'Schedule-Building Info'!$B$6</f>
        <v>0</v>
      </c>
      <c r="L507" s="50">
        <f>CONVERT(PlanGrid[[#This Row],[kWh/yr]],"Wh","BTU")</f>
        <v>0</v>
      </c>
      <c r="M507" s="38">
        <f>PlanGrid[[#This Row],[kBtu/yr]]/'Schedule-Building Info'!$B$6</f>
        <v>0</v>
      </c>
      <c r="N507" t="s">
        <v>1092</v>
      </c>
      <c r="O507">
        <v>0</v>
      </c>
      <c r="P507" t="e">
        <f>VLOOKUP(PlanGrid[[#This Row],[Title]],'Spec Wattages'!$A$1:$C$973,3,FALSE)</f>
        <v>#N/A</v>
      </c>
      <c r="Q507" t="s">
        <v>850</v>
      </c>
      <c r="R507" t="s">
        <v>850</v>
      </c>
      <c r="S507" t="s">
        <v>51</v>
      </c>
    </row>
    <row r="508" spans="1:19" hidden="1" x14ac:dyDescent="0.25">
      <c r="A508">
        <v>84</v>
      </c>
      <c r="B508" t="s">
        <v>32</v>
      </c>
      <c r="C508" t="s">
        <v>521</v>
      </c>
      <c r="D508" t="s">
        <v>34</v>
      </c>
      <c r="E508" s="50"/>
      <c r="F508" s="38"/>
      <c r="G508" s="38"/>
      <c r="H508" s="58">
        <f>PlanGrid[[#This Row],[Spec Wattage]]*PlanGrid[[#This Row],[Equipment Count]]</f>
        <v>0</v>
      </c>
      <c r="I508" s="50">
        <f>((PlanGrid[[#This Row],[Demand Watt]]*PlanGrid[[#This Row],[Utilization %]]*'Schedule-Building Info'!$N$16)/1000)</f>
        <v>0</v>
      </c>
      <c r="J508" s="50">
        <f>PlanGrid[[#This Row],[kWh/yr]]*' Elec Utility (kWh)'!$M$7</f>
        <v>0</v>
      </c>
      <c r="K508" s="38">
        <f>PlanGrid[[#This Row],[kWh/yr]]/'Schedule-Building Info'!$B$6</f>
        <v>0</v>
      </c>
      <c r="L508" s="50">
        <f>CONVERT(PlanGrid[[#This Row],[kWh/yr]],"Wh","BTU")</f>
        <v>0</v>
      </c>
      <c r="M508" s="38">
        <f>PlanGrid[[#This Row],[kBtu/yr]]/'Schedule-Building Info'!$B$6</f>
        <v>0</v>
      </c>
      <c r="N508" t="s">
        <v>1092</v>
      </c>
      <c r="O508">
        <v>0</v>
      </c>
      <c r="P508" t="e">
        <f>VLOOKUP(PlanGrid[[#This Row],[Title]],'Spec Wattages'!$A$1:$C$973,3,FALSE)</f>
        <v>#N/A</v>
      </c>
      <c r="Q508" t="s">
        <v>747</v>
      </c>
      <c r="R508" t="s">
        <v>1066</v>
      </c>
      <c r="S508" t="s">
        <v>11</v>
      </c>
    </row>
    <row r="509" spans="1:19" hidden="1" x14ac:dyDescent="0.25">
      <c r="A509">
        <v>85</v>
      </c>
      <c r="B509" t="s">
        <v>32</v>
      </c>
      <c r="C509" t="s">
        <v>521</v>
      </c>
      <c r="D509" t="s">
        <v>34</v>
      </c>
      <c r="E509" s="50"/>
      <c r="F509" s="38"/>
      <c r="G509" s="38"/>
      <c r="H509" s="58">
        <f>PlanGrid[[#This Row],[Spec Wattage]]*PlanGrid[[#This Row],[Equipment Count]]</f>
        <v>0</v>
      </c>
      <c r="I509" s="50">
        <f>((PlanGrid[[#This Row],[Demand Watt]]*PlanGrid[[#This Row],[Utilization %]]*'Schedule-Building Info'!$N$16)/1000)</f>
        <v>0</v>
      </c>
      <c r="J509" s="50">
        <f>PlanGrid[[#This Row],[kWh/yr]]*' Elec Utility (kWh)'!$M$7</f>
        <v>0</v>
      </c>
      <c r="K509" s="38">
        <f>PlanGrid[[#This Row],[kWh/yr]]/'Schedule-Building Info'!$B$6</f>
        <v>0</v>
      </c>
      <c r="L509" s="50">
        <f>CONVERT(PlanGrid[[#This Row],[kWh/yr]],"Wh","BTU")</f>
        <v>0</v>
      </c>
      <c r="M509" s="38">
        <f>PlanGrid[[#This Row],[kBtu/yr]]/'Schedule-Building Info'!$B$6</f>
        <v>0</v>
      </c>
      <c r="N509" t="s">
        <v>1092</v>
      </c>
      <c r="O509">
        <v>0</v>
      </c>
      <c r="P509" t="e">
        <f>VLOOKUP(PlanGrid[[#This Row],[Title]],'Spec Wattages'!$A$1:$C$973,3,FALSE)</f>
        <v>#N/A</v>
      </c>
      <c r="Q509" t="s">
        <v>747</v>
      </c>
      <c r="R509" t="s">
        <v>1066</v>
      </c>
      <c r="S509" t="s">
        <v>11</v>
      </c>
    </row>
    <row r="510" spans="1:19" hidden="1" x14ac:dyDescent="0.25">
      <c r="A510">
        <v>87</v>
      </c>
      <c r="B510" t="s">
        <v>32</v>
      </c>
      <c r="C510" t="s">
        <v>521</v>
      </c>
      <c r="D510" t="s">
        <v>34</v>
      </c>
      <c r="E510" s="50"/>
      <c r="F510" s="38"/>
      <c r="G510" s="38"/>
      <c r="H510" s="58">
        <f>PlanGrid[[#This Row],[Spec Wattage]]*PlanGrid[[#This Row],[Equipment Count]]</f>
        <v>0</v>
      </c>
      <c r="I510" s="50">
        <f>((PlanGrid[[#This Row],[Demand Watt]]*PlanGrid[[#This Row],[Utilization %]]*'Schedule-Building Info'!$N$16)/1000)</f>
        <v>0</v>
      </c>
      <c r="J510" s="50">
        <f>PlanGrid[[#This Row],[kWh/yr]]*' Elec Utility (kWh)'!$M$7</f>
        <v>0</v>
      </c>
      <c r="K510" s="38">
        <f>PlanGrid[[#This Row],[kWh/yr]]/'Schedule-Building Info'!$B$6</f>
        <v>0</v>
      </c>
      <c r="L510" s="50">
        <f>CONVERT(PlanGrid[[#This Row],[kWh/yr]],"Wh","BTU")</f>
        <v>0</v>
      </c>
      <c r="M510" s="38">
        <f>PlanGrid[[#This Row],[kBtu/yr]]/'Schedule-Building Info'!$B$6</f>
        <v>0</v>
      </c>
      <c r="N510" t="s">
        <v>1092</v>
      </c>
      <c r="O510">
        <v>0</v>
      </c>
      <c r="P510" t="e">
        <f>VLOOKUP(PlanGrid[[#This Row],[Title]],'Spec Wattages'!$A$1:$C$973,3,FALSE)</f>
        <v>#N/A</v>
      </c>
      <c r="Q510" t="s">
        <v>749</v>
      </c>
      <c r="R510" t="s">
        <v>848</v>
      </c>
      <c r="S510" t="s">
        <v>11</v>
      </c>
    </row>
    <row r="511" spans="1:19" hidden="1" x14ac:dyDescent="0.25">
      <c r="A511">
        <v>88</v>
      </c>
      <c r="B511" t="s">
        <v>32</v>
      </c>
      <c r="C511" t="s">
        <v>521</v>
      </c>
      <c r="D511" t="s">
        <v>537</v>
      </c>
      <c r="E511" s="50"/>
      <c r="F511" s="38"/>
      <c r="G511" s="38"/>
      <c r="H511" s="58">
        <f>PlanGrid[[#This Row],[Spec Wattage]]*PlanGrid[[#This Row],[Equipment Count]]</f>
        <v>0</v>
      </c>
      <c r="I511" s="50">
        <f>((PlanGrid[[#This Row],[Demand Watt]]*PlanGrid[[#This Row],[Utilization %]]*'Schedule-Building Info'!$N$16)/1000)</f>
        <v>0</v>
      </c>
      <c r="J511" s="50">
        <f>PlanGrid[[#This Row],[kWh/yr]]*' Elec Utility (kWh)'!$M$7</f>
        <v>0</v>
      </c>
      <c r="K511" s="38">
        <f>PlanGrid[[#This Row],[kWh/yr]]/'Schedule-Building Info'!$B$6</f>
        <v>0</v>
      </c>
      <c r="L511" s="50">
        <f>CONVERT(PlanGrid[[#This Row],[kWh/yr]],"Wh","BTU")</f>
        <v>0</v>
      </c>
      <c r="M511" s="38">
        <f>PlanGrid[[#This Row],[kBtu/yr]]/'Schedule-Building Info'!$B$6</f>
        <v>0</v>
      </c>
      <c r="N511" t="s">
        <v>1092</v>
      </c>
      <c r="O511">
        <v>0</v>
      </c>
      <c r="P511" t="e">
        <f>VLOOKUP(PlanGrid[[#This Row],[Title]],'Spec Wattages'!$A$1:$C$973,3,FALSE)</f>
        <v>#N/A</v>
      </c>
      <c r="Q511" t="s">
        <v>848</v>
      </c>
      <c r="R511" t="s">
        <v>851</v>
      </c>
      <c r="S511" t="s">
        <v>51</v>
      </c>
    </row>
    <row r="512" spans="1:19" hidden="1" x14ac:dyDescent="0.25">
      <c r="A512">
        <v>93</v>
      </c>
      <c r="B512" t="s">
        <v>32</v>
      </c>
      <c r="C512" t="s">
        <v>521</v>
      </c>
      <c r="D512" t="s">
        <v>522</v>
      </c>
      <c r="E512" s="50"/>
      <c r="F512" s="38"/>
      <c r="G512" s="38"/>
      <c r="H512" s="58">
        <f>PlanGrid[[#This Row],[Spec Wattage]]*PlanGrid[[#This Row],[Equipment Count]]</f>
        <v>0</v>
      </c>
      <c r="I512" s="50">
        <f>((PlanGrid[[#This Row],[Demand Watt]]*PlanGrid[[#This Row],[Utilization %]]*'Schedule-Building Info'!$N$16)/1000)</f>
        <v>0</v>
      </c>
      <c r="J512" s="50">
        <f>PlanGrid[[#This Row],[kWh/yr]]*' Elec Utility (kWh)'!$M$7</f>
        <v>0</v>
      </c>
      <c r="K512" s="38">
        <f>PlanGrid[[#This Row],[kWh/yr]]/'Schedule-Building Info'!$B$6</f>
        <v>0</v>
      </c>
      <c r="L512" s="50">
        <f>CONVERT(PlanGrid[[#This Row],[kWh/yr]],"Wh","BTU")</f>
        <v>0</v>
      </c>
      <c r="M512" s="38">
        <f>PlanGrid[[#This Row],[kBtu/yr]]/'Schedule-Building Info'!$B$6</f>
        <v>0</v>
      </c>
      <c r="N512" t="s">
        <v>1092</v>
      </c>
      <c r="O512">
        <v>0</v>
      </c>
      <c r="P512" t="e">
        <f>VLOOKUP(PlanGrid[[#This Row],[Title]],'Spec Wattages'!$A$1:$C$973,3,FALSE)</f>
        <v>#N/A</v>
      </c>
      <c r="Q512" t="s">
        <v>852</v>
      </c>
      <c r="R512" t="s">
        <v>852</v>
      </c>
      <c r="S512" t="s">
        <v>51</v>
      </c>
    </row>
    <row r="513" spans="1:19" hidden="1" x14ac:dyDescent="0.25">
      <c r="A513">
        <v>103</v>
      </c>
      <c r="B513" t="s">
        <v>32</v>
      </c>
      <c r="C513" t="s">
        <v>521</v>
      </c>
      <c r="D513" t="s">
        <v>34</v>
      </c>
      <c r="E513" s="50"/>
      <c r="F513" s="38"/>
      <c r="G513" s="38"/>
      <c r="H513" s="58">
        <f>PlanGrid[[#This Row],[Spec Wattage]]*PlanGrid[[#This Row],[Equipment Count]]</f>
        <v>0</v>
      </c>
      <c r="I513" s="50">
        <f>((PlanGrid[[#This Row],[Demand Watt]]*PlanGrid[[#This Row],[Utilization %]]*'Schedule-Building Info'!$N$16)/1000)</f>
        <v>0</v>
      </c>
      <c r="J513" s="50">
        <f>PlanGrid[[#This Row],[kWh/yr]]*' Elec Utility (kWh)'!$M$7</f>
        <v>0</v>
      </c>
      <c r="K513" s="38">
        <f>PlanGrid[[#This Row],[kWh/yr]]/'Schedule-Building Info'!$B$6</f>
        <v>0</v>
      </c>
      <c r="L513" s="50">
        <f>CONVERT(PlanGrid[[#This Row],[kWh/yr]],"Wh","BTU")</f>
        <v>0</v>
      </c>
      <c r="M513" s="38">
        <f>PlanGrid[[#This Row],[kBtu/yr]]/'Schedule-Building Info'!$B$6</f>
        <v>0</v>
      </c>
      <c r="N513" t="s">
        <v>1092</v>
      </c>
      <c r="O513">
        <v>0</v>
      </c>
      <c r="P513" t="e">
        <f>VLOOKUP(PlanGrid[[#This Row],[Title]],'Spec Wattages'!$A$1:$C$973,3,FALSE)</f>
        <v>#N/A</v>
      </c>
      <c r="Q513" t="s">
        <v>856</v>
      </c>
      <c r="R513" t="s">
        <v>935</v>
      </c>
      <c r="S513" t="s">
        <v>11</v>
      </c>
    </row>
    <row r="514" spans="1:19" hidden="1" x14ac:dyDescent="0.25">
      <c r="A514">
        <v>104</v>
      </c>
      <c r="B514" t="s">
        <v>32</v>
      </c>
      <c r="C514" t="s">
        <v>521</v>
      </c>
      <c r="D514" t="s">
        <v>522</v>
      </c>
      <c r="E514" s="50"/>
      <c r="F514" s="38"/>
      <c r="G514" s="38"/>
      <c r="H514" s="58">
        <f>PlanGrid[[#This Row],[Spec Wattage]]*PlanGrid[[#This Row],[Equipment Count]]</f>
        <v>0</v>
      </c>
      <c r="I514" s="50">
        <f>((PlanGrid[[#This Row],[Demand Watt]]*PlanGrid[[#This Row],[Utilization %]]*'Schedule-Building Info'!$N$16)/1000)</f>
        <v>0</v>
      </c>
      <c r="J514" s="50">
        <f>PlanGrid[[#This Row],[kWh/yr]]*' Elec Utility (kWh)'!$M$7</f>
        <v>0</v>
      </c>
      <c r="K514" s="38">
        <f>PlanGrid[[#This Row],[kWh/yr]]/'Schedule-Building Info'!$B$6</f>
        <v>0</v>
      </c>
      <c r="L514" s="50">
        <f>CONVERT(PlanGrid[[#This Row],[kWh/yr]],"Wh","BTU")</f>
        <v>0</v>
      </c>
      <c r="M514" s="38">
        <f>PlanGrid[[#This Row],[kBtu/yr]]/'Schedule-Building Info'!$B$6</f>
        <v>0</v>
      </c>
      <c r="N514" t="s">
        <v>1092</v>
      </c>
      <c r="O514">
        <v>0</v>
      </c>
      <c r="P514" t="e">
        <f>VLOOKUP(PlanGrid[[#This Row],[Title]],'Spec Wattages'!$A$1:$C$973,3,FALSE)</f>
        <v>#N/A</v>
      </c>
      <c r="Q514" t="s">
        <v>935</v>
      </c>
      <c r="R514" t="s">
        <v>853</v>
      </c>
      <c r="S514" t="s">
        <v>51</v>
      </c>
    </row>
    <row r="515" spans="1:19" hidden="1" x14ac:dyDescent="0.25">
      <c r="A515">
        <v>111</v>
      </c>
      <c r="B515" t="s">
        <v>32</v>
      </c>
      <c r="C515" t="s">
        <v>521</v>
      </c>
      <c r="D515" t="s">
        <v>34</v>
      </c>
      <c r="E515" s="50"/>
      <c r="F515" s="38"/>
      <c r="G515" s="38"/>
      <c r="H515" s="58">
        <f>PlanGrid[[#This Row],[Spec Wattage]]*PlanGrid[[#This Row],[Equipment Count]]</f>
        <v>0</v>
      </c>
      <c r="I515" s="50">
        <f>((PlanGrid[[#This Row],[Demand Watt]]*PlanGrid[[#This Row],[Utilization %]]*'Schedule-Building Info'!$N$16)/1000)</f>
        <v>0</v>
      </c>
      <c r="J515" s="50">
        <f>PlanGrid[[#This Row],[kWh/yr]]*' Elec Utility (kWh)'!$M$7</f>
        <v>0</v>
      </c>
      <c r="K515" s="38">
        <f>PlanGrid[[#This Row],[kWh/yr]]/'Schedule-Building Info'!$B$6</f>
        <v>0</v>
      </c>
      <c r="L515" s="50">
        <f>CONVERT(PlanGrid[[#This Row],[kWh/yr]],"Wh","BTU")</f>
        <v>0</v>
      </c>
      <c r="M515" s="38">
        <f>PlanGrid[[#This Row],[kBtu/yr]]/'Schedule-Building Info'!$B$6</f>
        <v>0</v>
      </c>
      <c r="N515" t="s">
        <v>1092</v>
      </c>
      <c r="O515">
        <v>0</v>
      </c>
      <c r="P515" t="e">
        <f>VLOOKUP(PlanGrid[[#This Row],[Title]],'Spec Wattages'!$A$1:$C$973,3,FALSE)</f>
        <v>#N/A</v>
      </c>
      <c r="Q515" t="s">
        <v>746</v>
      </c>
      <c r="R515" t="s">
        <v>747</v>
      </c>
      <c r="S515" t="s">
        <v>11</v>
      </c>
    </row>
    <row r="516" spans="1:19" hidden="1" x14ac:dyDescent="0.25">
      <c r="A516">
        <v>112</v>
      </c>
      <c r="B516" t="s">
        <v>32</v>
      </c>
      <c r="C516" t="s">
        <v>521</v>
      </c>
      <c r="D516" t="s">
        <v>522</v>
      </c>
      <c r="E516" s="50"/>
      <c r="F516" s="38"/>
      <c r="G516" s="38"/>
      <c r="H516" s="58">
        <f>PlanGrid[[#This Row],[Spec Wattage]]*PlanGrid[[#This Row],[Equipment Count]]</f>
        <v>0</v>
      </c>
      <c r="I516" s="50">
        <f>((PlanGrid[[#This Row],[Demand Watt]]*PlanGrid[[#This Row],[Utilization %]]*'Schedule-Building Info'!$N$16)/1000)</f>
        <v>0</v>
      </c>
      <c r="J516" s="50">
        <f>PlanGrid[[#This Row],[kWh/yr]]*' Elec Utility (kWh)'!$M$7</f>
        <v>0</v>
      </c>
      <c r="K516" s="38">
        <f>PlanGrid[[#This Row],[kWh/yr]]/'Schedule-Building Info'!$B$6</f>
        <v>0</v>
      </c>
      <c r="L516" s="50">
        <f>CONVERT(PlanGrid[[#This Row],[kWh/yr]],"Wh","BTU")</f>
        <v>0</v>
      </c>
      <c r="M516" s="38">
        <f>PlanGrid[[#This Row],[kBtu/yr]]/'Schedule-Building Info'!$B$6</f>
        <v>0</v>
      </c>
      <c r="N516" t="s">
        <v>1092</v>
      </c>
      <c r="O516">
        <v>0</v>
      </c>
      <c r="P516" t="e">
        <f>VLOOKUP(PlanGrid[[#This Row],[Title]],'Spec Wattages'!$A$1:$C$973,3,FALSE)</f>
        <v>#N/A</v>
      </c>
      <c r="Q516" t="s">
        <v>747</v>
      </c>
      <c r="R516" t="s">
        <v>747</v>
      </c>
      <c r="S516" t="s">
        <v>51</v>
      </c>
    </row>
    <row r="517" spans="1:19" hidden="1" x14ac:dyDescent="0.25">
      <c r="A517">
        <v>126</v>
      </c>
      <c r="B517" t="s">
        <v>32</v>
      </c>
      <c r="C517" t="s">
        <v>521</v>
      </c>
      <c r="D517" t="s">
        <v>522</v>
      </c>
      <c r="E517" s="50"/>
      <c r="F517" s="38"/>
      <c r="G517" s="38"/>
      <c r="H517" s="58">
        <f>PlanGrid[[#This Row],[Spec Wattage]]*PlanGrid[[#This Row],[Equipment Count]]</f>
        <v>0</v>
      </c>
      <c r="I517" s="50">
        <f>((PlanGrid[[#This Row],[Demand Watt]]*PlanGrid[[#This Row],[Utilization %]]*'Schedule-Building Info'!$N$16)/1000)</f>
        <v>0</v>
      </c>
      <c r="J517" s="50">
        <f>PlanGrid[[#This Row],[kWh/yr]]*' Elec Utility (kWh)'!$M$7</f>
        <v>0</v>
      </c>
      <c r="K517" s="38">
        <f>PlanGrid[[#This Row],[kWh/yr]]/'Schedule-Building Info'!$B$6</f>
        <v>0</v>
      </c>
      <c r="L517" s="50">
        <f>CONVERT(PlanGrid[[#This Row],[kWh/yr]],"Wh","BTU")</f>
        <v>0</v>
      </c>
      <c r="M517" s="38">
        <f>PlanGrid[[#This Row],[kBtu/yr]]/'Schedule-Building Info'!$B$6</f>
        <v>0</v>
      </c>
      <c r="N517" t="s">
        <v>1092</v>
      </c>
      <c r="O517">
        <v>0</v>
      </c>
      <c r="P517" t="e">
        <f>VLOOKUP(PlanGrid[[#This Row],[Title]],'Spec Wattages'!$A$1:$C$973,3,FALSE)</f>
        <v>#N/A</v>
      </c>
      <c r="Q517" t="s">
        <v>749</v>
      </c>
      <c r="R517" t="s">
        <v>749</v>
      </c>
      <c r="S517" t="s">
        <v>51</v>
      </c>
    </row>
    <row r="518" spans="1:19" hidden="1" x14ac:dyDescent="0.25">
      <c r="A518">
        <v>131</v>
      </c>
      <c r="B518" t="s">
        <v>32</v>
      </c>
      <c r="C518" t="s">
        <v>521</v>
      </c>
      <c r="D518" t="s">
        <v>34</v>
      </c>
      <c r="E518" s="50"/>
      <c r="F518" s="38"/>
      <c r="G518" s="38"/>
      <c r="H518" s="58">
        <f>PlanGrid[[#This Row],[Spec Wattage]]*PlanGrid[[#This Row],[Equipment Count]]</f>
        <v>0</v>
      </c>
      <c r="I518" s="50">
        <f>((PlanGrid[[#This Row],[Demand Watt]]*PlanGrid[[#This Row],[Utilization %]]*'Schedule-Building Info'!$N$16)/1000)</f>
        <v>0</v>
      </c>
      <c r="J518" s="50">
        <f>PlanGrid[[#This Row],[kWh/yr]]*' Elec Utility (kWh)'!$M$7</f>
        <v>0</v>
      </c>
      <c r="K518" s="38">
        <f>PlanGrid[[#This Row],[kWh/yr]]/'Schedule-Building Info'!$B$6</f>
        <v>0</v>
      </c>
      <c r="L518" s="50">
        <f>CONVERT(PlanGrid[[#This Row],[kWh/yr]],"Wh","BTU")</f>
        <v>0</v>
      </c>
      <c r="M518" s="38">
        <f>PlanGrid[[#This Row],[kBtu/yr]]/'Schedule-Building Info'!$B$6</f>
        <v>0</v>
      </c>
      <c r="N518" t="s">
        <v>1092</v>
      </c>
      <c r="O518">
        <v>0</v>
      </c>
      <c r="P518" t="e">
        <f>VLOOKUP(PlanGrid[[#This Row],[Title]],'Spec Wattages'!$A$1:$C$973,3,FALSE)</f>
        <v>#N/A</v>
      </c>
      <c r="Q518" t="s">
        <v>854</v>
      </c>
      <c r="R518" t="s">
        <v>937</v>
      </c>
      <c r="S518" t="s">
        <v>11</v>
      </c>
    </row>
    <row r="519" spans="1:19" hidden="1" x14ac:dyDescent="0.25">
      <c r="A519">
        <v>133</v>
      </c>
      <c r="B519" t="s">
        <v>32</v>
      </c>
      <c r="C519" t="s">
        <v>521</v>
      </c>
      <c r="D519" t="s">
        <v>34</v>
      </c>
      <c r="E519" s="50"/>
      <c r="F519" s="38"/>
      <c r="G519" s="38"/>
      <c r="H519" s="58">
        <f>PlanGrid[[#This Row],[Spec Wattage]]*PlanGrid[[#This Row],[Equipment Count]]</f>
        <v>0</v>
      </c>
      <c r="I519" s="50">
        <f>((PlanGrid[[#This Row],[Demand Watt]]*PlanGrid[[#This Row],[Utilization %]]*'Schedule-Building Info'!$N$16)/1000)</f>
        <v>0</v>
      </c>
      <c r="J519" s="50">
        <f>PlanGrid[[#This Row],[kWh/yr]]*' Elec Utility (kWh)'!$M$7</f>
        <v>0</v>
      </c>
      <c r="K519" s="38">
        <f>PlanGrid[[#This Row],[kWh/yr]]/'Schedule-Building Info'!$B$6</f>
        <v>0</v>
      </c>
      <c r="L519" s="50">
        <f>CONVERT(PlanGrid[[#This Row],[kWh/yr]],"Wh","BTU")</f>
        <v>0</v>
      </c>
      <c r="M519" s="38">
        <f>PlanGrid[[#This Row],[kBtu/yr]]/'Schedule-Building Info'!$B$6</f>
        <v>0</v>
      </c>
      <c r="N519" t="s">
        <v>1092</v>
      </c>
      <c r="O519">
        <v>0</v>
      </c>
      <c r="P519" t="e">
        <f>VLOOKUP(PlanGrid[[#This Row],[Title]],'Spec Wattages'!$A$1:$C$973,3,FALSE)</f>
        <v>#N/A</v>
      </c>
      <c r="Q519" t="s">
        <v>936</v>
      </c>
      <c r="R519" t="s">
        <v>937</v>
      </c>
      <c r="S519" t="s">
        <v>11</v>
      </c>
    </row>
    <row r="520" spans="1:19" hidden="1" x14ac:dyDescent="0.25">
      <c r="A520">
        <v>134</v>
      </c>
      <c r="B520" t="s">
        <v>32</v>
      </c>
      <c r="C520" t="s">
        <v>521</v>
      </c>
      <c r="D520" t="s">
        <v>522</v>
      </c>
      <c r="E520" s="50"/>
      <c r="F520" s="38"/>
      <c r="G520" s="38"/>
      <c r="H520" s="58">
        <f>PlanGrid[[#This Row],[Spec Wattage]]*PlanGrid[[#This Row],[Equipment Count]]</f>
        <v>0</v>
      </c>
      <c r="I520" s="50">
        <f>((PlanGrid[[#This Row],[Demand Watt]]*PlanGrid[[#This Row],[Utilization %]]*'Schedule-Building Info'!$N$16)/1000)</f>
        <v>0</v>
      </c>
      <c r="J520" s="50">
        <f>PlanGrid[[#This Row],[kWh/yr]]*' Elec Utility (kWh)'!$M$7</f>
        <v>0</v>
      </c>
      <c r="K520" s="38">
        <f>PlanGrid[[#This Row],[kWh/yr]]/'Schedule-Building Info'!$B$6</f>
        <v>0</v>
      </c>
      <c r="L520" s="50">
        <f>CONVERT(PlanGrid[[#This Row],[kWh/yr]],"Wh","BTU")</f>
        <v>0</v>
      </c>
      <c r="M520" s="38">
        <f>PlanGrid[[#This Row],[kBtu/yr]]/'Schedule-Building Info'!$B$6</f>
        <v>0</v>
      </c>
      <c r="N520" t="s">
        <v>1092</v>
      </c>
      <c r="O520">
        <v>0</v>
      </c>
      <c r="P520" t="e">
        <f>VLOOKUP(PlanGrid[[#This Row],[Title]],'Spec Wattages'!$A$1:$C$973,3,FALSE)</f>
        <v>#N/A</v>
      </c>
      <c r="Q520" t="s">
        <v>937</v>
      </c>
      <c r="R520" t="s">
        <v>937</v>
      </c>
      <c r="S520" t="s">
        <v>51</v>
      </c>
    </row>
    <row r="521" spans="1:19" hidden="1" x14ac:dyDescent="0.25">
      <c r="A521">
        <v>143</v>
      </c>
      <c r="B521" t="s">
        <v>32</v>
      </c>
      <c r="C521" t="s">
        <v>521</v>
      </c>
      <c r="D521" t="s">
        <v>34</v>
      </c>
      <c r="E521" s="50"/>
      <c r="F521" s="38"/>
      <c r="G521" s="38"/>
      <c r="H521" s="58">
        <f>PlanGrid[[#This Row],[Spec Wattage]]*PlanGrid[[#This Row],[Equipment Count]]</f>
        <v>0</v>
      </c>
      <c r="I521" s="50">
        <f>((PlanGrid[[#This Row],[Demand Watt]]*PlanGrid[[#This Row],[Utilization %]]*'Schedule-Building Info'!$N$16)/1000)</f>
        <v>0</v>
      </c>
      <c r="J521" s="50">
        <f>PlanGrid[[#This Row],[kWh/yr]]*' Elec Utility (kWh)'!$M$7</f>
        <v>0</v>
      </c>
      <c r="K521" s="38">
        <f>PlanGrid[[#This Row],[kWh/yr]]/'Schedule-Building Info'!$B$6</f>
        <v>0</v>
      </c>
      <c r="L521" s="50">
        <f>CONVERT(PlanGrid[[#This Row],[kWh/yr]],"Wh","BTU")</f>
        <v>0</v>
      </c>
      <c r="M521" s="38">
        <f>PlanGrid[[#This Row],[kBtu/yr]]/'Schedule-Building Info'!$B$6</f>
        <v>0</v>
      </c>
      <c r="N521" t="s">
        <v>1092</v>
      </c>
      <c r="O521">
        <v>0</v>
      </c>
      <c r="P521" t="e">
        <f>VLOOKUP(PlanGrid[[#This Row],[Title]],'Spec Wattages'!$A$1:$C$973,3,FALSE)</f>
        <v>#N/A</v>
      </c>
      <c r="Q521" t="s">
        <v>861</v>
      </c>
      <c r="R521" t="s">
        <v>856</v>
      </c>
      <c r="S521" t="s">
        <v>11</v>
      </c>
    </row>
    <row r="522" spans="1:19" hidden="1" x14ac:dyDescent="0.25">
      <c r="A522">
        <v>145</v>
      </c>
      <c r="B522" t="s">
        <v>32</v>
      </c>
      <c r="C522" t="s">
        <v>521</v>
      </c>
      <c r="D522" t="s">
        <v>522</v>
      </c>
      <c r="E522" s="50"/>
      <c r="F522" s="38"/>
      <c r="G522" s="38"/>
      <c r="H522" s="58">
        <f>PlanGrid[[#This Row],[Spec Wattage]]*PlanGrid[[#This Row],[Equipment Count]]</f>
        <v>0</v>
      </c>
      <c r="I522" s="50">
        <f>((PlanGrid[[#This Row],[Demand Watt]]*PlanGrid[[#This Row],[Utilization %]]*'Schedule-Building Info'!$N$16)/1000)</f>
        <v>0</v>
      </c>
      <c r="J522" s="50">
        <f>PlanGrid[[#This Row],[kWh/yr]]*' Elec Utility (kWh)'!$M$7</f>
        <v>0</v>
      </c>
      <c r="K522" s="38">
        <f>PlanGrid[[#This Row],[kWh/yr]]/'Schedule-Building Info'!$B$6</f>
        <v>0</v>
      </c>
      <c r="L522" s="50">
        <f>CONVERT(PlanGrid[[#This Row],[kWh/yr]],"Wh","BTU")</f>
        <v>0</v>
      </c>
      <c r="M522" s="38">
        <f>PlanGrid[[#This Row],[kBtu/yr]]/'Schedule-Building Info'!$B$6</f>
        <v>0</v>
      </c>
      <c r="N522" t="s">
        <v>1092</v>
      </c>
      <c r="O522">
        <v>0</v>
      </c>
      <c r="P522" t="e">
        <f>VLOOKUP(PlanGrid[[#This Row],[Title]],'Spec Wattages'!$A$1:$C$973,3,FALSE)</f>
        <v>#N/A</v>
      </c>
      <c r="Q522" t="s">
        <v>856</v>
      </c>
      <c r="R522" t="s">
        <v>856</v>
      </c>
      <c r="S522" t="s">
        <v>51</v>
      </c>
    </row>
    <row r="523" spans="1:19" hidden="1" x14ac:dyDescent="0.25">
      <c r="A523">
        <v>154</v>
      </c>
      <c r="B523" t="s">
        <v>32</v>
      </c>
      <c r="C523" t="s">
        <v>521</v>
      </c>
      <c r="D523" t="s">
        <v>34</v>
      </c>
      <c r="E523" s="50"/>
      <c r="F523" s="38"/>
      <c r="G523" s="38"/>
      <c r="H523" s="58">
        <f>PlanGrid[[#This Row],[Spec Wattage]]*PlanGrid[[#This Row],[Equipment Count]]</f>
        <v>0</v>
      </c>
      <c r="I523" s="50">
        <f>((PlanGrid[[#This Row],[Demand Watt]]*PlanGrid[[#This Row],[Utilization %]]*'Schedule-Building Info'!$N$16)/1000)</f>
        <v>0</v>
      </c>
      <c r="J523" s="50">
        <f>PlanGrid[[#This Row],[kWh/yr]]*' Elec Utility (kWh)'!$M$7</f>
        <v>0</v>
      </c>
      <c r="K523" s="38">
        <f>PlanGrid[[#This Row],[kWh/yr]]/'Schedule-Building Info'!$B$6</f>
        <v>0</v>
      </c>
      <c r="L523" s="50">
        <f>CONVERT(PlanGrid[[#This Row],[kWh/yr]],"Wh","BTU")</f>
        <v>0</v>
      </c>
      <c r="M523" s="38">
        <f>PlanGrid[[#This Row],[kBtu/yr]]/'Schedule-Building Info'!$B$6</f>
        <v>0</v>
      </c>
      <c r="N523" t="s">
        <v>1092</v>
      </c>
      <c r="O523">
        <v>0</v>
      </c>
      <c r="P523" t="e">
        <f>VLOOKUP(PlanGrid[[#This Row],[Title]],'Spec Wattages'!$A$1:$C$973,3,FALSE)</f>
        <v>#N/A</v>
      </c>
      <c r="Q523" t="s">
        <v>859</v>
      </c>
      <c r="R523" t="s">
        <v>748</v>
      </c>
      <c r="S523" t="s">
        <v>11</v>
      </c>
    </row>
    <row r="524" spans="1:19" hidden="1" x14ac:dyDescent="0.25">
      <c r="A524">
        <v>156</v>
      </c>
      <c r="B524" t="s">
        <v>32</v>
      </c>
      <c r="C524" t="s">
        <v>521</v>
      </c>
      <c r="D524" t="s">
        <v>522</v>
      </c>
      <c r="E524" s="50"/>
      <c r="F524" s="38"/>
      <c r="G524" s="38"/>
      <c r="H524" s="58">
        <f>PlanGrid[[#This Row],[Spec Wattage]]*PlanGrid[[#This Row],[Equipment Count]]</f>
        <v>0</v>
      </c>
      <c r="I524" s="50">
        <f>((PlanGrid[[#This Row],[Demand Watt]]*PlanGrid[[#This Row],[Utilization %]]*'Schedule-Building Info'!$N$16)/1000)</f>
        <v>0</v>
      </c>
      <c r="J524" s="50">
        <f>PlanGrid[[#This Row],[kWh/yr]]*' Elec Utility (kWh)'!$M$7</f>
        <v>0</v>
      </c>
      <c r="K524" s="38">
        <f>PlanGrid[[#This Row],[kWh/yr]]/'Schedule-Building Info'!$B$6</f>
        <v>0</v>
      </c>
      <c r="L524" s="50">
        <f>CONVERT(PlanGrid[[#This Row],[kWh/yr]],"Wh","BTU")</f>
        <v>0</v>
      </c>
      <c r="M524" s="38">
        <f>PlanGrid[[#This Row],[kBtu/yr]]/'Schedule-Building Info'!$B$6</f>
        <v>0</v>
      </c>
      <c r="N524" t="s">
        <v>1092</v>
      </c>
      <c r="O524">
        <v>0</v>
      </c>
      <c r="P524" t="e">
        <f>VLOOKUP(PlanGrid[[#This Row],[Title]],'Spec Wattages'!$A$1:$C$973,3,FALSE)</f>
        <v>#N/A</v>
      </c>
      <c r="Q524" t="s">
        <v>748</v>
      </c>
      <c r="R524" t="s">
        <v>748</v>
      </c>
      <c r="S524" t="s">
        <v>51</v>
      </c>
    </row>
    <row r="525" spans="1:19" hidden="1" x14ac:dyDescent="0.25">
      <c r="A525">
        <v>163</v>
      </c>
      <c r="B525" t="s">
        <v>32</v>
      </c>
      <c r="C525" t="s">
        <v>521</v>
      </c>
      <c r="D525" t="s">
        <v>34</v>
      </c>
      <c r="E525" s="50"/>
      <c r="F525" s="38"/>
      <c r="G525" s="38"/>
      <c r="H525" s="58">
        <f>PlanGrid[[#This Row],[Spec Wattage]]*PlanGrid[[#This Row],[Equipment Count]]</f>
        <v>0</v>
      </c>
      <c r="I525" s="50">
        <f>((PlanGrid[[#This Row],[Demand Watt]]*PlanGrid[[#This Row],[Utilization %]]*'Schedule-Building Info'!$N$16)/1000)</f>
        <v>0</v>
      </c>
      <c r="J525" s="50">
        <f>PlanGrid[[#This Row],[kWh/yr]]*' Elec Utility (kWh)'!$M$7</f>
        <v>0</v>
      </c>
      <c r="K525" s="38">
        <f>PlanGrid[[#This Row],[kWh/yr]]/'Schedule-Building Info'!$B$6</f>
        <v>0</v>
      </c>
      <c r="L525" s="50">
        <f>CONVERT(PlanGrid[[#This Row],[kWh/yr]],"Wh","BTU")</f>
        <v>0</v>
      </c>
      <c r="M525" s="38">
        <f>PlanGrid[[#This Row],[kBtu/yr]]/'Schedule-Building Info'!$B$6</f>
        <v>0</v>
      </c>
      <c r="N525" t="s">
        <v>1092</v>
      </c>
      <c r="O525">
        <v>0</v>
      </c>
      <c r="P525" t="e">
        <f>VLOOKUP(PlanGrid[[#This Row],[Title]],'Spec Wattages'!$A$1:$C$973,3,FALSE)</f>
        <v>#N/A</v>
      </c>
      <c r="Q525" t="s">
        <v>751</v>
      </c>
      <c r="R525" t="s">
        <v>860</v>
      </c>
      <c r="S525" t="s">
        <v>11</v>
      </c>
    </row>
    <row r="526" spans="1:19" hidden="1" x14ac:dyDescent="0.25">
      <c r="A526">
        <v>172</v>
      </c>
      <c r="B526" t="s">
        <v>32</v>
      </c>
      <c r="C526" t="s">
        <v>521</v>
      </c>
      <c r="D526" t="s">
        <v>522</v>
      </c>
      <c r="E526" s="50"/>
      <c r="F526" s="38"/>
      <c r="G526" s="38"/>
      <c r="H526" s="58">
        <f>PlanGrid[[#This Row],[Spec Wattage]]*PlanGrid[[#This Row],[Equipment Count]]</f>
        <v>0</v>
      </c>
      <c r="I526" s="50">
        <f>((PlanGrid[[#This Row],[Demand Watt]]*PlanGrid[[#This Row],[Utilization %]]*'Schedule-Building Info'!$N$16)/1000)</f>
        <v>0</v>
      </c>
      <c r="J526" s="50">
        <f>PlanGrid[[#This Row],[kWh/yr]]*' Elec Utility (kWh)'!$M$7</f>
        <v>0</v>
      </c>
      <c r="K526" s="38">
        <f>PlanGrid[[#This Row],[kWh/yr]]/'Schedule-Building Info'!$B$6</f>
        <v>0</v>
      </c>
      <c r="L526" s="50">
        <f>CONVERT(PlanGrid[[#This Row],[kWh/yr]],"Wh","BTU")</f>
        <v>0</v>
      </c>
      <c r="M526" s="38">
        <f>PlanGrid[[#This Row],[kBtu/yr]]/'Schedule-Building Info'!$B$6</f>
        <v>0</v>
      </c>
      <c r="N526" t="s">
        <v>1092</v>
      </c>
      <c r="O526">
        <v>0</v>
      </c>
      <c r="P526" t="e">
        <f>VLOOKUP(PlanGrid[[#This Row],[Title]],'Spec Wattages'!$A$1:$C$973,3,FALSE)</f>
        <v>#N/A</v>
      </c>
      <c r="Q526" t="s">
        <v>861</v>
      </c>
      <c r="R526" t="s">
        <v>861</v>
      </c>
      <c r="S526" t="s">
        <v>51</v>
      </c>
    </row>
    <row r="527" spans="1:19" hidden="1" x14ac:dyDescent="0.25">
      <c r="A527">
        <v>176</v>
      </c>
      <c r="B527" t="s">
        <v>32</v>
      </c>
      <c r="C527" t="s">
        <v>521</v>
      </c>
      <c r="D527" t="s">
        <v>34</v>
      </c>
      <c r="E527" s="50"/>
      <c r="F527" s="38"/>
      <c r="G527" s="38"/>
      <c r="H527" s="58">
        <f>PlanGrid[[#This Row],[Spec Wattage]]*PlanGrid[[#This Row],[Equipment Count]]</f>
        <v>0</v>
      </c>
      <c r="I527" s="50">
        <f>((PlanGrid[[#This Row],[Demand Watt]]*PlanGrid[[#This Row],[Utilization %]]*'Schedule-Building Info'!$N$16)/1000)</f>
        <v>0</v>
      </c>
      <c r="J527" s="50">
        <f>PlanGrid[[#This Row],[kWh/yr]]*' Elec Utility (kWh)'!$M$7</f>
        <v>0</v>
      </c>
      <c r="K527" s="38">
        <f>PlanGrid[[#This Row],[kWh/yr]]/'Schedule-Building Info'!$B$6</f>
        <v>0</v>
      </c>
      <c r="L527" s="50">
        <f>CONVERT(PlanGrid[[#This Row],[kWh/yr]],"Wh","BTU")</f>
        <v>0</v>
      </c>
      <c r="M527" s="38">
        <f>PlanGrid[[#This Row],[kBtu/yr]]/'Schedule-Building Info'!$B$6</f>
        <v>0</v>
      </c>
      <c r="N527" t="s">
        <v>1092</v>
      </c>
      <c r="O527">
        <v>0</v>
      </c>
      <c r="P527" t="e">
        <f>VLOOKUP(PlanGrid[[#This Row],[Title]],'Spec Wattages'!$A$1:$C$973,3,FALSE)</f>
        <v>#N/A</v>
      </c>
      <c r="Q527" t="s">
        <v>754</v>
      </c>
      <c r="R527" t="s">
        <v>857</v>
      </c>
      <c r="S527" t="s">
        <v>11</v>
      </c>
    </row>
    <row r="528" spans="1:19" hidden="1" x14ac:dyDescent="0.25">
      <c r="A528">
        <v>189</v>
      </c>
      <c r="B528" t="s">
        <v>32</v>
      </c>
      <c r="C528" t="s">
        <v>521</v>
      </c>
      <c r="D528" t="s">
        <v>522</v>
      </c>
      <c r="E528" s="50"/>
      <c r="F528" s="38"/>
      <c r="G528" s="38"/>
      <c r="H528" s="58">
        <f>PlanGrid[[#This Row],[Spec Wattage]]*PlanGrid[[#This Row],[Equipment Count]]</f>
        <v>0</v>
      </c>
      <c r="I528" s="50">
        <f>((PlanGrid[[#This Row],[Demand Watt]]*PlanGrid[[#This Row],[Utilization %]]*'Schedule-Building Info'!$N$16)/1000)</f>
        <v>0</v>
      </c>
      <c r="J528" s="50">
        <f>PlanGrid[[#This Row],[kWh/yr]]*' Elec Utility (kWh)'!$M$7</f>
        <v>0</v>
      </c>
      <c r="K528" s="38">
        <f>PlanGrid[[#This Row],[kWh/yr]]/'Schedule-Building Info'!$B$6</f>
        <v>0</v>
      </c>
      <c r="L528" s="50">
        <f>CONVERT(PlanGrid[[#This Row],[kWh/yr]],"Wh","BTU")</f>
        <v>0</v>
      </c>
      <c r="M528" s="38">
        <f>PlanGrid[[#This Row],[kBtu/yr]]/'Schedule-Building Info'!$B$6</f>
        <v>0</v>
      </c>
      <c r="N528" t="s">
        <v>1092</v>
      </c>
      <c r="O528">
        <v>0</v>
      </c>
      <c r="P528" t="e">
        <f>VLOOKUP(PlanGrid[[#This Row],[Title]],'Spec Wattages'!$A$1:$C$973,3,FALSE)</f>
        <v>#N/A</v>
      </c>
      <c r="Q528" t="s">
        <v>938</v>
      </c>
      <c r="R528" t="s">
        <v>938</v>
      </c>
      <c r="S528" t="s">
        <v>51</v>
      </c>
    </row>
    <row r="529" spans="1:19" hidden="1" x14ac:dyDescent="0.25">
      <c r="A529">
        <v>190</v>
      </c>
      <c r="B529" t="s">
        <v>32</v>
      </c>
      <c r="C529" t="s">
        <v>521</v>
      </c>
      <c r="D529" t="s">
        <v>34</v>
      </c>
      <c r="E529" s="50"/>
      <c r="F529" s="38"/>
      <c r="G529" s="38"/>
      <c r="H529" s="58">
        <f>PlanGrid[[#This Row],[Spec Wattage]]*PlanGrid[[#This Row],[Equipment Count]]</f>
        <v>0</v>
      </c>
      <c r="I529" s="50">
        <f>((PlanGrid[[#This Row],[Demand Watt]]*PlanGrid[[#This Row],[Utilization %]]*'Schedule-Building Info'!$N$16)/1000)</f>
        <v>0</v>
      </c>
      <c r="J529" s="50">
        <f>PlanGrid[[#This Row],[kWh/yr]]*' Elec Utility (kWh)'!$M$7</f>
        <v>0</v>
      </c>
      <c r="K529" s="38">
        <f>PlanGrid[[#This Row],[kWh/yr]]/'Schedule-Building Info'!$B$6</f>
        <v>0</v>
      </c>
      <c r="L529" s="50">
        <f>CONVERT(PlanGrid[[#This Row],[kWh/yr]],"Wh","BTU")</f>
        <v>0</v>
      </c>
      <c r="M529" s="38">
        <f>PlanGrid[[#This Row],[kBtu/yr]]/'Schedule-Building Info'!$B$6</f>
        <v>0</v>
      </c>
      <c r="N529" t="s">
        <v>1092</v>
      </c>
      <c r="O529">
        <v>0</v>
      </c>
      <c r="P529" t="e">
        <f>VLOOKUP(PlanGrid[[#This Row],[Title]],'Spec Wattages'!$A$1:$C$973,3,FALSE)</f>
        <v>#N/A</v>
      </c>
      <c r="Q529" t="s">
        <v>939</v>
      </c>
      <c r="R529" t="s">
        <v>938</v>
      </c>
      <c r="S529" t="s">
        <v>11</v>
      </c>
    </row>
    <row r="530" spans="1:19" hidden="1" x14ac:dyDescent="0.25">
      <c r="A530">
        <v>191</v>
      </c>
      <c r="B530" t="s">
        <v>32</v>
      </c>
      <c r="C530" t="s">
        <v>521</v>
      </c>
      <c r="D530" t="s">
        <v>34</v>
      </c>
      <c r="E530" s="50"/>
      <c r="F530" s="38"/>
      <c r="G530" s="38"/>
      <c r="H530" s="58">
        <f>PlanGrid[[#This Row],[Spec Wattage]]*PlanGrid[[#This Row],[Equipment Count]]</f>
        <v>0</v>
      </c>
      <c r="I530" s="50">
        <f>((PlanGrid[[#This Row],[Demand Watt]]*PlanGrid[[#This Row],[Utilization %]]*'Schedule-Building Info'!$N$16)/1000)</f>
        <v>0</v>
      </c>
      <c r="J530" s="50">
        <f>PlanGrid[[#This Row],[kWh/yr]]*' Elec Utility (kWh)'!$M$7</f>
        <v>0</v>
      </c>
      <c r="K530" s="38">
        <f>PlanGrid[[#This Row],[kWh/yr]]/'Schedule-Building Info'!$B$6</f>
        <v>0</v>
      </c>
      <c r="L530" s="50">
        <f>CONVERT(PlanGrid[[#This Row],[kWh/yr]],"Wh","BTU")</f>
        <v>0</v>
      </c>
      <c r="M530" s="38">
        <f>PlanGrid[[#This Row],[kBtu/yr]]/'Schedule-Building Info'!$B$6</f>
        <v>0</v>
      </c>
      <c r="N530" t="s">
        <v>1092</v>
      </c>
      <c r="O530">
        <v>0</v>
      </c>
      <c r="P530" t="e">
        <f>VLOOKUP(PlanGrid[[#This Row],[Title]],'Spec Wattages'!$A$1:$C$973,3,FALSE)</f>
        <v>#N/A</v>
      </c>
      <c r="Q530" t="s">
        <v>939</v>
      </c>
      <c r="R530" t="s">
        <v>751</v>
      </c>
      <c r="S530" t="s">
        <v>11</v>
      </c>
    </row>
    <row r="531" spans="1:19" hidden="1" x14ac:dyDescent="0.25">
      <c r="A531">
        <v>201</v>
      </c>
      <c r="B531" t="s">
        <v>32</v>
      </c>
      <c r="C531" t="s">
        <v>521</v>
      </c>
      <c r="D531" t="s">
        <v>34</v>
      </c>
      <c r="E531" s="50"/>
      <c r="F531" s="38"/>
      <c r="G531" s="38"/>
      <c r="H531" s="58">
        <f>PlanGrid[[#This Row],[Spec Wattage]]*PlanGrid[[#This Row],[Equipment Count]]</f>
        <v>0</v>
      </c>
      <c r="I531" s="50">
        <f>((PlanGrid[[#This Row],[Demand Watt]]*PlanGrid[[#This Row],[Utilization %]]*'Schedule-Building Info'!$N$16)/1000)</f>
        <v>0</v>
      </c>
      <c r="J531" s="50">
        <f>PlanGrid[[#This Row],[kWh/yr]]*' Elec Utility (kWh)'!$M$7</f>
        <v>0</v>
      </c>
      <c r="K531" s="38">
        <f>PlanGrid[[#This Row],[kWh/yr]]/'Schedule-Building Info'!$B$6</f>
        <v>0</v>
      </c>
      <c r="L531" s="50">
        <f>CONVERT(PlanGrid[[#This Row],[kWh/yr]],"Wh","BTU")</f>
        <v>0</v>
      </c>
      <c r="M531" s="38">
        <f>PlanGrid[[#This Row],[kBtu/yr]]/'Schedule-Building Info'!$B$6</f>
        <v>0</v>
      </c>
      <c r="N531" t="s">
        <v>1092</v>
      </c>
      <c r="O531">
        <v>0</v>
      </c>
      <c r="P531" t="e">
        <f>VLOOKUP(PlanGrid[[#This Row],[Title]],'Spec Wattages'!$A$1:$C$973,3,FALSE)</f>
        <v>#N/A</v>
      </c>
      <c r="Q531" t="s">
        <v>789</v>
      </c>
      <c r="R531" t="s">
        <v>864</v>
      </c>
      <c r="S531" t="s">
        <v>11</v>
      </c>
    </row>
    <row r="532" spans="1:19" hidden="1" x14ac:dyDescent="0.25">
      <c r="A532">
        <v>202</v>
      </c>
      <c r="B532" t="s">
        <v>32</v>
      </c>
      <c r="C532" t="s">
        <v>521</v>
      </c>
      <c r="D532" t="s">
        <v>522</v>
      </c>
      <c r="E532" s="50"/>
      <c r="F532" s="38"/>
      <c r="G532" s="38"/>
      <c r="H532" s="58">
        <f>PlanGrid[[#This Row],[Spec Wattage]]*PlanGrid[[#This Row],[Equipment Count]]</f>
        <v>0</v>
      </c>
      <c r="I532" s="50">
        <f>((PlanGrid[[#This Row],[Demand Watt]]*PlanGrid[[#This Row],[Utilization %]]*'Schedule-Building Info'!$N$16)/1000)</f>
        <v>0</v>
      </c>
      <c r="J532" s="50">
        <f>PlanGrid[[#This Row],[kWh/yr]]*' Elec Utility (kWh)'!$M$7</f>
        <v>0</v>
      </c>
      <c r="K532" s="38">
        <f>PlanGrid[[#This Row],[kWh/yr]]/'Schedule-Building Info'!$B$6</f>
        <v>0</v>
      </c>
      <c r="L532" s="50">
        <f>CONVERT(PlanGrid[[#This Row],[kWh/yr]],"Wh","BTU")</f>
        <v>0</v>
      </c>
      <c r="M532" s="38">
        <f>PlanGrid[[#This Row],[kBtu/yr]]/'Schedule-Building Info'!$B$6</f>
        <v>0</v>
      </c>
      <c r="N532" t="s">
        <v>1092</v>
      </c>
      <c r="O532">
        <v>0</v>
      </c>
      <c r="P532" t="e">
        <f>VLOOKUP(PlanGrid[[#This Row],[Title]],'Spec Wattages'!$A$1:$C$973,3,FALSE)</f>
        <v>#N/A</v>
      </c>
      <c r="Q532" t="s">
        <v>864</v>
      </c>
      <c r="R532" t="s">
        <v>864</v>
      </c>
      <c r="S532" t="s">
        <v>51</v>
      </c>
    </row>
    <row r="533" spans="1:19" hidden="1" x14ac:dyDescent="0.25">
      <c r="A533">
        <v>212</v>
      </c>
      <c r="B533" t="s">
        <v>32</v>
      </c>
      <c r="C533" t="s">
        <v>521</v>
      </c>
      <c r="D533" t="s">
        <v>34</v>
      </c>
      <c r="E533" s="50"/>
      <c r="F533" s="38"/>
      <c r="G533" s="38"/>
      <c r="H533" s="58">
        <f>PlanGrid[[#This Row],[Spec Wattage]]*PlanGrid[[#This Row],[Equipment Count]]</f>
        <v>0</v>
      </c>
      <c r="I533" s="50">
        <f>((PlanGrid[[#This Row],[Demand Watt]]*PlanGrid[[#This Row],[Utilization %]]*'Schedule-Building Info'!$N$16)/1000)</f>
        <v>0</v>
      </c>
      <c r="J533" s="50">
        <f>PlanGrid[[#This Row],[kWh/yr]]*' Elec Utility (kWh)'!$M$7</f>
        <v>0</v>
      </c>
      <c r="K533" s="38">
        <f>PlanGrid[[#This Row],[kWh/yr]]/'Schedule-Building Info'!$B$6</f>
        <v>0</v>
      </c>
      <c r="L533" s="50">
        <f>CONVERT(PlanGrid[[#This Row],[kWh/yr]],"Wh","BTU")</f>
        <v>0</v>
      </c>
      <c r="M533" s="38">
        <f>PlanGrid[[#This Row],[kBtu/yr]]/'Schedule-Building Info'!$B$6</f>
        <v>0</v>
      </c>
      <c r="N533" t="s">
        <v>1092</v>
      </c>
      <c r="O533">
        <v>0</v>
      </c>
      <c r="P533" t="e">
        <f>VLOOKUP(PlanGrid[[#This Row],[Title]],'Spec Wattages'!$A$1:$C$973,3,FALSE)</f>
        <v>#N/A</v>
      </c>
      <c r="Q533" t="s">
        <v>790</v>
      </c>
      <c r="R533" t="s">
        <v>966</v>
      </c>
      <c r="S533" t="s">
        <v>11</v>
      </c>
    </row>
    <row r="534" spans="1:19" hidden="1" x14ac:dyDescent="0.25">
      <c r="A534">
        <v>215</v>
      </c>
      <c r="B534" t="s">
        <v>32</v>
      </c>
      <c r="C534" t="s">
        <v>521</v>
      </c>
      <c r="D534" t="s">
        <v>522</v>
      </c>
      <c r="E534" s="50"/>
      <c r="F534" s="38"/>
      <c r="G534" s="38"/>
      <c r="H534" s="58">
        <f>PlanGrid[[#This Row],[Spec Wattage]]*PlanGrid[[#This Row],[Equipment Count]]</f>
        <v>0</v>
      </c>
      <c r="I534" s="50">
        <f>((PlanGrid[[#This Row],[Demand Watt]]*PlanGrid[[#This Row],[Utilization %]]*'Schedule-Building Info'!$N$16)/1000)</f>
        <v>0</v>
      </c>
      <c r="J534" s="50">
        <f>PlanGrid[[#This Row],[kWh/yr]]*' Elec Utility (kWh)'!$M$7</f>
        <v>0</v>
      </c>
      <c r="K534" s="38">
        <f>PlanGrid[[#This Row],[kWh/yr]]/'Schedule-Building Info'!$B$6</f>
        <v>0</v>
      </c>
      <c r="L534" s="50">
        <f>CONVERT(PlanGrid[[#This Row],[kWh/yr]],"Wh","BTU")</f>
        <v>0</v>
      </c>
      <c r="M534" s="38">
        <f>PlanGrid[[#This Row],[kBtu/yr]]/'Schedule-Building Info'!$B$6</f>
        <v>0</v>
      </c>
      <c r="N534" t="s">
        <v>1092</v>
      </c>
      <c r="O534">
        <v>0</v>
      </c>
      <c r="P534" t="e">
        <f>VLOOKUP(PlanGrid[[#This Row],[Title]],'Spec Wattages'!$A$1:$C$973,3,FALSE)</f>
        <v>#N/A</v>
      </c>
      <c r="Q534" t="s">
        <v>754</v>
      </c>
      <c r="R534" t="s">
        <v>754</v>
      </c>
      <c r="S534" t="s">
        <v>51</v>
      </c>
    </row>
    <row r="535" spans="1:19" hidden="1" x14ac:dyDescent="0.25">
      <c r="A535">
        <v>241</v>
      </c>
      <c r="B535" t="s">
        <v>32</v>
      </c>
      <c r="C535" t="s">
        <v>521</v>
      </c>
      <c r="D535" t="s">
        <v>522</v>
      </c>
      <c r="E535" s="50"/>
      <c r="F535" s="38"/>
      <c r="G535" s="38"/>
      <c r="H535" s="58">
        <f>PlanGrid[[#This Row],[Spec Wattage]]*PlanGrid[[#This Row],[Equipment Count]]</f>
        <v>0</v>
      </c>
      <c r="I535" s="50">
        <f>((PlanGrid[[#This Row],[Demand Watt]]*PlanGrid[[#This Row],[Utilization %]]*'Schedule-Building Info'!$N$16)/1000)</f>
        <v>0</v>
      </c>
      <c r="J535" s="50">
        <f>PlanGrid[[#This Row],[kWh/yr]]*' Elec Utility (kWh)'!$M$7</f>
        <v>0</v>
      </c>
      <c r="K535" s="38">
        <f>PlanGrid[[#This Row],[kWh/yr]]/'Schedule-Building Info'!$B$6</f>
        <v>0</v>
      </c>
      <c r="L535" s="50">
        <f>CONVERT(PlanGrid[[#This Row],[kWh/yr]],"Wh","BTU")</f>
        <v>0</v>
      </c>
      <c r="M535" s="38">
        <f>PlanGrid[[#This Row],[kBtu/yr]]/'Schedule-Building Info'!$B$6</f>
        <v>0</v>
      </c>
      <c r="N535" t="s">
        <v>1092</v>
      </c>
      <c r="O535">
        <v>0</v>
      </c>
      <c r="P535" t="e">
        <f>VLOOKUP(PlanGrid[[#This Row],[Title]],'Spec Wattages'!$A$1:$C$973,3,FALSE)</f>
        <v>#N/A</v>
      </c>
      <c r="Q535" t="s">
        <v>940</v>
      </c>
      <c r="R535" t="s">
        <v>940</v>
      </c>
      <c r="S535" t="s">
        <v>51</v>
      </c>
    </row>
    <row r="536" spans="1:19" hidden="1" x14ac:dyDescent="0.25">
      <c r="A536">
        <v>244</v>
      </c>
      <c r="B536" t="s">
        <v>32</v>
      </c>
      <c r="C536" t="s">
        <v>521</v>
      </c>
      <c r="D536" t="s">
        <v>522</v>
      </c>
      <c r="E536" s="50"/>
      <c r="F536" s="38"/>
      <c r="G536" s="38"/>
      <c r="H536" s="58">
        <f>PlanGrid[[#This Row],[Spec Wattage]]*PlanGrid[[#This Row],[Equipment Count]]</f>
        <v>0</v>
      </c>
      <c r="I536" s="50">
        <f>((PlanGrid[[#This Row],[Demand Watt]]*PlanGrid[[#This Row],[Utilization %]]*'Schedule-Building Info'!$N$16)/1000)</f>
        <v>0</v>
      </c>
      <c r="J536" s="50">
        <f>PlanGrid[[#This Row],[kWh/yr]]*' Elec Utility (kWh)'!$M$7</f>
        <v>0</v>
      </c>
      <c r="K536" s="38">
        <f>PlanGrid[[#This Row],[kWh/yr]]/'Schedule-Building Info'!$B$6</f>
        <v>0</v>
      </c>
      <c r="L536" s="50">
        <f>CONVERT(PlanGrid[[#This Row],[kWh/yr]],"Wh","BTU")</f>
        <v>0</v>
      </c>
      <c r="M536" s="38">
        <f>PlanGrid[[#This Row],[kBtu/yr]]/'Schedule-Building Info'!$B$6</f>
        <v>0</v>
      </c>
      <c r="N536" t="s">
        <v>1092</v>
      </c>
      <c r="O536">
        <v>0</v>
      </c>
      <c r="P536" t="e">
        <f>VLOOKUP(PlanGrid[[#This Row],[Title]],'Spec Wattages'!$A$1:$C$973,3,FALSE)</f>
        <v>#N/A</v>
      </c>
      <c r="Q536" t="s">
        <v>869</v>
      </c>
      <c r="R536" t="s">
        <v>869</v>
      </c>
      <c r="S536" t="s">
        <v>51</v>
      </c>
    </row>
    <row r="537" spans="1:19" hidden="1" x14ac:dyDescent="0.25">
      <c r="A537">
        <v>256</v>
      </c>
      <c r="B537" t="s">
        <v>32</v>
      </c>
      <c r="C537" t="s">
        <v>521</v>
      </c>
      <c r="D537" t="s">
        <v>525</v>
      </c>
      <c r="E537" s="50"/>
      <c r="F537" s="38"/>
      <c r="G537" s="38"/>
      <c r="H537" s="58">
        <f>PlanGrid[[#This Row],[Spec Wattage]]*PlanGrid[[#This Row],[Equipment Count]]</f>
        <v>0</v>
      </c>
      <c r="I537" s="50">
        <f>((PlanGrid[[#This Row],[Demand Watt]]*PlanGrid[[#This Row],[Utilization %]]*'Schedule-Building Info'!$N$16)/1000)</f>
        <v>0</v>
      </c>
      <c r="J537" s="50">
        <f>PlanGrid[[#This Row],[kWh/yr]]*' Elec Utility (kWh)'!$M$7</f>
        <v>0</v>
      </c>
      <c r="K537" s="38">
        <f>PlanGrid[[#This Row],[kWh/yr]]/'Schedule-Building Info'!$B$6</f>
        <v>0</v>
      </c>
      <c r="L537" s="50">
        <f>CONVERT(PlanGrid[[#This Row],[kWh/yr]],"Wh","BTU")</f>
        <v>0</v>
      </c>
      <c r="M537" s="38">
        <f>PlanGrid[[#This Row],[kBtu/yr]]/'Schedule-Building Info'!$B$6</f>
        <v>0</v>
      </c>
      <c r="N537" t="s">
        <v>1092</v>
      </c>
      <c r="O537">
        <v>0</v>
      </c>
      <c r="P537" t="e">
        <f>VLOOKUP(PlanGrid[[#This Row],[Title]],'Spec Wattages'!$A$1:$C$973,3,FALSE)</f>
        <v>#N/A</v>
      </c>
      <c r="Q537" t="s">
        <v>872</v>
      </c>
      <c r="R537" t="s">
        <v>755</v>
      </c>
      <c r="S537" t="s">
        <v>11</v>
      </c>
    </row>
    <row r="538" spans="1:19" hidden="1" x14ac:dyDescent="0.25">
      <c r="A538">
        <v>257</v>
      </c>
      <c r="B538" t="s">
        <v>32</v>
      </c>
      <c r="C538" t="s">
        <v>521</v>
      </c>
      <c r="D538" t="s">
        <v>525</v>
      </c>
      <c r="E538" s="50"/>
      <c r="F538" s="38"/>
      <c r="G538" s="38"/>
      <c r="H538" s="58">
        <f>PlanGrid[[#This Row],[Spec Wattage]]*PlanGrid[[#This Row],[Equipment Count]]</f>
        <v>0</v>
      </c>
      <c r="I538" s="50">
        <f>((PlanGrid[[#This Row],[Demand Watt]]*PlanGrid[[#This Row],[Utilization %]]*'Schedule-Building Info'!$N$16)/1000)</f>
        <v>0</v>
      </c>
      <c r="J538" s="50">
        <f>PlanGrid[[#This Row],[kWh/yr]]*' Elec Utility (kWh)'!$M$7</f>
        <v>0</v>
      </c>
      <c r="K538" s="38">
        <f>PlanGrid[[#This Row],[kWh/yr]]/'Schedule-Building Info'!$B$6</f>
        <v>0</v>
      </c>
      <c r="L538" s="50">
        <f>CONVERT(PlanGrid[[#This Row],[kWh/yr]],"Wh","BTU")</f>
        <v>0</v>
      </c>
      <c r="M538" s="38">
        <f>PlanGrid[[#This Row],[kBtu/yr]]/'Schedule-Building Info'!$B$6</f>
        <v>0</v>
      </c>
      <c r="N538" t="s">
        <v>1092</v>
      </c>
      <c r="O538">
        <v>0</v>
      </c>
      <c r="P538" t="e">
        <f>VLOOKUP(PlanGrid[[#This Row],[Title]],'Spec Wattages'!$A$1:$C$973,3,FALSE)</f>
        <v>#N/A</v>
      </c>
      <c r="Q538" t="s">
        <v>872</v>
      </c>
      <c r="R538" t="s">
        <v>755</v>
      </c>
      <c r="S538" t="s">
        <v>11</v>
      </c>
    </row>
    <row r="539" spans="1:19" hidden="1" x14ac:dyDescent="0.25">
      <c r="A539">
        <v>258</v>
      </c>
      <c r="B539" t="s">
        <v>32</v>
      </c>
      <c r="C539" t="s">
        <v>521</v>
      </c>
      <c r="D539" t="s">
        <v>522</v>
      </c>
      <c r="E539" s="50"/>
      <c r="F539" s="38"/>
      <c r="G539" s="38"/>
      <c r="H539" s="58">
        <f>PlanGrid[[#This Row],[Spec Wattage]]*PlanGrid[[#This Row],[Equipment Count]]</f>
        <v>0</v>
      </c>
      <c r="I539" s="50">
        <f>((PlanGrid[[#This Row],[Demand Watt]]*PlanGrid[[#This Row],[Utilization %]]*'Schedule-Building Info'!$N$16)/1000)</f>
        <v>0</v>
      </c>
      <c r="J539" s="50">
        <f>PlanGrid[[#This Row],[kWh/yr]]*' Elec Utility (kWh)'!$M$7</f>
        <v>0</v>
      </c>
      <c r="K539" s="38">
        <f>PlanGrid[[#This Row],[kWh/yr]]/'Schedule-Building Info'!$B$6</f>
        <v>0</v>
      </c>
      <c r="L539" s="50">
        <f>CONVERT(PlanGrid[[#This Row],[kWh/yr]],"Wh","BTU")</f>
        <v>0</v>
      </c>
      <c r="M539" s="38">
        <f>PlanGrid[[#This Row],[kBtu/yr]]/'Schedule-Building Info'!$B$6</f>
        <v>0</v>
      </c>
      <c r="N539" t="s">
        <v>1092</v>
      </c>
      <c r="O539">
        <v>0</v>
      </c>
      <c r="P539" t="e">
        <f>VLOOKUP(PlanGrid[[#This Row],[Title]],'Spec Wattages'!$A$1:$C$973,3,FALSE)</f>
        <v>#N/A</v>
      </c>
      <c r="Q539" t="s">
        <v>755</v>
      </c>
      <c r="R539" t="s">
        <v>1067</v>
      </c>
      <c r="S539" t="s">
        <v>51</v>
      </c>
    </row>
    <row r="540" spans="1:19" hidden="1" x14ac:dyDescent="0.25">
      <c r="A540">
        <v>261</v>
      </c>
      <c r="B540" t="s">
        <v>32</v>
      </c>
      <c r="C540" t="s">
        <v>521</v>
      </c>
      <c r="D540" t="s">
        <v>34</v>
      </c>
      <c r="E540" s="50"/>
      <c r="F540" s="38"/>
      <c r="G540" s="38"/>
      <c r="H540" s="58">
        <f>PlanGrid[[#This Row],[Spec Wattage]]*PlanGrid[[#This Row],[Equipment Count]]</f>
        <v>0</v>
      </c>
      <c r="I540" s="50">
        <f>((PlanGrid[[#This Row],[Demand Watt]]*PlanGrid[[#This Row],[Utilization %]]*'Schedule-Building Info'!$N$16)/1000)</f>
        <v>0</v>
      </c>
      <c r="J540" s="50">
        <f>PlanGrid[[#This Row],[kWh/yr]]*' Elec Utility (kWh)'!$M$7</f>
        <v>0</v>
      </c>
      <c r="K540" s="38">
        <f>PlanGrid[[#This Row],[kWh/yr]]/'Schedule-Building Info'!$B$6</f>
        <v>0</v>
      </c>
      <c r="L540" s="50">
        <f>CONVERT(PlanGrid[[#This Row],[kWh/yr]],"Wh","BTU")</f>
        <v>0</v>
      </c>
      <c r="M540" s="38">
        <f>PlanGrid[[#This Row],[kBtu/yr]]/'Schedule-Building Info'!$B$6</f>
        <v>0</v>
      </c>
      <c r="N540" t="s">
        <v>1092</v>
      </c>
      <c r="O540">
        <v>0</v>
      </c>
      <c r="P540" t="e">
        <f>VLOOKUP(PlanGrid[[#This Row],[Title]],'Spec Wattages'!$A$1:$C$973,3,FALSE)</f>
        <v>#N/A</v>
      </c>
      <c r="Q540" t="s">
        <v>871</v>
      </c>
      <c r="R540" t="s">
        <v>943</v>
      </c>
      <c r="S540" t="s">
        <v>11</v>
      </c>
    </row>
    <row r="541" spans="1:19" hidden="1" x14ac:dyDescent="0.25">
      <c r="A541">
        <v>262</v>
      </c>
      <c r="B541" t="s">
        <v>32</v>
      </c>
      <c r="C541" t="s">
        <v>521</v>
      </c>
      <c r="D541" t="s">
        <v>522</v>
      </c>
      <c r="E541" s="50"/>
      <c r="F541" s="38"/>
      <c r="G541" s="38"/>
      <c r="H541" s="58">
        <f>PlanGrid[[#This Row],[Spec Wattage]]*PlanGrid[[#This Row],[Equipment Count]]</f>
        <v>0</v>
      </c>
      <c r="I541" s="50">
        <f>((PlanGrid[[#This Row],[Demand Watt]]*PlanGrid[[#This Row],[Utilization %]]*'Schedule-Building Info'!$N$16)/1000)</f>
        <v>0</v>
      </c>
      <c r="J541" s="50">
        <f>PlanGrid[[#This Row],[kWh/yr]]*' Elec Utility (kWh)'!$M$7</f>
        <v>0</v>
      </c>
      <c r="K541" s="38">
        <f>PlanGrid[[#This Row],[kWh/yr]]/'Schedule-Building Info'!$B$6</f>
        <v>0</v>
      </c>
      <c r="L541" s="50">
        <f>CONVERT(PlanGrid[[#This Row],[kWh/yr]],"Wh","BTU")</f>
        <v>0</v>
      </c>
      <c r="M541" s="38">
        <f>PlanGrid[[#This Row],[kBtu/yr]]/'Schedule-Building Info'!$B$6</f>
        <v>0</v>
      </c>
      <c r="N541" t="s">
        <v>1092</v>
      </c>
      <c r="O541">
        <v>0</v>
      </c>
      <c r="P541" t="e">
        <f>VLOOKUP(PlanGrid[[#This Row],[Title]],'Spec Wattages'!$A$1:$C$973,3,FALSE)</f>
        <v>#N/A</v>
      </c>
      <c r="Q541" t="s">
        <v>943</v>
      </c>
      <c r="R541" t="s">
        <v>756</v>
      </c>
      <c r="S541" t="s">
        <v>51</v>
      </c>
    </row>
    <row r="542" spans="1:19" hidden="1" x14ac:dyDescent="0.25">
      <c r="A542">
        <v>280</v>
      </c>
      <c r="B542" t="s">
        <v>32</v>
      </c>
      <c r="C542" t="s">
        <v>521</v>
      </c>
      <c r="D542" t="s">
        <v>34</v>
      </c>
      <c r="E542" s="50"/>
      <c r="F542" s="38"/>
      <c r="G542" s="38"/>
      <c r="H542" s="58">
        <f>PlanGrid[[#This Row],[Spec Wattage]]*PlanGrid[[#This Row],[Equipment Count]]</f>
        <v>0</v>
      </c>
      <c r="I542" s="50">
        <f>((PlanGrid[[#This Row],[Demand Watt]]*PlanGrid[[#This Row],[Utilization %]]*'Schedule-Building Info'!$N$16)/1000)</f>
        <v>0</v>
      </c>
      <c r="J542" s="50">
        <f>PlanGrid[[#This Row],[kWh/yr]]*' Elec Utility (kWh)'!$M$7</f>
        <v>0</v>
      </c>
      <c r="K542" s="38">
        <f>PlanGrid[[#This Row],[kWh/yr]]/'Schedule-Building Info'!$B$6</f>
        <v>0</v>
      </c>
      <c r="L542" s="50">
        <f>CONVERT(PlanGrid[[#This Row],[kWh/yr]],"Wh","BTU")</f>
        <v>0</v>
      </c>
      <c r="M542" s="38">
        <f>PlanGrid[[#This Row],[kBtu/yr]]/'Schedule-Building Info'!$B$6</f>
        <v>0</v>
      </c>
      <c r="N542" t="s">
        <v>1092</v>
      </c>
      <c r="O542">
        <v>0</v>
      </c>
      <c r="P542" t="e">
        <f>VLOOKUP(PlanGrid[[#This Row],[Title]],'Spec Wattages'!$A$1:$C$973,3,FALSE)</f>
        <v>#N/A</v>
      </c>
      <c r="Q542" t="s">
        <v>944</v>
      </c>
      <c r="R542" t="s">
        <v>1068</v>
      </c>
      <c r="S542" t="s">
        <v>11</v>
      </c>
    </row>
    <row r="543" spans="1:19" hidden="1" x14ac:dyDescent="0.25">
      <c r="A543">
        <v>281</v>
      </c>
      <c r="B543" t="s">
        <v>32</v>
      </c>
      <c r="C543" t="s">
        <v>521</v>
      </c>
      <c r="D543" t="s">
        <v>34</v>
      </c>
      <c r="E543" s="50"/>
      <c r="F543" s="38"/>
      <c r="G543" s="38"/>
      <c r="H543" s="58">
        <f>PlanGrid[[#This Row],[Spec Wattage]]*PlanGrid[[#This Row],[Equipment Count]]</f>
        <v>0</v>
      </c>
      <c r="I543" s="50">
        <f>((PlanGrid[[#This Row],[Demand Watt]]*PlanGrid[[#This Row],[Utilization %]]*'Schedule-Building Info'!$N$16)/1000)</f>
        <v>0</v>
      </c>
      <c r="J543" s="50">
        <f>PlanGrid[[#This Row],[kWh/yr]]*' Elec Utility (kWh)'!$M$7</f>
        <v>0</v>
      </c>
      <c r="K543" s="38">
        <f>PlanGrid[[#This Row],[kWh/yr]]/'Schedule-Building Info'!$B$6</f>
        <v>0</v>
      </c>
      <c r="L543" s="50">
        <f>CONVERT(PlanGrid[[#This Row],[kWh/yr]],"Wh","BTU")</f>
        <v>0</v>
      </c>
      <c r="M543" s="38">
        <f>PlanGrid[[#This Row],[kBtu/yr]]/'Schedule-Building Info'!$B$6</f>
        <v>0</v>
      </c>
      <c r="N543" t="s">
        <v>1092</v>
      </c>
      <c r="O543">
        <v>0</v>
      </c>
      <c r="P543" t="e">
        <f>VLOOKUP(PlanGrid[[#This Row],[Title]],'Spec Wattages'!$A$1:$C$973,3,FALSE)</f>
        <v>#N/A</v>
      </c>
      <c r="Q543" t="s">
        <v>944</v>
      </c>
      <c r="R543" t="s">
        <v>1069</v>
      </c>
      <c r="S543" t="s">
        <v>11</v>
      </c>
    </row>
    <row r="544" spans="1:19" hidden="1" x14ac:dyDescent="0.25">
      <c r="A544">
        <v>301</v>
      </c>
      <c r="B544" t="s">
        <v>32</v>
      </c>
      <c r="C544" t="s">
        <v>521</v>
      </c>
      <c r="D544" t="s">
        <v>34</v>
      </c>
      <c r="E544" s="50"/>
      <c r="F544" s="38"/>
      <c r="G544" s="38"/>
      <c r="H544" s="58">
        <f>PlanGrid[[#This Row],[Spec Wattage]]*PlanGrid[[#This Row],[Equipment Count]]</f>
        <v>0</v>
      </c>
      <c r="I544" s="50">
        <f>((PlanGrid[[#This Row],[Demand Watt]]*PlanGrid[[#This Row],[Utilization %]]*'Schedule-Building Info'!$N$16)/1000)</f>
        <v>0</v>
      </c>
      <c r="J544" s="50">
        <f>PlanGrid[[#This Row],[kWh/yr]]*' Elec Utility (kWh)'!$M$7</f>
        <v>0</v>
      </c>
      <c r="K544" s="38">
        <f>PlanGrid[[#This Row],[kWh/yr]]/'Schedule-Building Info'!$B$6</f>
        <v>0</v>
      </c>
      <c r="L544" s="50">
        <f>CONVERT(PlanGrid[[#This Row],[kWh/yr]],"Wh","BTU")</f>
        <v>0</v>
      </c>
      <c r="M544" s="38">
        <f>PlanGrid[[#This Row],[kBtu/yr]]/'Schedule-Building Info'!$B$6</f>
        <v>0</v>
      </c>
      <c r="N544" t="s">
        <v>1092</v>
      </c>
      <c r="O544">
        <v>0</v>
      </c>
      <c r="P544" t="e">
        <f>VLOOKUP(PlanGrid[[#This Row],[Title]],'Spec Wattages'!$A$1:$C$973,3,FALSE)</f>
        <v>#N/A</v>
      </c>
      <c r="Q544" t="s">
        <v>876</v>
      </c>
      <c r="R544" t="s">
        <v>1042</v>
      </c>
      <c r="S544" t="s">
        <v>11</v>
      </c>
    </row>
    <row r="545" spans="1:19" hidden="1" x14ac:dyDescent="0.25">
      <c r="A545">
        <v>311</v>
      </c>
      <c r="B545" t="s">
        <v>32</v>
      </c>
      <c r="C545" t="s">
        <v>521</v>
      </c>
      <c r="D545" t="s">
        <v>525</v>
      </c>
      <c r="E545" s="50"/>
      <c r="F545" s="38"/>
      <c r="G545" s="38"/>
      <c r="H545" s="58">
        <f>PlanGrid[[#This Row],[Spec Wattage]]*PlanGrid[[#This Row],[Equipment Count]]</f>
        <v>0</v>
      </c>
      <c r="I545" s="50">
        <f>((PlanGrid[[#This Row],[Demand Watt]]*PlanGrid[[#This Row],[Utilization %]]*'Schedule-Building Info'!$N$16)/1000)</f>
        <v>0</v>
      </c>
      <c r="J545" s="50">
        <f>PlanGrid[[#This Row],[kWh/yr]]*' Elec Utility (kWh)'!$M$7</f>
        <v>0</v>
      </c>
      <c r="K545" s="38">
        <f>PlanGrid[[#This Row],[kWh/yr]]/'Schedule-Building Info'!$B$6</f>
        <v>0</v>
      </c>
      <c r="L545" s="50">
        <f>CONVERT(PlanGrid[[#This Row],[kWh/yr]],"Wh","BTU")</f>
        <v>0</v>
      </c>
      <c r="M545" s="38">
        <f>PlanGrid[[#This Row],[kBtu/yr]]/'Schedule-Building Info'!$B$6</f>
        <v>0</v>
      </c>
      <c r="N545" t="s">
        <v>1092</v>
      </c>
      <c r="O545">
        <v>0</v>
      </c>
      <c r="P545" t="e">
        <f>VLOOKUP(PlanGrid[[#This Row],[Title]],'Spec Wattages'!$A$1:$C$973,3,FALSE)</f>
        <v>#N/A</v>
      </c>
      <c r="Q545" t="s">
        <v>881</v>
      </c>
      <c r="R545" t="s">
        <v>1056</v>
      </c>
      <c r="S545" t="s">
        <v>11</v>
      </c>
    </row>
    <row r="546" spans="1:19" hidden="1" x14ac:dyDescent="0.25">
      <c r="A546">
        <v>314</v>
      </c>
      <c r="B546" t="s">
        <v>32</v>
      </c>
      <c r="C546" t="s">
        <v>521</v>
      </c>
      <c r="D546" t="s">
        <v>34</v>
      </c>
      <c r="E546" s="50"/>
      <c r="F546" s="38"/>
      <c r="G546" s="38"/>
      <c r="H546" s="58">
        <f>PlanGrid[[#This Row],[Spec Wattage]]*PlanGrid[[#This Row],[Equipment Count]]</f>
        <v>0</v>
      </c>
      <c r="I546" s="50">
        <f>((PlanGrid[[#This Row],[Demand Watt]]*PlanGrid[[#This Row],[Utilization %]]*'Schedule-Building Info'!$N$16)/1000)</f>
        <v>0</v>
      </c>
      <c r="J546" s="50">
        <f>PlanGrid[[#This Row],[kWh/yr]]*' Elec Utility (kWh)'!$M$7</f>
        <v>0</v>
      </c>
      <c r="K546" s="38">
        <f>PlanGrid[[#This Row],[kWh/yr]]/'Schedule-Building Info'!$B$6</f>
        <v>0</v>
      </c>
      <c r="L546" s="50">
        <f>CONVERT(PlanGrid[[#This Row],[kWh/yr]],"Wh","BTU")</f>
        <v>0</v>
      </c>
      <c r="M546" s="38">
        <f>PlanGrid[[#This Row],[kBtu/yr]]/'Schedule-Building Info'!$B$6</f>
        <v>0</v>
      </c>
      <c r="N546" t="s">
        <v>1092</v>
      </c>
      <c r="O546">
        <v>0</v>
      </c>
      <c r="P546" t="e">
        <f>VLOOKUP(PlanGrid[[#This Row],[Title]],'Spec Wattages'!$A$1:$C$973,3,FALSE)</f>
        <v>#N/A</v>
      </c>
      <c r="Q546" t="s">
        <v>884</v>
      </c>
      <c r="R546" t="s">
        <v>1056</v>
      </c>
      <c r="S546" t="s">
        <v>11</v>
      </c>
    </row>
    <row r="547" spans="1:19" hidden="1" x14ac:dyDescent="0.25">
      <c r="A547">
        <v>317</v>
      </c>
      <c r="B547" t="s">
        <v>32</v>
      </c>
      <c r="C547" t="s">
        <v>521</v>
      </c>
      <c r="D547" t="s">
        <v>34</v>
      </c>
      <c r="E547" s="50"/>
      <c r="F547" s="38"/>
      <c r="G547" s="38"/>
      <c r="H547" s="58">
        <f>PlanGrid[[#This Row],[Spec Wattage]]*PlanGrid[[#This Row],[Equipment Count]]</f>
        <v>0</v>
      </c>
      <c r="I547" s="50">
        <f>((PlanGrid[[#This Row],[Demand Watt]]*PlanGrid[[#This Row],[Utilization %]]*'Schedule-Building Info'!$N$16)/1000)</f>
        <v>0</v>
      </c>
      <c r="J547" s="50">
        <f>PlanGrid[[#This Row],[kWh/yr]]*' Elec Utility (kWh)'!$M$7</f>
        <v>0</v>
      </c>
      <c r="K547" s="38">
        <f>PlanGrid[[#This Row],[kWh/yr]]/'Schedule-Building Info'!$B$6</f>
        <v>0</v>
      </c>
      <c r="L547" s="50">
        <f>CONVERT(PlanGrid[[#This Row],[kWh/yr]],"Wh","BTU")</f>
        <v>0</v>
      </c>
      <c r="M547" s="38">
        <f>PlanGrid[[#This Row],[kBtu/yr]]/'Schedule-Building Info'!$B$6</f>
        <v>0</v>
      </c>
      <c r="N547" t="s">
        <v>1092</v>
      </c>
      <c r="O547">
        <v>0</v>
      </c>
      <c r="P547" t="e">
        <f>VLOOKUP(PlanGrid[[#This Row],[Title]],'Spec Wattages'!$A$1:$C$973,3,FALSE)</f>
        <v>#N/A</v>
      </c>
      <c r="Q547" t="s">
        <v>885</v>
      </c>
      <c r="R547" t="s">
        <v>1056</v>
      </c>
      <c r="S547" t="s">
        <v>11</v>
      </c>
    </row>
    <row r="548" spans="1:19" hidden="1" x14ac:dyDescent="0.25">
      <c r="A548">
        <v>320</v>
      </c>
      <c r="B548" t="s">
        <v>32</v>
      </c>
      <c r="C548" t="s">
        <v>521</v>
      </c>
      <c r="D548" t="s">
        <v>34</v>
      </c>
      <c r="E548" s="50"/>
      <c r="F548" s="38"/>
      <c r="G548" s="38"/>
      <c r="H548" s="58">
        <f>PlanGrid[[#This Row],[Spec Wattage]]*PlanGrid[[#This Row],[Equipment Count]]</f>
        <v>0</v>
      </c>
      <c r="I548" s="50">
        <f>((PlanGrid[[#This Row],[Demand Watt]]*PlanGrid[[#This Row],[Utilization %]]*'Schedule-Building Info'!$N$16)/1000)</f>
        <v>0</v>
      </c>
      <c r="J548" s="50">
        <f>PlanGrid[[#This Row],[kWh/yr]]*' Elec Utility (kWh)'!$M$7</f>
        <v>0</v>
      </c>
      <c r="K548" s="38">
        <f>PlanGrid[[#This Row],[kWh/yr]]/'Schedule-Building Info'!$B$6</f>
        <v>0</v>
      </c>
      <c r="L548" s="50">
        <f>CONVERT(PlanGrid[[#This Row],[kWh/yr]],"Wh","BTU")</f>
        <v>0</v>
      </c>
      <c r="M548" s="38">
        <f>PlanGrid[[#This Row],[kBtu/yr]]/'Schedule-Building Info'!$B$6</f>
        <v>0</v>
      </c>
      <c r="N548" t="s">
        <v>1092</v>
      </c>
      <c r="O548">
        <v>0</v>
      </c>
      <c r="P548" t="e">
        <f>VLOOKUP(PlanGrid[[#This Row],[Title]],'Spec Wattages'!$A$1:$C$973,3,FALSE)</f>
        <v>#N/A</v>
      </c>
      <c r="Q548" t="s">
        <v>945</v>
      </c>
      <c r="R548" t="s">
        <v>1056</v>
      </c>
      <c r="S548" t="s">
        <v>11</v>
      </c>
    </row>
    <row r="549" spans="1:19" hidden="1" x14ac:dyDescent="0.25">
      <c r="A549">
        <v>325</v>
      </c>
      <c r="B549" t="s">
        <v>32</v>
      </c>
      <c r="C549" t="s">
        <v>521</v>
      </c>
      <c r="D549" t="s">
        <v>34</v>
      </c>
      <c r="E549" s="50"/>
      <c r="F549" s="38"/>
      <c r="G549" s="38"/>
      <c r="H549" s="58">
        <f>PlanGrid[[#This Row],[Spec Wattage]]*PlanGrid[[#This Row],[Equipment Count]]</f>
        <v>0</v>
      </c>
      <c r="I549" s="50">
        <f>((PlanGrid[[#This Row],[Demand Watt]]*PlanGrid[[#This Row],[Utilization %]]*'Schedule-Building Info'!$N$16)/1000)</f>
        <v>0</v>
      </c>
      <c r="J549" s="50">
        <f>PlanGrid[[#This Row],[kWh/yr]]*' Elec Utility (kWh)'!$M$7</f>
        <v>0</v>
      </c>
      <c r="K549" s="38">
        <f>PlanGrid[[#This Row],[kWh/yr]]/'Schedule-Building Info'!$B$6</f>
        <v>0</v>
      </c>
      <c r="L549" s="50">
        <f>CONVERT(PlanGrid[[#This Row],[kWh/yr]],"Wh","BTU")</f>
        <v>0</v>
      </c>
      <c r="M549" s="38">
        <f>PlanGrid[[#This Row],[kBtu/yr]]/'Schedule-Building Info'!$B$6</f>
        <v>0</v>
      </c>
      <c r="N549" t="s">
        <v>1092</v>
      </c>
      <c r="O549">
        <v>0</v>
      </c>
      <c r="P549" t="e">
        <f>VLOOKUP(PlanGrid[[#This Row],[Title]],'Spec Wattages'!$A$1:$C$973,3,FALSE)</f>
        <v>#N/A</v>
      </c>
      <c r="Q549" t="s">
        <v>887</v>
      </c>
      <c r="R549" t="s">
        <v>1056</v>
      </c>
      <c r="S549" t="s">
        <v>11</v>
      </c>
    </row>
    <row r="550" spans="1:19" hidden="1" x14ac:dyDescent="0.25">
      <c r="A550">
        <v>334</v>
      </c>
      <c r="B550" t="s">
        <v>32</v>
      </c>
      <c r="C550" t="s">
        <v>521</v>
      </c>
      <c r="D550" t="s">
        <v>34</v>
      </c>
      <c r="E550" s="50"/>
      <c r="F550" s="38"/>
      <c r="G550" s="38"/>
      <c r="H550" s="58">
        <f>PlanGrid[[#This Row],[Spec Wattage]]*PlanGrid[[#This Row],[Equipment Count]]</f>
        <v>0</v>
      </c>
      <c r="I550" s="50">
        <f>((PlanGrid[[#This Row],[Demand Watt]]*PlanGrid[[#This Row],[Utilization %]]*'Schedule-Building Info'!$N$16)/1000)</f>
        <v>0</v>
      </c>
      <c r="J550" s="50">
        <f>PlanGrid[[#This Row],[kWh/yr]]*' Elec Utility (kWh)'!$M$7</f>
        <v>0</v>
      </c>
      <c r="K550" s="38">
        <f>PlanGrid[[#This Row],[kWh/yr]]/'Schedule-Building Info'!$B$6</f>
        <v>0</v>
      </c>
      <c r="L550" s="50">
        <f>CONVERT(PlanGrid[[#This Row],[kWh/yr]],"Wh","BTU")</f>
        <v>0</v>
      </c>
      <c r="M550" s="38">
        <f>PlanGrid[[#This Row],[kBtu/yr]]/'Schedule-Building Info'!$B$6</f>
        <v>0</v>
      </c>
      <c r="N550" t="s">
        <v>1092</v>
      </c>
      <c r="O550">
        <v>0</v>
      </c>
      <c r="P550" t="e">
        <f>VLOOKUP(PlanGrid[[#This Row],[Title]],'Spec Wattages'!$A$1:$C$973,3,FALSE)</f>
        <v>#N/A</v>
      </c>
      <c r="Q550" t="s">
        <v>946</v>
      </c>
      <c r="R550" t="s">
        <v>1056</v>
      </c>
      <c r="S550" t="s">
        <v>11</v>
      </c>
    </row>
    <row r="551" spans="1:19" hidden="1" x14ac:dyDescent="0.25">
      <c r="A551">
        <v>347</v>
      </c>
      <c r="B551" t="s">
        <v>32</v>
      </c>
      <c r="C551" t="s">
        <v>521</v>
      </c>
      <c r="D551" t="s">
        <v>34</v>
      </c>
      <c r="E551" s="50"/>
      <c r="F551" s="38"/>
      <c r="G551" s="38"/>
      <c r="H551" s="58">
        <f>PlanGrid[[#This Row],[Spec Wattage]]*PlanGrid[[#This Row],[Equipment Count]]</f>
        <v>0</v>
      </c>
      <c r="I551" s="50">
        <f>((PlanGrid[[#This Row],[Demand Watt]]*PlanGrid[[#This Row],[Utilization %]]*'Schedule-Building Info'!$N$16)/1000)</f>
        <v>0</v>
      </c>
      <c r="J551" s="50">
        <f>PlanGrid[[#This Row],[kWh/yr]]*' Elec Utility (kWh)'!$M$7</f>
        <v>0</v>
      </c>
      <c r="K551" s="38">
        <f>PlanGrid[[#This Row],[kWh/yr]]/'Schedule-Building Info'!$B$6</f>
        <v>0</v>
      </c>
      <c r="L551" s="50">
        <f>CONVERT(PlanGrid[[#This Row],[kWh/yr]],"Wh","BTU")</f>
        <v>0</v>
      </c>
      <c r="M551" s="38">
        <f>PlanGrid[[#This Row],[kBtu/yr]]/'Schedule-Building Info'!$B$6</f>
        <v>0</v>
      </c>
      <c r="N551" t="s">
        <v>1092</v>
      </c>
      <c r="O551">
        <v>0</v>
      </c>
      <c r="P551" t="e">
        <f>VLOOKUP(PlanGrid[[#This Row],[Title]],'Spec Wattages'!$A$1:$C$973,3,FALSE)</f>
        <v>#N/A</v>
      </c>
      <c r="Q551" t="s">
        <v>892</v>
      </c>
      <c r="R551" t="s">
        <v>1043</v>
      </c>
      <c r="S551" t="s">
        <v>11</v>
      </c>
    </row>
    <row r="552" spans="1:19" hidden="1" x14ac:dyDescent="0.25">
      <c r="A552">
        <v>348</v>
      </c>
      <c r="B552" t="s">
        <v>32</v>
      </c>
      <c r="C552" t="s">
        <v>521</v>
      </c>
      <c r="D552" t="s">
        <v>34</v>
      </c>
      <c r="E552" s="50"/>
      <c r="F552" s="38"/>
      <c r="G552" s="38"/>
      <c r="H552" s="58">
        <f>PlanGrid[[#This Row],[Spec Wattage]]*PlanGrid[[#This Row],[Equipment Count]]</f>
        <v>0</v>
      </c>
      <c r="I552" s="50">
        <f>((PlanGrid[[#This Row],[Demand Watt]]*PlanGrid[[#This Row],[Utilization %]]*'Schedule-Building Info'!$N$16)/1000)</f>
        <v>0</v>
      </c>
      <c r="J552" s="50">
        <f>PlanGrid[[#This Row],[kWh/yr]]*' Elec Utility (kWh)'!$M$7</f>
        <v>0</v>
      </c>
      <c r="K552" s="38">
        <f>PlanGrid[[#This Row],[kWh/yr]]/'Schedule-Building Info'!$B$6</f>
        <v>0</v>
      </c>
      <c r="L552" s="50">
        <f>CONVERT(PlanGrid[[#This Row],[kWh/yr]],"Wh","BTU")</f>
        <v>0</v>
      </c>
      <c r="M552" s="38">
        <f>PlanGrid[[#This Row],[kBtu/yr]]/'Schedule-Building Info'!$B$6</f>
        <v>0</v>
      </c>
      <c r="N552" t="s">
        <v>1092</v>
      </c>
      <c r="O552">
        <v>0</v>
      </c>
      <c r="P552" t="e">
        <f>VLOOKUP(PlanGrid[[#This Row],[Title]],'Spec Wattages'!$A$1:$C$973,3,FALSE)</f>
        <v>#N/A</v>
      </c>
      <c r="Q552" t="s">
        <v>892</v>
      </c>
      <c r="R552" t="s">
        <v>1043</v>
      </c>
      <c r="S552" t="s">
        <v>11</v>
      </c>
    </row>
    <row r="553" spans="1:19" hidden="1" x14ac:dyDescent="0.25">
      <c r="A553">
        <v>350</v>
      </c>
      <c r="B553" t="s">
        <v>32</v>
      </c>
      <c r="C553" t="s">
        <v>521</v>
      </c>
      <c r="D553" t="s">
        <v>34</v>
      </c>
      <c r="E553" s="50"/>
      <c r="F553" s="38"/>
      <c r="G553" s="38"/>
      <c r="H553" s="58">
        <f>PlanGrid[[#This Row],[Spec Wattage]]*PlanGrid[[#This Row],[Equipment Count]]</f>
        <v>0</v>
      </c>
      <c r="I553" s="50">
        <f>((PlanGrid[[#This Row],[Demand Watt]]*PlanGrid[[#This Row],[Utilization %]]*'Schedule-Building Info'!$N$16)/1000)</f>
        <v>0</v>
      </c>
      <c r="J553" s="50">
        <f>PlanGrid[[#This Row],[kWh/yr]]*' Elec Utility (kWh)'!$M$7</f>
        <v>0</v>
      </c>
      <c r="K553" s="38">
        <f>PlanGrid[[#This Row],[kWh/yr]]/'Schedule-Building Info'!$B$6</f>
        <v>0</v>
      </c>
      <c r="L553" s="50">
        <f>CONVERT(PlanGrid[[#This Row],[kWh/yr]],"Wh","BTU")</f>
        <v>0</v>
      </c>
      <c r="M553" s="38">
        <f>PlanGrid[[#This Row],[kBtu/yr]]/'Schedule-Building Info'!$B$6</f>
        <v>0</v>
      </c>
      <c r="N553" t="s">
        <v>1092</v>
      </c>
      <c r="O553">
        <v>0</v>
      </c>
      <c r="P553" t="e">
        <f>VLOOKUP(PlanGrid[[#This Row],[Title]],'Spec Wattages'!$A$1:$C$973,3,FALSE)</f>
        <v>#N/A</v>
      </c>
      <c r="Q553" t="s">
        <v>892</v>
      </c>
      <c r="R553" t="s">
        <v>1043</v>
      </c>
      <c r="S553" t="s">
        <v>11</v>
      </c>
    </row>
    <row r="554" spans="1:19" hidden="1" x14ac:dyDescent="0.25">
      <c r="A554">
        <v>355</v>
      </c>
      <c r="B554" t="s">
        <v>32</v>
      </c>
      <c r="C554" t="s">
        <v>521</v>
      </c>
      <c r="D554" t="s">
        <v>34</v>
      </c>
      <c r="E554" s="50"/>
      <c r="F554" s="38"/>
      <c r="G554" s="38"/>
      <c r="H554" s="58">
        <f>PlanGrid[[#This Row],[Spec Wattage]]*PlanGrid[[#This Row],[Equipment Count]]</f>
        <v>0</v>
      </c>
      <c r="I554" s="50">
        <f>((PlanGrid[[#This Row],[Demand Watt]]*PlanGrid[[#This Row],[Utilization %]]*'Schedule-Building Info'!$N$16)/1000)</f>
        <v>0</v>
      </c>
      <c r="J554" s="50">
        <f>PlanGrid[[#This Row],[kWh/yr]]*' Elec Utility (kWh)'!$M$7</f>
        <v>0</v>
      </c>
      <c r="K554" s="38">
        <f>PlanGrid[[#This Row],[kWh/yr]]/'Schedule-Building Info'!$B$6</f>
        <v>0</v>
      </c>
      <c r="L554" s="50">
        <f>CONVERT(PlanGrid[[#This Row],[kWh/yr]],"Wh","BTU")</f>
        <v>0</v>
      </c>
      <c r="M554" s="38">
        <f>PlanGrid[[#This Row],[kBtu/yr]]/'Schedule-Building Info'!$B$6</f>
        <v>0</v>
      </c>
      <c r="N554" t="s">
        <v>1092</v>
      </c>
      <c r="O554">
        <v>0</v>
      </c>
      <c r="P554" t="e">
        <f>VLOOKUP(PlanGrid[[#This Row],[Title]],'Spec Wattages'!$A$1:$C$973,3,FALSE)</f>
        <v>#N/A</v>
      </c>
      <c r="Q554" t="s">
        <v>947</v>
      </c>
      <c r="R554" t="s">
        <v>1043</v>
      </c>
      <c r="S554" t="s">
        <v>11</v>
      </c>
    </row>
    <row r="555" spans="1:19" hidden="1" x14ac:dyDescent="0.25">
      <c r="A555">
        <v>362</v>
      </c>
      <c r="B555" t="s">
        <v>32</v>
      </c>
      <c r="C555" t="s">
        <v>521</v>
      </c>
      <c r="D555" t="s">
        <v>34</v>
      </c>
      <c r="E555" s="50"/>
      <c r="F555" s="38"/>
      <c r="G555" s="38"/>
      <c r="H555" s="58">
        <f>PlanGrid[[#This Row],[Spec Wattage]]*PlanGrid[[#This Row],[Equipment Count]]</f>
        <v>0</v>
      </c>
      <c r="I555" s="50">
        <f>((PlanGrid[[#This Row],[Demand Watt]]*PlanGrid[[#This Row],[Utilization %]]*'Schedule-Building Info'!$N$16)/1000)</f>
        <v>0</v>
      </c>
      <c r="J555" s="50">
        <f>PlanGrid[[#This Row],[kWh/yr]]*' Elec Utility (kWh)'!$M$7</f>
        <v>0</v>
      </c>
      <c r="K555" s="38">
        <f>PlanGrid[[#This Row],[kWh/yr]]/'Schedule-Building Info'!$B$6</f>
        <v>0</v>
      </c>
      <c r="L555" s="50">
        <f>CONVERT(PlanGrid[[#This Row],[kWh/yr]],"Wh","BTU")</f>
        <v>0</v>
      </c>
      <c r="M555" s="38">
        <f>PlanGrid[[#This Row],[kBtu/yr]]/'Schedule-Building Info'!$B$6</f>
        <v>0</v>
      </c>
      <c r="N555" t="s">
        <v>1092</v>
      </c>
      <c r="O555">
        <v>0</v>
      </c>
      <c r="P555" t="e">
        <f>VLOOKUP(PlanGrid[[#This Row],[Title]],'Spec Wattages'!$A$1:$C$973,3,FALSE)</f>
        <v>#N/A</v>
      </c>
      <c r="Q555" t="s">
        <v>894</v>
      </c>
      <c r="R555" t="s">
        <v>1043</v>
      </c>
      <c r="S555" t="s">
        <v>11</v>
      </c>
    </row>
    <row r="556" spans="1:19" hidden="1" x14ac:dyDescent="0.25">
      <c r="A556">
        <v>364</v>
      </c>
      <c r="B556" t="s">
        <v>32</v>
      </c>
      <c r="C556" t="s">
        <v>521</v>
      </c>
      <c r="D556" t="s">
        <v>34</v>
      </c>
      <c r="E556" s="50"/>
      <c r="F556" s="38"/>
      <c r="G556" s="38"/>
      <c r="H556" s="58">
        <f>PlanGrid[[#This Row],[Spec Wattage]]*PlanGrid[[#This Row],[Equipment Count]]</f>
        <v>0</v>
      </c>
      <c r="I556" s="50">
        <f>((PlanGrid[[#This Row],[Demand Watt]]*PlanGrid[[#This Row],[Utilization %]]*'Schedule-Building Info'!$N$16)/1000)</f>
        <v>0</v>
      </c>
      <c r="J556" s="50">
        <f>PlanGrid[[#This Row],[kWh/yr]]*' Elec Utility (kWh)'!$M$7</f>
        <v>0</v>
      </c>
      <c r="K556" s="38">
        <f>PlanGrid[[#This Row],[kWh/yr]]/'Schedule-Building Info'!$B$6</f>
        <v>0</v>
      </c>
      <c r="L556" s="50">
        <f>CONVERT(PlanGrid[[#This Row],[kWh/yr]],"Wh","BTU")</f>
        <v>0</v>
      </c>
      <c r="M556" s="38">
        <f>PlanGrid[[#This Row],[kBtu/yr]]/'Schedule-Building Info'!$B$6</f>
        <v>0</v>
      </c>
      <c r="N556" t="s">
        <v>1092</v>
      </c>
      <c r="O556">
        <v>0</v>
      </c>
      <c r="P556" t="e">
        <f>VLOOKUP(PlanGrid[[#This Row],[Title]],'Spec Wattages'!$A$1:$C$973,3,FALSE)</f>
        <v>#N/A</v>
      </c>
      <c r="Q556" t="s">
        <v>895</v>
      </c>
      <c r="R556" t="s">
        <v>1043</v>
      </c>
      <c r="S556" t="s">
        <v>11</v>
      </c>
    </row>
    <row r="557" spans="1:19" hidden="1" x14ac:dyDescent="0.25">
      <c r="A557">
        <v>383</v>
      </c>
      <c r="B557" t="s">
        <v>32</v>
      </c>
      <c r="C557" t="s">
        <v>521</v>
      </c>
      <c r="D557" t="s">
        <v>34</v>
      </c>
      <c r="E557" s="50"/>
      <c r="F557" s="38"/>
      <c r="G557" s="38"/>
      <c r="H557" s="58">
        <f>PlanGrid[[#This Row],[Spec Wattage]]*PlanGrid[[#This Row],[Equipment Count]]</f>
        <v>0</v>
      </c>
      <c r="I557" s="50">
        <f>((PlanGrid[[#This Row],[Demand Watt]]*PlanGrid[[#This Row],[Utilization %]]*'Schedule-Building Info'!$N$16)/1000)</f>
        <v>0</v>
      </c>
      <c r="J557" s="50">
        <f>PlanGrid[[#This Row],[kWh/yr]]*' Elec Utility (kWh)'!$M$7</f>
        <v>0</v>
      </c>
      <c r="K557" s="38">
        <f>PlanGrid[[#This Row],[kWh/yr]]/'Schedule-Building Info'!$B$6</f>
        <v>0</v>
      </c>
      <c r="L557" s="50">
        <f>CONVERT(PlanGrid[[#This Row],[kWh/yr]],"Wh","BTU")</f>
        <v>0</v>
      </c>
      <c r="M557" s="38">
        <f>PlanGrid[[#This Row],[kBtu/yr]]/'Schedule-Building Info'!$B$6</f>
        <v>0</v>
      </c>
      <c r="N557" t="s">
        <v>1092</v>
      </c>
      <c r="O557">
        <v>0</v>
      </c>
      <c r="P557" t="e">
        <f>VLOOKUP(PlanGrid[[#This Row],[Title]],'Spec Wattages'!$A$1:$C$973,3,FALSE)</f>
        <v>#N/A</v>
      </c>
      <c r="Q557" t="s">
        <v>761</v>
      </c>
      <c r="R557" t="s">
        <v>1044</v>
      </c>
      <c r="S557" t="s">
        <v>11</v>
      </c>
    </row>
    <row r="558" spans="1:19" hidden="1" x14ac:dyDescent="0.25">
      <c r="A558">
        <v>388</v>
      </c>
      <c r="B558" t="s">
        <v>32</v>
      </c>
      <c r="C558" t="s">
        <v>521</v>
      </c>
      <c r="D558" t="s">
        <v>34</v>
      </c>
      <c r="E558" s="50"/>
      <c r="F558" s="38"/>
      <c r="G558" s="38"/>
      <c r="H558" s="58">
        <f>PlanGrid[[#This Row],[Spec Wattage]]*PlanGrid[[#This Row],[Equipment Count]]</f>
        <v>0</v>
      </c>
      <c r="I558" s="50">
        <f>((PlanGrid[[#This Row],[Demand Watt]]*PlanGrid[[#This Row],[Utilization %]]*'Schedule-Building Info'!$N$16)/1000)</f>
        <v>0</v>
      </c>
      <c r="J558" s="50">
        <f>PlanGrid[[#This Row],[kWh/yr]]*' Elec Utility (kWh)'!$M$7</f>
        <v>0</v>
      </c>
      <c r="K558" s="38">
        <f>PlanGrid[[#This Row],[kWh/yr]]/'Schedule-Building Info'!$B$6</f>
        <v>0</v>
      </c>
      <c r="L558" s="50">
        <f>CONVERT(PlanGrid[[#This Row],[kWh/yr]],"Wh","BTU")</f>
        <v>0</v>
      </c>
      <c r="M558" s="38">
        <f>PlanGrid[[#This Row],[kBtu/yr]]/'Schedule-Building Info'!$B$6</f>
        <v>0</v>
      </c>
      <c r="N558" t="s">
        <v>1092</v>
      </c>
      <c r="O558">
        <v>0</v>
      </c>
      <c r="P558" t="e">
        <f>VLOOKUP(PlanGrid[[#This Row],[Title]],'Spec Wattages'!$A$1:$C$973,3,FALSE)</f>
        <v>#N/A</v>
      </c>
      <c r="Q558" t="s">
        <v>764</v>
      </c>
      <c r="R558" t="s">
        <v>1058</v>
      </c>
      <c r="S558" t="s">
        <v>11</v>
      </c>
    </row>
    <row r="559" spans="1:19" hidden="1" x14ac:dyDescent="0.25">
      <c r="A559">
        <v>394</v>
      </c>
      <c r="B559" t="s">
        <v>32</v>
      </c>
      <c r="C559" t="s">
        <v>521</v>
      </c>
      <c r="D559" t="s">
        <v>522</v>
      </c>
      <c r="E559" s="50"/>
      <c r="F559" s="38"/>
      <c r="G559" s="38"/>
      <c r="H559" s="58">
        <f>PlanGrid[[#This Row],[Spec Wattage]]*PlanGrid[[#This Row],[Equipment Count]]</f>
        <v>0</v>
      </c>
      <c r="I559" s="50">
        <f>((PlanGrid[[#This Row],[Demand Watt]]*PlanGrid[[#This Row],[Utilization %]]*'Schedule-Building Info'!$N$16)/1000)</f>
        <v>0</v>
      </c>
      <c r="J559" s="50">
        <f>PlanGrid[[#This Row],[kWh/yr]]*' Elec Utility (kWh)'!$M$7</f>
        <v>0</v>
      </c>
      <c r="K559" s="38">
        <f>PlanGrid[[#This Row],[kWh/yr]]/'Schedule-Building Info'!$B$6</f>
        <v>0</v>
      </c>
      <c r="L559" s="50">
        <f>CONVERT(PlanGrid[[#This Row],[kWh/yr]],"Wh","BTU")</f>
        <v>0</v>
      </c>
      <c r="M559" s="38">
        <f>PlanGrid[[#This Row],[kBtu/yr]]/'Schedule-Building Info'!$B$6</f>
        <v>0</v>
      </c>
      <c r="N559" t="s">
        <v>1092</v>
      </c>
      <c r="O559">
        <v>0</v>
      </c>
      <c r="P559" t="e">
        <f>VLOOKUP(PlanGrid[[#This Row],[Title]],'Spec Wattages'!$A$1:$C$973,3,FALSE)</f>
        <v>#N/A</v>
      </c>
      <c r="Q559" t="s">
        <v>900</v>
      </c>
      <c r="R559" t="s">
        <v>900</v>
      </c>
      <c r="S559" t="s">
        <v>51</v>
      </c>
    </row>
    <row r="560" spans="1:19" hidden="1" x14ac:dyDescent="0.25">
      <c r="A560">
        <v>396</v>
      </c>
      <c r="B560" t="s">
        <v>32</v>
      </c>
      <c r="C560" t="s">
        <v>521</v>
      </c>
      <c r="D560" t="s">
        <v>34</v>
      </c>
      <c r="E560" s="50"/>
      <c r="F560" s="38"/>
      <c r="G560" s="38"/>
      <c r="H560" s="58">
        <f>PlanGrid[[#This Row],[Spec Wattage]]*PlanGrid[[#This Row],[Equipment Count]]</f>
        <v>0</v>
      </c>
      <c r="I560" s="50">
        <f>((PlanGrid[[#This Row],[Demand Watt]]*PlanGrid[[#This Row],[Utilization %]]*'Schedule-Building Info'!$N$16)/1000)</f>
        <v>0</v>
      </c>
      <c r="J560" s="50">
        <f>PlanGrid[[#This Row],[kWh/yr]]*' Elec Utility (kWh)'!$M$7</f>
        <v>0</v>
      </c>
      <c r="K560" s="38">
        <f>PlanGrid[[#This Row],[kWh/yr]]/'Schedule-Building Info'!$B$6</f>
        <v>0</v>
      </c>
      <c r="L560" s="50">
        <f>CONVERT(PlanGrid[[#This Row],[kWh/yr]],"Wh","BTU")</f>
        <v>0</v>
      </c>
      <c r="M560" s="38">
        <f>PlanGrid[[#This Row],[kBtu/yr]]/'Schedule-Building Info'!$B$6</f>
        <v>0</v>
      </c>
      <c r="N560" t="s">
        <v>1092</v>
      </c>
      <c r="O560">
        <v>0</v>
      </c>
      <c r="P560" t="e">
        <f>VLOOKUP(PlanGrid[[#This Row],[Title]],'Spec Wattages'!$A$1:$C$973,3,FALSE)</f>
        <v>#N/A</v>
      </c>
      <c r="Q560" t="s">
        <v>762</v>
      </c>
      <c r="R560" t="s">
        <v>900</v>
      </c>
      <c r="S560" t="s">
        <v>11</v>
      </c>
    </row>
    <row r="561" spans="1:19" hidden="1" x14ac:dyDescent="0.25">
      <c r="A561">
        <v>407</v>
      </c>
      <c r="B561" t="s">
        <v>32</v>
      </c>
      <c r="C561" t="s">
        <v>521</v>
      </c>
      <c r="D561" t="s">
        <v>34</v>
      </c>
      <c r="E561" s="50"/>
      <c r="F561" s="38"/>
      <c r="G561" s="38"/>
      <c r="H561" s="58">
        <f>PlanGrid[[#This Row],[Spec Wattage]]*PlanGrid[[#This Row],[Equipment Count]]</f>
        <v>0</v>
      </c>
      <c r="I561" s="50">
        <f>((PlanGrid[[#This Row],[Demand Watt]]*PlanGrid[[#This Row],[Utilization %]]*'Schedule-Building Info'!$N$16)/1000)</f>
        <v>0</v>
      </c>
      <c r="J561" s="50">
        <f>PlanGrid[[#This Row],[kWh/yr]]*' Elec Utility (kWh)'!$M$7</f>
        <v>0</v>
      </c>
      <c r="K561" s="38">
        <f>PlanGrid[[#This Row],[kWh/yr]]/'Schedule-Building Info'!$B$6</f>
        <v>0</v>
      </c>
      <c r="L561" s="50">
        <f>CONVERT(PlanGrid[[#This Row],[kWh/yr]],"Wh","BTU")</f>
        <v>0</v>
      </c>
      <c r="M561" s="38">
        <f>PlanGrid[[#This Row],[kBtu/yr]]/'Schedule-Building Info'!$B$6</f>
        <v>0</v>
      </c>
      <c r="N561" t="s">
        <v>1092</v>
      </c>
      <c r="O561">
        <v>0</v>
      </c>
      <c r="P561" t="e">
        <f>VLOOKUP(PlanGrid[[#This Row],[Title]],'Spec Wattages'!$A$1:$C$973,3,FALSE)</f>
        <v>#N/A</v>
      </c>
      <c r="Q561" t="s">
        <v>948</v>
      </c>
      <c r="R561" t="s">
        <v>986</v>
      </c>
      <c r="S561" t="s">
        <v>11</v>
      </c>
    </row>
    <row r="562" spans="1:19" hidden="1" x14ac:dyDescent="0.25">
      <c r="A562">
        <v>427</v>
      </c>
      <c r="B562" t="s">
        <v>32</v>
      </c>
      <c r="C562" t="s">
        <v>521</v>
      </c>
      <c r="D562" t="s">
        <v>522</v>
      </c>
      <c r="E562" s="50"/>
      <c r="F562" s="38"/>
      <c r="G562" s="38"/>
      <c r="H562" s="58">
        <f>PlanGrid[[#This Row],[Spec Wattage]]*PlanGrid[[#This Row],[Equipment Count]]</f>
        <v>0</v>
      </c>
      <c r="I562" s="50">
        <f>((PlanGrid[[#This Row],[Demand Watt]]*PlanGrid[[#This Row],[Utilization %]]*'Schedule-Building Info'!$N$16)/1000)</f>
        <v>0</v>
      </c>
      <c r="J562" s="50">
        <f>PlanGrid[[#This Row],[kWh/yr]]*' Elec Utility (kWh)'!$M$7</f>
        <v>0</v>
      </c>
      <c r="K562" s="38">
        <f>PlanGrid[[#This Row],[kWh/yr]]/'Schedule-Building Info'!$B$6</f>
        <v>0</v>
      </c>
      <c r="L562" s="50">
        <f>CONVERT(PlanGrid[[#This Row],[kWh/yr]],"Wh","BTU")</f>
        <v>0</v>
      </c>
      <c r="M562" s="38">
        <f>PlanGrid[[#This Row],[kBtu/yr]]/'Schedule-Building Info'!$B$6</f>
        <v>0</v>
      </c>
      <c r="N562" t="s">
        <v>1092</v>
      </c>
      <c r="O562">
        <v>0</v>
      </c>
      <c r="P562" t="e">
        <f>VLOOKUP(PlanGrid[[#This Row],[Title]],'Spec Wattages'!$A$1:$C$973,3,FALSE)</f>
        <v>#N/A</v>
      </c>
      <c r="Q562" t="s">
        <v>899</v>
      </c>
      <c r="R562" t="s">
        <v>899</v>
      </c>
      <c r="S562" t="s">
        <v>51</v>
      </c>
    </row>
    <row r="563" spans="1:19" hidden="1" x14ac:dyDescent="0.25">
      <c r="A563">
        <v>439</v>
      </c>
      <c r="B563" t="s">
        <v>32</v>
      </c>
      <c r="C563" t="s">
        <v>521</v>
      </c>
      <c r="D563" t="s">
        <v>34</v>
      </c>
      <c r="E563" s="50"/>
      <c r="F563" s="38"/>
      <c r="G563" s="38"/>
      <c r="H563" s="58">
        <f>PlanGrid[[#This Row],[Spec Wattage]]*PlanGrid[[#This Row],[Equipment Count]]</f>
        <v>0</v>
      </c>
      <c r="I563" s="50">
        <f>((PlanGrid[[#This Row],[Demand Watt]]*PlanGrid[[#This Row],[Utilization %]]*'Schedule-Building Info'!$N$16)/1000)</f>
        <v>0</v>
      </c>
      <c r="J563" s="50">
        <f>PlanGrid[[#This Row],[kWh/yr]]*' Elec Utility (kWh)'!$M$7</f>
        <v>0</v>
      </c>
      <c r="K563" s="38">
        <f>PlanGrid[[#This Row],[kWh/yr]]/'Schedule-Building Info'!$B$6</f>
        <v>0</v>
      </c>
      <c r="L563" s="50">
        <f>CONVERT(PlanGrid[[#This Row],[kWh/yr]],"Wh","BTU")</f>
        <v>0</v>
      </c>
      <c r="M563" s="38">
        <f>PlanGrid[[#This Row],[kBtu/yr]]/'Schedule-Building Info'!$B$6</f>
        <v>0</v>
      </c>
      <c r="N563" t="s">
        <v>1092</v>
      </c>
      <c r="O563">
        <v>0</v>
      </c>
      <c r="P563" t="e">
        <f>VLOOKUP(PlanGrid[[#This Row],[Title]],'Spec Wattages'!$A$1:$C$973,3,FALSE)</f>
        <v>#N/A</v>
      </c>
      <c r="Q563" t="s">
        <v>766</v>
      </c>
      <c r="R563" t="s">
        <v>1070</v>
      </c>
      <c r="S563" t="s">
        <v>11</v>
      </c>
    </row>
    <row r="564" spans="1:19" hidden="1" x14ac:dyDescent="0.25">
      <c r="A564">
        <v>442</v>
      </c>
      <c r="B564" t="s">
        <v>32</v>
      </c>
      <c r="C564" t="s">
        <v>521</v>
      </c>
      <c r="D564" t="s">
        <v>522</v>
      </c>
      <c r="E564" s="50"/>
      <c r="F564" s="38"/>
      <c r="G564" s="38"/>
      <c r="H564" s="58">
        <f>PlanGrid[[#This Row],[Spec Wattage]]*PlanGrid[[#This Row],[Equipment Count]]</f>
        <v>0</v>
      </c>
      <c r="I564" s="50">
        <f>((PlanGrid[[#This Row],[Demand Watt]]*PlanGrid[[#This Row],[Utilization %]]*'Schedule-Building Info'!$N$16)/1000)</f>
        <v>0</v>
      </c>
      <c r="J564" s="50">
        <f>PlanGrid[[#This Row],[kWh/yr]]*' Elec Utility (kWh)'!$M$7</f>
        <v>0</v>
      </c>
      <c r="K564" s="38">
        <f>PlanGrid[[#This Row],[kWh/yr]]/'Schedule-Building Info'!$B$6</f>
        <v>0</v>
      </c>
      <c r="L564" s="50">
        <f>CONVERT(PlanGrid[[#This Row],[kWh/yr]],"Wh","BTU")</f>
        <v>0</v>
      </c>
      <c r="M564" s="38">
        <f>PlanGrid[[#This Row],[kBtu/yr]]/'Schedule-Building Info'!$B$6</f>
        <v>0</v>
      </c>
      <c r="N564" t="s">
        <v>1092</v>
      </c>
      <c r="O564">
        <v>0</v>
      </c>
      <c r="P564" t="e">
        <f>VLOOKUP(PlanGrid[[#This Row],[Title]],'Spec Wattages'!$A$1:$C$973,3,FALSE)</f>
        <v>#N/A</v>
      </c>
      <c r="Q564" t="s">
        <v>903</v>
      </c>
      <c r="R564" t="s">
        <v>903</v>
      </c>
      <c r="S564" t="s">
        <v>51</v>
      </c>
    </row>
    <row r="565" spans="1:19" hidden="1" x14ac:dyDescent="0.25">
      <c r="A565">
        <v>450</v>
      </c>
      <c r="B565" t="s">
        <v>32</v>
      </c>
      <c r="C565" t="s">
        <v>521</v>
      </c>
      <c r="D565" t="s">
        <v>34</v>
      </c>
      <c r="E565" s="50"/>
      <c r="F565" s="38"/>
      <c r="G565" s="38"/>
      <c r="H565" s="58">
        <f>PlanGrid[[#This Row],[Spec Wattage]]*PlanGrid[[#This Row],[Equipment Count]]</f>
        <v>0</v>
      </c>
      <c r="I565" s="50">
        <f>((PlanGrid[[#This Row],[Demand Watt]]*PlanGrid[[#This Row],[Utilization %]]*'Schedule-Building Info'!$N$16)/1000)</f>
        <v>0</v>
      </c>
      <c r="J565" s="50">
        <f>PlanGrid[[#This Row],[kWh/yr]]*' Elec Utility (kWh)'!$M$7</f>
        <v>0</v>
      </c>
      <c r="K565" s="38">
        <f>PlanGrid[[#This Row],[kWh/yr]]/'Schedule-Building Info'!$B$6</f>
        <v>0</v>
      </c>
      <c r="L565" s="50">
        <f>CONVERT(PlanGrid[[#This Row],[kWh/yr]],"Wh","BTU")</f>
        <v>0</v>
      </c>
      <c r="M565" s="38">
        <f>PlanGrid[[#This Row],[kBtu/yr]]/'Schedule-Building Info'!$B$6</f>
        <v>0</v>
      </c>
      <c r="N565" t="s">
        <v>1092</v>
      </c>
      <c r="O565">
        <v>0</v>
      </c>
      <c r="P565" t="e">
        <f>VLOOKUP(PlanGrid[[#This Row],[Title]],'Spec Wattages'!$A$1:$C$973,3,FALSE)</f>
        <v>#N/A</v>
      </c>
      <c r="Q565" t="s">
        <v>905</v>
      </c>
      <c r="R565" t="s">
        <v>1015</v>
      </c>
      <c r="S565" t="s">
        <v>11</v>
      </c>
    </row>
    <row r="566" spans="1:19" hidden="1" x14ac:dyDescent="0.25">
      <c r="A566">
        <v>462</v>
      </c>
      <c r="B566" t="s">
        <v>32</v>
      </c>
      <c r="C566" t="s">
        <v>521</v>
      </c>
      <c r="D566" t="s">
        <v>522</v>
      </c>
      <c r="E566" s="50"/>
      <c r="F566" s="38"/>
      <c r="G566" s="38"/>
      <c r="H566" s="58">
        <f>PlanGrid[[#This Row],[Spec Wattage]]*PlanGrid[[#This Row],[Equipment Count]]</f>
        <v>0</v>
      </c>
      <c r="I566" s="50">
        <f>((PlanGrid[[#This Row],[Demand Watt]]*PlanGrid[[#This Row],[Utilization %]]*'Schedule-Building Info'!$N$16)/1000)</f>
        <v>0</v>
      </c>
      <c r="J566" s="50">
        <f>PlanGrid[[#This Row],[kWh/yr]]*' Elec Utility (kWh)'!$M$7</f>
        <v>0</v>
      </c>
      <c r="K566" s="38">
        <f>PlanGrid[[#This Row],[kWh/yr]]/'Schedule-Building Info'!$B$6</f>
        <v>0</v>
      </c>
      <c r="L566" s="50">
        <f>CONVERT(PlanGrid[[#This Row],[kWh/yr]],"Wh","BTU")</f>
        <v>0</v>
      </c>
      <c r="M566" s="38">
        <f>PlanGrid[[#This Row],[kBtu/yr]]/'Schedule-Building Info'!$B$6</f>
        <v>0</v>
      </c>
      <c r="N566" t="s">
        <v>1092</v>
      </c>
      <c r="O566">
        <v>0</v>
      </c>
      <c r="P566" t="e">
        <f>VLOOKUP(PlanGrid[[#This Row],[Title]],'Spec Wattages'!$A$1:$C$973,3,FALSE)</f>
        <v>#N/A</v>
      </c>
      <c r="Q566" t="s">
        <v>950</v>
      </c>
      <c r="R566" t="s">
        <v>1045</v>
      </c>
      <c r="S566" t="s">
        <v>51</v>
      </c>
    </row>
    <row r="567" spans="1:19" hidden="1" x14ac:dyDescent="0.25">
      <c r="A567">
        <v>463</v>
      </c>
      <c r="B567" t="s">
        <v>32</v>
      </c>
      <c r="C567" t="s">
        <v>521</v>
      </c>
      <c r="D567" t="s">
        <v>34</v>
      </c>
      <c r="E567" s="50"/>
      <c r="F567" s="38"/>
      <c r="G567" s="38"/>
      <c r="H567" s="58">
        <f>PlanGrid[[#This Row],[Spec Wattage]]*PlanGrid[[#This Row],[Equipment Count]]</f>
        <v>0</v>
      </c>
      <c r="I567" s="50">
        <f>((PlanGrid[[#This Row],[Demand Watt]]*PlanGrid[[#This Row],[Utilization %]]*'Schedule-Building Info'!$N$16)/1000)</f>
        <v>0</v>
      </c>
      <c r="J567" s="50">
        <f>PlanGrid[[#This Row],[kWh/yr]]*' Elec Utility (kWh)'!$M$7</f>
        <v>0</v>
      </c>
      <c r="K567" s="38">
        <f>PlanGrid[[#This Row],[kWh/yr]]/'Schedule-Building Info'!$B$6</f>
        <v>0</v>
      </c>
      <c r="L567" s="50">
        <f>CONVERT(PlanGrid[[#This Row],[kWh/yr]],"Wh","BTU")</f>
        <v>0</v>
      </c>
      <c r="M567" s="38">
        <f>PlanGrid[[#This Row],[kBtu/yr]]/'Schedule-Building Info'!$B$6</f>
        <v>0</v>
      </c>
      <c r="N567" t="s">
        <v>1092</v>
      </c>
      <c r="O567">
        <v>0</v>
      </c>
      <c r="P567" t="e">
        <f>VLOOKUP(PlanGrid[[#This Row],[Title]],'Spec Wattages'!$A$1:$C$973,3,FALSE)</f>
        <v>#N/A</v>
      </c>
      <c r="Q567" t="s">
        <v>767</v>
      </c>
      <c r="R567" t="s">
        <v>1045</v>
      </c>
      <c r="S567" t="s">
        <v>11</v>
      </c>
    </row>
    <row r="568" spans="1:19" hidden="1" x14ac:dyDescent="0.25">
      <c r="A568">
        <v>469</v>
      </c>
      <c r="B568" t="s">
        <v>32</v>
      </c>
      <c r="C568" t="s">
        <v>521</v>
      </c>
      <c r="D568" t="s">
        <v>34</v>
      </c>
      <c r="E568" s="50"/>
      <c r="F568" s="38"/>
      <c r="G568" s="38"/>
      <c r="H568" s="58">
        <f>PlanGrid[[#This Row],[Spec Wattage]]*PlanGrid[[#This Row],[Equipment Count]]</f>
        <v>0</v>
      </c>
      <c r="I568" s="50">
        <f>((PlanGrid[[#This Row],[Demand Watt]]*PlanGrid[[#This Row],[Utilization %]]*'Schedule-Building Info'!$N$16)/1000)</f>
        <v>0</v>
      </c>
      <c r="J568" s="50">
        <f>PlanGrid[[#This Row],[kWh/yr]]*' Elec Utility (kWh)'!$M$7</f>
        <v>0</v>
      </c>
      <c r="K568" s="38">
        <f>PlanGrid[[#This Row],[kWh/yr]]/'Schedule-Building Info'!$B$6</f>
        <v>0</v>
      </c>
      <c r="L568" s="50">
        <f>CONVERT(PlanGrid[[#This Row],[kWh/yr]],"Wh","BTU")</f>
        <v>0</v>
      </c>
      <c r="M568" s="38">
        <f>PlanGrid[[#This Row],[kBtu/yr]]/'Schedule-Building Info'!$B$6</f>
        <v>0</v>
      </c>
      <c r="N568" t="s">
        <v>1092</v>
      </c>
      <c r="O568">
        <v>0</v>
      </c>
      <c r="P568" t="e">
        <f>VLOOKUP(PlanGrid[[#This Row],[Title]],'Spec Wattages'!$A$1:$C$973,3,FALSE)</f>
        <v>#N/A</v>
      </c>
      <c r="Q568" t="s">
        <v>771</v>
      </c>
      <c r="R568" t="s">
        <v>766</v>
      </c>
      <c r="S568" t="s">
        <v>11</v>
      </c>
    </row>
    <row r="569" spans="1:19" hidden="1" x14ac:dyDescent="0.25">
      <c r="A569">
        <v>475</v>
      </c>
      <c r="B569" t="s">
        <v>32</v>
      </c>
      <c r="C569" t="s">
        <v>521</v>
      </c>
      <c r="D569" t="s">
        <v>522</v>
      </c>
      <c r="E569" s="50"/>
      <c r="F569" s="38"/>
      <c r="G569" s="38"/>
      <c r="H569" s="58">
        <f>PlanGrid[[#This Row],[Spec Wattage]]*PlanGrid[[#This Row],[Equipment Count]]</f>
        <v>0</v>
      </c>
      <c r="I569" s="50">
        <f>((PlanGrid[[#This Row],[Demand Watt]]*PlanGrid[[#This Row],[Utilization %]]*'Schedule-Building Info'!$N$16)/1000)</f>
        <v>0</v>
      </c>
      <c r="J569" s="50">
        <f>PlanGrid[[#This Row],[kWh/yr]]*' Elec Utility (kWh)'!$M$7</f>
        <v>0</v>
      </c>
      <c r="K569" s="38">
        <f>PlanGrid[[#This Row],[kWh/yr]]/'Schedule-Building Info'!$B$6</f>
        <v>0</v>
      </c>
      <c r="L569" s="50">
        <f>CONVERT(PlanGrid[[#This Row],[kWh/yr]],"Wh","BTU")</f>
        <v>0</v>
      </c>
      <c r="M569" s="38">
        <f>PlanGrid[[#This Row],[kBtu/yr]]/'Schedule-Building Info'!$B$6</f>
        <v>0</v>
      </c>
      <c r="N569" t="s">
        <v>1092</v>
      </c>
      <c r="O569">
        <v>0</v>
      </c>
      <c r="P569" t="e">
        <f>VLOOKUP(PlanGrid[[#This Row],[Title]],'Spec Wattages'!$A$1:$C$973,3,FALSE)</f>
        <v>#N/A</v>
      </c>
      <c r="Q569" t="s">
        <v>951</v>
      </c>
      <c r="R569" t="s">
        <v>905</v>
      </c>
      <c r="S569" t="s">
        <v>51</v>
      </c>
    </row>
    <row r="570" spans="1:19" hidden="1" x14ac:dyDescent="0.25">
      <c r="A570">
        <v>477</v>
      </c>
      <c r="B570" t="s">
        <v>32</v>
      </c>
      <c r="C570" t="s">
        <v>521</v>
      </c>
      <c r="D570" t="s">
        <v>34</v>
      </c>
      <c r="E570" s="50"/>
      <c r="F570" s="38"/>
      <c r="G570" s="38"/>
      <c r="H570" s="58">
        <f>PlanGrid[[#This Row],[Spec Wattage]]*PlanGrid[[#This Row],[Equipment Count]]</f>
        <v>0</v>
      </c>
      <c r="I570" s="50">
        <f>((PlanGrid[[#This Row],[Demand Watt]]*PlanGrid[[#This Row],[Utilization %]]*'Schedule-Building Info'!$N$16)/1000)</f>
        <v>0</v>
      </c>
      <c r="J570" s="50">
        <f>PlanGrid[[#This Row],[kWh/yr]]*' Elec Utility (kWh)'!$M$7</f>
        <v>0</v>
      </c>
      <c r="K570" s="38">
        <f>PlanGrid[[#This Row],[kWh/yr]]/'Schedule-Building Info'!$B$6</f>
        <v>0</v>
      </c>
      <c r="L570" s="50">
        <f>CONVERT(PlanGrid[[#This Row],[kWh/yr]],"Wh","BTU")</f>
        <v>0</v>
      </c>
      <c r="M570" s="38">
        <f>PlanGrid[[#This Row],[kBtu/yr]]/'Schedule-Building Info'!$B$6</f>
        <v>0</v>
      </c>
      <c r="N570" t="s">
        <v>1092</v>
      </c>
      <c r="O570">
        <v>0</v>
      </c>
      <c r="P570" t="e">
        <f>VLOOKUP(PlanGrid[[#This Row],[Title]],'Spec Wattages'!$A$1:$C$973,3,FALSE)</f>
        <v>#N/A</v>
      </c>
      <c r="Q570" t="s">
        <v>909</v>
      </c>
      <c r="R570" t="s">
        <v>905</v>
      </c>
      <c r="S570" t="s">
        <v>11</v>
      </c>
    </row>
    <row r="571" spans="1:19" hidden="1" x14ac:dyDescent="0.25">
      <c r="A571">
        <v>495</v>
      </c>
      <c r="B571" t="s">
        <v>32</v>
      </c>
      <c r="C571" t="s">
        <v>521</v>
      </c>
      <c r="D571" t="s">
        <v>34</v>
      </c>
      <c r="E571" s="50"/>
      <c r="F571" s="38"/>
      <c r="G571" s="38"/>
      <c r="H571" s="58">
        <f>PlanGrid[[#This Row],[Spec Wattage]]*PlanGrid[[#This Row],[Equipment Count]]</f>
        <v>0</v>
      </c>
      <c r="I571" s="50">
        <f>((PlanGrid[[#This Row],[Demand Watt]]*PlanGrid[[#This Row],[Utilization %]]*'Schedule-Building Info'!$N$16)/1000)</f>
        <v>0</v>
      </c>
      <c r="J571" s="50">
        <f>PlanGrid[[#This Row],[kWh/yr]]*' Elec Utility (kWh)'!$M$7</f>
        <v>0</v>
      </c>
      <c r="K571" s="38">
        <f>PlanGrid[[#This Row],[kWh/yr]]/'Schedule-Building Info'!$B$6</f>
        <v>0</v>
      </c>
      <c r="L571" s="50">
        <f>CONVERT(PlanGrid[[#This Row],[kWh/yr]],"Wh","BTU")</f>
        <v>0</v>
      </c>
      <c r="M571" s="38">
        <f>PlanGrid[[#This Row],[kBtu/yr]]/'Schedule-Building Info'!$B$6</f>
        <v>0</v>
      </c>
      <c r="N571" t="s">
        <v>1092</v>
      </c>
      <c r="O571">
        <v>0</v>
      </c>
      <c r="P571" t="e">
        <f>VLOOKUP(PlanGrid[[#This Row],[Title]],'Spec Wattages'!$A$1:$C$973,3,FALSE)</f>
        <v>#N/A</v>
      </c>
      <c r="Q571" t="s">
        <v>907</v>
      </c>
      <c r="R571" t="s">
        <v>952</v>
      </c>
      <c r="S571" t="s">
        <v>11</v>
      </c>
    </row>
    <row r="572" spans="1:19" hidden="1" x14ac:dyDescent="0.25">
      <c r="A572">
        <v>497</v>
      </c>
      <c r="B572" t="s">
        <v>32</v>
      </c>
      <c r="C572" t="s">
        <v>521</v>
      </c>
      <c r="D572" t="s">
        <v>522</v>
      </c>
      <c r="E572" s="50"/>
      <c r="F572" s="38"/>
      <c r="G572" s="38"/>
      <c r="H572" s="58">
        <f>PlanGrid[[#This Row],[Spec Wattage]]*PlanGrid[[#This Row],[Equipment Count]]</f>
        <v>0</v>
      </c>
      <c r="I572" s="50">
        <f>((PlanGrid[[#This Row],[Demand Watt]]*PlanGrid[[#This Row],[Utilization %]]*'Schedule-Building Info'!$N$16)/1000)</f>
        <v>0</v>
      </c>
      <c r="J572" s="50">
        <f>PlanGrid[[#This Row],[kWh/yr]]*' Elec Utility (kWh)'!$M$7</f>
        <v>0</v>
      </c>
      <c r="K572" s="38">
        <f>PlanGrid[[#This Row],[kWh/yr]]/'Schedule-Building Info'!$B$6</f>
        <v>0</v>
      </c>
      <c r="L572" s="50">
        <f>CONVERT(PlanGrid[[#This Row],[kWh/yr]],"Wh","BTU")</f>
        <v>0</v>
      </c>
      <c r="M572" s="38">
        <f>PlanGrid[[#This Row],[kBtu/yr]]/'Schedule-Building Info'!$B$6</f>
        <v>0</v>
      </c>
      <c r="N572" t="s">
        <v>1092</v>
      </c>
      <c r="O572">
        <v>0</v>
      </c>
      <c r="P572" t="e">
        <f>VLOOKUP(PlanGrid[[#This Row],[Title]],'Spec Wattages'!$A$1:$C$973,3,FALSE)</f>
        <v>#N/A</v>
      </c>
      <c r="Q572" t="s">
        <v>952</v>
      </c>
      <c r="R572" t="s">
        <v>952</v>
      </c>
      <c r="S572" t="s">
        <v>51</v>
      </c>
    </row>
    <row r="573" spans="1:19" hidden="1" x14ac:dyDescent="0.25">
      <c r="A573">
        <v>506</v>
      </c>
      <c r="B573" t="s">
        <v>32</v>
      </c>
      <c r="C573" t="s">
        <v>521</v>
      </c>
      <c r="D573" t="s">
        <v>34</v>
      </c>
      <c r="E573" s="50"/>
      <c r="F573" s="38"/>
      <c r="G573" s="38"/>
      <c r="H573" s="58">
        <f>PlanGrid[[#This Row],[Spec Wattage]]*PlanGrid[[#This Row],[Equipment Count]]</f>
        <v>0</v>
      </c>
      <c r="I573" s="50">
        <f>((PlanGrid[[#This Row],[Demand Watt]]*PlanGrid[[#This Row],[Utilization %]]*'Schedule-Building Info'!$N$16)/1000)</f>
        <v>0</v>
      </c>
      <c r="J573" s="50">
        <f>PlanGrid[[#This Row],[kWh/yr]]*' Elec Utility (kWh)'!$M$7</f>
        <v>0</v>
      </c>
      <c r="K573" s="38">
        <f>PlanGrid[[#This Row],[kWh/yr]]/'Schedule-Building Info'!$B$6</f>
        <v>0</v>
      </c>
      <c r="L573" s="50">
        <f>CONVERT(PlanGrid[[#This Row],[kWh/yr]],"Wh","BTU")</f>
        <v>0</v>
      </c>
      <c r="M573" s="38">
        <f>PlanGrid[[#This Row],[kBtu/yr]]/'Schedule-Building Info'!$B$6</f>
        <v>0</v>
      </c>
      <c r="N573" t="s">
        <v>1092</v>
      </c>
      <c r="O573">
        <v>0</v>
      </c>
      <c r="P573" t="e">
        <f>VLOOKUP(PlanGrid[[#This Row],[Title]],'Spec Wattages'!$A$1:$C$973,3,FALSE)</f>
        <v>#N/A</v>
      </c>
      <c r="Q573" t="s">
        <v>770</v>
      </c>
      <c r="R573" t="s">
        <v>767</v>
      </c>
      <c r="S573" t="s">
        <v>11</v>
      </c>
    </row>
    <row r="574" spans="1:19" hidden="1" x14ac:dyDescent="0.25">
      <c r="A574">
        <v>517</v>
      </c>
      <c r="B574" t="s">
        <v>32</v>
      </c>
      <c r="C574" t="s">
        <v>521</v>
      </c>
      <c r="D574" t="s">
        <v>34</v>
      </c>
      <c r="E574" s="50"/>
      <c r="F574" s="38"/>
      <c r="G574" s="38"/>
      <c r="H574" s="58">
        <f>PlanGrid[[#This Row],[Spec Wattage]]*PlanGrid[[#This Row],[Equipment Count]]</f>
        <v>0</v>
      </c>
      <c r="I574" s="50">
        <f>((PlanGrid[[#This Row],[Demand Watt]]*PlanGrid[[#This Row],[Utilization %]]*'Schedule-Building Info'!$N$16)/1000)</f>
        <v>0</v>
      </c>
      <c r="J574" s="50">
        <f>PlanGrid[[#This Row],[kWh/yr]]*' Elec Utility (kWh)'!$M$7</f>
        <v>0</v>
      </c>
      <c r="K574" s="38">
        <f>PlanGrid[[#This Row],[kWh/yr]]/'Schedule-Building Info'!$B$6</f>
        <v>0</v>
      </c>
      <c r="L574" s="50">
        <f>CONVERT(PlanGrid[[#This Row],[kWh/yr]],"Wh","BTU")</f>
        <v>0</v>
      </c>
      <c r="M574" s="38">
        <f>PlanGrid[[#This Row],[kBtu/yr]]/'Schedule-Building Info'!$B$6</f>
        <v>0</v>
      </c>
      <c r="N574" t="s">
        <v>1092</v>
      </c>
      <c r="O574">
        <v>0</v>
      </c>
      <c r="P574" t="e">
        <f>VLOOKUP(PlanGrid[[#This Row],[Title]],'Spec Wattages'!$A$1:$C$973,3,FALSE)</f>
        <v>#N/A</v>
      </c>
      <c r="Q574" t="s">
        <v>908</v>
      </c>
      <c r="R574" t="s">
        <v>906</v>
      </c>
      <c r="S574" t="s">
        <v>11</v>
      </c>
    </row>
    <row r="575" spans="1:19" hidden="1" x14ac:dyDescent="0.25">
      <c r="A575">
        <v>519</v>
      </c>
      <c r="B575" t="s">
        <v>32</v>
      </c>
      <c r="C575" t="s">
        <v>521</v>
      </c>
      <c r="D575" t="s">
        <v>522</v>
      </c>
      <c r="E575" s="50"/>
      <c r="F575" s="38"/>
      <c r="G575" s="38"/>
      <c r="H575" s="58">
        <f>PlanGrid[[#This Row],[Spec Wattage]]*PlanGrid[[#This Row],[Equipment Count]]</f>
        <v>0</v>
      </c>
      <c r="I575" s="50">
        <f>((PlanGrid[[#This Row],[Demand Watt]]*PlanGrid[[#This Row],[Utilization %]]*'Schedule-Building Info'!$N$16)/1000)</f>
        <v>0</v>
      </c>
      <c r="J575" s="50">
        <f>PlanGrid[[#This Row],[kWh/yr]]*' Elec Utility (kWh)'!$M$7</f>
        <v>0</v>
      </c>
      <c r="K575" s="38">
        <f>PlanGrid[[#This Row],[kWh/yr]]/'Schedule-Building Info'!$B$6</f>
        <v>0</v>
      </c>
      <c r="L575" s="50">
        <f>CONVERT(PlanGrid[[#This Row],[kWh/yr]],"Wh","BTU")</f>
        <v>0</v>
      </c>
      <c r="M575" s="38">
        <f>PlanGrid[[#This Row],[kBtu/yr]]/'Schedule-Building Info'!$B$6</f>
        <v>0</v>
      </c>
      <c r="N575" t="s">
        <v>1092</v>
      </c>
      <c r="O575">
        <v>0</v>
      </c>
      <c r="P575" t="e">
        <f>VLOOKUP(PlanGrid[[#This Row],[Title]],'Spec Wattages'!$A$1:$C$973,3,FALSE)</f>
        <v>#N/A</v>
      </c>
      <c r="Q575" t="s">
        <v>771</v>
      </c>
      <c r="R575" t="s">
        <v>771</v>
      </c>
      <c r="S575" t="s">
        <v>51</v>
      </c>
    </row>
    <row r="576" spans="1:19" hidden="1" x14ac:dyDescent="0.25">
      <c r="A576">
        <v>522</v>
      </c>
      <c r="B576" t="s">
        <v>32</v>
      </c>
      <c r="C576" t="s">
        <v>521</v>
      </c>
      <c r="D576" t="s">
        <v>34</v>
      </c>
      <c r="E576" s="50"/>
      <c r="F576" s="38"/>
      <c r="G576" s="38"/>
      <c r="H576" s="58">
        <f>PlanGrid[[#This Row],[Spec Wattage]]*PlanGrid[[#This Row],[Equipment Count]]</f>
        <v>0</v>
      </c>
      <c r="I576" s="50">
        <f>((PlanGrid[[#This Row],[Demand Watt]]*PlanGrid[[#This Row],[Utilization %]]*'Schedule-Building Info'!$N$16)/1000)</f>
        <v>0</v>
      </c>
      <c r="J576" s="50">
        <f>PlanGrid[[#This Row],[kWh/yr]]*' Elec Utility (kWh)'!$M$7</f>
        <v>0</v>
      </c>
      <c r="K576" s="38">
        <f>PlanGrid[[#This Row],[kWh/yr]]/'Schedule-Building Info'!$B$6</f>
        <v>0</v>
      </c>
      <c r="L576" s="50">
        <f>CONVERT(PlanGrid[[#This Row],[kWh/yr]],"Wh","BTU")</f>
        <v>0</v>
      </c>
      <c r="M576" s="38">
        <f>PlanGrid[[#This Row],[kBtu/yr]]/'Schedule-Building Info'!$B$6</f>
        <v>0</v>
      </c>
      <c r="N576" t="s">
        <v>1092</v>
      </c>
      <c r="O576">
        <v>0</v>
      </c>
      <c r="P576" t="e">
        <f>VLOOKUP(PlanGrid[[#This Row],[Title]],'Spec Wattages'!$A$1:$C$973,3,FALSE)</f>
        <v>#N/A</v>
      </c>
      <c r="Q576" t="s">
        <v>772</v>
      </c>
      <c r="R576" t="s">
        <v>909</v>
      </c>
      <c r="S576" t="s">
        <v>11</v>
      </c>
    </row>
    <row r="577" spans="1:19" hidden="1" x14ac:dyDescent="0.25">
      <c r="A577">
        <v>536</v>
      </c>
      <c r="B577" t="s">
        <v>32</v>
      </c>
      <c r="C577" t="s">
        <v>521</v>
      </c>
      <c r="D577" t="s">
        <v>522</v>
      </c>
      <c r="E577" s="50"/>
      <c r="F577" s="38"/>
      <c r="G577" s="38"/>
      <c r="H577" s="58">
        <f>PlanGrid[[#This Row],[Spec Wattage]]*PlanGrid[[#This Row],[Equipment Count]]</f>
        <v>0</v>
      </c>
      <c r="I577" s="50">
        <f>((PlanGrid[[#This Row],[Demand Watt]]*PlanGrid[[#This Row],[Utilization %]]*'Schedule-Building Info'!$N$16)/1000)</f>
        <v>0</v>
      </c>
      <c r="J577" s="50">
        <f>PlanGrid[[#This Row],[kWh/yr]]*' Elec Utility (kWh)'!$M$7</f>
        <v>0</v>
      </c>
      <c r="K577" s="38">
        <f>PlanGrid[[#This Row],[kWh/yr]]/'Schedule-Building Info'!$B$6</f>
        <v>0</v>
      </c>
      <c r="L577" s="50">
        <f>CONVERT(PlanGrid[[#This Row],[kWh/yr]],"Wh","BTU")</f>
        <v>0</v>
      </c>
      <c r="M577" s="38">
        <f>PlanGrid[[#This Row],[kBtu/yr]]/'Schedule-Building Info'!$B$6</f>
        <v>0</v>
      </c>
      <c r="N577" t="s">
        <v>1092</v>
      </c>
      <c r="O577">
        <v>0</v>
      </c>
      <c r="P577" t="e">
        <f>VLOOKUP(PlanGrid[[#This Row],[Title]],'Spec Wattages'!$A$1:$C$973,3,FALSE)</f>
        <v>#N/A</v>
      </c>
      <c r="Q577" t="s">
        <v>769</v>
      </c>
      <c r="R577" t="s">
        <v>769</v>
      </c>
      <c r="S577" t="s">
        <v>51</v>
      </c>
    </row>
    <row r="578" spans="1:19" hidden="1" x14ac:dyDescent="0.25">
      <c r="A578">
        <v>539</v>
      </c>
      <c r="B578" t="s">
        <v>32</v>
      </c>
      <c r="C578" t="s">
        <v>521</v>
      </c>
      <c r="D578" t="s">
        <v>34</v>
      </c>
      <c r="E578" s="50"/>
      <c r="F578" s="38"/>
      <c r="G578" s="38"/>
      <c r="H578" s="58">
        <f>PlanGrid[[#This Row],[Spec Wattage]]*PlanGrid[[#This Row],[Equipment Count]]</f>
        <v>0</v>
      </c>
      <c r="I578" s="50">
        <f>((PlanGrid[[#This Row],[Demand Watt]]*PlanGrid[[#This Row],[Utilization %]]*'Schedule-Building Info'!$N$16)/1000)</f>
        <v>0</v>
      </c>
      <c r="J578" s="50">
        <f>PlanGrid[[#This Row],[kWh/yr]]*' Elec Utility (kWh)'!$M$7</f>
        <v>0</v>
      </c>
      <c r="K578" s="38">
        <f>PlanGrid[[#This Row],[kWh/yr]]/'Schedule-Building Info'!$B$6</f>
        <v>0</v>
      </c>
      <c r="L578" s="50">
        <f>CONVERT(PlanGrid[[#This Row],[kWh/yr]],"Wh","BTU")</f>
        <v>0</v>
      </c>
      <c r="M578" s="38">
        <f>PlanGrid[[#This Row],[kBtu/yr]]/'Schedule-Building Info'!$B$6</f>
        <v>0</v>
      </c>
      <c r="N578" t="s">
        <v>1092</v>
      </c>
      <c r="O578">
        <v>0</v>
      </c>
      <c r="P578" t="e">
        <f>VLOOKUP(PlanGrid[[#This Row],[Title]],'Spec Wattages'!$A$1:$C$973,3,FALSE)</f>
        <v>#N/A</v>
      </c>
      <c r="Q578" t="s">
        <v>774</v>
      </c>
      <c r="R578" t="s">
        <v>769</v>
      </c>
      <c r="S578" t="s">
        <v>11</v>
      </c>
    </row>
    <row r="579" spans="1:19" hidden="1" x14ac:dyDescent="0.25">
      <c r="A579">
        <v>557</v>
      </c>
      <c r="B579" t="s">
        <v>32</v>
      </c>
      <c r="C579" t="s">
        <v>521</v>
      </c>
      <c r="D579" t="s">
        <v>34</v>
      </c>
      <c r="E579" s="50"/>
      <c r="F579" s="38"/>
      <c r="G579" s="38"/>
      <c r="H579" s="58">
        <f>PlanGrid[[#This Row],[Spec Wattage]]*PlanGrid[[#This Row],[Equipment Count]]</f>
        <v>0</v>
      </c>
      <c r="I579" s="50">
        <f>((PlanGrid[[#This Row],[Demand Watt]]*PlanGrid[[#This Row],[Utilization %]]*'Schedule-Building Info'!$N$16)/1000)</f>
        <v>0</v>
      </c>
      <c r="J579" s="50">
        <f>PlanGrid[[#This Row],[kWh/yr]]*' Elec Utility (kWh)'!$M$7</f>
        <v>0</v>
      </c>
      <c r="K579" s="38">
        <f>PlanGrid[[#This Row],[kWh/yr]]/'Schedule-Building Info'!$B$6</f>
        <v>0</v>
      </c>
      <c r="L579" s="50">
        <f>CONVERT(PlanGrid[[#This Row],[kWh/yr]],"Wh","BTU")</f>
        <v>0</v>
      </c>
      <c r="M579" s="38">
        <f>PlanGrid[[#This Row],[kBtu/yr]]/'Schedule-Building Info'!$B$6</f>
        <v>0</v>
      </c>
      <c r="N579" t="s">
        <v>1092</v>
      </c>
      <c r="O579">
        <v>0</v>
      </c>
      <c r="P579" t="e">
        <f>VLOOKUP(PlanGrid[[#This Row],[Title]],'Spec Wattages'!$A$1:$C$973,3,FALSE)</f>
        <v>#N/A</v>
      </c>
      <c r="Q579" t="s">
        <v>910</v>
      </c>
      <c r="R579" t="s">
        <v>770</v>
      </c>
      <c r="S579" t="s">
        <v>11</v>
      </c>
    </row>
    <row r="580" spans="1:19" hidden="1" x14ac:dyDescent="0.25">
      <c r="A580">
        <v>561</v>
      </c>
      <c r="B580" t="s">
        <v>32</v>
      </c>
      <c r="C580" t="s">
        <v>521</v>
      </c>
      <c r="D580" t="s">
        <v>522</v>
      </c>
      <c r="E580" s="50"/>
      <c r="F580" s="38"/>
      <c r="G580" s="38"/>
      <c r="H580" s="58">
        <f>PlanGrid[[#This Row],[Spec Wattage]]*PlanGrid[[#This Row],[Equipment Count]]</f>
        <v>0</v>
      </c>
      <c r="I580" s="50">
        <f>((PlanGrid[[#This Row],[Demand Watt]]*PlanGrid[[#This Row],[Utilization %]]*'Schedule-Building Info'!$N$16)/1000)</f>
        <v>0</v>
      </c>
      <c r="J580" s="50">
        <f>PlanGrid[[#This Row],[kWh/yr]]*' Elec Utility (kWh)'!$M$7</f>
        <v>0</v>
      </c>
      <c r="K580" s="38">
        <f>PlanGrid[[#This Row],[kWh/yr]]/'Schedule-Building Info'!$B$6</f>
        <v>0</v>
      </c>
      <c r="L580" s="50">
        <f>CONVERT(PlanGrid[[#This Row],[kWh/yr]],"Wh","BTU")</f>
        <v>0</v>
      </c>
      <c r="M580" s="38">
        <f>PlanGrid[[#This Row],[kBtu/yr]]/'Schedule-Building Info'!$B$6</f>
        <v>0</v>
      </c>
      <c r="N580" t="s">
        <v>1092</v>
      </c>
      <c r="O580">
        <v>0</v>
      </c>
      <c r="P580" t="e">
        <f>VLOOKUP(PlanGrid[[#This Row],[Title]],'Spec Wattages'!$A$1:$C$973,3,FALSE)</f>
        <v>#N/A</v>
      </c>
      <c r="Q580" t="s">
        <v>908</v>
      </c>
      <c r="R580" t="s">
        <v>908</v>
      </c>
      <c r="S580" t="s">
        <v>51</v>
      </c>
    </row>
    <row r="581" spans="1:19" hidden="1" x14ac:dyDescent="0.25">
      <c r="A581">
        <v>570</v>
      </c>
      <c r="B581" t="s">
        <v>32</v>
      </c>
      <c r="C581" t="s">
        <v>521</v>
      </c>
      <c r="D581" t="s">
        <v>34</v>
      </c>
      <c r="E581" s="50"/>
      <c r="F581" s="38"/>
      <c r="G581" s="38"/>
      <c r="H581" s="58">
        <f>PlanGrid[[#This Row],[Spec Wattage]]*PlanGrid[[#This Row],[Equipment Count]]</f>
        <v>0</v>
      </c>
      <c r="I581" s="50">
        <f>((PlanGrid[[#This Row],[Demand Watt]]*PlanGrid[[#This Row],[Utilization %]]*'Schedule-Building Info'!$N$16)/1000)</f>
        <v>0</v>
      </c>
      <c r="J581" s="50">
        <f>PlanGrid[[#This Row],[kWh/yr]]*' Elec Utility (kWh)'!$M$7</f>
        <v>0</v>
      </c>
      <c r="K581" s="38">
        <f>PlanGrid[[#This Row],[kWh/yr]]/'Schedule-Building Info'!$B$6</f>
        <v>0</v>
      </c>
      <c r="L581" s="50">
        <f>CONVERT(PlanGrid[[#This Row],[kWh/yr]],"Wh","BTU")</f>
        <v>0</v>
      </c>
      <c r="M581" s="38">
        <f>PlanGrid[[#This Row],[kBtu/yr]]/'Schedule-Building Info'!$B$6</f>
        <v>0</v>
      </c>
      <c r="N581" t="s">
        <v>1092</v>
      </c>
      <c r="O581">
        <v>0</v>
      </c>
      <c r="P581" t="e">
        <f>VLOOKUP(PlanGrid[[#This Row],[Title]],'Spec Wattages'!$A$1:$C$973,3,FALSE)</f>
        <v>#N/A</v>
      </c>
      <c r="Q581" t="s">
        <v>912</v>
      </c>
      <c r="R581" t="s">
        <v>911</v>
      </c>
      <c r="S581" t="s">
        <v>11</v>
      </c>
    </row>
    <row r="582" spans="1:19" hidden="1" x14ac:dyDescent="0.25">
      <c r="A582">
        <v>585</v>
      </c>
      <c r="B582" t="s">
        <v>32</v>
      </c>
      <c r="C582" t="s">
        <v>521</v>
      </c>
      <c r="D582" t="s">
        <v>522</v>
      </c>
      <c r="E582" s="50"/>
      <c r="F582" s="38"/>
      <c r="G582" s="38"/>
      <c r="H582" s="58">
        <f>PlanGrid[[#This Row],[Spec Wattage]]*PlanGrid[[#This Row],[Equipment Count]]</f>
        <v>0</v>
      </c>
      <c r="I582" s="50">
        <f>((PlanGrid[[#This Row],[Demand Watt]]*PlanGrid[[#This Row],[Utilization %]]*'Schedule-Building Info'!$N$16)/1000)</f>
        <v>0</v>
      </c>
      <c r="J582" s="50">
        <f>PlanGrid[[#This Row],[kWh/yr]]*' Elec Utility (kWh)'!$M$7</f>
        <v>0</v>
      </c>
      <c r="K582" s="38">
        <f>PlanGrid[[#This Row],[kWh/yr]]/'Schedule-Building Info'!$B$6</f>
        <v>0</v>
      </c>
      <c r="L582" s="50">
        <f>CONVERT(PlanGrid[[#This Row],[kWh/yr]],"Wh","BTU")</f>
        <v>0</v>
      </c>
      <c r="M582" s="38">
        <f>PlanGrid[[#This Row],[kBtu/yr]]/'Schedule-Building Info'!$B$6</f>
        <v>0</v>
      </c>
      <c r="N582" t="s">
        <v>1092</v>
      </c>
      <c r="O582">
        <v>0</v>
      </c>
      <c r="P582" t="e">
        <f>VLOOKUP(PlanGrid[[#This Row],[Title]],'Spec Wattages'!$A$1:$C$973,3,FALSE)</f>
        <v>#N/A</v>
      </c>
      <c r="Q582" t="s">
        <v>774</v>
      </c>
      <c r="R582" t="s">
        <v>774</v>
      </c>
      <c r="S582" t="s">
        <v>51</v>
      </c>
    </row>
    <row r="583" spans="1:19" hidden="1" x14ac:dyDescent="0.25">
      <c r="A583">
        <v>586</v>
      </c>
      <c r="B583" t="s">
        <v>32</v>
      </c>
      <c r="C583" t="s">
        <v>521</v>
      </c>
      <c r="D583" t="s">
        <v>34</v>
      </c>
      <c r="E583" s="50"/>
      <c r="F583" s="38"/>
      <c r="G583" s="38"/>
      <c r="H583" s="58">
        <f>PlanGrid[[#This Row],[Spec Wattage]]*PlanGrid[[#This Row],[Equipment Count]]</f>
        <v>0</v>
      </c>
      <c r="I583" s="50">
        <f>((PlanGrid[[#This Row],[Demand Watt]]*PlanGrid[[#This Row],[Utilization %]]*'Schedule-Building Info'!$N$16)/1000)</f>
        <v>0</v>
      </c>
      <c r="J583" s="50">
        <f>PlanGrid[[#This Row],[kWh/yr]]*' Elec Utility (kWh)'!$M$7</f>
        <v>0</v>
      </c>
      <c r="K583" s="38">
        <f>PlanGrid[[#This Row],[kWh/yr]]/'Schedule-Building Info'!$B$6</f>
        <v>0</v>
      </c>
      <c r="L583" s="50">
        <f>CONVERT(PlanGrid[[#This Row],[kWh/yr]],"Wh","BTU")</f>
        <v>0</v>
      </c>
      <c r="M583" s="38">
        <f>PlanGrid[[#This Row],[kBtu/yr]]/'Schedule-Building Info'!$B$6</f>
        <v>0</v>
      </c>
      <c r="N583" t="s">
        <v>1092</v>
      </c>
      <c r="O583">
        <v>0</v>
      </c>
      <c r="P583" t="e">
        <f>VLOOKUP(PlanGrid[[#This Row],[Title]],'Spec Wattages'!$A$1:$C$973,3,FALSE)</f>
        <v>#N/A</v>
      </c>
      <c r="Q583" t="s">
        <v>913</v>
      </c>
      <c r="R583" t="s">
        <v>774</v>
      </c>
      <c r="S583" t="s">
        <v>11</v>
      </c>
    </row>
    <row r="584" spans="1:19" hidden="1" x14ac:dyDescent="0.25">
      <c r="A584">
        <v>595</v>
      </c>
      <c r="B584" t="s">
        <v>32</v>
      </c>
      <c r="C584" t="s">
        <v>521</v>
      </c>
      <c r="D584" t="s">
        <v>34</v>
      </c>
      <c r="E584" s="50"/>
      <c r="F584" s="38"/>
      <c r="G584" s="38"/>
      <c r="H584" s="58">
        <f>PlanGrid[[#This Row],[Spec Wattage]]*PlanGrid[[#This Row],[Equipment Count]]</f>
        <v>0</v>
      </c>
      <c r="I584" s="50">
        <f>((PlanGrid[[#This Row],[Demand Watt]]*PlanGrid[[#This Row],[Utilization %]]*'Schedule-Building Info'!$N$16)/1000)</f>
        <v>0</v>
      </c>
      <c r="J584" s="50">
        <f>PlanGrid[[#This Row],[kWh/yr]]*' Elec Utility (kWh)'!$M$7</f>
        <v>0</v>
      </c>
      <c r="K584" s="38">
        <f>PlanGrid[[#This Row],[kWh/yr]]/'Schedule-Building Info'!$B$6</f>
        <v>0</v>
      </c>
      <c r="L584" s="50">
        <f>CONVERT(PlanGrid[[#This Row],[kWh/yr]],"Wh","BTU")</f>
        <v>0</v>
      </c>
      <c r="M584" s="38">
        <f>PlanGrid[[#This Row],[kBtu/yr]]/'Schedule-Building Info'!$B$6</f>
        <v>0</v>
      </c>
      <c r="N584" t="s">
        <v>1092</v>
      </c>
      <c r="O584">
        <v>0</v>
      </c>
      <c r="P584" t="e">
        <f>VLOOKUP(PlanGrid[[#This Row],[Title]],'Spec Wattages'!$A$1:$C$973,3,FALSE)</f>
        <v>#N/A</v>
      </c>
      <c r="Q584" t="s">
        <v>914</v>
      </c>
      <c r="R584" t="s">
        <v>1018</v>
      </c>
      <c r="S584" t="s">
        <v>11</v>
      </c>
    </row>
    <row r="585" spans="1:19" hidden="1" x14ac:dyDescent="0.25">
      <c r="A585">
        <v>604</v>
      </c>
      <c r="B585" t="s">
        <v>32</v>
      </c>
      <c r="C585" t="s">
        <v>521</v>
      </c>
      <c r="D585" t="s">
        <v>34</v>
      </c>
      <c r="E585" s="50"/>
      <c r="F585" s="38"/>
      <c r="G585" s="38"/>
      <c r="H585" s="58">
        <f>PlanGrid[[#This Row],[Spec Wattage]]*PlanGrid[[#This Row],[Equipment Count]]</f>
        <v>0</v>
      </c>
      <c r="I585" s="50">
        <f>((PlanGrid[[#This Row],[Demand Watt]]*PlanGrid[[#This Row],[Utilization %]]*'Schedule-Building Info'!$N$16)/1000)</f>
        <v>0</v>
      </c>
      <c r="J585" s="50">
        <f>PlanGrid[[#This Row],[kWh/yr]]*' Elec Utility (kWh)'!$M$7</f>
        <v>0</v>
      </c>
      <c r="K585" s="38">
        <f>PlanGrid[[#This Row],[kWh/yr]]/'Schedule-Building Info'!$B$6</f>
        <v>0</v>
      </c>
      <c r="L585" s="50">
        <f>CONVERT(PlanGrid[[#This Row],[kWh/yr]],"Wh","BTU")</f>
        <v>0</v>
      </c>
      <c r="M585" s="38">
        <f>PlanGrid[[#This Row],[kBtu/yr]]/'Schedule-Building Info'!$B$6</f>
        <v>0</v>
      </c>
      <c r="N585" t="s">
        <v>1092</v>
      </c>
      <c r="O585">
        <v>0</v>
      </c>
      <c r="P585" t="e">
        <f>VLOOKUP(PlanGrid[[#This Row],[Title]],'Spec Wattages'!$A$1:$C$973,3,FALSE)</f>
        <v>#N/A</v>
      </c>
      <c r="Q585" t="s">
        <v>775</v>
      </c>
      <c r="R585" t="s">
        <v>910</v>
      </c>
      <c r="S585" t="s">
        <v>11</v>
      </c>
    </row>
    <row r="586" spans="1:19" hidden="1" x14ac:dyDescent="0.25">
      <c r="A586">
        <v>611</v>
      </c>
      <c r="B586" t="s">
        <v>32</v>
      </c>
      <c r="C586" t="s">
        <v>521</v>
      </c>
      <c r="D586" t="s">
        <v>522</v>
      </c>
      <c r="E586" s="50"/>
      <c r="F586" s="38"/>
      <c r="G586" s="38"/>
      <c r="H586" s="58">
        <f>PlanGrid[[#This Row],[Spec Wattage]]*PlanGrid[[#This Row],[Equipment Count]]</f>
        <v>0</v>
      </c>
      <c r="I586" s="50">
        <f>((PlanGrid[[#This Row],[Demand Watt]]*PlanGrid[[#This Row],[Utilization %]]*'Schedule-Building Info'!$N$16)/1000)</f>
        <v>0</v>
      </c>
      <c r="J586" s="50">
        <f>PlanGrid[[#This Row],[kWh/yr]]*' Elec Utility (kWh)'!$M$7</f>
        <v>0</v>
      </c>
      <c r="K586" s="38">
        <f>PlanGrid[[#This Row],[kWh/yr]]/'Schedule-Building Info'!$B$6</f>
        <v>0</v>
      </c>
      <c r="L586" s="50">
        <f>CONVERT(PlanGrid[[#This Row],[kWh/yr]],"Wh","BTU")</f>
        <v>0</v>
      </c>
      <c r="M586" s="38">
        <f>PlanGrid[[#This Row],[kBtu/yr]]/'Schedule-Building Info'!$B$6</f>
        <v>0</v>
      </c>
      <c r="N586" t="s">
        <v>1092</v>
      </c>
      <c r="O586">
        <v>0</v>
      </c>
      <c r="P586" t="e">
        <f>VLOOKUP(PlanGrid[[#This Row],[Title]],'Spec Wattages'!$A$1:$C$973,3,FALSE)</f>
        <v>#N/A</v>
      </c>
      <c r="Q586" t="s">
        <v>910</v>
      </c>
      <c r="R586" t="s">
        <v>910</v>
      </c>
      <c r="S586" t="s">
        <v>51</v>
      </c>
    </row>
    <row r="587" spans="1:19" x14ac:dyDescent="0.25">
      <c r="A587">
        <v>299</v>
      </c>
      <c r="B587" t="s">
        <v>15</v>
      </c>
      <c r="C587" t="s">
        <v>16</v>
      </c>
      <c r="E587" s="50">
        <f>VLOOKUP(PlanGrid[[#This Row],[Title]],'Spec Wattages'!$A$1:$C$973,2,FALSE)</f>
        <v>21</v>
      </c>
      <c r="F587" s="38">
        <v>1</v>
      </c>
      <c r="G587" s="39">
        <v>1</v>
      </c>
      <c r="H587" s="58">
        <f>PlanGrid[[#This Row],[Spec Wattage]]*PlanGrid[[#This Row],[Equipment Count]]</f>
        <v>21</v>
      </c>
      <c r="I587" s="50">
        <f>((PlanGrid[[#This Row],[Demand Watt]]*PlanGrid[[#This Row],[Utilization %]]*'Schedule-Building Info'!$N$16)/1000)</f>
        <v>114.97499999999999</v>
      </c>
      <c r="J587" s="57">
        <f>PlanGrid[[#This Row],[kWh/yr]]*' Elec Utility (kWh)'!$M$7</f>
        <v>12.257868782138575</v>
      </c>
      <c r="K587" s="38">
        <f>PlanGrid[[#This Row],[kWh/yr]]/'Schedule-Building Info'!$B$6</f>
        <v>1.8907563025210084E-3</v>
      </c>
      <c r="L587" s="50">
        <f>CONVERT(PlanGrid[[#This Row],[kWh/yr]],"Wh","BTU")</f>
        <v>392.31098426888508</v>
      </c>
      <c r="M587" s="38">
        <f>PlanGrid[[#This Row],[kBtu/yr]]/'Schedule-Building Info'!$B$6</f>
        <v>6.4515282979309817E-3</v>
      </c>
      <c r="N587" t="s">
        <v>1092</v>
      </c>
      <c r="O587">
        <v>0</v>
      </c>
      <c r="P587" t="str">
        <f>VLOOKUP(PlanGrid[[#This Row],[Title]],'Spec Wattages'!$A$1:$C$973,3,FALSE)</f>
        <v>Plug Load</v>
      </c>
      <c r="Q587" t="s">
        <v>989</v>
      </c>
      <c r="R587" t="s">
        <v>1042</v>
      </c>
      <c r="S587" t="s">
        <v>11</v>
      </c>
    </row>
    <row r="588" spans="1:19" x14ac:dyDescent="0.25">
      <c r="A588">
        <v>322</v>
      </c>
      <c r="B588" t="s">
        <v>15</v>
      </c>
      <c r="C588" t="s">
        <v>16</v>
      </c>
      <c r="E588" s="50">
        <f>VLOOKUP(PlanGrid[[#This Row],[Title]],'Spec Wattages'!$A$1:$C$973,2,FALSE)</f>
        <v>21</v>
      </c>
      <c r="F588" s="38">
        <v>1</v>
      </c>
      <c r="G588" s="39">
        <v>1</v>
      </c>
      <c r="H588" s="58">
        <f>PlanGrid[[#This Row],[Spec Wattage]]*PlanGrid[[#This Row],[Equipment Count]]</f>
        <v>21</v>
      </c>
      <c r="I588" s="50">
        <f>((PlanGrid[[#This Row],[Demand Watt]]*PlanGrid[[#This Row],[Utilization %]]*'Schedule-Building Info'!$N$16)/1000)</f>
        <v>114.97499999999999</v>
      </c>
      <c r="J588" s="57">
        <f>PlanGrid[[#This Row],[kWh/yr]]*' Elec Utility (kWh)'!$M$7</f>
        <v>12.257868782138575</v>
      </c>
      <c r="K588" s="38">
        <f>PlanGrid[[#This Row],[kWh/yr]]/'Schedule-Building Info'!$B$6</f>
        <v>1.8907563025210084E-3</v>
      </c>
      <c r="L588" s="50">
        <f>CONVERT(PlanGrid[[#This Row],[kWh/yr]],"Wh","BTU")</f>
        <v>392.31098426888508</v>
      </c>
      <c r="M588" s="38">
        <f>PlanGrid[[#This Row],[kBtu/yr]]/'Schedule-Building Info'!$B$6</f>
        <v>6.4515282979309817E-3</v>
      </c>
      <c r="N588" t="s">
        <v>1092</v>
      </c>
      <c r="O588">
        <v>0</v>
      </c>
      <c r="P588" t="str">
        <f>VLOOKUP(PlanGrid[[#This Row],[Title]],'Spec Wattages'!$A$1:$C$973,3,FALSE)</f>
        <v>Plug Load</v>
      </c>
      <c r="Q588" t="s">
        <v>887</v>
      </c>
      <c r="R588" t="s">
        <v>1056</v>
      </c>
      <c r="S588" t="s">
        <v>11</v>
      </c>
    </row>
    <row r="589" spans="1:19" x14ac:dyDescent="0.25">
      <c r="A589">
        <v>328</v>
      </c>
      <c r="B589" t="s">
        <v>15</v>
      </c>
      <c r="C589" t="s">
        <v>16</v>
      </c>
      <c r="E589" s="50">
        <f>VLOOKUP(PlanGrid[[#This Row],[Title]],'Spec Wattages'!$A$1:$C$973,2,FALSE)</f>
        <v>21</v>
      </c>
      <c r="F589" s="38">
        <v>1</v>
      </c>
      <c r="G589" s="39">
        <v>1</v>
      </c>
      <c r="H589" s="58">
        <f>PlanGrid[[#This Row],[Spec Wattage]]*PlanGrid[[#This Row],[Equipment Count]]</f>
        <v>21</v>
      </c>
      <c r="I589" s="50">
        <f>((PlanGrid[[#This Row],[Demand Watt]]*PlanGrid[[#This Row],[Utilization %]]*'Schedule-Building Info'!$N$16)/1000)</f>
        <v>114.97499999999999</v>
      </c>
      <c r="J589" s="57">
        <f>PlanGrid[[#This Row],[kWh/yr]]*' Elec Utility (kWh)'!$M$7</f>
        <v>12.257868782138575</v>
      </c>
      <c r="K589" s="38">
        <f>PlanGrid[[#This Row],[kWh/yr]]/'Schedule-Building Info'!$B$6</f>
        <v>1.8907563025210084E-3</v>
      </c>
      <c r="L589" s="50">
        <f>CONVERT(PlanGrid[[#This Row],[kWh/yr]],"Wh","BTU")</f>
        <v>392.31098426888508</v>
      </c>
      <c r="M589" s="38">
        <f>PlanGrid[[#This Row],[kBtu/yr]]/'Schedule-Building Info'!$B$6</f>
        <v>6.4515282979309817E-3</v>
      </c>
      <c r="N589" t="s">
        <v>1092</v>
      </c>
      <c r="O589">
        <v>0</v>
      </c>
      <c r="P589" t="str">
        <f>VLOOKUP(PlanGrid[[#This Row],[Title]],'Spec Wattages'!$A$1:$C$973,3,FALSE)</f>
        <v>Plug Load</v>
      </c>
      <c r="Q589" t="s">
        <v>888</v>
      </c>
      <c r="R589" t="s">
        <v>1056</v>
      </c>
      <c r="S589" t="s">
        <v>11</v>
      </c>
    </row>
    <row r="590" spans="1:19" x14ac:dyDescent="0.25">
      <c r="A590">
        <v>329</v>
      </c>
      <c r="B590" t="s">
        <v>15</v>
      </c>
      <c r="C590" t="s">
        <v>16</v>
      </c>
      <c r="E590" s="50">
        <f>VLOOKUP(PlanGrid[[#This Row],[Title]],'Spec Wattages'!$A$1:$C$973,2,FALSE)</f>
        <v>21</v>
      </c>
      <c r="F590" s="38">
        <v>1</v>
      </c>
      <c r="G590" s="39">
        <v>1</v>
      </c>
      <c r="H590" s="58">
        <f>PlanGrid[[#This Row],[Spec Wattage]]*PlanGrid[[#This Row],[Equipment Count]]</f>
        <v>21</v>
      </c>
      <c r="I590" s="50">
        <f>((PlanGrid[[#This Row],[Demand Watt]]*PlanGrid[[#This Row],[Utilization %]]*'Schedule-Building Info'!$N$16)/1000)</f>
        <v>114.97499999999999</v>
      </c>
      <c r="J590" s="57">
        <f>PlanGrid[[#This Row],[kWh/yr]]*' Elec Utility (kWh)'!$M$7</f>
        <v>12.257868782138575</v>
      </c>
      <c r="K590" s="38">
        <f>PlanGrid[[#This Row],[kWh/yr]]/'Schedule-Building Info'!$B$6</f>
        <v>1.8907563025210084E-3</v>
      </c>
      <c r="L590" s="50">
        <f>CONVERT(PlanGrid[[#This Row],[kWh/yr]],"Wh","BTU")</f>
        <v>392.31098426888508</v>
      </c>
      <c r="M590" s="38">
        <f>PlanGrid[[#This Row],[kBtu/yr]]/'Schedule-Building Info'!$B$6</f>
        <v>6.4515282979309817E-3</v>
      </c>
      <c r="N590" t="s">
        <v>1092</v>
      </c>
      <c r="O590">
        <v>0</v>
      </c>
      <c r="P590" t="str">
        <f>VLOOKUP(PlanGrid[[#This Row],[Title]],'Spec Wattages'!$A$1:$C$973,3,FALSE)</f>
        <v>Plug Load</v>
      </c>
      <c r="Q590" t="s">
        <v>888</v>
      </c>
      <c r="R590" t="s">
        <v>1056</v>
      </c>
      <c r="S590" t="s">
        <v>11</v>
      </c>
    </row>
    <row r="591" spans="1:19" x14ac:dyDescent="0.25">
      <c r="A591">
        <v>336</v>
      </c>
      <c r="B591" t="s">
        <v>15</v>
      </c>
      <c r="C591" t="s">
        <v>16</v>
      </c>
      <c r="E591" s="50">
        <f>VLOOKUP(PlanGrid[[#This Row],[Title]],'Spec Wattages'!$A$1:$C$973,2,FALSE)</f>
        <v>21</v>
      </c>
      <c r="F591" s="38">
        <v>1</v>
      </c>
      <c r="G591" s="39">
        <v>1</v>
      </c>
      <c r="H591" s="58">
        <f>PlanGrid[[#This Row],[Spec Wattage]]*PlanGrid[[#This Row],[Equipment Count]]</f>
        <v>21</v>
      </c>
      <c r="I591" s="50">
        <f>((PlanGrid[[#This Row],[Demand Watt]]*PlanGrid[[#This Row],[Utilization %]]*'Schedule-Building Info'!$N$16)/1000)</f>
        <v>114.97499999999999</v>
      </c>
      <c r="J591" s="57">
        <f>PlanGrid[[#This Row],[kWh/yr]]*' Elec Utility (kWh)'!$M$7</f>
        <v>12.257868782138575</v>
      </c>
      <c r="K591" s="38">
        <f>PlanGrid[[#This Row],[kWh/yr]]/'Schedule-Building Info'!$B$6</f>
        <v>1.8907563025210084E-3</v>
      </c>
      <c r="L591" s="50">
        <f>CONVERT(PlanGrid[[#This Row],[kWh/yr]],"Wh","BTU")</f>
        <v>392.31098426888508</v>
      </c>
      <c r="M591" s="38">
        <f>PlanGrid[[#This Row],[kBtu/yr]]/'Schedule-Building Info'!$B$6</f>
        <v>6.4515282979309817E-3</v>
      </c>
      <c r="N591" t="s">
        <v>1092</v>
      </c>
      <c r="O591">
        <v>0</v>
      </c>
      <c r="P591" t="str">
        <f>VLOOKUP(PlanGrid[[#This Row],[Title]],'Spec Wattages'!$A$1:$C$973,3,FALSE)</f>
        <v>Plug Load</v>
      </c>
      <c r="Q591" t="s">
        <v>890</v>
      </c>
      <c r="R591" t="s">
        <v>1056</v>
      </c>
      <c r="S591" t="s">
        <v>11</v>
      </c>
    </row>
    <row r="592" spans="1:19" x14ac:dyDescent="0.25">
      <c r="A592">
        <v>341</v>
      </c>
      <c r="B592" t="s">
        <v>15</v>
      </c>
      <c r="C592" t="s">
        <v>16</v>
      </c>
      <c r="E592" s="50">
        <f>VLOOKUP(PlanGrid[[#This Row],[Title]],'Spec Wattages'!$A$1:$C$973,2,FALSE)</f>
        <v>21</v>
      </c>
      <c r="F592" s="38">
        <v>1</v>
      </c>
      <c r="G592" s="39">
        <v>1</v>
      </c>
      <c r="H592" s="58">
        <f>PlanGrid[[#This Row],[Spec Wattage]]*PlanGrid[[#This Row],[Equipment Count]]</f>
        <v>21</v>
      </c>
      <c r="I592" s="50">
        <f>((PlanGrid[[#This Row],[Demand Watt]]*PlanGrid[[#This Row],[Utilization %]]*'Schedule-Building Info'!$N$16)/1000)</f>
        <v>114.97499999999999</v>
      </c>
      <c r="J592" s="57">
        <f>PlanGrid[[#This Row],[kWh/yr]]*' Elec Utility (kWh)'!$M$7</f>
        <v>12.257868782138575</v>
      </c>
      <c r="K592" s="38">
        <f>PlanGrid[[#This Row],[kWh/yr]]/'Schedule-Building Info'!$B$6</f>
        <v>1.8907563025210084E-3</v>
      </c>
      <c r="L592" s="50">
        <f>CONVERT(PlanGrid[[#This Row],[kWh/yr]],"Wh","BTU")</f>
        <v>392.31098426888508</v>
      </c>
      <c r="M592" s="38">
        <f>PlanGrid[[#This Row],[kBtu/yr]]/'Schedule-Building Info'!$B$6</f>
        <v>6.4515282979309817E-3</v>
      </c>
      <c r="N592" t="s">
        <v>1092</v>
      </c>
      <c r="O592">
        <v>0</v>
      </c>
      <c r="P592" t="str">
        <f>VLOOKUP(PlanGrid[[#This Row],[Title]],'Spec Wattages'!$A$1:$C$973,3,FALSE)</f>
        <v>Plug Load</v>
      </c>
      <c r="Q592" t="s">
        <v>891</v>
      </c>
      <c r="R592" t="s">
        <v>1043</v>
      </c>
      <c r="S592" t="s">
        <v>11</v>
      </c>
    </row>
    <row r="593" spans="1:19" x14ac:dyDescent="0.25">
      <c r="A593">
        <v>344</v>
      </c>
      <c r="B593" t="s">
        <v>15</v>
      </c>
      <c r="C593" t="s">
        <v>16</v>
      </c>
      <c r="E593" s="50">
        <f>VLOOKUP(PlanGrid[[#This Row],[Title]],'Spec Wattages'!$A$1:$C$973,2,FALSE)</f>
        <v>21</v>
      </c>
      <c r="F593" s="38">
        <v>1</v>
      </c>
      <c r="G593" s="39">
        <v>1</v>
      </c>
      <c r="H593" s="58">
        <f>PlanGrid[[#This Row],[Spec Wattage]]*PlanGrid[[#This Row],[Equipment Count]]</f>
        <v>21</v>
      </c>
      <c r="I593" s="50">
        <f>((PlanGrid[[#This Row],[Demand Watt]]*PlanGrid[[#This Row],[Utilization %]]*'Schedule-Building Info'!$N$16)/1000)</f>
        <v>114.97499999999999</v>
      </c>
      <c r="J593" s="57">
        <f>PlanGrid[[#This Row],[kWh/yr]]*' Elec Utility (kWh)'!$M$7</f>
        <v>12.257868782138575</v>
      </c>
      <c r="K593" s="38">
        <f>PlanGrid[[#This Row],[kWh/yr]]/'Schedule-Building Info'!$B$6</f>
        <v>1.8907563025210084E-3</v>
      </c>
      <c r="L593" s="50">
        <f>CONVERT(PlanGrid[[#This Row],[kWh/yr]],"Wh","BTU")</f>
        <v>392.31098426888508</v>
      </c>
      <c r="M593" s="38">
        <f>PlanGrid[[#This Row],[kBtu/yr]]/'Schedule-Building Info'!$B$6</f>
        <v>6.4515282979309817E-3</v>
      </c>
      <c r="N593" t="s">
        <v>1092</v>
      </c>
      <c r="O593">
        <v>0</v>
      </c>
      <c r="P593" t="str">
        <f>VLOOKUP(PlanGrid[[#This Row],[Title]],'Spec Wattages'!$A$1:$C$973,3,FALSE)</f>
        <v>Plug Load</v>
      </c>
      <c r="Q593" t="s">
        <v>759</v>
      </c>
      <c r="R593" t="s">
        <v>1043</v>
      </c>
      <c r="S593" t="s">
        <v>11</v>
      </c>
    </row>
    <row r="594" spans="1:19" x14ac:dyDescent="0.25">
      <c r="A594">
        <v>345</v>
      </c>
      <c r="B594" t="s">
        <v>15</v>
      </c>
      <c r="C594" t="s">
        <v>16</v>
      </c>
      <c r="E594" s="50">
        <f>VLOOKUP(PlanGrid[[#This Row],[Title]],'Spec Wattages'!$A$1:$C$973,2,FALSE)</f>
        <v>21</v>
      </c>
      <c r="F594" s="38">
        <v>1</v>
      </c>
      <c r="G594" s="39">
        <v>1</v>
      </c>
      <c r="H594" s="58">
        <f>PlanGrid[[#This Row],[Spec Wattage]]*PlanGrid[[#This Row],[Equipment Count]]</f>
        <v>21</v>
      </c>
      <c r="I594" s="50">
        <f>((PlanGrid[[#This Row],[Demand Watt]]*PlanGrid[[#This Row],[Utilization %]]*'Schedule-Building Info'!$N$16)/1000)</f>
        <v>114.97499999999999</v>
      </c>
      <c r="J594" s="57">
        <f>PlanGrid[[#This Row],[kWh/yr]]*' Elec Utility (kWh)'!$M$7</f>
        <v>12.257868782138575</v>
      </c>
      <c r="K594" s="38">
        <f>PlanGrid[[#This Row],[kWh/yr]]/'Schedule-Building Info'!$B$6</f>
        <v>1.8907563025210084E-3</v>
      </c>
      <c r="L594" s="50">
        <f>CONVERT(PlanGrid[[#This Row],[kWh/yr]],"Wh","BTU")</f>
        <v>392.31098426888508</v>
      </c>
      <c r="M594" s="38">
        <f>PlanGrid[[#This Row],[kBtu/yr]]/'Schedule-Building Info'!$B$6</f>
        <v>6.4515282979309817E-3</v>
      </c>
      <c r="N594" t="s">
        <v>1092</v>
      </c>
      <c r="O594">
        <v>0</v>
      </c>
      <c r="P594" t="str">
        <f>VLOOKUP(PlanGrid[[#This Row],[Title]],'Spec Wattages'!$A$1:$C$973,3,FALSE)</f>
        <v>Plug Load</v>
      </c>
      <c r="Q594" t="s">
        <v>759</v>
      </c>
      <c r="R594" t="s">
        <v>1043</v>
      </c>
      <c r="S594" t="s">
        <v>11</v>
      </c>
    </row>
    <row r="595" spans="1:19" x14ac:dyDescent="0.25">
      <c r="A595">
        <v>352</v>
      </c>
      <c r="B595" t="s">
        <v>15</v>
      </c>
      <c r="C595" t="s">
        <v>16</v>
      </c>
      <c r="E595" s="50">
        <f>VLOOKUP(PlanGrid[[#This Row],[Title]],'Spec Wattages'!$A$1:$C$973,2,FALSE)</f>
        <v>21</v>
      </c>
      <c r="F595" s="38">
        <v>1</v>
      </c>
      <c r="G595" s="39">
        <v>1</v>
      </c>
      <c r="H595" s="58">
        <f>PlanGrid[[#This Row],[Spec Wattage]]*PlanGrid[[#This Row],[Equipment Count]]</f>
        <v>21</v>
      </c>
      <c r="I595" s="50">
        <f>((PlanGrid[[#This Row],[Demand Watt]]*PlanGrid[[#This Row],[Utilization %]]*'Schedule-Building Info'!$N$16)/1000)</f>
        <v>114.97499999999999</v>
      </c>
      <c r="J595" s="57">
        <f>PlanGrid[[#This Row],[kWh/yr]]*' Elec Utility (kWh)'!$M$7</f>
        <v>12.257868782138575</v>
      </c>
      <c r="K595" s="38">
        <f>PlanGrid[[#This Row],[kWh/yr]]/'Schedule-Building Info'!$B$6</f>
        <v>1.8907563025210084E-3</v>
      </c>
      <c r="L595" s="50">
        <f>CONVERT(PlanGrid[[#This Row],[kWh/yr]],"Wh","BTU")</f>
        <v>392.31098426888508</v>
      </c>
      <c r="M595" s="38">
        <f>PlanGrid[[#This Row],[kBtu/yr]]/'Schedule-Building Info'!$B$6</f>
        <v>6.4515282979309817E-3</v>
      </c>
      <c r="N595" t="s">
        <v>1092</v>
      </c>
      <c r="O595">
        <v>0</v>
      </c>
      <c r="P595" t="str">
        <f>VLOOKUP(PlanGrid[[#This Row],[Title]],'Spec Wattages'!$A$1:$C$973,3,FALSE)</f>
        <v>Plug Load</v>
      </c>
      <c r="Q595" t="s">
        <v>892</v>
      </c>
      <c r="R595" t="s">
        <v>1043</v>
      </c>
      <c r="S595" t="s">
        <v>11</v>
      </c>
    </row>
    <row r="596" spans="1:19" x14ac:dyDescent="0.25">
      <c r="A596">
        <v>357</v>
      </c>
      <c r="B596" t="s">
        <v>15</v>
      </c>
      <c r="C596" t="s">
        <v>16</v>
      </c>
      <c r="E596" s="50">
        <f>VLOOKUP(PlanGrid[[#This Row],[Title]],'Spec Wattages'!$A$1:$C$973,2,FALSE)</f>
        <v>21</v>
      </c>
      <c r="F596" s="38">
        <v>1</v>
      </c>
      <c r="G596" s="39">
        <v>1</v>
      </c>
      <c r="H596" s="58">
        <f>PlanGrid[[#This Row],[Spec Wattage]]*PlanGrid[[#This Row],[Equipment Count]]</f>
        <v>21</v>
      </c>
      <c r="I596" s="50">
        <f>((PlanGrid[[#This Row],[Demand Watt]]*PlanGrid[[#This Row],[Utilization %]]*'Schedule-Building Info'!$N$16)/1000)</f>
        <v>114.97499999999999</v>
      </c>
      <c r="J596" s="57">
        <f>PlanGrid[[#This Row],[kWh/yr]]*' Elec Utility (kWh)'!$M$7</f>
        <v>12.257868782138575</v>
      </c>
      <c r="K596" s="38">
        <f>PlanGrid[[#This Row],[kWh/yr]]/'Schedule-Building Info'!$B$6</f>
        <v>1.8907563025210084E-3</v>
      </c>
      <c r="L596" s="50">
        <f>CONVERT(PlanGrid[[#This Row],[kWh/yr]],"Wh","BTU")</f>
        <v>392.31098426888508</v>
      </c>
      <c r="M596" s="38">
        <f>PlanGrid[[#This Row],[kBtu/yr]]/'Schedule-Building Info'!$B$6</f>
        <v>6.4515282979309817E-3</v>
      </c>
      <c r="N596" t="s">
        <v>1092</v>
      </c>
      <c r="O596">
        <v>0</v>
      </c>
      <c r="P596" t="str">
        <f>VLOOKUP(PlanGrid[[#This Row],[Title]],'Spec Wattages'!$A$1:$C$973,3,FALSE)</f>
        <v>Plug Load</v>
      </c>
      <c r="Q596" t="s">
        <v>893</v>
      </c>
      <c r="R596" t="s">
        <v>1043</v>
      </c>
      <c r="S596" t="s">
        <v>11</v>
      </c>
    </row>
    <row r="597" spans="1:19" x14ac:dyDescent="0.25">
      <c r="A597">
        <v>358</v>
      </c>
      <c r="B597" t="s">
        <v>15</v>
      </c>
      <c r="C597" t="s">
        <v>16</v>
      </c>
      <c r="E597" s="50">
        <f>VLOOKUP(PlanGrid[[#This Row],[Title]],'Spec Wattages'!$A$1:$C$973,2,FALSE)</f>
        <v>21</v>
      </c>
      <c r="F597" s="38">
        <v>1</v>
      </c>
      <c r="G597" s="39">
        <v>1</v>
      </c>
      <c r="H597" s="58">
        <f>PlanGrid[[#This Row],[Spec Wattage]]*PlanGrid[[#This Row],[Equipment Count]]</f>
        <v>21</v>
      </c>
      <c r="I597" s="50">
        <f>((PlanGrid[[#This Row],[Demand Watt]]*PlanGrid[[#This Row],[Utilization %]]*'Schedule-Building Info'!$N$16)/1000)</f>
        <v>114.97499999999999</v>
      </c>
      <c r="J597" s="57">
        <f>PlanGrid[[#This Row],[kWh/yr]]*' Elec Utility (kWh)'!$M$7</f>
        <v>12.257868782138575</v>
      </c>
      <c r="K597" s="38">
        <f>PlanGrid[[#This Row],[kWh/yr]]/'Schedule-Building Info'!$B$6</f>
        <v>1.8907563025210084E-3</v>
      </c>
      <c r="L597" s="50">
        <f>CONVERT(PlanGrid[[#This Row],[kWh/yr]],"Wh","BTU")</f>
        <v>392.31098426888508</v>
      </c>
      <c r="M597" s="38">
        <f>PlanGrid[[#This Row],[kBtu/yr]]/'Schedule-Building Info'!$B$6</f>
        <v>6.4515282979309817E-3</v>
      </c>
      <c r="N597" t="s">
        <v>1092</v>
      </c>
      <c r="O597">
        <v>0</v>
      </c>
      <c r="P597" t="str">
        <f>VLOOKUP(PlanGrid[[#This Row],[Title]],'Spec Wattages'!$A$1:$C$973,3,FALSE)</f>
        <v>Plug Load</v>
      </c>
      <c r="Q597" t="s">
        <v>893</v>
      </c>
      <c r="R597" t="s">
        <v>1043</v>
      </c>
      <c r="S597" t="s">
        <v>11</v>
      </c>
    </row>
    <row r="598" spans="1:19" x14ac:dyDescent="0.25">
      <c r="A598">
        <v>367</v>
      </c>
      <c r="B598" t="s">
        <v>15</v>
      </c>
      <c r="C598" t="s">
        <v>16</v>
      </c>
      <c r="E598" s="50">
        <f>VLOOKUP(PlanGrid[[#This Row],[Title]],'Spec Wattages'!$A$1:$C$973,2,FALSE)</f>
        <v>21</v>
      </c>
      <c r="F598" s="38">
        <v>1</v>
      </c>
      <c r="G598" s="39">
        <v>1</v>
      </c>
      <c r="H598" s="58">
        <f>PlanGrid[[#This Row],[Spec Wattage]]*PlanGrid[[#This Row],[Equipment Count]]</f>
        <v>21</v>
      </c>
      <c r="I598" s="50">
        <f>((PlanGrid[[#This Row],[Demand Watt]]*PlanGrid[[#This Row],[Utilization %]]*'Schedule-Building Info'!$N$16)/1000)</f>
        <v>114.97499999999999</v>
      </c>
      <c r="J598" s="57">
        <f>PlanGrid[[#This Row],[kWh/yr]]*' Elec Utility (kWh)'!$M$7</f>
        <v>12.257868782138575</v>
      </c>
      <c r="K598" s="38">
        <f>PlanGrid[[#This Row],[kWh/yr]]/'Schedule-Building Info'!$B$6</f>
        <v>1.8907563025210084E-3</v>
      </c>
      <c r="L598" s="50">
        <f>CONVERT(PlanGrid[[#This Row],[kWh/yr]],"Wh","BTU")</f>
        <v>392.31098426888508</v>
      </c>
      <c r="M598" s="38">
        <f>PlanGrid[[#This Row],[kBtu/yr]]/'Schedule-Building Info'!$B$6</f>
        <v>6.4515282979309817E-3</v>
      </c>
      <c r="N598" t="s">
        <v>1092</v>
      </c>
      <c r="O598">
        <v>0</v>
      </c>
      <c r="P598" t="str">
        <f>VLOOKUP(PlanGrid[[#This Row],[Title]],'Spec Wattages'!$A$1:$C$973,3,FALSE)</f>
        <v>Plug Load</v>
      </c>
      <c r="Q598" t="s">
        <v>895</v>
      </c>
      <c r="R598" t="s">
        <v>1043</v>
      </c>
      <c r="S598" t="s">
        <v>11</v>
      </c>
    </row>
    <row r="599" spans="1:19" x14ac:dyDescent="0.25">
      <c r="A599">
        <v>375</v>
      </c>
      <c r="B599" t="s">
        <v>15</v>
      </c>
      <c r="C599" t="s">
        <v>16</v>
      </c>
      <c r="E599" s="50">
        <f>VLOOKUP(PlanGrid[[#This Row],[Title]],'Spec Wattages'!$A$1:$C$973,2,FALSE)</f>
        <v>21</v>
      </c>
      <c r="F599" s="38">
        <v>1</v>
      </c>
      <c r="G599" s="39">
        <v>1</v>
      </c>
      <c r="H599" s="58">
        <f>PlanGrid[[#This Row],[Spec Wattage]]*PlanGrid[[#This Row],[Equipment Count]]</f>
        <v>21</v>
      </c>
      <c r="I599" s="50">
        <f>((PlanGrid[[#This Row],[Demand Watt]]*PlanGrid[[#This Row],[Utilization %]]*'Schedule-Building Info'!$N$16)/1000)</f>
        <v>114.97499999999999</v>
      </c>
      <c r="J599" s="57">
        <f>PlanGrid[[#This Row],[kWh/yr]]*' Elec Utility (kWh)'!$M$7</f>
        <v>12.257868782138575</v>
      </c>
      <c r="K599" s="38">
        <f>PlanGrid[[#This Row],[kWh/yr]]/'Schedule-Building Info'!$B$6</f>
        <v>1.8907563025210084E-3</v>
      </c>
      <c r="L599" s="50">
        <f>CONVERT(PlanGrid[[#This Row],[kWh/yr]],"Wh","BTU")</f>
        <v>392.31098426888508</v>
      </c>
      <c r="M599" s="38">
        <f>PlanGrid[[#This Row],[kBtu/yr]]/'Schedule-Building Info'!$B$6</f>
        <v>6.4515282979309817E-3</v>
      </c>
      <c r="N599" t="s">
        <v>1092</v>
      </c>
      <c r="O599">
        <v>0</v>
      </c>
      <c r="P599" t="str">
        <f>VLOOKUP(PlanGrid[[#This Row],[Title]],'Spec Wattages'!$A$1:$C$973,3,FALSE)</f>
        <v>Plug Load</v>
      </c>
      <c r="Q599" t="s">
        <v>1011</v>
      </c>
      <c r="R599" t="s">
        <v>1057</v>
      </c>
      <c r="S599" t="s">
        <v>11</v>
      </c>
    </row>
    <row r="600" spans="1:19" x14ac:dyDescent="0.25">
      <c r="A600">
        <v>376</v>
      </c>
      <c r="B600" t="s">
        <v>15</v>
      </c>
      <c r="C600" t="s">
        <v>16</v>
      </c>
      <c r="E600" s="50">
        <f>VLOOKUP(PlanGrid[[#This Row],[Title]],'Spec Wattages'!$A$1:$C$973,2,FALSE)</f>
        <v>21</v>
      </c>
      <c r="F600" s="38">
        <v>1</v>
      </c>
      <c r="G600" s="39">
        <v>1</v>
      </c>
      <c r="H600" s="58">
        <f>PlanGrid[[#This Row],[Spec Wattage]]*PlanGrid[[#This Row],[Equipment Count]]</f>
        <v>21</v>
      </c>
      <c r="I600" s="50">
        <f>((PlanGrid[[#This Row],[Demand Watt]]*PlanGrid[[#This Row],[Utilization %]]*'Schedule-Building Info'!$N$16)/1000)</f>
        <v>114.97499999999999</v>
      </c>
      <c r="J600" s="57">
        <f>PlanGrid[[#This Row],[kWh/yr]]*' Elec Utility (kWh)'!$M$7</f>
        <v>12.257868782138575</v>
      </c>
      <c r="K600" s="38">
        <f>PlanGrid[[#This Row],[kWh/yr]]/'Schedule-Building Info'!$B$6</f>
        <v>1.8907563025210084E-3</v>
      </c>
      <c r="L600" s="50">
        <f>CONVERT(PlanGrid[[#This Row],[kWh/yr]],"Wh","BTU")</f>
        <v>392.31098426888508</v>
      </c>
      <c r="M600" s="38">
        <f>PlanGrid[[#This Row],[kBtu/yr]]/'Schedule-Building Info'!$B$6</f>
        <v>6.4515282979309817E-3</v>
      </c>
      <c r="N600" t="s">
        <v>1092</v>
      </c>
      <c r="O600">
        <v>0</v>
      </c>
      <c r="P600" t="str">
        <f>VLOOKUP(PlanGrid[[#This Row],[Title]],'Spec Wattages'!$A$1:$C$973,3,FALSE)</f>
        <v>Plug Load</v>
      </c>
      <c r="Q600" t="s">
        <v>1011</v>
      </c>
      <c r="R600" t="s">
        <v>1057</v>
      </c>
      <c r="S600" t="s">
        <v>11</v>
      </c>
    </row>
    <row r="601" spans="1:19" x14ac:dyDescent="0.25">
      <c r="A601">
        <v>377</v>
      </c>
      <c r="B601" t="s">
        <v>15</v>
      </c>
      <c r="C601" t="s">
        <v>16</v>
      </c>
      <c r="E601" s="50">
        <f>VLOOKUP(PlanGrid[[#This Row],[Title]],'Spec Wattages'!$A$1:$C$973,2,FALSE)</f>
        <v>21</v>
      </c>
      <c r="F601" s="38">
        <v>1</v>
      </c>
      <c r="G601" s="39">
        <v>1</v>
      </c>
      <c r="H601" s="58">
        <f>PlanGrid[[#This Row],[Spec Wattage]]*PlanGrid[[#This Row],[Equipment Count]]</f>
        <v>21</v>
      </c>
      <c r="I601" s="50">
        <f>((PlanGrid[[#This Row],[Demand Watt]]*PlanGrid[[#This Row],[Utilization %]]*'Schedule-Building Info'!$N$16)/1000)</f>
        <v>114.97499999999999</v>
      </c>
      <c r="J601" s="57">
        <f>PlanGrid[[#This Row],[kWh/yr]]*' Elec Utility (kWh)'!$M$7</f>
        <v>12.257868782138575</v>
      </c>
      <c r="K601" s="38">
        <f>PlanGrid[[#This Row],[kWh/yr]]/'Schedule-Building Info'!$B$6</f>
        <v>1.8907563025210084E-3</v>
      </c>
      <c r="L601" s="50">
        <f>CONVERT(PlanGrid[[#This Row],[kWh/yr]],"Wh","BTU")</f>
        <v>392.31098426888508</v>
      </c>
      <c r="M601" s="38">
        <f>PlanGrid[[#This Row],[kBtu/yr]]/'Schedule-Building Info'!$B$6</f>
        <v>6.4515282979309817E-3</v>
      </c>
      <c r="N601" t="s">
        <v>1092</v>
      </c>
      <c r="O601">
        <v>0</v>
      </c>
      <c r="P601" t="str">
        <f>VLOOKUP(PlanGrid[[#This Row],[Title]],'Spec Wattages'!$A$1:$C$973,3,FALSE)</f>
        <v>Plug Load</v>
      </c>
      <c r="Q601" t="s">
        <v>1012</v>
      </c>
      <c r="R601" t="s">
        <v>1057</v>
      </c>
      <c r="S601" t="s">
        <v>11</v>
      </c>
    </row>
    <row r="602" spans="1:19" x14ac:dyDescent="0.25">
      <c r="A602">
        <v>378</v>
      </c>
      <c r="B602" t="s">
        <v>15</v>
      </c>
      <c r="C602" t="s">
        <v>16</v>
      </c>
      <c r="E602" s="50">
        <f>VLOOKUP(PlanGrid[[#This Row],[Title]],'Spec Wattages'!$A$1:$C$973,2,FALSE)</f>
        <v>21</v>
      </c>
      <c r="F602" s="38">
        <v>1</v>
      </c>
      <c r="G602" s="39">
        <v>1</v>
      </c>
      <c r="H602" s="58">
        <f>PlanGrid[[#This Row],[Spec Wattage]]*PlanGrid[[#This Row],[Equipment Count]]</f>
        <v>21</v>
      </c>
      <c r="I602" s="50">
        <f>((PlanGrid[[#This Row],[Demand Watt]]*PlanGrid[[#This Row],[Utilization %]]*'Schedule-Building Info'!$N$16)/1000)</f>
        <v>114.97499999999999</v>
      </c>
      <c r="J602" s="57">
        <f>PlanGrid[[#This Row],[kWh/yr]]*' Elec Utility (kWh)'!$M$7</f>
        <v>12.257868782138575</v>
      </c>
      <c r="K602" s="38">
        <f>PlanGrid[[#This Row],[kWh/yr]]/'Schedule-Building Info'!$B$6</f>
        <v>1.8907563025210084E-3</v>
      </c>
      <c r="L602" s="50">
        <f>CONVERT(PlanGrid[[#This Row],[kWh/yr]],"Wh","BTU")</f>
        <v>392.31098426888508</v>
      </c>
      <c r="M602" s="38">
        <f>PlanGrid[[#This Row],[kBtu/yr]]/'Schedule-Building Info'!$B$6</f>
        <v>6.4515282979309817E-3</v>
      </c>
      <c r="N602" t="s">
        <v>1092</v>
      </c>
      <c r="O602">
        <v>0</v>
      </c>
      <c r="P602" t="str">
        <f>VLOOKUP(PlanGrid[[#This Row],[Title]],'Spec Wattages'!$A$1:$C$973,3,FALSE)</f>
        <v>Plug Load</v>
      </c>
      <c r="Q602" t="s">
        <v>1012</v>
      </c>
      <c r="R602" t="s">
        <v>1057</v>
      </c>
      <c r="S602" t="s">
        <v>11</v>
      </c>
    </row>
    <row r="603" spans="1:19" x14ac:dyDescent="0.25">
      <c r="A603">
        <v>389</v>
      </c>
      <c r="B603" t="s">
        <v>15</v>
      </c>
      <c r="C603" t="s">
        <v>16</v>
      </c>
      <c r="E603" s="50">
        <f>VLOOKUP(PlanGrid[[#This Row],[Title]],'Spec Wattages'!$A$1:$C$973,2,FALSE)</f>
        <v>21</v>
      </c>
      <c r="F603" s="38">
        <v>1</v>
      </c>
      <c r="G603" s="39">
        <v>1</v>
      </c>
      <c r="H603" s="58">
        <f>PlanGrid[[#This Row],[Spec Wattage]]*PlanGrid[[#This Row],[Equipment Count]]</f>
        <v>21</v>
      </c>
      <c r="I603" s="50">
        <f>((PlanGrid[[#This Row],[Demand Watt]]*PlanGrid[[#This Row],[Utilization %]]*'Schedule-Building Info'!$N$16)/1000)</f>
        <v>114.97499999999999</v>
      </c>
      <c r="J603" s="57">
        <f>PlanGrid[[#This Row],[kWh/yr]]*' Elec Utility (kWh)'!$M$7</f>
        <v>12.257868782138575</v>
      </c>
      <c r="K603" s="38">
        <f>PlanGrid[[#This Row],[kWh/yr]]/'Schedule-Building Info'!$B$6</f>
        <v>1.8907563025210084E-3</v>
      </c>
      <c r="L603" s="50">
        <f>CONVERT(PlanGrid[[#This Row],[kWh/yr]],"Wh","BTU")</f>
        <v>392.31098426888508</v>
      </c>
      <c r="M603" s="38">
        <f>PlanGrid[[#This Row],[kBtu/yr]]/'Schedule-Building Info'!$B$6</f>
        <v>6.4515282979309817E-3</v>
      </c>
      <c r="N603" t="s">
        <v>1092</v>
      </c>
      <c r="O603">
        <v>0</v>
      </c>
      <c r="P603" t="str">
        <f>VLOOKUP(PlanGrid[[#This Row],[Title]],'Spec Wattages'!$A$1:$C$973,3,FALSE)</f>
        <v>Plug Load</v>
      </c>
      <c r="Q603" t="s">
        <v>764</v>
      </c>
      <c r="R603" t="s">
        <v>1058</v>
      </c>
      <c r="S603" t="s">
        <v>11</v>
      </c>
    </row>
    <row r="604" spans="1:19" x14ac:dyDescent="0.25">
      <c r="A604">
        <v>390</v>
      </c>
      <c r="B604" t="s">
        <v>15</v>
      </c>
      <c r="C604" t="s">
        <v>16</v>
      </c>
      <c r="E604" s="50">
        <f>VLOOKUP(PlanGrid[[#This Row],[Title]],'Spec Wattages'!$A$1:$C$973,2,FALSE)</f>
        <v>21</v>
      </c>
      <c r="F604" s="38">
        <v>1</v>
      </c>
      <c r="G604" s="39">
        <v>1</v>
      </c>
      <c r="H604" s="58">
        <f>PlanGrid[[#This Row],[Spec Wattage]]*PlanGrid[[#This Row],[Equipment Count]]</f>
        <v>21</v>
      </c>
      <c r="I604" s="50">
        <f>((PlanGrid[[#This Row],[Demand Watt]]*PlanGrid[[#This Row],[Utilization %]]*'Schedule-Building Info'!$N$16)/1000)</f>
        <v>114.97499999999999</v>
      </c>
      <c r="J604" s="57">
        <f>PlanGrid[[#This Row],[kWh/yr]]*' Elec Utility (kWh)'!$M$7</f>
        <v>12.257868782138575</v>
      </c>
      <c r="K604" s="38">
        <f>PlanGrid[[#This Row],[kWh/yr]]/'Schedule-Building Info'!$B$6</f>
        <v>1.8907563025210084E-3</v>
      </c>
      <c r="L604" s="50">
        <f>CONVERT(PlanGrid[[#This Row],[kWh/yr]],"Wh","BTU")</f>
        <v>392.31098426888508</v>
      </c>
      <c r="M604" s="38">
        <f>PlanGrid[[#This Row],[kBtu/yr]]/'Schedule-Building Info'!$B$6</f>
        <v>6.4515282979309817E-3</v>
      </c>
      <c r="N604" t="s">
        <v>1092</v>
      </c>
      <c r="O604">
        <v>0</v>
      </c>
      <c r="P604" t="str">
        <f>VLOOKUP(PlanGrid[[#This Row],[Title]],'Spec Wattages'!$A$1:$C$973,3,FALSE)</f>
        <v>Plug Load</v>
      </c>
      <c r="Q604" t="s">
        <v>764</v>
      </c>
      <c r="R604" t="s">
        <v>1058</v>
      </c>
      <c r="S604" t="s">
        <v>11</v>
      </c>
    </row>
    <row r="605" spans="1:19" x14ac:dyDescent="0.25">
      <c r="A605">
        <v>401</v>
      </c>
      <c r="B605" t="s">
        <v>15</v>
      </c>
      <c r="C605" t="s">
        <v>16</v>
      </c>
      <c r="E605" s="50">
        <f>VLOOKUP(PlanGrid[[#This Row],[Title]],'Spec Wattages'!$A$1:$C$973,2,FALSE)</f>
        <v>21</v>
      </c>
      <c r="F605" s="38">
        <v>1</v>
      </c>
      <c r="G605" s="39">
        <v>1</v>
      </c>
      <c r="H605" s="58">
        <f>PlanGrid[[#This Row],[Spec Wattage]]*PlanGrid[[#This Row],[Equipment Count]]</f>
        <v>21</v>
      </c>
      <c r="I605" s="50">
        <f>((PlanGrid[[#This Row],[Demand Watt]]*PlanGrid[[#This Row],[Utilization %]]*'Schedule-Building Info'!$N$16)/1000)</f>
        <v>114.97499999999999</v>
      </c>
      <c r="J605" s="57">
        <f>PlanGrid[[#This Row],[kWh/yr]]*' Elec Utility (kWh)'!$M$7</f>
        <v>12.257868782138575</v>
      </c>
      <c r="K605" s="38">
        <f>PlanGrid[[#This Row],[kWh/yr]]/'Schedule-Building Info'!$B$6</f>
        <v>1.8907563025210084E-3</v>
      </c>
      <c r="L605" s="50">
        <f>CONVERT(PlanGrid[[#This Row],[kWh/yr]],"Wh","BTU")</f>
        <v>392.31098426888508</v>
      </c>
      <c r="M605" s="38">
        <f>PlanGrid[[#This Row],[kBtu/yr]]/'Schedule-Building Info'!$B$6</f>
        <v>6.4515282979309817E-3</v>
      </c>
      <c r="N605" t="s">
        <v>1092</v>
      </c>
      <c r="O605">
        <v>0</v>
      </c>
      <c r="P605" t="str">
        <f>VLOOKUP(PlanGrid[[#This Row],[Title]],'Spec Wattages'!$A$1:$C$973,3,FALSE)</f>
        <v>Plug Load</v>
      </c>
      <c r="Q605" t="s">
        <v>762</v>
      </c>
      <c r="R605" t="s">
        <v>900</v>
      </c>
      <c r="S605" t="s">
        <v>11</v>
      </c>
    </row>
    <row r="606" spans="1:19" x14ac:dyDescent="0.25">
      <c r="A606">
        <v>408</v>
      </c>
      <c r="B606" t="s">
        <v>15</v>
      </c>
      <c r="C606" t="s">
        <v>16</v>
      </c>
      <c r="E606" s="50">
        <f>VLOOKUP(PlanGrid[[#This Row],[Title]],'Spec Wattages'!$A$1:$C$973,2,FALSE)</f>
        <v>21</v>
      </c>
      <c r="F606" s="38">
        <v>1</v>
      </c>
      <c r="G606" s="39">
        <v>1</v>
      </c>
      <c r="H606" s="58">
        <f>PlanGrid[[#This Row],[Spec Wattage]]*PlanGrid[[#This Row],[Equipment Count]]</f>
        <v>21</v>
      </c>
      <c r="I606" s="50">
        <f>((PlanGrid[[#This Row],[Demand Watt]]*PlanGrid[[#This Row],[Utilization %]]*'Schedule-Building Info'!$N$16)/1000)</f>
        <v>114.97499999999999</v>
      </c>
      <c r="J606" s="57">
        <f>PlanGrid[[#This Row],[kWh/yr]]*' Elec Utility (kWh)'!$M$7</f>
        <v>12.257868782138575</v>
      </c>
      <c r="K606" s="38">
        <f>PlanGrid[[#This Row],[kWh/yr]]/'Schedule-Building Info'!$B$6</f>
        <v>1.8907563025210084E-3</v>
      </c>
      <c r="L606" s="50">
        <f>CONVERT(PlanGrid[[#This Row],[kWh/yr]],"Wh","BTU")</f>
        <v>392.31098426888508</v>
      </c>
      <c r="M606" s="38">
        <f>PlanGrid[[#This Row],[kBtu/yr]]/'Schedule-Building Info'!$B$6</f>
        <v>6.4515282979309817E-3</v>
      </c>
      <c r="N606" t="s">
        <v>1092</v>
      </c>
      <c r="O606">
        <v>0</v>
      </c>
      <c r="P606" t="str">
        <f>VLOOKUP(PlanGrid[[#This Row],[Title]],'Spec Wattages'!$A$1:$C$973,3,FALSE)</f>
        <v>Plug Load</v>
      </c>
      <c r="Q606" t="s">
        <v>948</v>
      </c>
      <c r="R606" t="s">
        <v>986</v>
      </c>
      <c r="S606" t="s">
        <v>11</v>
      </c>
    </row>
    <row r="607" spans="1:19" x14ac:dyDescent="0.25">
      <c r="A607">
        <v>418</v>
      </c>
      <c r="B607" t="s">
        <v>15</v>
      </c>
      <c r="C607" t="s">
        <v>16</v>
      </c>
      <c r="E607" s="50">
        <f>VLOOKUP(PlanGrid[[#This Row],[Title]],'Spec Wattages'!$A$1:$C$973,2,FALSE)</f>
        <v>21</v>
      </c>
      <c r="F607" s="38">
        <v>1</v>
      </c>
      <c r="G607" s="39">
        <v>1</v>
      </c>
      <c r="H607" s="58">
        <f>PlanGrid[[#This Row],[Spec Wattage]]*PlanGrid[[#This Row],[Equipment Count]]</f>
        <v>21</v>
      </c>
      <c r="I607" s="50">
        <f>((PlanGrid[[#This Row],[Demand Watt]]*PlanGrid[[#This Row],[Utilization %]]*'Schedule-Building Info'!$N$16)/1000)</f>
        <v>114.97499999999999</v>
      </c>
      <c r="J607" s="57">
        <f>PlanGrid[[#This Row],[kWh/yr]]*' Elec Utility (kWh)'!$M$7</f>
        <v>12.257868782138575</v>
      </c>
      <c r="K607" s="38">
        <f>PlanGrid[[#This Row],[kWh/yr]]/'Schedule-Building Info'!$B$6</f>
        <v>1.8907563025210084E-3</v>
      </c>
      <c r="L607" s="50">
        <f>CONVERT(PlanGrid[[#This Row],[kWh/yr]],"Wh","BTU")</f>
        <v>392.31098426888508</v>
      </c>
      <c r="M607" s="38">
        <f>PlanGrid[[#This Row],[kBtu/yr]]/'Schedule-Building Info'!$B$6</f>
        <v>6.4515282979309817E-3</v>
      </c>
      <c r="N607" t="s">
        <v>1092</v>
      </c>
      <c r="O607">
        <v>0</v>
      </c>
      <c r="P607" t="str">
        <f>VLOOKUP(PlanGrid[[#This Row],[Title]],'Spec Wattages'!$A$1:$C$973,3,FALSE)</f>
        <v>Plug Load</v>
      </c>
      <c r="Q607" t="s">
        <v>784</v>
      </c>
      <c r="R607" t="s">
        <v>784</v>
      </c>
      <c r="S607" t="s">
        <v>51</v>
      </c>
    </row>
    <row r="608" spans="1:19" x14ac:dyDescent="0.25">
      <c r="A608">
        <v>419</v>
      </c>
      <c r="B608" t="s">
        <v>15</v>
      </c>
      <c r="C608" t="s">
        <v>16</v>
      </c>
      <c r="E608" s="50">
        <f>VLOOKUP(PlanGrid[[#This Row],[Title]],'Spec Wattages'!$A$1:$C$973,2,FALSE)</f>
        <v>21</v>
      </c>
      <c r="F608" s="38">
        <v>1</v>
      </c>
      <c r="G608" s="39">
        <v>1</v>
      </c>
      <c r="H608" s="58">
        <f>PlanGrid[[#This Row],[Spec Wattage]]*PlanGrid[[#This Row],[Equipment Count]]</f>
        <v>21</v>
      </c>
      <c r="I608" s="50">
        <f>((PlanGrid[[#This Row],[Demand Watt]]*PlanGrid[[#This Row],[Utilization %]]*'Schedule-Building Info'!$N$16)/1000)</f>
        <v>114.97499999999999</v>
      </c>
      <c r="J608" s="57">
        <f>PlanGrid[[#This Row],[kWh/yr]]*' Elec Utility (kWh)'!$M$7</f>
        <v>12.257868782138575</v>
      </c>
      <c r="K608" s="38">
        <f>PlanGrid[[#This Row],[kWh/yr]]/'Schedule-Building Info'!$B$6</f>
        <v>1.8907563025210084E-3</v>
      </c>
      <c r="L608" s="50">
        <f>CONVERT(PlanGrid[[#This Row],[kWh/yr]],"Wh","BTU")</f>
        <v>392.31098426888508</v>
      </c>
      <c r="M608" s="38">
        <f>PlanGrid[[#This Row],[kBtu/yr]]/'Schedule-Building Info'!$B$6</f>
        <v>6.4515282979309817E-3</v>
      </c>
      <c r="N608" t="s">
        <v>1092</v>
      </c>
      <c r="O608">
        <v>0</v>
      </c>
      <c r="P608" t="str">
        <f>VLOOKUP(PlanGrid[[#This Row],[Title]],'Spec Wattages'!$A$1:$C$973,3,FALSE)</f>
        <v>Plug Load</v>
      </c>
      <c r="Q608" t="s">
        <v>982</v>
      </c>
      <c r="R608" t="s">
        <v>764</v>
      </c>
      <c r="S608" t="s">
        <v>11</v>
      </c>
    </row>
    <row r="609" spans="1:19" x14ac:dyDescent="0.25">
      <c r="A609">
        <v>447</v>
      </c>
      <c r="B609" t="s">
        <v>15</v>
      </c>
      <c r="C609" t="s">
        <v>16</v>
      </c>
      <c r="E609" s="50">
        <f>VLOOKUP(PlanGrid[[#This Row],[Title]],'Spec Wattages'!$A$1:$C$973,2,FALSE)</f>
        <v>21</v>
      </c>
      <c r="F609" s="38">
        <v>1</v>
      </c>
      <c r="G609" s="39">
        <v>1</v>
      </c>
      <c r="H609" s="58">
        <f>PlanGrid[[#This Row],[Spec Wattage]]*PlanGrid[[#This Row],[Equipment Count]]</f>
        <v>21</v>
      </c>
      <c r="I609" s="50">
        <f>((PlanGrid[[#This Row],[Demand Watt]]*PlanGrid[[#This Row],[Utilization %]]*'Schedule-Building Info'!$N$16)/1000)</f>
        <v>114.97499999999999</v>
      </c>
      <c r="J609" s="57">
        <f>PlanGrid[[#This Row],[kWh/yr]]*' Elec Utility (kWh)'!$M$7</f>
        <v>12.257868782138575</v>
      </c>
      <c r="K609" s="38">
        <f>PlanGrid[[#This Row],[kWh/yr]]/'Schedule-Building Info'!$B$6</f>
        <v>1.8907563025210084E-3</v>
      </c>
      <c r="L609" s="50">
        <f>CONVERT(PlanGrid[[#This Row],[kWh/yr]],"Wh","BTU")</f>
        <v>392.31098426888508</v>
      </c>
      <c r="M609" s="38">
        <f>PlanGrid[[#This Row],[kBtu/yr]]/'Schedule-Building Info'!$B$6</f>
        <v>6.4515282979309817E-3</v>
      </c>
      <c r="N609" t="s">
        <v>1092</v>
      </c>
      <c r="O609">
        <v>0</v>
      </c>
      <c r="P609" t="str">
        <f>VLOOKUP(PlanGrid[[#This Row],[Title]],'Spec Wattages'!$A$1:$C$973,3,FALSE)</f>
        <v>Plug Load</v>
      </c>
      <c r="Q609" t="s">
        <v>1014</v>
      </c>
      <c r="R609" t="s">
        <v>1014</v>
      </c>
      <c r="S609" t="s">
        <v>51</v>
      </c>
    </row>
    <row r="610" spans="1:19" x14ac:dyDescent="0.25">
      <c r="A610">
        <v>448</v>
      </c>
      <c r="B610" t="s">
        <v>15</v>
      </c>
      <c r="C610" t="s">
        <v>16</v>
      </c>
      <c r="E610" s="50">
        <f>VLOOKUP(PlanGrid[[#This Row],[Title]],'Spec Wattages'!$A$1:$C$973,2,FALSE)</f>
        <v>21</v>
      </c>
      <c r="F610" s="38">
        <v>1</v>
      </c>
      <c r="G610" s="39">
        <v>1</v>
      </c>
      <c r="H610" s="58">
        <f>PlanGrid[[#This Row],[Spec Wattage]]*PlanGrid[[#This Row],[Equipment Count]]</f>
        <v>21</v>
      </c>
      <c r="I610" s="50">
        <f>((PlanGrid[[#This Row],[Demand Watt]]*PlanGrid[[#This Row],[Utilization %]]*'Schedule-Building Info'!$N$16)/1000)</f>
        <v>114.97499999999999</v>
      </c>
      <c r="J610" s="57">
        <f>PlanGrid[[#This Row],[kWh/yr]]*' Elec Utility (kWh)'!$M$7</f>
        <v>12.257868782138575</v>
      </c>
      <c r="K610" s="38">
        <f>PlanGrid[[#This Row],[kWh/yr]]/'Schedule-Building Info'!$B$6</f>
        <v>1.8907563025210084E-3</v>
      </c>
      <c r="L610" s="50">
        <f>CONVERT(PlanGrid[[#This Row],[kWh/yr]],"Wh","BTU")</f>
        <v>392.31098426888508</v>
      </c>
      <c r="M610" s="38">
        <f>PlanGrid[[#This Row],[kBtu/yr]]/'Schedule-Building Info'!$B$6</f>
        <v>6.4515282979309817E-3</v>
      </c>
      <c r="N610" t="s">
        <v>1092</v>
      </c>
      <c r="O610">
        <v>0</v>
      </c>
      <c r="P610" t="str">
        <f>VLOOKUP(PlanGrid[[#This Row],[Title]],'Spec Wattages'!$A$1:$C$973,3,FALSE)</f>
        <v>Plug Load</v>
      </c>
      <c r="Q610" t="s">
        <v>1015</v>
      </c>
      <c r="R610" t="s">
        <v>1015</v>
      </c>
      <c r="S610" t="s">
        <v>51</v>
      </c>
    </row>
    <row r="611" spans="1:19" x14ac:dyDescent="0.25">
      <c r="A611">
        <v>458</v>
      </c>
      <c r="B611" t="s">
        <v>15</v>
      </c>
      <c r="C611" t="s">
        <v>16</v>
      </c>
      <c r="E611" s="50">
        <f>VLOOKUP(PlanGrid[[#This Row],[Title]],'Spec Wattages'!$A$1:$C$973,2,FALSE)</f>
        <v>21</v>
      </c>
      <c r="F611" s="38">
        <v>1</v>
      </c>
      <c r="G611" s="39">
        <v>1</v>
      </c>
      <c r="H611" s="58">
        <f>PlanGrid[[#This Row],[Spec Wattage]]*PlanGrid[[#This Row],[Equipment Count]]</f>
        <v>21</v>
      </c>
      <c r="I611" s="50">
        <f>((PlanGrid[[#This Row],[Demand Watt]]*PlanGrid[[#This Row],[Utilization %]]*'Schedule-Building Info'!$N$16)/1000)</f>
        <v>114.97499999999999</v>
      </c>
      <c r="J611" s="57">
        <f>PlanGrid[[#This Row],[kWh/yr]]*' Elec Utility (kWh)'!$M$7</f>
        <v>12.257868782138575</v>
      </c>
      <c r="K611" s="38">
        <f>PlanGrid[[#This Row],[kWh/yr]]/'Schedule-Building Info'!$B$6</f>
        <v>1.8907563025210084E-3</v>
      </c>
      <c r="L611" s="50">
        <f>CONVERT(PlanGrid[[#This Row],[kWh/yr]],"Wh","BTU")</f>
        <v>392.31098426888508</v>
      </c>
      <c r="M611" s="38">
        <f>PlanGrid[[#This Row],[kBtu/yr]]/'Schedule-Building Info'!$B$6</f>
        <v>6.4515282979309817E-3</v>
      </c>
      <c r="N611" t="s">
        <v>1092</v>
      </c>
      <c r="O611">
        <v>0</v>
      </c>
      <c r="P611" t="str">
        <f>VLOOKUP(PlanGrid[[#This Row],[Title]],'Spec Wattages'!$A$1:$C$973,3,FALSE)</f>
        <v>Plug Load</v>
      </c>
      <c r="Q611" t="s">
        <v>952</v>
      </c>
      <c r="R611" t="s">
        <v>1073</v>
      </c>
      <c r="S611" t="s">
        <v>11</v>
      </c>
    </row>
    <row r="612" spans="1:19" x14ac:dyDescent="0.25">
      <c r="A612">
        <v>459</v>
      </c>
      <c r="B612" t="s">
        <v>15</v>
      </c>
      <c r="C612" t="s">
        <v>16</v>
      </c>
      <c r="E612" s="50">
        <f>VLOOKUP(PlanGrid[[#This Row],[Title]],'Spec Wattages'!$A$1:$C$973,2,FALSE)</f>
        <v>21</v>
      </c>
      <c r="F612" s="38">
        <v>1</v>
      </c>
      <c r="G612" s="39">
        <v>1</v>
      </c>
      <c r="H612" s="58">
        <f>PlanGrid[[#This Row],[Spec Wattage]]*PlanGrid[[#This Row],[Equipment Count]]</f>
        <v>21</v>
      </c>
      <c r="I612" s="50">
        <f>((PlanGrid[[#This Row],[Demand Watt]]*PlanGrid[[#This Row],[Utilization %]]*'Schedule-Building Info'!$N$16)/1000)</f>
        <v>114.97499999999999</v>
      </c>
      <c r="J612" s="57">
        <f>PlanGrid[[#This Row],[kWh/yr]]*' Elec Utility (kWh)'!$M$7</f>
        <v>12.257868782138575</v>
      </c>
      <c r="K612" s="38">
        <f>PlanGrid[[#This Row],[kWh/yr]]/'Schedule-Building Info'!$B$6</f>
        <v>1.8907563025210084E-3</v>
      </c>
      <c r="L612" s="50">
        <f>CONVERT(PlanGrid[[#This Row],[kWh/yr]],"Wh","BTU")</f>
        <v>392.31098426888508</v>
      </c>
      <c r="M612" s="38">
        <f>PlanGrid[[#This Row],[kBtu/yr]]/'Schedule-Building Info'!$B$6</f>
        <v>6.4515282979309817E-3</v>
      </c>
      <c r="N612" t="s">
        <v>1092</v>
      </c>
      <c r="O612">
        <v>0</v>
      </c>
      <c r="P612" t="str">
        <f>VLOOKUP(PlanGrid[[#This Row],[Title]],'Spec Wattages'!$A$1:$C$973,3,FALSE)</f>
        <v>Plug Load</v>
      </c>
      <c r="Q612" t="s">
        <v>952</v>
      </c>
      <c r="R612" t="s">
        <v>950</v>
      </c>
      <c r="S612" t="s">
        <v>11</v>
      </c>
    </row>
    <row r="613" spans="1:19" x14ac:dyDescent="0.25">
      <c r="A613">
        <v>468</v>
      </c>
      <c r="B613" t="s">
        <v>15</v>
      </c>
      <c r="C613" t="s">
        <v>16</v>
      </c>
      <c r="E613" s="50">
        <f>VLOOKUP(PlanGrid[[#This Row],[Title]],'Spec Wattages'!$A$1:$C$973,2,FALSE)</f>
        <v>21</v>
      </c>
      <c r="F613" s="38">
        <v>1</v>
      </c>
      <c r="G613" s="39">
        <v>1</v>
      </c>
      <c r="H613" s="58">
        <f>PlanGrid[[#This Row],[Spec Wattage]]*PlanGrid[[#This Row],[Equipment Count]]</f>
        <v>21</v>
      </c>
      <c r="I613" s="50">
        <f>((PlanGrid[[#This Row],[Demand Watt]]*PlanGrid[[#This Row],[Utilization %]]*'Schedule-Building Info'!$N$16)/1000)</f>
        <v>114.97499999999999</v>
      </c>
      <c r="J613" s="57">
        <f>PlanGrid[[#This Row],[kWh/yr]]*' Elec Utility (kWh)'!$M$7</f>
        <v>12.257868782138575</v>
      </c>
      <c r="K613" s="38">
        <f>PlanGrid[[#This Row],[kWh/yr]]/'Schedule-Building Info'!$B$6</f>
        <v>1.8907563025210084E-3</v>
      </c>
      <c r="L613" s="50">
        <f>CONVERT(PlanGrid[[#This Row],[kWh/yr]],"Wh","BTU")</f>
        <v>392.31098426888508</v>
      </c>
      <c r="M613" s="38">
        <f>PlanGrid[[#This Row],[kBtu/yr]]/'Schedule-Building Info'!$B$6</f>
        <v>6.4515282979309817E-3</v>
      </c>
      <c r="N613" t="s">
        <v>1092</v>
      </c>
      <c r="O613">
        <v>0</v>
      </c>
      <c r="P613" t="str">
        <f>VLOOKUP(PlanGrid[[#This Row],[Title]],'Spec Wattages'!$A$1:$C$973,3,FALSE)</f>
        <v>Plug Load</v>
      </c>
      <c r="Q613" t="s">
        <v>766</v>
      </c>
      <c r="R613" t="s">
        <v>766</v>
      </c>
      <c r="S613" t="s">
        <v>51</v>
      </c>
    </row>
    <row r="614" spans="1:19" x14ac:dyDescent="0.25">
      <c r="A614">
        <v>474</v>
      </c>
      <c r="B614" t="s">
        <v>15</v>
      </c>
      <c r="C614" t="s">
        <v>16</v>
      </c>
      <c r="E614" s="50">
        <f>VLOOKUP(PlanGrid[[#This Row],[Title]],'Spec Wattages'!$A$1:$C$973,2,FALSE)</f>
        <v>21</v>
      </c>
      <c r="F614" s="38">
        <v>1</v>
      </c>
      <c r="G614" s="39">
        <v>1</v>
      </c>
      <c r="H614" s="58">
        <f>PlanGrid[[#This Row],[Spec Wattage]]*PlanGrid[[#This Row],[Equipment Count]]</f>
        <v>21</v>
      </c>
      <c r="I614" s="50">
        <f>((PlanGrid[[#This Row],[Demand Watt]]*PlanGrid[[#This Row],[Utilization %]]*'Schedule-Building Info'!$N$16)/1000)</f>
        <v>114.97499999999999</v>
      </c>
      <c r="J614" s="57">
        <f>PlanGrid[[#This Row],[kWh/yr]]*' Elec Utility (kWh)'!$M$7</f>
        <v>12.257868782138575</v>
      </c>
      <c r="K614" s="38">
        <f>PlanGrid[[#This Row],[kWh/yr]]/'Schedule-Building Info'!$B$6</f>
        <v>1.8907563025210084E-3</v>
      </c>
      <c r="L614" s="50">
        <f>CONVERT(PlanGrid[[#This Row],[kWh/yr]],"Wh","BTU")</f>
        <v>392.31098426888508</v>
      </c>
      <c r="M614" s="38">
        <f>PlanGrid[[#This Row],[kBtu/yr]]/'Schedule-Building Info'!$B$6</f>
        <v>6.4515282979309817E-3</v>
      </c>
      <c r="N614" t="s">
        <v>1092</v>
      </c>
      <c r="O614">
        <v>0</v>
      </c>
      <c r="P614" t="str">
        <f>VLOOKUP(PlanGrid[[#This Row],[Title]],'Spec Wattages'!$A$1:$C$973,3,FALSE)</f>
        <v>Plug Load</v>
      </c>
      <c r="Q614" t="s">
        <v>771</v>
      </c>
      <c r="R614" t="s">
        <v>951</v>
      </c>
      <c r="S614" t="s">
        <v>11</v>
      </c>
    </row>
    <row r="615" spans="1:19" x14ac:dyDescent="0.25">
      <c r="A615">
        <v>481</v>
      </c>
      <c r="B615" t="s">
        <v>15</v>
      </c>
      <c r="C615" t="s">
        <v>16</v>
      </c>
      <c r="E615" s="50">
        <f>VLOOKUP(PlanGrid[[#This Row],[Title]],'Spec Wattages'!$A$1:$C$973,2,FALSE)</f>
        <v>21</v>
      </c>
      <c r="F615" s="38">
        <v>1</v>
      </c>
      <c r="G615" s="39">
        <v>1</v>
      </c>
      <c r="H615" s="58">
        <f>PlanGrid[[#This Row],[Spec Wattage]]*PlanGrid[[#This Row],[Equipment Count]]</f>
        <v>21</v>
      </c>
      <c r="I615" s="50">
        <f>((PlanGrid[[#This Row],[Demand Watt]]*PlanGrid[[#This Row],[Utilization %]]*'Schedule-Building Info'!$N$16)/1000)</f>
        <v>114.97499999999999</v>
      </c>
      <c r="J615" s="57">
        <f>PlanGrid[[#This Row],[kWh/yr]]*' Elec Utility (kWh)'!$M$7</f>
        <v>12.257868782138575</v>
      </c>
      <c r="K615" s="38">
        <f>PlanGrid[[#This Row],[kWh/yr]]/'Schedule-Building Info'!$B$6</f>
        <v>1.8907563025210084E-3</v>
      </c>
      <c r="L615" s="50">
        <f>CONVERT(PlanGrid[[#This Row],[kWh/yr]],"Wh","BTU")</f>
        <v>392.31098426888508</v>
      </c>
      <c r="M615" s="38">
        <f>PlanGrid[[#This Row],[kBtu/yr]]/'Schedule-Building Info'!$B$6</f>
        <v>6.4515282979309817E-3</v>
      </c>
      <c r="N615" t="s">
        <v>1092</v>
      </c>
      <c r="O615">
        <v>0</v>
      </c>
      <c r="P615" t="str">
        <f>VLOOKUP(PlanGrid[[#This Row],[Title]],'Spec Wattages'!$A$1:$C$973,3,FALSE)</f>
        <v>Plug Load</v>
      </c>
      <c r="Q615" t="s">
        <v>905</v>
      </c>
      <c r="R615" t="s">
        <v>905</v>
      </c>
      <c r="S615" t="s">
        <v>51</v>
      </c>
    </row>
    <row r="616" spans="1:19" x14ac:dyDescent="0.25">
      <c r="A616">
        <v>482</v>
      </c>
      <c r="B616" t="s">
        <v>15</v>
      </c>
      <c r="C616" t="s">
        <v>16</v>
      </c>
      <c r="E616" s="50">
        <f>VLOOKUP(PlanGrid[[#This Row],[Title]],'Spec Wattages'!$A$1:$C$973,2,FALSE)</f>
        <v>21</v>
      </c>
      <c r="F616" s="38">
        <v>1</v>
      </c>
      <c r="G616" s="39">
        <v>1</v>
      </c>
      <c r="H616" s="58">
        <f>PlanGrid[[#This Row],[Spec Wattage]]*PlanGrid[[#This Row],[Equipment Count]]</f>
        <v>21</v>
      </c>
      <c r="I616" s="50">
        <f>((PlanGrid[[#This Row],[Demand Watt]]*PlanGrid[[#This Row],[Utilization %]]*'Schedule-Building Info'!$N$16)/1000)</f>
        <v>114.97499999999999</v>
      </c>
      <c r="J616" s="57">
        <f>PlanGrid[[#This Row],[kWh/yr]]*' Elec Utility (kWh)'!$M$7</f>
        <v>12.257868782138575</v>
      </c>
      <c r="K616" s="38">
        <f>PlanGrid[[#This Row],[kWh/yr]]/'Schedule-Building Info'!$B$6</f>
        <v>1.8907563025210084E-3</v>
      </c>
      <c r="L616" s="50">
        <f>CONVERT(PlanGrid[[#This Row],[kWh/yr]],"Wh","BTU")</f>
        <v>392.31098426888508</v>
      </c>
      <c r="M616" s="38">
        <f>PlanGrid[[#This Row],[kBtu/yr]]/'Schedule-Building Info'!$B$6</f>
        <v>6.4515282979309817E-3</v>
      </c>
      <c r="N616" t="s">
        <v>1092</v>
      </c>
      <c r="O616">
        <v>0</v>
      </c>
      <c r="P616" t="str">
        <f>VLOOKUP(PlanGrid[[#This Row],[Title]],'Spec Wattages'!$A$1:$C$973,3,FALSE)</f>
        <v>Plug Load</v>
      </c>
      <c r="Q616" t="s">
        <v>769</v>
      </c>
      <c r="R616" t="s">
        <v>905</v>
      </c>
      <c r="S616" t="s">
        <v>11</v>
      </c>
    </row>
    <row r="617" spans="1:19" x14ac:dyDescent="0.25">
      <c r="A617">
        <v>483</v>
      </c>
      <c r="B617" t="s">
        <v>15</v>
      </c>
      <c r="C617" t="s">
        <v>16</v>
      </c>
      <c r="E617" s="50">
        <f>VLOOKUP(PlanGrid[[#This Row],[Title]],'Spec Wattages'!$A$1:$C$973,2,FALSE)</f>
        <v>21</v>
      </c>
      <c r="F617" s="38">
        <v>1</v>
      </c>
      <c r="G617" s="39">
        <v>1</v>
      </c>
      <c r="H617" s="58">
        <f>PlanGrid[[#This Row],[Spec Wattage]]*PlanGrid[[#This Row],[Equipment Count]]</f>
        <v>21</v>
      </c>
      <c r="I617" s="50">
        <f>((PlanGrid[[#This Row],[Demand Watt]]*PlanGrid[[#This Row],[Utilization %]]*'Schedule-Building Info'!$N$16)/1000)</f>
        <v>114.97499999999999</v>
      </c>
      <c r="J617" s="57">
        <f>PlanGrid[[#This Row],[kWh/yr]]*' Elec Utility (kWh)'!$M$7</f>
        <v>12.257868782138575</v>
      </c>
      <c r="K617" s="38">
        <f>PlanGrid[[#This Row],[kWh/yr]]/'Schedule-Building Info'!$B$6</f>
        <v>1.8907563025210084E-3</v>
      </c>
      <c r="L617" s="50">
        <f>CONVERT(PlanGrid[[#This Row],[kWh/yr]],"Wh","BTU")</f>
        <v>392.31098426888508</v>
      </c>
      <c r="M617" s="38">
        <f>PlanGrid[[#This Row],[kBtu/yr]]/'Schedule-Building Info'!$B$6</f>
        <v>6.4515282979309817E-3</v>
      </c>
      <c r="N617" t="s">
        <v>1092</v>
      </c>
      <c r="O617">
        <v>0</v>
      </c>
      <c r="P617" t="str">
        <f>VLOOKUP(PlanGrid[[#This Row],[Title]],'Spec Wattages'!$A$1:$C$973,3,FALSE)</f>
        <v>Plug Load</v>
      </c>
      <c r="Q617" t="s">
        <v>905</v>
      </c>
      <c r="R617" t="s">
        <v>905</v>
      </c>
      <c r="S617" t="s">
        <v>51</v>
      </c>
    </row>
    <row r="618" spans="1:19" x14ac:dyDescent="0.25">
      <c r="A618">
        <v>491</v>
      </c>
      <c r="B618" t="s">
        <v>15</v>
      </c>
      <c r="C618" t="s">
        <v>16</v>
      </c>
      <c r="E618" s="50">
        <f>VLOOKUP(PlanGrid[[#This Row],[Title]],'Spec Wattages'!$A$1:$C$973,2,FALSE)</f>
        <v>21</v>
      </c>
      <c r="F618" s="38">
        <v>1</v>
      </c>
      <c r="G618" s="39">
        <v>1</v>
      </c>
      <c r="H618" s="58">
        <f>PlanGrid[[#This Row],[Spec Wattage]]*PlanGrid[[#This Row],[Equipment Count]]</f>
        <v>21</v>
      </c>
      <c r="I618" s="50">
        <f>((PlanGrid[[#This Row],[Demand Watt]]*PlanGrid[[#This Row],[Utilization %]]*'Schedule-Building Info'!$N$16)/1000)</f>
        <v>114.97499999999999</v>
      </c>
      <c r="J618" s="57">
        <f>PlanGrid[[#This Row],[kWh/yr]]*' Elec Utility (kWh)'!$M$7</f>
        <v>12.257868782138575</v>
      </c>
      <c r="K618" s="38">
        <f>PlanGrid[[#This Row],[kWh/yr]]/'Schedule-Building Info'!$B$6</f>
        <v>1.8907563025210084E-3</v>
      </c>
      <c r="L618" s="50">
        <f>CONVERT(PlanGrid[[#This Row],[kWh/yr]],"Wh","BTU")</f>
        <v>392.31098426888508</v>
      </c>
      <c r="M618" s="38">
        <f>PlanGrid[[#This Row],[kBtu/yr]]/'Schedule-Building Info'!$B$6</f>
        <v>6.4515282979309817E-3</v>
      </c>
      <c r="N618" t="s">
        <v>1092</v>
      </c>
      <c r="O618">
        <v>0</v>
      </c>
      <c r="P618" t="str">
        <f>VLOOKUP(PlanGrid[[#This Row],[Title]],'Spec Wattages'!$A$1:$C$973,3,FALSE)</f>
        <v>Plug Load</v>
      </c>
      <c r="Q618" t="s">
        <v>907</v>
      </c>
      <c r="R618" t="s">
        <v>952</v>
      </c>
      <c r="S618" t="s">
        <v>11</v>
      </c>
    </row>
    <row r="619" spans="1:19" x14ac:dyDescent="0.25">
      <c r="A619">
        <v>496</v>
      </c>
      <c r="B619" t="s">
        <v>15</v>
      </c>
      <c r="C619" t="s">
        <v>16</v>
      </c>
      <c r="E619" s="50">
        <f>VLOOKUP(PlanGrid[[#This Row],[Title]],'Spec Wattages'!$A$1:$C$973,2,FALSE)</f>
        <v>21</v>
      </c>
      <c r="F619" s="38">
        <v>1</v>
      </c>
      <c r="G619" s="39">
        <v>1</v>
      </c>
      <c r="H619" s="58">
        <f>PlanGrid[[#This Row],[Spec Wattage]]*PlanGrid[[#This Row],[Equipment Count]]</f>
        <v>21</v>
      </c>
      <c r="I619" s="50">
        <f>((PlanGrid[[#This Row],[Demand Watt]]*PlanGrid[[#This Row],[Utilization %]]*'Schedule-Building Info'!$N$16)/1000)</f>
        <v>114.97499999999999</v>
      </c>
      <c r="J619" s="57">
        <f>PlanGrid[[#This Row],[kWh/yr]]*' Elec Utility (kWh)'!$M$7</f>
        <v>12.257868782138575</v>
      </c>
      <c r="K619" s="38">
        <f>PlanGrid[[#This Row],[kWh/yr]]/'Schedule-Building Info'!$B$6</f>
        <v>1.8907563025210084E-3</v>
      </c>
      <c r="L619" s="50">
        <f>CONVERT(PlanGrid[[#This Row],[kWh/yr]],"Wh","BTU")</f>
        <v>392.31098426888508</v>
      </c>
      <c r="M619" s="38">
        <f>PlanGrid[[#This Row],[kBtu/yr]]/'Schedule-Building Info'!$B$6</f>
        <v>6.4515282979309817E-3</v>
      </c>
      <c r="N619" t="s">
        <v>1092</v>
      </c>
      <c r="O619">
        <v>0</v>
      </c>
      <c r="P619" t="str">
        <f>VLOOKUP(PlanGrid[[#This Row],[Title]],'Spec Wattages'!$A$1:$C$973,3,FALSE)</f>
        <v>Plug Load</v>
      </c>
      <c r="Q619" t="s">
        <v>907</v>
      </c>
      <c r="R619" t="s">
        <v>952</v>
      </c>
      <c r="S619" t="s">
        <v>11</v>
      </c>
    </row>
    <row r="620" spans="1:19" x14ac:dyDescent="0.25">
      <c r="A620">
        <v>501</v>
      </c>
      <c r="B620" t="s">
        <v>15</v>
      </c>
      <c r="C620" t="s">
        <v>16</v>
      </c>
      <c r="E620" s="50">
        <f>VLOOKUP(PlanGrid[[#This Row],[Title]],'Spec Wattages'!$A$1:$C$973,2,FALSE)</f>
        <v>21</v>
      </c>
      <c r="F620" s="38">
        <v>1</v>
      </c>
      <c r="G620" s="39">
        <v>1</v>
      </c>
      <c r="H620" s="58">
        <f>PlanGrid[[#This Row],[Spec Wattage]]*PlanGrid[[#This Row],[Equipment Count]]</f>
        <v>21</v>
      </c>
      <c r="I620" s="50">
        <f>((PlanGrid[[#This Row],[Demand Watt]]*PlanGrid[[#This Row],[Utilization %]]*'Schedule-Building Info'!$N$16)/1000)</f>
        <v>114.97499999999999</v>
      </c>
      <c r="J620" s="57">
        <f>PlanGrid[[#This Row],[kWh/yr]]*' Elec Utility (kWh)'!$M$7</f>
        <v>12.257868782138575</v>
      </c>
      <c r="K620" s="38">
        <f>PlanGrid[[#This Row],[kWh/yr]]/'Schedule-Building Info'!$B$6</f>
        <v>1.8907563025210084E-3</v>
      </c>
      <c r="L620" s="50">
        <f>CONVERT(PlanGrid[[#This Row],[kWh/yr]],"Wh","BTU")</f>
        <v>392.31098426888508</v>
      </c>
      <c r="M620" s="38">
        <f>PlanGrid[[#This Row],[kBtu/yr]]/'Schedule-Building Info'!$B$6</f>
        <v>6.4515282979309817E-3</v>
      </c>
      <c r="N620" t="s">
        <v>1092</v>
      </c>
      <c r="O620">
        <v>0</v>
      </c>
      <c r="P620" t="str">
        <f>VLOOKUP(PlanGrid[[#This Row],[Title]],'Spec Wattages'!$A$1:$C$973,3,FALSE)</f>
        <v>Plug Load</v>
      </c>
      <c r="Q620" t="s">
        <v>770</v>
      </c>
      <c r="R620" t="s">
        <v>767</v>
      </c>
      <c r="S620" t="s">
        <v>11</v>
      </c>
    </row>
    <row r="621" spans="1:19" x14ac:dyDescent="0.25">
      <c r="A621">
        <v>505</v>
      </c>
      <c r="B621" t="s">
        <v>15</v>
      </c>
      <c r="C621" t="s">
        <v>16</v>
      </c>
      <c r="E621" s="50">
        <f>VLOOKUP(PlanGrid[[#This Row],[Title]],'Spec Wattages'!$A$1:$C$973,2,FALSE)</f>
        <v>21</v>
      </c>
      <c r="F621" s="38">
        <v>1</v>
      </c>
      <c r="G621" s="39">
        <v>1</v>
      </c>
      <c r="H621" s="58">
        <f>PlanGrid[[#This Row],[Spec Wattage]]*PlanGrid[[#This Row],[Equipment Count]]</f>
        <v>21</v>
      </c>
      <c r="I621" s="50">
        <f>((PlanGrid[[#This Row],[Demand Watt]]*PlanGrid[[#This Row],[Utilization %]]*'Schedule-Building Info'!$N$16)/1000)</f>
        <v>114.97499999999999</v>
      </c>
      <c r="J621" s="57">
        <f>PlanGrid[[#This Row],[kWh/yr]]*' Elec Utility (kWh)'!$M$7</f>
        <v>12.257868782138575</v>
      </c>
      <c r="K621" s="38">
        <f>PlanGrid[[#This Row],[kWh/yr]]/'Schedule-Building Info'!$B$6</f>
        <v>1.8907563025210084E-3</v>
      </c>
      <c r="L621" s="50">
        <f>CONVERT(PlanGrid[[#This Row],[kWh/yr]],"Wh","BTU")</f>
        <v>392.31098426888508</v>
      </c>
      <c r="M621" s="38">
        <f>PlanGrid[[#This Row],[kBtu/yr]]/'Schedule-Building Info'!$B$6</f>
        <v>6.4515282979309817E-3</v>
      </c>
      <c r="N621" t="s">
        <v>1092</v>
      </c>
      <c r="O621">
        <v>0</v>
      </c>
      <c r="P621" t="str">
        <f>VLOOKUP(PlanGrid[[#This Row],[Title]],'Spec Wattages'!$A$1:$C$973,3,FALSE)</f>
        <v>Plug Load</v>
      </c>
      <c r="Q621" t="s">
        <v>767</v>
      </c>
      <c r="R621" t="s">
        <v>767</v>
      </c>
      <c r="S621" t="s">
        <v>51</v>
      </c>
    </row>
    <row r="622" spans="1:19" x14ac:dyDescent="0.25">
      <c r="A622">
        <v>507</v>
      </c>
      <c r="B622" t="s">
        <v>15</v>
      </c>
      <c r="C622" t="s">
        <v>16</v>
      </c>
      <c r="E622" s="50">
        <f>VLOOKUP(PlanGrid[[#This Row],[Title]],'Spec Wattages'!$A$1:$C$973,2,FALSE)</f>
        <v>21</v>
      </c>
      <c r="F622" s="38">
        <v>1</v>
      </c>
      <c r="G622" s="39">
        <v>1</v>
      </c>
      <c r="H622" s="58">
        <f>PlanGrid[[#This Row],[Spec Wattage]]*PlanGrid[[#This Row],[Equipment Count]]</f>
        <v>21</v>
      </c>
      <c r="I622" s="50">
        <f>((PlanGrid[[#This Row],[Demand Watt]]*PlanGrid[[#This Row],[Utilization %]]*'Schedule-Building Info'!$N$16)/1000)</f>
        <v>114.97499999999999</v>
      </c>
      <c r="J622" s="57">
        <f>PlanGrid[[#This Row],[kWh/yr]]*' Elec Utility (kWh)'!$M$7</f>
        <v>12.257868782138575</v>
      </c>
      <c r="K622" s="38">
        <f>PlanGrid[[#This Row],[kWh/yr]]/'Schedule-Building Info'!$B$6</f>
        <v>1.8907563025210084E-3</v>
      </c>
      <c r="L622" s="50">
        <f>CONVERT(PlanGrid[[#This Row],[kWh/yr]],"Wh","BTU")</f>
        <v>392.31098426888508</v>
      </c>
      <c r="M622" s="38">
        <f>PlanGrid[[#This Row],[kBtu/yr]]/'Schedule-Building Info'!$B$6</f>
        <v>6.4515282979309817E-3</v>
      </c>
      <c r="N622" t="s">
        <v>1092</v>
      </c>
      <c r="O622">
        <v>0</v>
      </c>
      <c r="P622" t="str">
        <f>VLOOKUP(PlanGrid[[#This Row],[Title]],'Spec Wattages'!$A$1:$C$973,3,FALSE)</f>
        <v>Plug Load</v>
      </c>
      <c r="Q622" t="s">
        <v>767</v>
      </c>
      <c r="R622" t="s">
        <v>767</v>
      </c>
      <c r="S622" t="s">
        <v>51</v>
      </c>
    </row>
    <row r="623" spans="1:19" x14ac:dyDescent="0.25">
      <c r="A623">
        <v>509</v>
      </c>
      <c r="B623" t="s">
        <v>15</v>
      </c>
      <c r="C623" t="s">
        <v>16</v>
      </c>
      <c r="E623" s="50">
        <f>VLOOKUP(PlanGrid[[#This Row],[Title]],'Spec Wattages'!$A$1:$C$973,2,FALSE)</f>
        <v>21</v>
      </c>
      <c r="F623" s="38">
        <v>1</v>
      </c>
      <c r="G623" s="39">
        <v>1</v>
      </c>
      <c r="H623" s="58">
        <f>PlanGrid[[#This Row],[Spec Wattage]]*PlanGrid[[#This Row],[Equipment Count]]</f>
        <v>21</v>
      </c>
      <c r="I623" s="50">
        <f>((PlanGrid[[#This Row],[Demand Watt]]*PlanGrid[[#This Row],[Utilization %]]*'Schedule-Building Info'!$N$16)/1000)</f>
        <v>114.97499999999999</v>
      </c>
      <c r="J623" s="57">
        <f>PlanGrid[[#This Row],[kWh/yr]]*' Elec Utility (kWh)'!$M$7</f>
        <v>12.257868782138575</v>
      </c>
      <c r="K623" s="38">
        <f>PlanGrid[[#This Row],[kWh/yr]]/'Schedule-Building Info'!$B$6</f>
        <v>1.8907563025210084E-3</v>
      </c>
      <c r="L623" s="50">
        <f>CONVERT(PlanGrid[[#This Row],[kWh/yr]],"Wh","BTU")</f>
        <v>392.31098426888508</v>
      </c>
      <c r="M623" s="38">
        <f>PlanGrid[[#This Row],[kBtu/yr]]/'Schedule-Building Info'!$B$6</f>
        <v>6.4515282979309817E-3</v>
      </c>
      <c r="N623" t="s">
        <v>1092</v>
      </c>
      <c r="O623">
        <v>0</v>
      </c>
      <c r="P623" t="str">
        <f>VLOOKUP(PlanGrid[[#This Row],[Title]],'Spec Wattages'!$A$1:$C$973,3,FALSE)</f>
        <v>Plug Load</v>
      </c>
      <c r="Q623" t="s">
        <v>908</v>
      </c>
      <c r="R623" t="s">
        <v>767</v>
      </c>
      <c r="S623" t="s">
        <v>11</v>
      </c>
    </row>
    <row r="624" spans="1:19" x14ac:dyDescent="0.25">
      <c r="A624">
        <v>513</v>
      </c>
      <c r="B624" t="s">
        <v>15</v>
      </c>
      <c r="C624" t="s">
        <v>16</v>
      </c>
      <c r="E624" s="50">
        <f>VLOOKUP(PlanGrid[[#This Row],[Title]],'Spec Wattages'!$A$1:$C$973,2,FALSE)</f>
        <v>21</v>
      </c>
      <c r="F624" s="38">
        <v>1</v>
      </c>
      <c r="G624" s="39">
        <v>1</v>
      </c>
      <c r="H624" s="58">
        <f>PlanGrid[[#This Row],[Spec Wattage]]*PlanGrid[[#This Row],[Equipment Count]]</f>
        <v>21</v>
      </c>
      <c r="I624" s="50">
        <f>((PlanGrid[[#This Row],[Demand Watt]]*PlanGrid[[#This Row],[Utilization %]]*'Schedule-Building Info'!$N$16)/1000)</f>
        <v>114.97499999999999</v>
      </c>
      <c r="J624" s="57">
        <f>PlanGrid[[#This Row],[kWh/yr]]*' Elec Utility (kWh)'!$M$7</f>
        <v>12.257868782138575</v>
      </c>
      <c r="K624" s="38">
        <f>PlanGrid[[#This Row],[kWh/yr]]/'Schedule-Building Info'!$B$6</f>
        <v>1.8907563025210084E-3</v>
      </c>
      <c r="L624" s="50">
        <f>CONVERT(PlanGrid[[#This Row],[kWh/yr]],"Wh","BTU")</f>
        <v>392.31098426888508</v>
      </c>
      <c r="M624" s="38">
        <f>PlanGrid[[#This Row],[kBtu/yr]]/'Schedule-Building Info'!$B$6</f>
        <v>6.4515282979309817E-3</v>
      </c>
      <c r="N624" t="s">
        <v>1092</v>
      </c>
      <c r="O624">
        <v>0</v>
      </c>
      <c r="P624" t="str">
        <f>VLOOKUP(PlanGrid[[#This Row],[Title]],'Spec Wattages'!$A$1:$C$973,3,FALSE)</f>
        <v>Plug Load</v>
      </c>
      <c r="Q624" t="s">
        <v>908</v>
      </c>
      <c r="R624" t="s">
        <v>906</v>
      </c>
      <c r="S624" t="s">
        <v>11</v>
      </c>
    </row>
    <row r="625" spans="1:19" x14ac:dyDescent="0.25">
      <c r="A625">
        <v>527</v>
      </c>
      <c r="B625" t="s">
        <v>15</v>
      </c>
      <c r="C625" t="s">
        <v>16</v>
      </c>
      <c r="E625" s="50">
        <f>VLOOKUP(PlanGrid[[#This Row],[Title]],'Spec Wattages'!$A$1:$C$973,2,FALSE)</f>
        <v>21</v>
      </c>
      <c r="F625" s="38">
        <v>1</v>
      </c>
      <c r="G625" s="39">
        <v>1</v>
      </c>
      <c r="H625" s="58">
        <f>PlanGrid[[#This Row],[Spec Wattage]]*PlanGrid[[#This Row],[Equipment Count]]</f>
        <v>21</v>
      </c>
      <c r="I625" s="50">
        <f>((PlanGrid[[#This Row],[Demand Watt]]*PlanGrid[[#This Row],[Utilization %]]*'Schedule-Building Info'!$N$16)/1000)</f>
        <v>114.97499999999999</v>
      </c>
      <c r="J625" s="57">
        <f>PlanGrid[[#This Row],[kWh/yr]]*' Elec Utility (kWh)'!$M$7</f>
        <v>12.257868782138575</v>
      </c>
      <c r="K625" s="38">
        <f>PlanGrid[[#This Row],[kWh/yr]]/'Schedule-Building Info'!$B$6</f>
        <v>1.8907563025210084E-3</v>
      </c>
      <c r="L625" s="50">
        <f>CONVERT(PlanGrid[[#This Row],[kWh/yr]],"Wh","BTU")</f>
        <v>392.31098426888508</v>
      </c>
      <c r="M625" s="38">
        <f>PlanGrid[[#This Row],[kBtu/yr]]/'Schedule-Building Info'!$B$6</f>
        <v>6.4515282979309817E-3</v>
      </c>
      <c r="N625" t="s">
        <v>1092</v>
      </c>
      <c r="O625">
        <v>0</v>
      </c>
      <c r="P625" t="str">
        <f>VLOOKUP(PlanGrid[[#This Row],[Title]],'Spec Wattages'!$A$1:$C$973,3,FALSE)</f>
        <v>Plug Load</v>
      </c>
      <c r="Q625" t="s">
        <v>772</v>
      </c>
      <c r="R625" t="s">
        <v>909</v>
      </c>
      <c r="S625" t="s">
        <v>11</v>
      </c>
    </row>
    <row r="626" spans="1:19" x14ac:dyDescent="0.25">
      <c r="A626">
        <v>532</v>
      </c>
      <c r="B626" t="s">
        <v>15</v>
      </c>
      <c r="C626" t="s">
        <v>16</v>
      </c>
      <c r="E626" s="50">
        <f>VLOOKUP(PlanGrid[[#This Row],[Title]],'Spec Wattages'!$A$1:$C$973,2,FALSE)</f>
        <v>21</v>
      </c>
      <c r="F626" s="38">
        <v>1</v>
      </c>
      <c r="G626" s="39">
        <v>1</v>
      </c>
      <c r="H626" s="58">
        <f>PlanGrid[[#This Row],[Spec Wattage]]*PlanGrid[[#This Row],[Equipment Count]]</f>
        <v>21</v>
      </c>
      <c r="I626" s="50">
        <f>((PlanGrid[[#This Row],[Demand Watt]]*PlanGrid[[#This Row],[Utilization %]]*'Schedule-Building Info'!$N$16)/1000)</f>
        <v>114.97499999999999</v>
      </c>
      <c r="J626" s="57">
        <f>PlanGrid[[#This Row],[kWh/yr]]*' Elec Utility (kWh)'!$M$7</f>
        <v>12.257868782138575</v>
      </c>
      <c r="K626" s="38">
        <f>PlanGrid[[#This Row],[kWh/yr]]/'Schedule-Building Info'!$B$6</f>
        <v>1.8907563025210084E-3</v>
      </c>
      <c r="L626" s="50">
        <f>CONVERT(PlanGrid[[#This Row],[kWh/yr]],"Wh","BTU")</f>
        <v>392.31098426888508</v>
      </c>
      <c r="M626" s="38">
        <f>PlanGrid[[#This Row],[kBtu/yr]]/'Schedule-Building Info'!$B$6</f>
        <v>6.4515282979309817E-3</v>
      </c>
      <c r="N626" t="s">
        <v>1092</v>
      </c>
      <c r="O626">
        <v>0</v>
      </c>
      <c r="P626" t="str">
        <f>VLOOKUP(PlanGrid[[#This Row],[Title]],'Spec Wattages'!$A$1:$C$973,3,FALSE)</f>
        <v>Plug Load</v>
      </c>
      <c r="Q626" t="s">
        <v>909</v>
      </c>
      <c r="R626" t="s">
        <v>909</v>
      </c>
      <c r="S626" t="s">
        <v>51</v>
      </c>
    </row>
    <row r="627" spans="1:19" x14ac:dyDescent="0.25">
      <c r="A627">
        <v>533</v>
      </c>
      <c r="B627" t="s">
        <v>15</v>
      </c>
      <c r="C627" t="s">
        <v>16</v>
      </c>
      <c r="E627" s="50">
        <f>VLOOKUP(PlanGrid[[#This Row],[Title]],'Spec Wattages'!$A$1:$C$973,2,FALSE)</f>
        <v>21</v>
      </c>
      <c r="F627" s="38">
        <v>1</v>
      </c>
      <c r="G627" s="39">
        <v>1</v>
      </c>
      <c r="H627" s="58">
        <f>PlanGrid[[#This Row],[Spec Wattage]]*PlanGrid[[#This Row],[Equipment Count]]</f>
        <v>21</v>
      </c>
      <c r="I627" s="50">
        <f>((PlanGrid[[#This Row],[Demand Watt]]*PlanGrid[[#This Row],[Utilization %]]*'Schedule-Building Info'!$N$16)/1000)</f>
        <v>114.97499999999999</v>
      </c>
      <c r="J627" s="57">
        <f>PlanGrid[[#This Row],[kWh/yr]]*' Elec Utility (kWh)'!$M$7</f>
        <v>12.257868782138575</v>
      </c>
      <c r="K627" s="38">
        <f>PlanGrid[[#This Row],[kWh/yr]]/'Schedule-Building Info'!$B$6</f>
        <v>1.8907563025210084E-3</v>
      </c>
      <c r="L627" s="50">
        <f>CONVERT(PlanGrid[[#This Row],[kWh/yr]],"Wh","BTU")</f>
        <v>392.31098426888508</v>
      </c>
      <c r="M627" s="38">
        <f>PlanGrid[[#This Row],[kBtu/yr]]/'Schedule-Building Info'!$B$6</f>
        <v>6.4515282979309817E-3</v>
      </c>
      <c r="N627" t="s">
        <v>1092</v>
      </c>
      <c r="O627">
        <v>0</v>
      </c>
      <c r="P627" t="str">
        <f>VLOOKUP(PlanGrid[[#This Row],[Title]],'Spec Wattages'!$A$1:$C$973,3,FALSE)</f>
        <v>Plug Load</v>
      </c>
      <c r="Q627" t="s">
        <v>909</v>
      </c>
      <c r="R627" t="s">
        <v>909</v>
      </c>
      <c r="S627" t="s">
        <v>51</v>
      </c>
    </row>
    <row r="628" spans="1:19" x14ac:dyDescent="0.25">
      <c r="A628">
        <v>535</v>
      </c>
      <c r="B628" t="s">
        <v>15</v>
      </c>
      <c r="C628" t="s">
        <v>16</v>
      </c>
      <c r="E628" s="50">
        <f>VLOOKUP(PlanGrid[[#This Row],[Title]],'Spec Wattages'!$A$1:$C$973,2,FALSE)</f>
        <v>21</v>
      </c>
      <c r="F628" s="38">
        <v>1</v>
      </c>
      <c r="G628" s="39">
        <v>1</v>
      </c>
      <c r="H628" s="58">
        <f>PlanGrid[[#This Row],[Spec Wattage]]*PlanGrid[[#This Row],[Equipment Count]]</f>
        <v>21</v>
      </c>
      <c r="I628" s="50">
        <f>((PlanGrid[[#This Row],[Demand Watt]]*PlanGrid[[#This Row],[Utilization %]]*'Schedule-Building Info'!$N$16)/1000)</f>
        <v>114.97499999999999</v>
      </c>
      <c r="J628" s="57">
        <f>PlanGrid[[#This Row],[kWh/yr]]*' Elec Utility (kWh)'!$M$7</f>
        <v>12.257868782138575</v>
      </c>
      <c r="K628" s="38">
        <f>PlanGrid[[#This Row],[kWh/yr]]/'Schedule-Building Info'!$B$6</f>
        <v>1.8907563025210084E-3</v>
      </c>
      <c r="L628" s="50">
        <f>CONVERT(PlanGrid[[#This Row],[kWh/yr]],"Wh","BTU")</f>
        <v>392.31098426888508</v>
      </c>
      <c r="M628" s="38">
        <f>PlanGrid[[#This Row],[kBtu/yr]]/'Schedule-Building Info'!$B$6</f>
        <v>6.4515282979309817E-3</v>
      </c>
      <c r="N628" t="s">
        <v>1092</v>
      </c>
      <c r="O628">
        <v>0</v>
      </c>
      <c r="P628" t="str">
        <f>VLOOKUP(PlanGrid[[#This Row],[Title]],'Spec Wattages'!$A$1:$C$973,3,FALSE)</f>
        <v>Plug Load</v>
      </c>
      <c r="Q628" t="s">
        <v>774</v>
      </c>
      <c r="R628" t="s">
        <v>909</v>
      </c>
      <c r="S628" t="s">
        <v>11</v>
      </c>
    </row>
    <row r="629" spans="1:19" x14ac:dyDescent="0.25">
      <c r="A629">
        <v>543</v>
      </c>
      <c r="B629" t="s">
        <v>15</v>
      </c>
      <c r="C629" t="s">
        <v>16</v>
      </c>
      <c r="E629" s="50">
        <f>VLOOKUP(PlanGrid[[#This Row],[Title]],'Spec Wattages'!$A$1:$C$973,2,FALSE)</f>
        <v>21</v>
      </c>
      <c r="F629" s="38">
        <v>1</v>
      </c>
      <c r="G629" s="39">
        <v>1</v>
      </c>
      <c r="H629" s="58">
        <f>PlanGrid[[#This Row],[Spec Wattage]]*PlanGrid[[#This Row],[Equipment Count]]</f>
        <v>21</v>
      </c>
      <c r="I629" s="50">
        <f>((PlanGrid[[#This Row],[Demand Watt]]*PlanGrid[[#This Row],[Utilization %]]*'Schedule-Building Info'!$N$16)/1000)</f>
        <v>114.97499999999999</v>
      </c>
      <c r="J629" s="57">
        <f>PlanGrid[[#This Row],[kWh/yr]]*' Elec Utility (kWh)'!$M$7</f>
        <v>12.257868782138575</v>
      </c>
      <c r="K629" s="38">
        <f>PlanGrid[[#This Row],[kWh/yr]]/'Schedule-Building Info'!$B$6</f>
        <v>1.8907563025210084E-3</v>
      </c>
      <c r="L629" s="50">
        <f>CONVERT(PlanGrid[[#This Row],[kWh/yr]],"Wh","BTU")</f>
        <v>392.31098426888508</v>
      </c>
      <c r="M629" s="38">
        <f>PlanGrid[[#This Row],[kBtu/yr]]/'Schedule-Building Info'!$B$6</f>
        <v>6.4515282979309817E-3</v>
      </c>
      <c r="N629" t="s">
        <v>1092</v>
      </c>
      <c r="O629">
        <v>0</v>
      </c>
      <c r="P629" t="str">
        <f>VLOOKUP(PlanGrid[[#This Row],[Title]],'Spec Wattages'!$A$1:$C$973,3,FALSE)</f>
        <v>Plug Load</v>
      </c>
      <c r="Q629" t="s">
        <v>774</v>
      </c>
      <c r="R629" t="s">
        <v>769</v>
      </c>
      <c r="S629" t="s">
        <v>11</v>
      </c>
    </row>
    <row r="630" spans="1:19" x14ac:dyDescent="0.25">
      <c r="A630">
        <v>546</v>
      </c>
      <c r="B630" t="s">
        <v>15</v>
      </c>
      <c r="C630" t="s">
        <v>16</v>
      </c>
      <c r="E630" s="50">
        <f>VLOOKUP(PlanGrid[[#This Row],[Title]],'Spec Wattages'!$A$1:$C$973,2,FALSE)</f>
        <v>21</v>
      </c>
      <c r="F630" s="38">
        <v>1</v>
      </c>
      <c r="G630" s="39">
        <v>1</v>
      </c>
      <c r="H630" s="58">
        <f>PlanGrid[[#This Row],[Spec Wattage]]*PlanGrid[[#This Row],[Equipment Count]]</f>
        <v>21</v>
      </c>
      <c r="I630" s="50">
        <f>((PlanGrid[[#This Row],[Demand Watt]]*PlanGrid[[#This Row],[Utilization %]]*'Schedule-Building Info'!$N$16)/1000)</f>
        <v>114.97499999999999</v>
      </c>
      <c r="J630" s="57">
        <f>PlanGrid[[#This Row],[kWh/yr]]*' Elec Utility (kWh)'!$M$7</f>
        <v>12.257868782138575</v>
      </c>
      <c r="K630" s="38">
        <f>PlanGrid[[#This Row],[kWh/yr]]/'Schedule-Building Info'!$B$6</f>
        <v>1.8907563025210084E-3</v>
      </c>
      <c r="L630" s="50">
        <f>CONVERT(PlanGrid[[#This Row],[kWh/yr]],"Wh","BTU")</f>
        <v>392.31098426888508</v>
      </c>
      <c r="M630" s="38">
        <f>PlanGrid[[#This Row],[kBtu/yr]]/'Schedule-Building Info'!$B$6</f>
        <v>6.4515282979309817E-3</v>
      </c>
      <c r="N630" t="s">
        <v>1092</v>
      </c>
      <c r="O630">
        <v>0</v>
      </c>
      <c r="P630" t="str">
        <f>VLOOKUP(PlanGrid[[#This Row],[Title]],'Spec Wattages'!$A$1:$C$973,3,FALSE)</f>
        <v>Plug Load</v>
      </c>
      <c r="Q630" t="s">
        <v>1018</v>
      </c>
      <c r="R630" t="s">
        <v>769</v>
      </c>
      <c r="S630" t="s">
        <v>11</v>
      </c>
    </row>
    <row r="631" spans="1:19" x14ac:dyDescent="0.25">
      <c r="A631">
        <v>547</v>
      </c>
      <c r="B631" t="s">
        <v>15</v>
      </c>
      <c r="C631" t="s">
        <v>16</v>
      </c>
      <c r="E631" s="50">
        <f>VLOOKUP(PlanGrid[[#This Row],[Title]],'Spec Wattages'!$A$1:$C$973,2,FALSE)</f>
        <v>21</v>
      </c>
      <c r="F631" s="38">
        <v>1</v>
      </c>
      <c r="G631" s="39">
        <v>1</v>
      </c>
      <c r="H631" s="58">
        <f>PlanGrid[[#This Row],[Spec Wattage]]*PlanGrid[[#This Row],[Equipment Count]]</f>
        <v>21</v>
      </c>
      <c r="I631" s="50">
        <f>((PlanGrid[[#This Row],[Demand Watt]]*PlanGrid[[#This Row],[Utilization %]]*'Schedule-Building Info'!$N$16)/1000)</f>
        <v>114.97499999999999</v>
      </c>
      <c r="J631" s="57">
        <f>PlanGrid[[#This Row],[kWh/yr]]*' Elec Utility (kWh)'!$M$7</f>
        <v>12.257868782138575</v>
      </c>
      <c r="K631" s="38">
        <f>PlanGrid[[#This Row],[kWh/yr]]/'Schedule-Building Info'!$B$6</f>
        <v>1.8907563025210084E-3</v>
      </c>
      <c r="L631" s="50">
        <f>CONVERT(PlanGrid[[#This Row],[kWh/yr]],"Wh","BTU")</f>
        <v>392.31098426888508</v>
      </c>
      <c r="M631" s="38">
        <f>PlanGrid[[#This Row],[kBtu/yr]]/'Schedule-Building Info'!$B$6</f>
        <v>6.4515282979309817E-3</v>
      </c>
      <c r="N631" t="s">
        <v>1092</v>
      </c>
      <c r="O631">
        <v>0</v>
      </c>
      <c r="P631" t="str">
        <f>VLOOKUP(PlanGrid[[#This Row],[Title]],'Spec Wattages'!$A$1:$C$973,3,FALSE)</f>
        <v>Plug Load</v>
      </c>
      <c r="Q631" t="s">
        <v>907</v>
      </c>
      <c r="R631" t="s">
        <v>907</v>
      </c>
      <c r="S631" t="s">
        <v>51</v>
      </c>
    </row>
    <row r="632" spans="1:19" x14ac:dyDescent="0.25">
      <c r="A632">
        <v>548</v>
      </c>
      <c r="B632" t="s">
        <v>15</v>
      </c>
      <c r="C632" t="s">
        <v>16</v>
      </c>
      <c r="E632" s="50">
        <f>VLOOKUP(PlanGrid[[#This Row],[Title]],'Spec Wattages'!$A$1:$C$973,2,FALSE)</f>
        <v>21</v>
      </c>
      <c r="F632" s="38">
        <v>1</v>
      </c>
      <c r="G632" s="39">
        <v>1</v>
      </c>
      <c r="H632" s="58">
        <f>PlanGrid[[#This Row],[Spec Wattage]]*PlanGrid[[#This Row],[Equipment Count]]</f>
        <v>21</v>
      </c>
      <c r="I632" s="50">
        <f>((PlanGrid[[#This Row],[Demand Watt]]*PlanGrid[[#This Row],[Utilization %]]*'Schedule-Building Info'!$N$16)/1000)</f>
        <v>114.97499999999999</v>
      </c>
      <c r="J632" s="57">
        <f>PlanGrid[[#This Row],[kWh/yr]]*' Elec Utility (kWh)'!$M$7</f>
        <v>12.257868782138575</v>
      </c>
      <c r="K632" s="38">
        <f>PlanGrid[[#This Row],[kWh/yr]]/'Schedule-Building Info'!$B$6</f>
        <v>1.8907563025210084E-3</v>
      </c>
      <c r="L632" s="50">
        <f>CONVERT(PlanGrid[[#This Row],[kWh/yr]],"Wh","BTU")</f>
        <v>392.31098426888508</v>
      </c>
      <c r="M632" s="38">
        <f>PlanGrid[[#This Row],[kBtu/yr]]/'Schedule-Building Info'!$B$6</f>
        <v>6.4515282979309817E-3</v>
      </c>
      <c r="N632" t="s">
        <v>1092</v>
      </c>
      <c r="O632">
        <v>0</v>
      </c>
      <c r="P632" t="str">
        <f>VLOOKUP(PlanGrid[[#This Row],[Title]],'Spec Wattages'!$A$1:$C$973,3,FALSE)</f>
        <v>Plug Load</v>
      </c>
      <c r="Q632" t="s">
        <v>907</v>
      </c>
      <c r="R632" t="s">
        <v>907</v>
      </c>
      <c r="S632" t="s">
        <v>51</v>
      </c>
    </row>
    <row r="633" spans="1:19" x14ac:dyDescent="0.25">
      <c r="A633">
        <v>551</v>
      </c>
      <c r="B633" t="s">
        <v>15</v>
      </c>
      <c r="C633" t="s">
        <v>16</v>
      </c>
      <c r="E633" s="50">
        <f>VLOOKUP(PlanGrid[[#This Row],[Title]],'Spec Wattages'!$A$1:$C$973,2,FALSE)</f>
        <v>21</v>
      </c>
      <c r="F633" s="38">
        <v>1</v>
      </c>
      <c r="G633" s="39">
        <v>1</v>
      </c>
      <c r="H633" s="58">
        <f>PlanGrid[[#This Row],[Spec Wattage]]*PlanGrid[[#This Row],[Equipment Count]]</f>
        <v>21</v>
      </c>
      <c r="I633" s="50">
        <f>((PlanGrid[[#This Row],[Demand Watt]]*PlanGrid[[#This Row],[Utilization %]]*'Schedule-Building Info'!$N$16)/1000)</f>
        <v>114.97499999999999</v>
      </c>
      <c r="J633" s="57">
        <f>PlanGrid[[#This Row],[kWh/yr]]*' Elec Utility (kWh)'!$M$7</f>
        <v>12.257868782138575</v>
      </c>
      <c r="K633" s="38">
        <f>PlanGrid[[#This Row],[kWh/yr]]/'Schedule-Building Info'!$B$6</f>
        <v>1.8907563025210084E-3</v>
      </c>
      <c r="L633" s="50">
        <f>CONVERT(PlanGrid[[#This Row],[kWh/yr]],"Wh","BTU")</f>
        <v>392.31098426888508</v>
      </c>
      <c r="M633" s="38">
        <f>PlanGrid[[#This Row],[kBtu/yr]]/'Schedule-Building Info'!$B$6</f>
        <v>6.4515282979309817E-3</v>
      </c>
      <c r="N633" t="s">
        <v>1092</v>
      </c>
      <c r="O633">
        <v>0</v>
      </c>
      <c r="P633" t="str">
        <f>VLOOKUP(PlanGrid[[#This Row],[Title]],'Spec Wattages'!$A$1:$C$973,3,FALSE)</f>
        <v>Plug Load</v>
      </c>
      <c r="Q633" t="s">
        <v>910</v>
      </c>
      <c r="R633" t="s">
        <v>770</v>
      </c>
      <c r="S633" t="s">
        <v>11</v>
      </c>
    </row>
    <row r="634" spans="1:19" x14ac:dyDescent="0.25">
      <c r="A634">
        <v>553</v>
      </c>
      <c r="B634" t="s">
        <v>15</v>
      </c>
      <c r="C634" t="s">
        <v>16</v>
      </c>
      <c r="E634" s="50">
        <f>VLOOKUP(PlanGrid[[#This Row],[Title]],'Spec Wattages'!$A$1:$C$973,2,FALSE)</f>
        <v>21</v>
      </c>
      <c r="F634" s="38">
        <v>1</v>
      </c>
      <c r="G634" s="39">
        <v>1</v>
      </c>
      <c r="H634" s="58">
        <f>PlanGrid[[#This Row],[Spec Wattage]]*PlanGrid[[#This Row],[Equipment Count]]</f>
        <v>21</v>
      </c>
      <c r="I634" s="50">
        <f>((PlanGrid[[#This Row],[Demand Watt]]*PlanGrid[[#This Row],[Utilization %]]*'Schedule-Building Info'!$N$16)/1000)</f>
        <v>114.97499999999999</v>
      </c>
      <c r="J634" s="57">
        <f>PlanGrid[[#This Row],[kWh/yr]]*' Elec Utility (kWh)'!$M$7</f>
        <v>12.257868782138575</v>
      </c>
      <c r="K634" s="38">
        <f>PlanGrid[[#This Row],[kWh/yr]]/'Schedule-Building Info'!$B$6</f>
        <v>1.8907563025210084E-3</v>
      </c>
      <c r="L634" s="50">
        <f>CONVERT(PlanGrid[[#This Row],[kWh/yr]],"Wh","BTU")</f>
        <v>392.31098426888508</v>
      </c>
      <c r="M634" s="38">
        <f>PlanGrid[[#This Row],[kBtu/yr]]/'Schedule-Building Info'!$B$6</f>
        <v>6.4515282979309817E-3</v>
      </c>
      <c r="N634" t="s">
        <v>1092</v>
      </c>
      <c r="O634">
        <v>0</v>
      </c>
      <c r="P634" t="str">
        <f>VLOOKUP(PlanGrid[[#This Row],[Title]],'Spec Wattages'!$A$1:$C$973,3,FALSE)</f>
        <v>Plug Load</v>
      </c>
      <c r="Q634" t="s">
        <v>910</v>
      </c>
      <c r="R634" t="s">
        <v>770</v>
      </c>
      <c r="S634" t="s">
        <v>11</v>
      </c>
    </row>
    <row r="635" spans="1:19" x14ac:dyDescent="0.25">
      <c r="A635">
        <v>560</v>
      </c>
      <c r="B635" t="s">
        <v>15</v>
      </c>
      <c r="C635" t="s">
        <v>16</v>
      </c>
      <c r="E635" s="50">
        <f>VLOOKUP(PlanGrid[[#This Row],[Title]],'Spec Wattages'!$A$1:$C$973,2,FALSE)</f>
        <v>21</v>
      </c>
      <c r="F635" s="38">
        <v>1</v>
      </c>
      <c r="G635" s="39">
        <v>1</v>
      </c>
      <c r="H635" s="58">
        <f>PlanGrid[[#This Row],[Spec Wattage]]*PlanGrid[[#This Row],[Equipment Count]]</f>
        <v>21</v>
      </c>
      <c r="I635" s="50">
        <f>((PlanGrid[[#This Row],[Demand Watt]]*PlanGrid[[#This Row],[Utilization %]]*'Schedule-Building Info'!$N$16)/1000)</f>
        <v>114.97499999999999</v>
      </c>
      <c r="J635" s="57">
        <f>PlanGrid[[#This Row],[kWh/yr]]*' Elec Utility (kWh)'!$M$7</f>
        <v>12.257868782138575</v>
      </c>
      <c r="K635" s="38">
        <f>PlanGrid[[#This Row],[kWh/yr]]/'Schedule-Building Info'!$B$6</f>
        <v>1.8907563025210084E-3</v>
      </c>
      <c r="L635" s="50">
        <f>CONVERT(PlanGrid[[#This Row],[kWh/yr]],"Wh","BTU")</f>
        <v>392.31098426888508</v>
      </c>
      <c r="M635" s="38">
        <f>PlanGrid[[#This Row],[kBtu/yr]]/'Schedule-Building Info'!$B$6</f>
        <v>6.4515282979309817E-3</v>
      </c>
      <c r="N635" t="s">
        <v>1092</v>
      </c>
      <c r="O635">
        <v>0</v>
      </c>
      <c r="P635" t="str">
        <f>VLOOKUP(PlanGrid[[#This Row],[Title]],'Spec Wattages'!$A$1:$C$973,3,FALSE)</f>
        <v>Plug Load</v>
      </c>
      <c r="Q635" t="s">
        <v>988</v>
      </c>
      <c r="R635" t="s">
        <v>908</v>
      </c>
      <c r="S635" t="s">
        <v>11</v>
      </c>
    </row>
    <row r="636" spans="1:19" x14ac:dyDescent="0.25">
      <c r="A636">
        <v>563</v>
      </c>
      <c r="B636" t="s">
        <v>15</v>
      </c>
      <c r="C636" t="s">
        <v>16</v>
      </c>
      <c r="E636" s="50">
        <f>VLOOKUP(PlanGrid[[#This Row],[Title]],'Spec Wattages'!$A$1:$C$973,2,FALSE)</f>
        <v>21</v>
      </c>
      <c r="F636" s="38">
        <v>1</v>
      </c>
      <c r="G636" s="39">
        <v>1</v>
      </c>
      <c r="H636" s="58">
        <f>PlanGrid[[#This Row],[Spec Wattage]]*PlanGrid[[#This Row],[Equipment Count]]</f>
        <v>21</v>
      </c>
      <c r="I636" s="50">
        <f>((PlanGrid[[#This Row],[Demand Watt]]*PlanGrid[[#This Row],[Utilization %]]*'Schedule-Building Info'!$N$16)/1000)</f>
        <v>114.97499999999999</v>
      </c>
      <c r="J636" s="57">
        <f>PlanGrid[[#This Row],[kWh/yr]]*' Elec Utility (kWh)'!$M$7</f>
        <v>12.257868782138575</v>
      </c>
      <c r="K636" s="38">
        <f>PlanGrid[[#This Row],[kWh/yr]]/'Schedule-Building Info'!$B$6</f>
        <v>1.8907563025210084E-3</v>
      </c>
      <c r="L636" s="50">
        <f>CONVERT(PlanGrid[[#This Row],[kWh/yr]],"Wh","BTU")</f>
        <v>392.31098426888508</v>
      </c>
      <c r="M636" s="38">
        <f>PlanGrid[[#This Row],[kBtu/yr]]/'Schedule-Building Info'!$B$6</f>
        <v>6.4515282979309817E-3</v>
      </c>
      <c r="N636" t="s">
        <v>1092</v>
      </c>
      <c r="O636">
        <v>0</v>
      </c>
      <c r="P636" t="str">
        <f>VLOOKUP(PlanGrid[[#This Row],[Title]],'Spec Wattages'!$A$1:$C$973,3,FALSE)</f>
        <v>Plug Load</v>
      </c>
      <c r="Q636" t="s">
        <v>912</v>
      </c>
      <c r="R636" t="s">
        <v>911</v>
      </c>
      <c r="S636" t="s">
        <v>11</v>
      </c>
    </row>
    <row r="637" spans="1:19" x14ac:dyDescent="0.25">
      <c r="A637">
        <v>566</v>
      </c>
      <c r="B637" t="s">
        <v>15</v>
      </c>
      <c r="C637" t="s">
        <v>16</v>
      </c>
      <c r="E637" s="50">
        <f>VLOOKUP(PlanGrid[[#This Row],[Title]],'Spec Wattages'!$A$1:$C$973,2,FALSE)</f>
        <v>21</v>
      </c>
      <c r="F637" s="38">
        <v>1</v>
      </c>
      <c r="G637" s="39">
        <v>1</v>
      </c>
      <c r="H637" s="58">
        <f>PlanGrid[[#This Row],[Spec Wattage]]*PlanGrid[[#This Row],[Equipment Count]]</f>
        <v>21</v>
      </c>
      <c r="I637" s="50">
        <f>((PlanGrid[[#This Row],[Demand Watt]]*PlanGrid[[#This Row],[Utilization %]]*'Schedule-Building Info'!$N$16)/1000)</f>
        <v>114.97499999999999</v>
      </c>
      <c r="J637" s="57">
        <f>PlanGrid[[#This Row],[kWh/yr]]*' Elec Utility (kWh)'!$M$7</f>
        <v>12.257868782138575</v>
      </c>
      <c r="K637" s="38">
        <f>PlanGrid[[#This Row],[kWh/yr]]/'Schedule-Building Info'!$B$6</f>
        <v>1.8907563025210084E-3</v>
      </c>
      <c r="L637" s="50">
        <f>CONVERT(PlanGrid[[#This Row],[kWh/yr]],"Wh","BTU")</f>
        <v>392.31098426888508</v>
      </c>
      <c r="M637" s="38">
        <f>PlanGrid[[#This Row],[kBtu/yr]]/'Schedule-Building Info'!$B$6</f>
        <v>6.4515282979309817E-3</v>
      </c>
      <c r="N637" t="s">
        <v>1092</v>
      </c>
      <c r="O637">
        <v>0</v>
      </c>
      <c r="P637" t="str">
        <f>VLOOKUP(PlanGrid[[#This Row],[Title]],'Spec Wattages'!$A$1:$C$973,3,FALSE)</f>
        <v>Plug Load</v>
      </c>
      <c r="Q637" t="s">
        <v>912</v>
      </c>
      <c r="R637" t="s">
        <v>911</v>
      </c>
      <c r="S637" t="s">
        <v>11</v>
      </c>
    </row>
    <row r="638" spans="1:19" x14ac:dyDescent="0.25">
      <c r="A638">
        <v>573</v>
      </c>
      <c r="B638" t="s">
        <v>15</v>
      </c>
      <c r="C638" t="s">
        <v>16</v>
      </c>
      <c r="E638" s="50">
        <f>VLOOKUP(PlanGrid[[#This Row],[Title]],'Spec Wattages'!$A$1:$C$973,2,FALSE)</f>
        <v>21</v>
      </c>
      <c r="F638" s="38">
        <v>1</v>
      </c>
      <c r="G638" s="39">
        <v>1</v>
      </c>
      <c r="H638" s="58">
        <f>PlanGrid[[#This Row],[Spec Wattage]]*PlanGrid[[#This Row],[Equipment Count]]</f>
        <v>21</v>
      </c>
      <c r="I638" s="50">
        <f>((PlanGrid[[#This Row],[Demand Watt]]*PlanGrid[[#This Row],[Utilization %]]*'Schedule-Building Info'!$N$16)/1000)</f>
        <v>114.97499999999999</v>
      </c>
      <c r="J638" s="57">
        <f>PlanGrid[[#This Row],[kWh/yr]]*' Elec Utility (kWh)'!$M$7</f>
        <v>12.257868782138575</v>
      </c>
      <c r="K638" s="38">
        <f>PlanGrid[[#This Row],[kWh/yr]]/'Schedule-Building Info'!$B$6</f>
        <v>1.8907563025210084E-3</v>
      </c>
      <c r="L638" s="50">
        <f>CONVERT(PlanGrid[[#This Row],[kWh/yr]],"Wh","BTU")</f>
        <v>392.31098426888508</v>
      </c>
      <c r="M638" s="38">
        <f>PlanGrid[[#This Row],[kBtu/yr]]/'Schedule-Building Info'!$B$6</f>
        <v>6.4515282979309817E-3</v>
      </c>
      <c r="N638" t="s">
        <v>1092</v>
      </c>
      <c r="O638">
        <v>0</v>
      </c>
      <c r="P638" t="str">
        <f>VLOOKUP(PlanGrid[[#This Row],[Title]],'Spec Wattages'!$A$1:$C$973,3,FALSE)</f>
        <v>Plug Load</v>
      </c>
      <c r="Q638" t="s">
        <v>1019</v>
      </c>
      <c r="R638" t="s">
        <v>911</v>
      </c>
      <c r="S638" t="s">
        <v>11</v>
      </c>
    </row>
    <row r="639" spans="1:19" x14ac:dyDescent="0.25">
      <c r="A639">
        <v>574</v>
      </c>
      <c r="B639" t="s">
        <v>15</v>
      </c>
      <c r="C639" t="s">
        <v>16</v>
      </c>
      <c r="E639" s="50">
        <f>VLOOKUP(PlanGrid[[#This Row],[Title]],'Spec Wattages'!$A$1:$C$973,2,FALSE)</f>
        <v>21</v>
      </c>
      <c r="F639" s="38">
        <v>1</v>
      </c>
      <c r="G639" s="39">
        <v>1</v>
      </c>
      <c r="H639" s="58">
        <f>PlanGrid[[#This Row],[Spec Wattage]]*PlanGrid[[#This Row],[Equipment Count]]</f>
        <v>21</v>
      </c>
      <c r="I639" s="50">
        <f>((PlanGrid[[#This Row],[Demand Watt]]*PlanGrid[[#This Row],[Utilization %]]*'Schedule-Building Info'!$N$16)/1000)</f>
        <v>114.97499999999999</v>
      </c>
      <c r="J639" s="57">
        <f>PlanGrid[[#This Row],[kWh/yr]]*' Elec Utility (kWh)'!$M$7</f>
        <v>12.257868782138575</v>
      </c>
      <c r="K639" s="38">
        <f>PlanGrid[[#This Row],[kWh/yr]]/'Schedule-Building Info'!$B$6</f>
        <v>1.8907563025210084E-3</v>
      </c>
      <c r="L639" s="50">
        <f>CONVERT(PlanGrid[[#This Row],[kWh/yr]],"Wh","BTU")</f>
        <v>392.31098426888508</v>
      </c>
      <c r="M639" s="38">
        <f>PlanGrid[[#This Row],[kBtu/yr]]/'Schedule-Building Info'!$B$6</f>
        <v>6.4515282979309817E-3</v>
      </c>
      <c r="N639" t="s">
        <v>1092</v>
      </c>
      <c r="O639">
        <v>0</v>
      </c>
      <c r="P639" t="str">
        <f>VLOOKUP(PlanGrid[[#This Row],[Title]],'Spec Wattages'!$A$1:$C$973,3,FALSE)</f>
        <v>Plug Load</v>
      </c>
      <c r="Q639" t="s">
        <v>1019</v>
      </c>
      <c r="R639" t="s">
        <v>911</v>
      </c>
      <c r="S639" t="s">
        <v>11</v>
      </c>
    </row>
    <row r="640" spans="1:19" x14ac:dyDescent="0.25">
      <c r="A640">
        <v>575</v>
      </c>
      <c r="B640" t="s">
        <v>15</v>
      </c>
      <c r="C640" t="s">
        <v>16</v>
      </c>
      <c r="E640" s="50">
        <f>VLOOKUP(PlanGrid[[#This Row],[Title]],'Spec Wattages'!$A$1:$C$973,2,FALSE)</f>
        <v>21</v>
      </c>
      <c r="F640" s="38">
        <v>1</v>
      </c>
      <c r="G640" s="39">
        <v>1</v>
      </c>
      <c r="H640" s="58">
        <f>PlanGrid[[#This Row],[Spec Wattage]]*PlanGrid[[#This Row],[Equipment Count]]</f>
        <v>21</v>
      </c>
      <c r="I640" s="50">
        <f>((PlanGrid[[#This Row],[Demand Watt]]*PlanGrid[[#This Row],[Utilization %]]*'Schedule-Building Info'!$N$16)/1000)</f>
        <v>114.97499999999999</v>
      </c>
      <c r="J640" s="57">
        <f>PlanGrid[[#This Row],[kWh/yr]]*' Elec Utility (kWh)'!$M$7</f>
        <v>12.257868782138575</v>
      </c>
      <c r="K640" s="38">
        <f>PlanGrid[[#This Row],[kWh/yr]]/'Schedule-Building Info'!$B$6</f>
        <v>1.8907563025210084E-3</v>
      </c>
      <c r="L640" s="50">
        <f>CONVERT(PlanGrid[[#This Row],[kWh/yr]],"Wh","BTU")</f>
        <v>392.31098426888508</v>
      </c>
      <c r="M640" s="38">
        <f>PlanGrid[[#This Row],[kBtu/yr]]/'Schedule-Building Info'!$B$6</f>
        <v>6.4515282979309817E-3</v>
      </c>
      <c r="N640" t="s">
        <v>1092</v>
      </c>
      <c r="O640">
        <v>0</v>
      </c>
      <c r="P640" t="str">
        <f>VLOOKUP(PlanGrid[[#This Row],[Title]],'Spec Wattages'!$A$1:$C$973,3,FALSE)</f>
        <v>Plug Load</v>
      </c>
      <c r="Q640" t="s">
        <v>911</v>
      </c>
      <c r="R640" t="s">
        <v>911</v>
      </c>
      <c r="S640" t="s">
        <v>51</v>
      </c>
    </row>
    <row r="641" spans="1:19" x14ac:dyDescent="0.25">
      <c r="A641">
        <v>576</v>
      </c>
      <c r="B641" t="s">
        <v>15</v>
      </c>
      <c r="C641" t="s">
        <v>16</v>
      </c>
      <c r="E641" s="50">
        <f>VLOOKUP(PlanGrid[[#This Row],[Title]],'Spec Wattages'!$A$1:$C$973,2,FALSE)</f>
        <v>21</v>
      </c>
      <c r="F641" s="38">
        <v>1</v>
      </c>
      <c r="G641" s="39">
        <v>1</v>
      </c>
      <c r="H641" s="58">
        <f>PlanGrid[[#This Row],[Spec Wattage]]*PlanGrid[[#This Row],[Equipment Count]]</f>
        <v>21</v>
      </c>
      <c r="I641" s="50">
        <f>((PlanGrid[[#This Row],[Demand Watt]]*PlanGrid[[#This Row],[Utilization %]]*'Schedule-Building Info'!$N$16)/1000)</f>
        <v>114.97499999999999</v>
      </c>
      <c r="J641" s="57">
        <f>PlanGrid[[#This Row],[kWh/yr]]*' Elec Utility (kWh)'!$M$7</f>
        <v>12.257868782138575</v>
      </c>
      <c r="K641" s="38">
        <f>PlanGrid[[#This Row],[kWh/yr]]/'Schedule-Building Info'!$B$6</f>
        <v>1.8907563025210084E-3</v>
      </c>
      <c r="L641" s="50">
        <f>CONVERT(PlanGrid[[#This Row],[kWh/yr]],"Wh","BTU")</f>
        <v>392.31098426888508</v>
      </c>
      <c r="M641" s="38">
        <f>PlanGrid[[#This Row],[kBtu/yr]]/'Schedule-Building Info'!$B$6</f>
        <v>6.4515282979309817E-3</v>
      </c>
      <c r="N641" t="s">
        <v>1092</v>
      </c>
      <c r="O641">
        <v>0</v>
      </c>
      <c r="P641" t="str">
        <f>VLOOKUP(PlanGrid[[#This Row],[Title]],'Spec Wattages'!$A$1:$C$973,3,FALSE)</f>
        <v>Plug Load</v>
      </c>
      <c r="Q641" t="s">
        <v>911</v>
      </c>
      <c r="R641" t="s">
        <v>911</v>
      </c>
      <c r="S641" t="s">
        <v>51</v>
      </c>
    </row>
    <row r="642" spans="1:19" hidden="1" x14ac:dyDescent="0.25">
      <c r="A642">
        <v>916</v>
      </c>
      <c r="B642" t="s">
        <v>15</v>
      </c>
      <c r="C642" t="s">
        <v>50</v>
      </c>
      <c r="D642" t="s">
        <v>589</v>
      </c>
      <c r="E642" s="50"/>
      <c r="F642" s="38"/>
      <c r="G642" s="38"/>
      <c r="H642" s="58">
        <f>PlanGrid[[#This Row],[Spec Wattage]]*PlanGrid[[#This Row],[Equipment Count]]</f>
        <v>0</v>
      </c>
      <c r="I642" s="50">
        <f>((PlanGrid[[#This Row],[Demand Watt]]*PlanGrid[[#This Row],[Utilization %]]*'Schedule-Building Info'!$N$16)/1000)</f>
        <v>0</v>
      </c>
      <c r="J642" s="50">
        <f>PlanGrid[[#This Row],[kWh/yr]]*' Elec Utility (kWh)'!$M$7</f>
        <v>0</v>
      </c>
      <c r="K642" s="38">
        <f>PlanGrid[[#This Row],[kWh/yr]]/'Schedule-Building Info'!$B$6</f>
        <v>0</v>
      </c>
      <c r="L642" s="50">
        <f>CONVERT(PlanGrid[[#This Row],[kWh/yr]],"Wh","BTU")</f>
        <v>0</v>
      </c>
      <c r="M642" s="38">
        <f>PlanGrid[[#This Row],[kBtu/yr]]/'Schedule-Building Info'!$B$6</f>
        <v>0</v>
      </c>
      <c r="N642" t="s">
        <v>1089</v>
      </c>
      <c r="O642">
        <v>0</v>
      </c>
      <c r="P642" t="e">
        <f>VLOOKUP(PlanGrid[[#This Row],[Title]],'Spec Wattages'!$A$1:$C$973,3,FALSE)</f>
        <v>#N/A</v>
      </c>
      <c r="Q642" t="s">
        <v>979</v>
      </c>
      <c r="R642" t="s">
        <v>1074</v>
      </c>
      <c r="S642" t="s">
        <v>51</v>
      </c>
    </row>
    <row r="643" spans="1:19" x14ac:dyDescent="0.25">
      <c r="A643">
        <v>579</v>
      </c>
      <c r="B643" t="s">
        <v>15</v>
      </c>
      <c r="C643" t="s">
        <v>16</v>
      </c>
      <c r="E643" s="50">
        <f>VLOOKUP(PlanGrid[[#This Row],[Title]],'Spec Wattages'!$A$1:$C$973,2,FALSE)</f>
        <v>21</v>
      </c>
      <c r="F643" s="38">
        <v>1</v>
      </c>
      <c r="G643" s="39">
        <v>1</v>
      </c>
      <c r="H643" s="58">
        <f>PlanGrid[[#This Row],[Spec Wattage]]*PlanGrid[[#This Row],[Equipment Count]]</f>
        <v>21</v>
      </c>
      <c r="I643" s="50">
        <f>((PlanGrid[[#This Row],[Demand Watt]]*PlanGrid[[#This Row],[Utilization %]]*'Schedule-Building Info'!$N$16)/1000)</f>
        <v>114.97499999999999</v>
      </c>
      <c r="J643" s="57">
        <f>PlanGrid[[#This Row],[kWh/yr]]*' Elec Utility (kWh)'!$M$7</f>
        <v>12.257868782138575</v>
      </c>
      <c r="K643" s="38">
        <f>PlanGrid[[#This Row],[kWh/yr]]/'Schedule-Building Info'!$B$6</f>
        <v>1.8907563025210084E-3</v>
      </c>
      <c r="L643" s="50">
        <f>CONVERT(PlanGrid[[#This Row],[kWh/yr]],"Wh","BTU")</f>
        <v>392.31098426888508</v>
      </c>
      <c r="M643" s="38">
        <f>PlanGrid[[#This Row],[kBtu/yr]]/'Schedule-Building Info'!$B$6</f>
        <v>6.4515282979309817E-3</v>
      </c>
      <c r="N643" t="s">
        <v>1092</v>
      </c>
      <c r="O643">
        <v>0</v>
      </c>
      <c r="P643" t="str">
        <f>VLOOKUP(PlanGrid[[#This Row],[Title]],'Spec Wattages'!$A$1:$C$973,3,FALSE)</f>
        <v>Plug Load</v>
      </c>
      <c r="Q643" t="s">
        <v>913</v>
      </c>
      <c r="R643" t="s">
        <v>772</v>
      </c>
      <c r="S643" t="s">
        <v>11</v>
      </c>
    </row>
    <row r="644" spans="1:19" hidden="1" x14ac:dyDescent="0.25">
      <c r="A644">
        <v>1072</v>
      </c>
      <c r="B644" t="s">
        <v>15</v>
      </c>
      <c r="C644" t="s">
        <v>50</v>
      </c>
      <c r="D644" t="s">
        <v>591</v>
      </c>
      <c r="E644" s="50"/>
      <c r="F644" s="38"/>
      <c r="G644" s="38"/>
      <c r="H644" s="58">
        <f>PlanGrid[[#This Row],[Spec Wattage]]*PlanGrid[[#This Row],[Equipment Count]]</f>
        <v>0</v>
      </c>
      <c r="I644" s="50">
        <f>((PlanGrid[[#This Row],[Demand Watt]]*PlanGrid[[#This Row],[Utilization %]]*'Schedule-Building Info'!$N$16)/1000)</f>
        <v>0</v>
      </c>
      <c r="J644" s="50">
        <f>PlanGrid[[#This Row],[kWh/yr]]*' Elec Utility (kWh)'!$M$7</f>
        <v>0</v>
      </c>
      <c r="K644" s="38">
        <f>PlanGrid[[#This Row],[kWh/yr]]/'Schedule-Building Info'!$B$6</f>
        <v>0</v>
      </c>
      <c r="L644" s="50">
        <f>CONVERT(PlanGrid[[#This Row],[kWh/yr]],"Wh","BTU")</f>
        <v>0</v>
      </c>
      <c r="M644" s="38">
        <f>PlanGrid[[#This Row],[kBtu/yr]]/'Schedule-Building Info'!$B$6</f>
        <v>0</v>
      </c>
      <c r="N644" t="s">
        <v>1089</v>
      </c>
      <c r="O644">
        <v>1</v>
      </c>
      <c r="P644" t="e">
        <f>VLOOKUP(PlanGrid[[#This Row],[Title]],'Spec Wattages'!$A$1:$C$973,3,FALSE)</f>
        <v>#N/A</v>
      </c>
      <c r="Q644" t="s">
        <v>797</v>
      </c>
      <c r="R644" t="s">
        <v>707</v>
      </c>
      <c r="S644" t="s">
        <v>11</v>
      </c>
    </row>
    <row r="645" spans="1:19" hidden="1" x14ac:dyDescent="0.25">
      <c r="A645">
        <v>1098</v>
      </c>
      <c r="B645" t="s">
        <v>15</v>
      </c>
      <c r="C645" t="s">
        <v>50</v>
      </c>
      <c r="D645" t="s">
        <v>592</v>
      </c>
      <c r="E645" s="50"/>
      <c r="F645" s="38"/>
      <c r="G645" s="38"/>
      <c r="H645" s="58">
        <f>PlanGrid[[#This Row],[Spec Wattage]]*PlanGrid[[#This Row],[Equipment Count]]</f>
        <v>0</v>
      </c>
      <c r="I645" s="50">
        <f>((PlanGrid[[#This Row],[Demand Watt]]*PlanGrid[[#This Row],[Utilization %]]*'Schedule-Building Info'!$N$16)/1000)</f>
        <v>0</v>
      </c>
      <c r="J645" s="50">
        <f>PlanGrid[[#This Row],[kWh/yr]]*' Elec Utility (kWh)'!$M$7</f>
        <v>0</v>
      </c>
      <c r="K645" s="38">
        <f>PlanGrid[[#This Row],[kWh/yr]]/'Schedule-Building Info'!$B$6</f>
        <v>0</v>
      </c>
      <c r="L645" s="50">
        <f>CONVERT(PlanGrid[[#This Row],[kWh/yr]],"Wh","BTU")</f>
        <v>0</v>
      </c>
      <c r="M645" s="38">
        <f>PlanGrid[[#This Row],[kBtu/yr]]/'Schedule-Building Info'!$B$6</f>
        <v>0</v>
      </c>
      <c r="N645" t="s">
        <v>1089</v>
      </c>
      <c r="O645">
        <v>1</v>
      </c>
      <c r="P645" t="e">
        <f>VLOOKUP(PlanGrid[[#This Row],[Title]],'Spec Wattages'!$A$1:$C$973,3,FALSE)</f>
        <v>#N/A</v>
      </c>
      <c r="Q645" t="s">
        <v>980</v>
      </c>
      <c r="R645" t="s">
        <v>1075</v>
      </c>
      <c r="S645" t="s">
        <v>11</v>
      </c>
    </row>
    <row r="646" spans="1:19" hidden="1" x14ac:dyDescent="0.25">
      <c r="A646">
        <v>743</v>
      </c>
      <c r="B646" t="s">
        <v>15</v>
      </c>
      <c r="C646" t="s">
        <v>50</v>
      </c>
      <c r="D646" t="s">
        <v>593</v>
      </c>
      <c r="E646" s="50"/>
      <c r="F646" s="38"/>
      <c r="G646" s="38"/>
      <c r="H646" s="58">
        <f>PlanGrid[[#This Row],[Spec Wattage]]*PlanGrid[[#This Row],[Equipment Count]]</f>
        <v>0</v>
      </c>
      <c r="I646" s="50">
        <f>((PlanGrid[[#This Row],[Demand Watt]]*PlanGrid[[#This Row],[Utilization %]]*'Schedule-Building Info'!$N$16)/1000)</f>
        <v>0</v>
      </c>
      <c r="J646" s="50">
        <f>PlanGrid[[#This Row],[kWh/yr]]*' Elec Utility (kWh)'!$M$7</f>
        <v>0</v>
      </c>
      <c r="K646" s="38">
        <f>PlanGrid[[#This Row],[kWh/yr]]/'Schedule-Building Info'!$B$6</f>
        <v>0</v>
      </c>
      <c r="L646" s="50">
        <f>CONVERT(PlanGrid[[#This Row],[kWh/yr]],"Wh","BTU")</f>
        <v>0</v>
      </c>
      <c r="M646" s="38">
        <f>PlanGrid[[#This Row],[kBtu/yr]]/'Schedule-Building Info'!$B$6</f>
        <v>0</v>
      </c>
      <c r="N646" t="s">
        <v>1090</v>
      </c>
      <c r="O646">
        <v>1</v>
      </c>
      <c r="P646" t="e">
        <f>VLOOKUP(PlanGrid[[#This Row],[Title]],'Spec Wattages'!$A$1:$C$973,3,FALSE)</f>
        <v>#N/A</v>
      </c>
      <c r="Q646" t="s">
        <v>981</v>
      </c>
      <c r="R646" t="s">
        <v>981</v>
      </c>
      <c r="S646" t="s">
        <v>51</v>
      </c>
    </row>
    <row r="647" spans="1:19" hidden="1" x14ac:dyDescent="0.25">
      <c r="A647">
        <v>804</v>
      </c>
      <c r="B647" t="s">
        <v>15</v>
      </c>
      <c r="C647" t="s">
        <v>50</v>
      </c>
      <c r="D647" t="s">
        <v>594</v>
      </c>
      <c r="E647" s="50"/>
      <c r="F647" s="38"/>
      <c r="G647" s="38"/>
      <c r="H647" s="58">
        <f>PlanGrid[[#This Row],[Spec Wattage]]*PlanGrid[[#This Row],[Equipment Count]]</f>
        <v>0</v>
      </c>
      <c r="I647" s="50">
        <f>((PlanGrid[[#This Row],[Demand Watt]]*PlanGrid[[#This Row],[Utilization %]]*'Schedule-Building Info'!$N$16)/1000)</f>
        <v>0</v>
      </c>
      <c r="J647" s="50">
        <f>PlanGrid[[#This Row],[kWh/yr]]*' Elec Utility (kWh)'!$M$7</f>
        <v>0</v>
      </c>
      <c r="K647" s="38">
        <f>PlanGrid[[#This Row],[kWh/yr]]/'Schedule-Building Info'!$B$6</f>
        <v>0</v>
      </c>
      <c r="L647" s="50">
        <f>CONVERT(PlanGrid[[#This Row],[kWh/yr]],"Wh","BTU")</f>
        <v>0</v>
      </c>
      <c r="M647" s="38">
        <f>PlanGrid[[#This Row],[kBtu/yr]]/'Schedule-Building Info'!$B$6</f>
        <v>0</v>
      </c>
      <c r="N647" t="s">
        <v>1090</v>
      </c>
      <c r="O647">
        <v>1</v>
      </c>
      <c r="P647" t="e">
        <f>VLOOKUP(PlanGrid[[#This Row],[Title]],'Spec Wattages'!$A$1:$C$973,3,FALSE)</f>
        <v>#N/A</v>
      </c>
      <c r="Q647" t="s">
        <v>829</v>
      </c>
      <c r="R647" t="s">
        <v>728</v>
      </c>
      <c r="S647" t="s">
        <v>11</v>
      </c>
    </row>
    <row r="648" spans="1:19" hidden="1" x14ac:dyDescent="0.25">
      <c r="A648">
        <v>848</v>
      </c>
      <c r="B648" t="s">
        <v>15</v>
      </c>
      <c r="C648" t="s">
        <v>50</v>
      </c>
      <c r="D648" t="s">
        <v>595</v>
      </c>
      <c r="E648" s="50"/>
      <c r="F648" s="38"/>
      <c r="G648" s="38"/>
      <c r="H648" s="58">
        <f>PlanGrid[[#This Row],[Spec Wattage]]*PlanGrid[[#This Row],[Equipment Count]]</f>
        <v>0</v>
      </c>
      <c r="I648" s="50">
        <f>((PlanGrid[[#This Row],[Demand Watt]]*PlanGrid[[#This Row],[Utilization %]]*'Schedule-Building Info'!$N$16)/1000)</f>
        <v>0</v>
      </c>
      <c r="J648" s="50">
        <f>PlanGrid[[#This Row],[kWh/yr]]*' Elec Utility (kWh)'!$M$7</f>
        <v>0</v>
      </c>
      <c r="K648" s="38">
        <f>PlanGrid[[#This Row],[kWh/yr]]/'Schedule-Building Info'!$B$6</f>
        <v>0</v>
      </c>
      <c r="L648" s="50">
        <f>CONVERT(PlanGrid[[#This Row],[kWh/yr]],"Wh","BTU")</f>
        <v>0</v>
      </c>
      <c r="M648" s="38">
        <f>PlanGrid[[#This Row],[kBtu/yr]]/'Schedule-Building Info'!$B$6</f>
        <v>0</v>
      </c>
      <c r="N648" t="s">
        <v>1090</v>
      </c>
      <c r="O648">
        <v>0</v>
      </c>
      <c r="P648" t="e">
        <f>VLOOKUP(PlanGrid[[#This Row],[Title]],'Spec Wattages'!$A$1:$C$973,3,FALSE)</f>
        <v>#N/A</v>
      </c>
      <c r="Q648" t="s">
        <v>915</v>
      </c>
      <c r="R648" t="s">
        <v>836</v>
      </c>
      <c r="S648" t="s">
        <v>51</v>
      </c>
    </row>
    <row r="649" spans="1:19" hidden="1" x14ac:dyDescent="0.25">
      <c r="A649">
        <v>436</v>
      </c>
      <c r="B649" t="s">
        <v>15</v>
      </c>
      <c r="C649" t="s">
        <v>50</v>
      </c>
      <c r="D649" t="s">
        <v>596</v>
      </c>
      <c r="E649" s="50"/>
      <c r="F649" s="38"/>
      <c r="G649" s="38"/>
      <c r="H649" s="58">
        <f>PlanGrid[[#This Row],[Spec Wattage]]*PlanGrid[[#This Row],[Equipment Count]]</f>
        <v>0</v>
      </c>
      <c r="I649" s="50">
        <f>((PlanGrid[[#This Row],[Demand Watt]]*PlanGrid[[#This Row],[Utilization %]]*'Schedule-Building Info'!$N$16)/1000)</f>
        <v>0</v>
      </c>
      <c r="J649" s="50">
        <f>PlanGrid[[#This Row],[kWh/yr]]*' Elec Utility (kWh)'!$M$7</f>
        <v>0</v>
      </c>
      <c r="K649" s="38">
        <f>PlanGrid[[#This Row],[kWh/yr]]/'Schedule-Building Info'!$B$6</f>
        <v>0</v>
      </c>
      <c r="L649" s="50">
        <f>CONVERT(PlanGrid[[#This Row],[kWh/yr]],"Wh","BTU")</f>
        <v>0</v>
      </c>
      <c r="M649" s="38">
        <f>PlanGrid[[#This Row],[kBtu/yr]]/'Schedule-Building Info'!$B$6</f>
        <v>0</v>
      </c>
      <c r="N649" t="s">
        <v>1092</v>
      </c>
      <c r="O649">
        <v>1</v>
      </c>
      <c r="P649" t="e">
        <f>VLOOKUP(PlanGrid[[#This Row],[Title]],'Spec Wattages'!$A$1:$C$973,3,FALSE)</f>
        <v>#N/A</v>
      </c>
      <c r="Q649" t="s">
        <v>982</v>
      </c>
      <c r="R649" t="s">
        <v>687</v>
      </c>
      <c r="S649" t="s">
        <v>51</v>
      </c>
    </row>
    <row r="650" spans="1:19" x14ac:dyDescent="0.25">
      <c r="A650">
        <v>581</v>
      </c>
      <c r="B650" t="s">
        <v>15</v>
      </c>
      <c r="C650" t="s">
        <v>16</v>
      </c>
      <c r="E650" s="50">
        <f>VLOOKUP(PlanGrid[[#This Row],[Title]],'Spec Wattages'!$A$1:$C$973,2,FALSE)</f>
        <v>21</v>
      </c>
      <c r="F650" s="38">
        <v>1</v>
      </c>
      <c r="G650" s="39">
        <v>1</v>
      </c>
      <c r="H650" s="58">
        <f>PlanGrid[[#This Row],[Spec Wattage]]*PlanGrid[[#This Row],[Equipment Count]]</f>
        <v>21</v>
      </c>
      <c r="I650" s="50">
        <f>((PlanGrid[[#This Row],[Demand Watt]]*PlanGrid[[#This Row],[Utilization %]]*'Schedule-Building Info'!$N$16)/1000)</f>
        <v>114.97499999999999</v>
      </c>
      <c r="J650" s="57">
        <f>PlanGrid[[#This Row],[kWh/yr]]*' Elec Utility (kWh)'!$M$7</f>
        <v>12.257868782138575</v>
      </c>
      <c r="K650" s="38">
        <f>PlanGrid[[#This Row],[kWh/yr]]/'Schedule-Building Info'!$B$6</f>
        <v>1.8907563025210084E-3</v>
      </c>
      <c r="L650" s="50">
        <f>CONVERT(PlanGrid[[#This Row],[kWh/yr]],"Wh","BTU")</f>
        <v>392.31098426888508</v>
      </c>
      <c r="M650" s="38">
        <f>PlanGrid[[#This Row],[kBtu/yr]]/'Schedule-Building Info'!$B$6</f>
        <v>6.4515282979309817E-3</v>
      </c>
      <c r="N650" t="s">
        <v>1092</v>
      </c>
      <c r="O650">
        <v>0</v>
      </c>
      <c r="P650" t="str">
        <f>VLOOKUP(PlanGrid[[#This Row],[Title]],'Spec Wattages'!$A$1:$C$973,3,FALSE)</f>
        <v>Plug Load</v>
      </c>
      <c r="Q650" t="s">
        <v>913</v>
      </c>
      <c r="R650" t="s">
        <v>774</v>
      </c>
      <c r="S650" t="s">
        <v>11</v>
      </c>
    </row>
    <row r="651" spans="1:19" x14ac:dyDescent="0.25">
      <c r="A651">
        <v>590</v>
      </c>
      <c r="B651" t="s">
        <v>15</v>
      </c>
      <c r="C651" t="s">
        <v>16</v>
      </c>
      <c r="E651" s="50">
        <f>VLOOKUP(PlanGrid[[#This Row],[Title]],'Spec Wattages'!$A$1:$C$973,2,FALSE)</f>
        <v>21</v>
      </c>
      <c r="F651" s="38">
        <v>1</v>
      </c>
      <c r="G651" s="39">
        <v>1</v>
      </c>
      <c r="H651" s="58">
        <f>PlanGrid[[#This Row],[Spec Wattage]]*PlanGrid[[#This Row],[Equipment Count]]</f>
        <v>21</v>
      </c>
      <c r="I651" s="50">
        <f>((PlanGrid[[#This Row],[Demand Watt]]*PlanGrid[[#This Row],[Utilization %]]*'Schedule-Building Info'!$N$16)/1000)</f>
        <v>114.97499999999999</v>
      </c>
      <c r="J651" s="57">
        <f>PlanGrid[[#This Row],[kWh/yr]]*' Elec Utility (kWh)'!$M$7</f>
        <v>12.257868782138575</v>
      </c>
      <c r="K651" s="38">
        <f>PlanGrid[[#This Row],[kWh/yr]]/'Schedule-Building Info'!$B$6</f>
        <v>1.8907563025210084E-3</v>
      </c>
      <c r="L651" s="50">
        <f>CONVERT(PlanGrid[[#This Row],[kWh/yr]],"Wh","BTU")</f>
        <v>392.31098426888508</v>
      </c>
      <c r="M651" s="38">
        <f>PlanGrid[[#This Row],[kBtu/yr]]/'Schedule-Building Info'!$B$6</f>
        <v>6.4515282979309817E-3</v>
      </c>
      <c r="N651" t="s">
        <v>1092</v>
      </c>
      <c r="O651">
        <v>0</v>
      </c>
      <c r="P651" t="str">
        <f>VLOOKUP(PlanGrid[[#This Row],[Title]],'Spec Wattages'!$A$1:$C$973,3,FALSE)</f>
        <v>Plug Load</v>
      </c>
      <c r="Q651" t="s">
        <v>774</v>
      </c>
      <c r="R651" t="s">
        <v>774</v>
      </c>
      <c r="S651" t="s">
        <v>51</v>
      </c>
    </row>
    <row r="652" spans="1:19" x14ac:dyDescent="0.25">
      <c r="A652">
        <v>591</v>
      </c>
      <c r="B652" t="s">
        <v>15</v>
      </c>
      <c r="C652" t="s">
        <v>16</v>
      </c>
      <c r="E652" s="50">
        <f>VLOOKUP(PlanGrid[[#This Row],[Title]],'Spec Wattages'!$A$1:$C$973,2,FALSE)</f>
        <v>21</v>
      </c>
      <c r="F652" s="38">
        <v>1</v>
      </c>
      <c r="G652" s="39">
        <v>1</v>
      </c>
      <c r="H652" s="58">
        <f>PlanGrid[[#This Row],[Spec Wattage]]*PlanGrid[[#This Row],[Equipment Count]]</f>
        <v>21</v>
      </c>
      <c r="I652" s="50">
        <f>((PlanGrid[[#This Row],[Demand Watt]]*PlanGrid[[#This Row],[Utilization %]]*'Schedule-Building Info'!$N$16)/1000)</f>
        <v>114.97499999999999</v>
      </c>
      <c r="J652" s="57">
        <f>PlanGrid[[#This Row],[kWh/yr]]*' Elec Utility (kWh)'!$M$7</f>
        <v>12.257868782138575</v>
      </c>
      <c r="K652" s="38">
        <f>PlanGrid[[#This Row],[kWh/yr]]/'Schedule-Building Info'!$B$6</f>
        <v>1.8907563025210084E-3</v>
      </c>
      <c r="L652" s="50">
        <f>CONVERT(PlanGrid[[#This Row],[kWh/yr]],"Wh","BTU")</f>
        <v>392.31098426888508</v>
      </c>
      <c r="M652" s="38">
        <f>PlanGrid[[#This Row],[kBtu/yr]]/'Schedule-Building Info'!$B$6</f>
        <v>6.4515282979309817E-3</v>
      </c>
      <c r="N652" t="s">
        <v>1092</v>
      </c>
      <c r="O652">
        <v>0</v>
      </c>
      <c r="P652" t="str">
        <f>VLOOKUP(PlanGrid[[#This Row],[Title]],'Spec Wattages'!$A$1:$C$973,3,FALSE)</f>
        <v>Plug Load</v>
      </c>
      <c r="Q652" t="s">
        <v>774</v>
      </c>
      <c r="R652" t="s">
        <v>774</v>
      </c>
      <c r="S652" t="s">
        <v>51</v>
      </c>
    </row>
    <row r="653" spans="1:19" x14ac:dyDescent="0.25">
      <c r="A653">
        <v>592</v>
      </c>
      <c r="B653" t="s">
        <v>15</v>
      </c>
      <c r="C653" t="s">
        <v>16</v>
      </c>
      <c r="E653" s="50">
        <f>VLOOKUP(PlanGrid[[#This Row],[Title]],'Spec Wattages'!$A$1:$C$973,2,FALSE)</f>
        <v>21</v>
      </c>
      <c r="F653" s="38">
        <v>1</v>
      </c>
      <c r="G653" s="39">
        <v>1</v>
      </c>
      <c r="H653" s="58">
        <f>PlanGrid[[#This Row],[Spec Wattage]]*PlanGrid[[#This Row],[Equipment Count]]</f>
        <v>21</v>
      </c>
      <c r="I653" s="50">
        <f>((PlanGrid[[#This Row],[Demand Watt]]*PlanGrid[[#This Row],[Utilization %]]*'Schedule-Building Info'!$N$16)/1000)</f>
        <v>114.97499999999999</v>
      </c>
      <c r="J653" s="57">
        <f>PlanGrid[[#This Row],[kWh/yr]]*' Elec Utility (kWh)'!$M$7</f>
        <v>12.257868782138575</v>
      </c>
      <c r="K653" s="38">
        <f>PlanGrid[[#This Row],[kWh/yr]]/'Schedule-Building Info'!$B$6</f>
        <v>1.8907563025210084E-3</v>
      </c>
      <c r="L653" s="50">
        <f>CONVERT(PlanGrid[[#This Row],[kWh/yr]],"Wh","BTU")</f>
        <v>392.31098426888508</v>
      </c>
      <c r="M653" s="38">
        <f>PlanGrid[[#This Row],[kBtu/yr]]/'Schedule-Building Info'!$B$6</f>
        <v>6.4515282979309817E-3</v>
      </c>
      <c r="N653" t="s">
        <v>1092</v>
      </c>
      <c r="O653">
        <v>0</v>
      </c>
      <c r="P653" t="str">
        <f>VLOOKUP(PlanGrid[[#This Row],[Title]],'Spec Wattages'!$A$1:$C$973,3,FALSE)</f>
        <v>Plug Load</v>
      </c>
      <c r="Q653" t="s">
        <v>774</v>
      </c>
      <c r="R653" t="s">
        <v>774</v>
      </c>
      <c r="S653" t="s">
        <v>51</v>
      </c>
    </row>
    <row r="654" spans="1:19" x14ac:dyDescent="0.25">
      <c r="A654">
        <v>600</v>
      </c>
      <c r="B654" t="s">
        <v>15</v>
      </c>
      <c r="C654" t="s">
        <v>16</v>
      </c>
      <c r="E654" s="50">
        <f>VLOOKUP(PlanGrid[[#This Row],[Title]],'Spec Wattages'!$A$1:$C$973,2,FALSE)</f>
        <v>21</v>
      </c>
      <c r="F654" s="38">
        <v>1</v>
      </c>
      <c r="G654" s="39">
        <v>1</v>
      </c>
      <c r="H654" s="58">
        <f>PlanGrid[[#This Row],[Spec Wattage]]*PlanGrid[[#This Row],[Equipment Count]]</f>
        <v>21</v>
      </c>
      <c r="I654" s="50">
        <f>((PlanGrid[[#This Row],[Demand Watt]]*PlanGrid[[#This Row],[Utilization %]]*'Schedule-Building Info'!$N$16)/1000)</f>
        <v>114.97499999999999</v>
      </c>
      <c r="J654" s="57">
        <f>PlanGrid[[#This Row],[kWh/yr]]*' Elec Utility (kWh)'!$M$7</f>
        <v>12.257868782138575</v>
      </c>
      <c r="K654" s="38">
        <f>PlanGrid[[#This Row],[kWh/yr]]/'Schedule-Building Info'!$B$6</f>
        <v>1.8907563025210084E-3</v>
      </c>
      <c r="L654" s="50">
        <f>CONVERT(PlanGrid[[#This Row],[kWh/yr]],"Wh","BTU")</f>
        <v>392.31098426888508</v>
      </c>
      <c r="M654" s="38">
        <f>PlanGrid[[#This Row],[kBtu/yr]]/'Schedule-Building Info'!$B$6</f>
        <v>6.4515282979309817E-3</v>
      </c>
      <c r="N654" t="s">
        <v>1092</v>
      </c>
      <c r="O654">
        <v>0</v>
      </c>
      <c r="P654" t="str">
        <f>VLOOKUP(PlanGrid[[#This Row],[Title]],'Spec Wattages'!$A$1:$C$973,3,FALSE)</f>
        <v>Plug Load</v>
      </c>
      <c r="Q654" t="s">
        <v>914</v>
      </c>
      <c r="R654" t="s">
        <v>1018</v>
      </c>
      <c r="S654" t="s">
        <v>11</v>
      </c>
    </row>
    <row r="655" spans="1:19" x14ac:dyDescent="0.25">
      <c r="A655">
        <v>608</v>
      </c>
      <c r="B655" t="s">
        <v>15</v>
      </c>
      <c r="C655" t="s">
        <v>16</v>
      </c>
      <c r="E655" s="50">
        <f>VLOOKUP(PlanGrid[[#This Row],[Title]],'Spec Wattages'!$A$1:$C$973,2,FALSE)</f>
        <v>21</v>
      </c>
      <c r="F655" s="38">
        <v>1</v>
      </c>
      <c r="G655" s="39">
        <v>1</v>
      </c>
      <c r="H655" s="58">
        <f>PlanGrid[[#This Row],[Spec Wattage]]*PlanGrid[[#This Row],[Equipment Count]]</f>
        <v>21</v>
      </c>
      <c r="I655" s="50">
        <f>((PlanGrid[[#This Row],[Demand Watt]]*PlanGrid[[#This Row],[Utilization %]]*'Schedule-Building Info'!$N$16)/1000)</f>
        <v>114.97499999999999</v>
      </c>
      <c r="J655" s="57">
        <f>PlanGrid[[#This Row],[kWh/yr]]*' Elec Utility (kWh)'!$M$7</f>
        <v>12.257868782138575</v>
      </c>
      <c r="K655" s="38">
        <f>PlanGrid[[#This Row],[kWh/yr]]/'Schedule-Building Info'!$B$6</f>
        <v>1.8907563025210084E-3</v>
      </c>
      <c r="L655" s="50">
        <f>CONVERT(PlanGrid[[#This Row],[kWh/yr]],"Wh","BTU")</f>
        <v>392.31098426888508</v>
      </c>
      <c r="M655" s="38">
        <f>PlanGrid[[#This Row],[kBtu/yr]]/'Schedule-Building Info'!$B$6</f>
        <v>6.4515282979309817E-3</v>
      </c>
      <c r="N655" t="s">
        <v>1092</v>
      </c>
      <c r="O655">
        <v>0</v>
      </c>
      <c r="P655" t="str">
        <f>VLOOKUP(PlanGrid[[#This Row],[Title]],'Spec Wattages'!$A$1:$C$973,3,FALSE)</f>
        <v>Plug Load</v>
      </c>
      <c r="Q655" t="s">
        <v>775</v>
      </c>
      <c r="R655" t="s">
        <v>910</v>
      </c>
      <c r="S655" t="s">
        <v>11</v>
      </c>
    </row>
    <row r="656" spans="1:19" x14ac:dyDescent="0.25">
      <c r="A656">
        <v>610</v>
      </c>
      <c r="B656" t="s">
        <v>15</v>
      </c>
      <c r="C656" t="s">
        <v>16</v>
      </c>
      <c r="E656" s="50">
        <f>VLOOKUP(PlanGrid[[#This Row],[Title]],'Spec Wattages'!$A$1:$C$973,2,FALSE)</f>
        <v>21</v>
      </c>
      <c r="F656" s="38">
        <v>1</v>
      </c>
      <c r="G656" s="39">
        <v>1</v>
      </c>
      <c r="H656" s="58">
        <f>PlanGrid[[#This Row],[Spec Wattage]]*PlanGrid[[#This Row],[Equipment Count]]</f>
        <v>21</v>
      </c>
      <c r="I656" s="50">
        <f>((PlanGrid[[#This Row],[Demand Watt]]*PlanGrid[[#This Row],[Utilization %]]*'Schedule-Building Info'!$N$16)/1000)</f>
        <v>114.97499999999999</v>
      </c>
      <c r="J656" s="57">
        <f>PlanGrid[[#This Row],[kWh/yr]]*' Elec Utility (kWh)'!$M$7</f>
        <v>12.257868782138575</v>
      </c>
      <c r="K656" s="38">
        <f>PlanGrid[[#This Row],[kWh/yr]]/'Schedule-Building Info'!$B$6</f>
        <v>1.8907563025210084E-3</v>
      </c>
      <c r="L656" s="50">
        <f>CONVERT(PlanGrid[[#This Row],[kWh/yr]],"Wh","BTU")</f>
        <v>392.31098426888508</v>
      </c>
      <c r="M656" s="38">
        <f>PlanGrid[[#This Row],[kBtu/yr]]/'Schedule-Building Info'!$B$6</f>
        <v>6.4515282979309817E-3</v>
      </c>
      <c r="N656" t="s">
        <v>1092</v>
      </c>
      <c r="O656">
        <v>0</v>
      </c>
      <c r="P656" t="str">
        <f>VLOOKUP(PlanGrid[[#This Row],[Title]],'Spec Wattages'!$A$1:$C$973,3,FALSE)</f>
        <v>Plug Load</v>
      </c>
      <c r="Q656" t="s">
        <v>775</v>
      </c>
      <c r="R656" t="s">
        <v>910</v>
      </c>
      <c r="S656" t="s">
        <v>11</v>
      </c>
    </row>
    <row r="657" spans="1:19" x14ac:dyDescent="0.25">
      <c r="A657">
        <v>616</v>
      </c>
      <c r="B657" t="s">
        <v>15</v>
      </c>
      <c r="C657" t="s">
        <v>16</v>
      </c>
      <c r="E657" s="50">
        <f>VLOOKUP(PlanGrid[[#This Row],[Title]],'Spec Wattages'!$A$1:$C$973,2,FALSE)</f>
        <v>21</v>
      </c>
      <c r="F657" s="38">
        <v>1</v>
      </c>
      <c r="G657" s="39">
        <v>1</v>
      </c>
      <c r="H657" s="58">
        <f>PlanGrid[[#This Row],[Spec Wattage]]*PlanGrid[[#This Row],[Equipment Count]]</f>
        <v>21</v>
      </c>
      <c r="I657" s="50">
        <f>((PlanGrid[[#This Row],[Demand Watt]]*PlanGrid[[#This Row],[Utilization %]]*'Schedule-Building Info'!$N$16)/1000)</f>
        <v>114.97499999999999</v>
      </c>
      <c r="J657" s="57">
        <f>PlanGrid[[#This Row],[kWh/yr]]*' Elec Utility (kWh)'!$M$7</f>
        <v>12.257868782138575</v>
      </c>
      <c r="K657" s="38">
        <f>PlanGrid[[#This Row],[kWh/yr]]/'Schedule-Building Info'!$B$6</f>
        <v>1.8907563025210084E-3</v>
      </c>
      <c r="L657" s="50">
        <f>CONVERT(PlanGrid[[#This Row],[kWh/yr]],"Wh","BTU")</f>
        <v>392.31098426888508</v>
      </c>
      <c r="M657" s="38">
        <f>PlanGrid[[#This Row],[kBtu/yr]]/'Schedule-Building Info'!$B$6</f>
        <v>6.4515282979309817E-3</v>
      </c>
      <c r="N657" t="s">
        <v>1092</v>
      </c>
      <c r="O657">
        <v>0</v>
      </c>
      <c r="P657" t="str">
        <f>VLOOKUP(PlanGrid[[#This Row],[Title]],'Spec Wattages'!$A$1:$C$973,3,FALSE)</f>
        <v>Plug Load</v>
      </c>
      <c r="Q657" t="s">
        <v>988</v>
      </c>
      <c r="R657" t="s">
        <v>988</v>
      </c>
      <c r="S657" t="s">
        <v>51</v>
      </c>
    </row>
    <row r="658" spans="1:19" x14ac:dyDescent="0.25">
      <c r="A658">
        <v>617</v>
      </c>
      <c r="B658" t="s">
        <v>15</v>
      </c>
      <c r="C658" t="s">
        <v>16</v>
      </c>
      <c r="E658" s="50">
        <f>VLOOKUP(PlanGrid[[#This Row],[Title]],'Spec Wattages'!$A$1:$C$973,2,FALSE)</f>
        <v>21</v>
      </c>
      <c r="F658" s="38">
        <v>1</v>
      </c>
      <c r="G658" s="39">
        <v>1</v>
      </c>
      <c r="H658" s="58">
        <f>PlanGrid[[#This Row],[Spec Wattage]]*PlanGrid[[#This Row],[Equipment Count]]</f>
        <v>21</v>
      </c>
      <c r="I658" s="50">
        <f>((PlanGrid[[#This Row],[Demand Watt]]*PlanGrid[[#This Row],[Utilization %]]*'Schedule-Building Info'!$N$16)/1000)</f>
        <v>114.97499999999999</v>
      </c>
      <c r="J658" s="57">
        <f>PlanGrid[[#This Row],[kWh/yr]]*' Elec Utility (kWh)'!$M$7</f>
        <v>12.257868782138575</v>
      </c>
      <c r="K658" s="38">
        <f>PlanGrid[[#This Row],[kWh/yr]]/'Schedule-Building Info'!$B$6</f>
        <v>1.8907563025210084E-3</v>
      </c>
      <c r="L658" s="50">
        <f>CONVERT(PlanGrid[[#This Row],[kWh/yr]],"Wh","BTU")</f>
        <v>392.31098426888508</v>
      </c>
      <c r="M658" s="38">
        <f>PlanGrid[[#This Row],[kBtu/yr]]/'Schedule-Building Info'!$B$6</f>
        <v>6.4515282979309817E-3</v>
      </c>
      <c r="N658" t="s">
        <v>1092</v>
      </c>
      <c r="O658">
        <v>0</v>
      </c>
      <c r="P658" t="str">
        <f>VLOOKUP(PlanGrid[[#This Row],[Title]],'Spec Wattages'!$A$1:$C$973,3,FALSE)</f>
        <v>Plug Load</v>
      </c>
      <c r="Q658" t="s">
        <v>988</v>
      </c>
      <c r="R658" t="s">
        <v>988</v>
      </c>
      <c r="S658" t="s">
        <v>51</v>
      </c>
    </row>
    <row r="659" spans="1:19" x14ac:dyDescent="0.25">
      <c r="A659">
        <v>621</v>
      </c>
      <c r="B659" t="s">
        <v>15</v>
      </c>
      <c r="C659" t="s">
        <v>16</v>
      </c>
      <c r="E659" s="50">
        <f>VLOOKUP(PlanGrid[[#This Row],[Title]],'Spec Wattages'!$A$1:$C$973,2,FALSE)</f>
        <v>21</v>
      </c>
      <c r="F659" s="38">
        <v>1</v>
      </c>
      <c r="G659" s="39">
        <v>1</v>
      </c>
      <c r="H659" s="58">
        <f>PlanGrid[[#This Row],[Spec Wattage]]*PlanGrid[[#This Row],[Equipment Count]]</f>
        <v>21</v>
      </c>
      <c r="I659" s="50">
        <f>((PlanGrid[[#This Row],[Demand Watt]]*PlanGrid[[#This Row],[Utilization %]]*'Schedule-Building Info'!$N$16)/1000)</f>
        <v>114.97499999999999</v>
      </c>
      <c r="J659" s="57">
        <f>PlanGrid[[#This Row],[kWh/yr]]*' Elec Utility (kWh)'!$M$7</f>
        <v>12.257868782138575</v>
      </c>
      <c r="K659" s="38">
        <f>PlanGrid[[#This Row],[kWh/yr]]/'Schedule-Building Info'!$B$6</f>
        <v>1.8907563025210084E-3</v>
      </c>
      <c r="L659" s="50">
        <f>CONVERT(PlanGrid[[#This Row],[kWh/yr]],"Wh","BTU")</f>
        <v>392.31098426888508</v>
      </c>
      <c r="M659" s="38">
        <f>PlanGrid[[#This Row],[kBtu/yr]]/'Schedule-Building Info'!$B$6</f>
        <v>6.4515282979309817E-3</v>
      </c>
      <c r="N659" t="s">
        <v>1092</v>
      </c>
      <c r="O659">
        <v>0</v>
      </c>
      <c r="P659" t="str">
        <f>VLOOKUP(PlanGrid[[#This Row],[Title]],'Spec Wattages'!$A$1:$C$973,3,FALSE)</f>
        <v>Plug Load</v>
      </c>
      <c r="Q659" t="s">
        <v>916</v>
      </c>
      <c r="R659" t="s">
        <v>913</v>
      </c>
      <c r="S659" t="s">
        <v>11</v>
      </c>
    </row>
    <row r="660" spans="1:19" x14ac:dyDescent="0.25">
      <c r="A660">
        <v>623</v>
      </c>
      <c r="B660" t="s">
        <v>15</v>
      </c>
      <c r="C660" t="s">
        <v>16</v>
      </c>
      <c r="E660" s="50">
        <f>VLOOKUP(PlanGrid[[#This Row],[Title]],'Spec Wattages'!$A$1:$C$973,2,FALSE)</f>
        <v>21</v>
      </c>
      <c r="F660" s="38">
        <v>1</v>
      </c>
      <c r="G660" s="39">
        <v>1</v>
      </c>
      <c r="H660" s="58">
        <f>PlanGrid[[#This Row],[Spec Wattage]]*PlanGrid[[#This Row],[Equipment Count]]</f>
        <v>21</v>
      </c>
      <c r="I660" s="50">
        <f>((PlanGrid[[#This Row],[Demand Watt]]*PlanGrid[[#This Row],[Utilization %]]*'Schedule-Building Info'!$N$16)/1000)</f>
        <v>114.97499999999999</v>
      </c>
      <c r="J660" s="57">
        <f>PlanGrid[[#This Row],[kWh/yr]]*' Elec Utility (kWh)'!$M$7</f>
        <v>12.257868782138575</v>
      </c>
      <c r="K660" s="38">
        <f>PlanGrid[[#This Row],[kWh/yr]]/'Schedule-Building Info'!$B$6</f>
        <v>1.8907563025210084E-3</v>
      </c>
      <c r="L660" s="50">
        <f>CONVERT(PlanGrid[[#This Row],[kWh/yr]],"Wh","BTU")</f>
        <v>392.31098426888508</v>
      </c>
      <c r="M660" s="38">
        <f>PlanGrid[[#This Row],[kBtu/yr]]/'Schedule-Building Info'!$B$6</f>
        <v>6.4515282979309817E-3</v>
      </c>
      <c r="N660" t="s">
        <v>1092</v>
      </c>
      <c r="O660">
        <v>0</v>
      </c>
      <c r="P660" t="str">
        <f>VLOOKUP(PlanGrid[[#This Row],[Title]],'Spec Wattages'!$A$1:$C$973,3,FALSE)</f>
        <v>Plug Load</v>
      </c>
      <c r="Q660" t="s">
        <v>916</v>
      </c>
      <c r="R660" t="s">
        <v>914</v>
      </c>
      <c r="S660" t="s">
        <v>11</v>
      </c>
    </row>
    <row r="661" spans="1:19" x14ac:dyDescent="0.25">
      <c r="A661">
        <v>964</v>
      </c>
      <c r="B661" t="s">
        <v>627</v>
      </c>
      <c r="C661" t="s">
        <v>628</v>
      </c>
      <c r="D661" t="s">
        <v>629</v>
      </c>
      <c r="E661" s="50">
        <v>1500</v>
      </c>
      <c r="F661" s="38">
        <v>1</v>
      </c>
      <c r="G661" s="39">
        <v>0.2</v>
      </c>
      <c r="H661" s="58">
        <f>PlanGrid[[#This Row],[Spec Wattage]]*PlanGrid[[#This Row],[Equipment Count]]</f>
        <v>1500</v>
      </c>
      <c r="I661" s="50">
        <f>((PlanGrid[[#This Row],[Demand Watt]]*PlanGrid[[#This Row],[Utilization %]]*'Schedule-Building Info'!$N$16)/1000)</f>
        <v>1642.5</v>
      </c>
      <c r="J661" s="57">
        <f>PlanGrid[[#This Row],[kWh/yr]]*' Elec Utility (kWh)'!$M$7</f>
        <v>175.11241117340822</v>
      </c>
      <c r="K661" s="38">
        <f>PlanGrid[[#This Row],[kWh/yr]]/'Schedule-Building Info'!$B$6</f>
        <v>2.7010804321728692E-2</v>
      </c>
      <c r="L661" s="50">
        <f>CONVERT(PlanGrid[[#This Row],[kWh/yr]],"Wh","BTU")</f>
        <v>5604.4426324126443</v>
      </c>
      <c r="M661" s="38">
        <f>PlanGrid[[#This Row],[kBtu/yr]]/'Schedule-Building Info'!$B$6</f>
        <v>9.2164689970442609E-2</v>
      </c>
      <c r="N661" t="s">
        <v>1089</v>
      </c>
      <c r="O661">
        <v>0</v>
      </c>
      <c r="P661" t="s">
        <v>87</v>
      </c>
      <c r="Q661" t="s">
        <v>740</v>
      </c>
      <c r="R661" t="s">
        <v>740</v>
      </c>
      <c r="S661" t="s">
        <v>51</v>
      </c>
    </row>
    <row r="662" spans="1:19" x14ac:dyDescent="0.25">
      <c r="A662">
        <v>1024</v>
      </c>
      <c r="B662" t="s">
        <v>627</v>
      </c>
      <c r="C662" t="s">
        <v>628</v>
      </c>
      <c r="D662" t="s">
        <v>630</v>
      </c>
      <c r="E662" s="50">
        <v>1200</v>
      </c>
      <c r="F662" s="38">
        <v>1</v>
      </c>
      <c r="G662" s="39">
        <v>0.2</v>
      </c>
      <c r="H662" s="58">
        <f>PlanGrid[[#This Row],[Spec Wattage]]*PlanGrid[[#This Row],[Equipment Count]]</f>
        <v>1200</v>
      </c>
      <c r="I662" s="50">
        <f>((PlanGrid[[#This Row],[Demand Watt]]*PlanGrid[[#This Row],[Utilization %]]*'Schedule-Building Info'!$N$16)/1000)</f>
        <v>1314</v>
      </c>
      <c r="J662" s="57">
        <f>PlanGrid[[#This Row],[kWh/yr]]*' Elec Utility (kWh)'!$M$7</f>
        <v>140.08992893872659</v>
      </c>
      <c r="K662" s="38">
        <f>PlanGrid[[#This Row],[kWh/yr]]/'Schedule-Building Info'!$B$6</f>
        <v>2.1608643457382955E-2</v>
      </c>
      <c r="L662" s="50">
        <f>CONVERT(PlanGrid[[#This Row],[kWh/yr]],"Wh","BTU")</f>
        <v>4483.5541059301149</v>
      </c>
      <c r="M662" s="38">
        <f>PlanGrid[[#This Row],[kBtu/yr]]/'Schedule-Building Info'!$B$6</f>
        <v>7.3731751976354079E-2</v>
      </c>
      <c r="N662" t="s">
        <v>1089</v>
      </c>
      <c r="O662">
        <v>0</v>
      </c>
      <c r="P662" t="s">
        <v>87</v>
      </c>
      <c r="Q662" t="s">
        <v>702</v>
      </c>
      <c r="R662" t="s">
        <v>702</v>
      </c>
      <c r="S662" t="s">
        <v>51</v>
      </c>
    </row>
    <row r="663" spans="1:19" x14ac:dyDescent="0.25">
      <c r="A663">
        <v>1085</v>
      </c>
      <c r="B663" t="s">
        <v>627</v>
      </c>
      <c r="C663" t="s">
        <v>628</v>
      </c>
      <c r="E663" s="50">
        <v>1350</v>
      </c>
      <c r="F663" s="38">
        <v>1</v>
      </c>
      <c r="G663" s="39">
        <v>0.2</v>
      </c>
      <c r="H663" s="58">
        <f>PlanGrid[[#This Row],[Spec Wattage]]*PlanGrid[[#This Row],[Equipment Count]]</f>
        <v>1350</v>
      </c>
      <c r="I663" s="50">
        <f>((PlanGrid[[#This Row],[Demand Watt]]*PlanGrid[[#This Row],[Utilization %]]*'Schedule-Building Info'!$N$16)/1000)</f>
        <v>1478.25</v>
      </c>
      <c r="J663" s="57">
        <f>PlanGrid[[#This Row],[kWh/yr]]*' Elec Utility (kWh)'!$M$7</f>
        <v>157.60117005606742</v>
      </c>
      <c r="K663" s="38">
        <f>PlanGrid[[#This Row],[kWh/yr]]/'Schedule-Building Info'!$B$6</f>
        <v>2.4309723889555823E-2</v>
      </c>
      <c r="L663" s="50">
        <f>CONVERT(PlanGrid[[#This Row],[kWh/yr]],"Wh","BTU")</f>
        <v>5043.9983691713796</v>
      </c>
      <c r="M663" s="38">
        <f>PlanGrid[[#This Row],[kBtu/yr]]/'Schedule-Building Info'!$B$6</f>
        <v>8.2948220973398337E-2</v>
      </c>
      <c r="N663" t="s">
        <v>1089</v>
      </c>
      <c r="O663">
        <v>0</v>
      </c>
      <c r="P663" t="s">
        <v>87</v>
      </c>
      <c r="Q663" t="s">
        <v>708</v>
      </c>
      <c r="R663" t="s">
        <v>708</v>
      </c>
      <c r="S663" t="s">
        <v>11</v>
      </c>
    </row>
    <row r="664" spans="1:19" x14ac:dyDescent="0.25">
      <c r="A664">
        <v>1087</v>
      </c>
      <c r="B664" t="s">
        <v>627</v>
      </c>
      <c r="C664" t="s">
        <v>628</v>
      </c>
      <c r="D664" t="s">
        <v>629</v>
      </c>
      <c r="E664" s="50">
        <v>1500</v>
      </c>
      <c r="F664" s="38">
        <v>1</v>
      </c>
      <c r="G664" s="39">
        <v>0.2</v>
      </c>
      <c r="H664" s="58">
        <f>PlanGrid[[#This Row],[Spec Wattage]]*PlanGrid[[#This Row],[Equipment Count]]</f>
        <v>1500</v>
      </c>
      <c r="I664" s="50">
        <f>((PlanGrid[[#This Row],[Demand Watt]]*PlanGrid[[#This Row],[Utilization %]]*'Schedule-Building Info'!$N$16)/1000)</f>
        <v>1642.5</v>
      </c>
      <c r="J664" s="57">
        <f>PlanGrid[[#This Row],[kWh/yr]]*' Elec Utility (kWh)'!$M$7</f>
        <v>175.11241117340822</v>
      </c>
      <c r="K664" s="38">
        <f>PlanGrid[[#This Row],[kWh/yr]]/'Schedule-Building Info'!$B$6</f>
        <v>2.7010804321728692E-2</v>
      </c>
      <c r="L664" s="50">
        <f>CONVERT(PlanGrid[[#This Row],[kWh/yr]],"Wh","BTU")</f>
        <v>5604.4426324126443</v>
      </c>
      <c r="M664" s="38">
        <f>PlanGrid[[#This Row],[kBtu/yr]]/'Schedule-Building Info'!$B$6</f>
        <v>9.2164689970442609E-2</v>
      </c>
      <c r="N664" t="s">
        <v>1089</v>
      </c>
      <c r="O664">
        <v>0</v>
      </c>
      <c r="P664" t="s">
        <v>87</v>
      </c>
      <c r="Q664" t="s">
        <v>708</v>
      </c>
      <c r="R664" t="s">
        <v>800</v>
      </c>
      <c r="S664" t="s">
        <v>51</v>
      </c>
    </row>
    <row r="665" spans="1:19" x14ac:dyDescent="0.25">
      <c r="A665">
        <v>682</v>
      </c>
      <c r="B665" t="s">
        <v>627</v>
      </c>
      <c r="C665" t="s">
        <v>628</v>
      </c>
      <c r="D665" t="s">
        <v>629</v>
      </c>
      <c r="E665" s="50">
        <v>1500</v>
      </c>
      <c r="F665" s="38">
        <v>1</v>
      </c>
      <c r="G665" s="39">
        <v>0.2</v>
      </c>
      <c r="H665" s="58">
        <f>PlanGrid[[#This Row],[Spec Wattage]]*PlanGrid[[#This Row],[Equipment Count]]</f>
        <v>1500</v>
      </c>
      <c r="I665" s="50">
        <f>((PlanGrid[[#This Row],[Demand Watt]]*PlanGrid[[#This Row],[Utilization %]]*'Schedule-Building Info'!$N$16)/1000)</f>
        <v>1642.5</v>
      </c>
      <c r="J665" s="57">
        <f>PlanGrid[[#This Row],[kWh/yr]]*' Elec Utility (kWh)'!$M$7</f>
        <v>175.11241117340822</v>
      </c>
      <c r="K665" s="38">
        <f>PlanGrid[[#This Row],[kWh/yr]]/'Schedule-Building Info'!$B$6</f>
        <v>2.7010804321728692E-2</v>
      </c>
      <c r="L665" s="50">
        <f>CONVERT(PlanGrid[[#This Row],[kWh/yr]],"Wh","BTU")</f>
        <v>5604.4426324126443</v>
      </c>
      <c r="M665" s="38">
        <f>PlanGrid[[#This Row],[kBtu/yr]]/'Schedule-Building Info'!$B$6</f>
        <v>9.2164689970442609E-2</v>
      </c>
      <c r="N665" t="s">
        <v>1090</v>
      </c>
      <c r="O665">
        <v>0</v>
      </c>
      <c r="P665" t="s">
        <v>87</v>
      </c>
      <c r="Q665" t="s">
        <v>808</v>
      </c>
      <c r="R665" t="s">
        <v>808</v>
      </c>
      <c r="S665" t="s">
        <v>51</v>
      </c>
    </row>
    <row r="666" spans="1:19" x14ac:dyDescent="0.25">
      <c r="A666">
        <v>849</v>
      </c>
      <c r="B666" t="s">
        <v>627</v>
      </c>
      <c r="C666" t="s">
        <v>628</v>
      </c>
      <c r="E666" s="50">
        <v>1350</v>
      </c>
      <c r="F666" s="38">
        <v>1</v>
      </c>
      <c r="G666" s="39">
        <v>0.2</v>
      </c>
      <c r="H666" s="58">
        <f>PlanGrid[[#This Row],[Spec Wattage]]*PlanGrid[[#This Row],[Equipment Count]]</f>
        <v>1350</v>
      </c>
      <c r="I666" s="50">
        <f>((PlanGrid[[#This Row],[Demand Watt]]*PlanGrid[[#This Row],[Utilization %]]*'Schedule-Building Info'!$N$16)/1000)</f>
        <v>1478.25</v>
      </c>
      <c r="J666" s="57">
        <f>PlanGrid[[#This Row],[kWh/yr]]*' Elec Utility (kWh)'!$M$7</f>
        <v>157.60117005606742</v>
      </c>
      <c r="K666" s="38">
        <f>PlanGrid[[#This Row],[kWh/yr]]/'Schedule-Building Info'!$B$6</f>
        <v>2.4309723889555823E-2</v>
      </c>
      <c r="L666" s="50">
        <f>CONVERT(PlanGrid[[#This Row],[kWh/yr]],"Wh","BTU")</f>
        <v>5043.9983691713796</v>
      </c>
      <c r="M666" s="38">
        <f>PlanGrid[[#This Row],[kBtu/yr]]/'Schedule-Building Info'!$B$6</f>
        <v>8.2948220973398337E-2</v>
      </c>
      <c r="N666" t="s">
        <v>1090</v>
      </c>
      <c r="O666">
        <v>1</v>
      </c>
      <c r="P666" t="s">
        <v>87</v>
      </c>
      <c r="Q666" t="s">
        <v>915</v>
      </c>
      <c r="R666" t="s">
        <v>836</v>
      </c>
      <c r="S666" t="s">
        <v>11</v>
      </c>
    </row>
    <row r="667" spans="1:19" x14ac:dyDescent="0.25">
      <c r="A667">
        <v>58</v>
      </c>
      <c r="B667" t="s">
        <v>627</v>
      </c>
      <c r="C667" t="s">
        <v>628</v>
      </c>
      <c r="D667" t="s">
        <v>629</v>
      </c>
      <c r="E667" s="50">
        <v>1500</v>
      </c>
      <c r="F667" s="38">
        <v>1</v>
      </c>
      <c r="G667" s="39">
        <v>0.2</v>
      </c>
      <c r="H667" s="58">
        <f>PlanGrid[[#This Row],[Spec Wattage]]*PlanGrid[[#This Row],[Equipment Count]]</f>
        <v>1500</v>
      </c>
      <c r="I667" s="50">
        <f>((PlanGrid[[#This Row],[Demand Watt]]*PlanGrid[[#This Row],[Utilization %]]*'Schedule-Building Info'!$N$16)/1000)</f>
        <v>1642.5</v>
      </c>
      <c r="J667" s="57">
        <f>PlanGrid[[#This Row],[kWh/yr]]*' Elec Utility (kWh)'!$M$7</f>
        <v>175.11241117340822</v>
      </c>
      <c r="K667" s="38">
        <f>PlanGrid[[#This Row],[kWh/yr]]/'Schedule-Building Info'!$B$6</f>
        <v>2.7010804321728692E-2</v>
      </c>
      <c r="L667" s="50">
        <f>CONVERT(PlanGrid[[#This Row],[kWh/yr]],"Wh","BTU")</f>
        <v>5604.4426324126443</v>
      </c>
      <c r="M667" s="38">
        <f>PlanGrid[[#This Row],[kBtu/yr]]/'Schedule-Building Info'!$B$6</f>
        <v>9.2164689970442609E-2</v>
      </c>
      <c r="N667" t="s">
        <v>1092</v>
      </c>
      <c r="O667">
        <v>0</v>
      </c>
      <c r="P667" t="s">
        <v>87</v>
      </c>
      <c r="Q667" t="s">
        <v>1009</v>
      </c>
      <c r="R667" t="s">
        <v>842</v>
      </c>
      <c r="S667" t="s">
        <v>51</v>
      </c>
    </row>
    <row r="668" spans="1:19" x14ac:dyDescent="0.25">
      <c r="A668">
        <v>277</v>
      </c>
      <c r="B668" t="s">
        <v>627</v>
      </c>
      <c r="C668" t="s">
        <v>628</v>
      </c>
      <c r="D668" t="s">
        <v>629</v>
      </c>
      <c r="E668" s="50">
        <v>1500</v>
      </c>
      <c r="F668" s="38">
        <v>1</v>
      </c>
      <c r="G668" s="39">
        <v>0.2</v>
      </c>
      <c r="H668" s="58">
        <f>PlanGrid[[#This Row],[Spec Wattage]]*PlanGrid[[#This Row],[Equipment Count]]</f>
        <v>1500</v>
      </c>
      <c r="I668" s="50">
        <f>((PlanGrid[[#This Row],[Demand Watt]]*PlanGrid[[#This Row],[Utilization %]]*'Schedule-Building Info'!$N$16)/1000)</f>
        <v>1642.5</v>
      </c>
      <c r="J668" s="57">
        <f>PlanGrid[[#This Row],[kWh/yr]]*' Elec Utility (kWh)'!$M$7</f>
        <v>175.11241117340822</v>
      </c>
      <c r="K668" s="38">
        <f>PlanGrid[[#This Row],[kWh/yr]]/'Schedule-Building Info'!$B$6</f>
        <v>2.7010804321728692E-2</v>
      </c>
      <c r="L668" s="50">
        <f>CONVERT(PlanGrid[[#This Row],[kWh/yr]],"Wh","BTU")</f>
        <v>5604.4426324126443</v>
      </c>
      <c r="M668" s="38">
        <f>PlanGrid[[#This Row],[kBtu/yr]]/'Schedule-Building Info'!$B$6</f>
        <v>9.2164689970442609E-2</v>
      </c>
      <c r="N668" t="s">
        <v>1092</v>
      </c>
      <c r="O668">
        <v>0</v>
      </c>
      <c r="P668" t="s">
        <v>87</v>
      </c>
      <c r="Q668" t="s">
        <v>1010</v>
      </c>
      <c r="R668" t="s">
        <v>1010</v>
      </c>
      <c r="S668" t="s">
        <v>51</v>
      </c>
    </row>
    <row r="669" spans="1:19" x14ac:dyDescent="0.25">
      <c r="A669">
        <v>510</v>
      </c>
      <c r="B669" t="s">
        <v>627</v>
      </c>
      <c r="C669" t="s">
        <v>628</v>
      </c>
      <c r="D669" t="s">
        <v>631</v>
      </c>
      <c r="E669" s="50">
        <v>200</v>
      </c>
      <c r="F669" s="38">
        <v>1</v>
      </c>
      <c r="G669" s="39">
        <v>0.2</v>
      </c>
      <c r="H669" s="58">
        <f>PlanGrid[[#This Row],[Spec Wattage]]*PlanGrid[[#This Row],[Equipment Count]]</f>
        <v>200</v>
      </c>
      <c r="I669" s="50">
        <f>((PlanGrid[[#This Row],[Demand Watt]]*PlanGrid[[#This Row],[Utilization %]]*'Schedule-Building Info'!$N$16)/1000)</f>
        <v>219</v>
      </c>
      <c r="J669" s="57">
        <f>PlanGrid[[#This Row],[kWh/yr]]*' Elec Utility (kWh)'!$M$7</f>
        <v>23.348321489787764</v>
      </c>
      <c r="K669" s="38">
        <f>PlanGrid[[#This Row],[kWh/yr]]/'Schedule-Building Info'!$B$6</f>
        <v>3.6014405762304922E-3</v>
      </c>
      <c r="L669" s="50">
        <f>CONVERT(PlanGrid[[#This Row],[kWh/yr]],"Wh","BTU")</f>
        <v>747.25901765501919</v>
      </c>
      <c r="M669" s="38">
        <f>PlanGrid[[#This Row],[kBtu/yr]]/'Schedule-Building Info'!$B$6</f>
        <v>1.2288625329392346E-2</v>
      </c>
      <c r="N669" t="s">
        <v>1092</v>
      </c>
      <c r="O669">
        <v>0</v>
      </c>
      <c r="P669" t="s">
        <v>87</v>
      </c>
      <c r="Q669" t="s">
        <v>767</v>
      </c>
      <c r="R669" t="s">
        <v>906</v>
      </c>
      <c r="S669" t="s">
        <v>51</v>
      </c>
    </row>
    <row r="670" spans="1:19" x14ac:dyDescent="0.25">
      <c r="A670">
        <v>687</v>
      </c>
      <c r="B670" t="s">
        <v>632</v>
      </c>
      <c r="C670" t="s">
        <v>18</v>
      </c>
      <c r="E670" s="50">
        <f>VLOOKUP(PlanGrid[[#This Row],[Title]],'Spec Wattages'!$A$1:$C$973,2,FALSE)</f>
        <v>5</v>
      </c>
      <c r="F670" s="38">
        <v>1</v>
      </c>
      <c r="G670" s="39">
        <v>1</v>
      </c>
      <c r="H670" s="58">
        <f>PlanGrid[[#This Row],[Spec Wattage]]*PlanGrid[[#This Row],[Equipment Count]]</f>
        <v>5</v>
      </c>
      <c r="I670" s="50">
        <f>((PlanGrid[[#This Row],[Demand Watt]]*PlanGrid[[#This Row],[Utilization %]]*'Schedule-Building Info'!$N$16)/1000)</f>
        <v>27.375</v>
      </c>
      <c r="J670" s="57">
        <f>PlanGrid[[#This Row],[kWh/yr]]*' Elec Utility (kWh)'!$M$7</f>
        <v>2.9185401862234706</v>
      </c>
      <c r="K670" s="38">
        <f>PlanGrid[[#This Row],[kWh/yr]]/'Schedule-Building Info'!$B$6</f>
        <v>4.5018007202881152E-4</v>
      </c>
      <c r="L670" s="50">
        <f>CONVERT(PlanGrid[[#This Row],[kWh/yr]],"Wh","BTU")</f>
        <v>93.407377206877399</v>
      </c>
      <c r="M670" s="38">
        <f>PlanGrid[[#This Row],[kBtu/yr]]/'Schedule-Building Info'!$B$6</f>
        <v>1.5360781661740432E-3</v>
      </c>
      <c r="N670" t="s">
        <v>1090</v>
      </c>
      <c r="O670">
        <v>0</v>
      </c>
      <c r="P670" t="str">
        <f>VLOOKUP(PlanGrid[[#This Row],[Title]],'Spec Wattages'!$A$1:$C$973,3,FALSE)</f>
        <v>Plug Load</v>
      </c>
      <c r="Q670" t="s">
        <v>719</v>
      </c>
      <c r="R670" t="s">
        <v>719</v>
      </c>
      <c r="S670" t="s">
        <v>11</v>
      </c>
    </row>
    <row r="671" spans="1:19" x14ac:dyDescent="0.25">
      <c r="A671">
        <v>764</v>
      </c>
      <c r="B671" t="s">
        <v>632</v>
      </c>
      <c r="C671" t="s">
        <v>18</v>
      </c>
      <c r="E671" s="50">
        <f>VLOOKUP(PlanGrid[[#This Row],[Title]],'Spec Wattages'!$A$1:$C$973,2,FALSE)</f>
        <v>5</v>
      </c>
      <c r="F671" s="38">
        <v>1</v>
      </c>
      <c r="G671" s="39">
        <v>1</v>
      </c>
      <c r="H671" s="58">
        <f>PlanGrid[[#This Row],[Spec Wattage]]*PlanGrid[[#This Row],[Equipment Count]]</f>
        <v>5</v>
      </c>
      <c r="I671" s="50">
        <f>((PlanGrid[[#This Row],[Demand Watt]]*PlanGrid[[#This Row],[Utilization %]]*'Schedule-Building Info'!$N$16)/1000)</f>
        <v>27.375</v>
      </c>
      <c r="J671" s="57">
        <f>PlanGrid[[#This Row],[kWh/yr]]*' Elec Utility (kWh)'!$M$7</f>
        <v>2.9185401862234706</v>
      </c>
      <c r="K671" s="38">
        <f>PlanGrid[[#This Row],[kWh/yr]]/'Schedule-Building Info'!$B$6</f>
        <v>4.5018007202881152E-4</v>
      </c>
      <c r="L671" s="50">
        <f>CONVERT(PlanGrid[[#This Row],[kWh/yr]],"Wh","BTU")</f>
        <v>93.407377206877399</v>
      </c>
      <c r="M671" s="38">
        <f>PlanGrid[[#This Row],[kBtu/yr]]/'Schedule-Building Info'!$B$6</f>
        <v>1.5360781661740432E-3</v>
      </c>
      <c r="N671" t="s">
        <v>1090</v>
      </c>
      <c r="O671">
        <v>0</v>
      </c>
      <c r="P671" t="str">
        <f>VLOOKUP(PlanGrid[[#This Row],[Title]],'Spec Wattages'!$A$1:$C$973,3,FALSE)</f>
        <v>Plug Load</v>
      </c>
      <c r="Q671" t="s">
        <v>824</v>
      </c>
      <c r="R671" t="s">
        <v>824</v>
      </c>
      <c r="S671" t="s">
        <v>11</v>
      </c>
    </row>
    <row r="672" spans="1:19" x14ac:dyDescent="0.25">
      <c r="A672">
        <v>779</v>
      </c>
      <c r="B672" t="s">
        <v>632</v>
      </c>
      <c r="C672" t="s">
        <v>18</v>
      </c>
      <c r="E672" s="50">
        <f>VLOOKUP(PlanGrid[[#This Row],[Title]],'Spec Wattages'!$A$1:$C$973,2,FALSE)</f>
        <v>5</v>
      </c>
      <c r="F672" s="38">
        <v>1</v>
      </c>
      <c r="G672" s="39">
        <v>1</v>
      </c>
      <c r="H672" s="58">
        <f>PlanGrid[[#This Row],[Spec Wattage]]*PlanGrid[[#This Row],[Equipment Count]]</f>
        <v>5</v>
      </c>
      <c r="I672" s="50">
        <f>((PlanGrid[[#This Row],[Demand Watt]]*PlanGrid[[#This Row],[Utilization %]]*'Schedule-Building Info'!$N$16)/1000)</f>
        <v>27.375</v>
      </c>
      <c r="J672" s="57">
        <f>PlanGrid[[#This Row],[kWh/yr]]*' Elec Utility (kWh)'!$M$7</f>
        <v>2.9185401862234706</v>
      </c>
      <c r="K672" s="38">
        <f>PlanGrid[[#This Row],[kWh/yr]]/'Schedule-Building Info'!$B$6</f>
        <v>4.5018007202881152E-4</v>
      </c>
      <c r="L672" s="50">
        <f>CONVERT(PlanGrid[[#This Row],[kWh/yr]],"Wh","BTU")</f>
        <v>93.407377206877399</v>
      </c>
      <c r="M672" s="38">
        <f>PlanGrid[[#This Row],[kBtu/yr]]/'Schedule-Building Info'!$B$6</f>
        <v>1.5360781661740432E-3</v>
      </c>
      <c r="N672" t="s">
        <v>1090</v>
      </c>
      <c r="O672">
        <v>0</v>
      </c>
      <c r="P672" t="str">
        <f>VLOOKUP(PlanGrid[[#This Row],[Title]],'Spec Wattages'!$A$1:$C$973,3,FALSE)</f>
        <v>Plug Load</v>
      </c>
      <c r="Q672" t="s">
        <v>825</v>
      </c>
      <c r="R672" t="s">
        <v>825</v>
      </c>
      <c r="S672" t="s">
        <v>11</v>
      </c>
    </row>
    <row r="673" spans="1:19" hidden="1" x14ac:dyDescent="0.25">
      <c r="A673">
        <v>914</v>
      </c>
      <c r="B673" t="s">
        <v>13</v>
      </c>
      <c r="C673" t="s">
        <v>10</v>
      </c>
      <c r="D673" t="s">
        <v>603</v>
      </c>
      <c r="E673" s="50"/>
      <c r="F673" s="38"/>
      <c r="G673" s="38"/>
      <c r="H673" s="58">
        <f>PlanGrid[[#This Row],[Spec Wattage]]*PlanGrid[[#This Row],[Equipment Count]]</f>
        <v>0</v>
      </c>
      <c r="I673" s="50">
        <f>((PlanGrid[[#This Row],[Demand Watt]]*PlanGrid[[#This Row],[Utilization %]]*'Schedule-Building Info'!$N$16)/1000)</f>
        <v>0</v>
      </c>
      <c r="J673" s="50">
        <f>PlanGrid[[#This Row],[kWh/yr]]*' Elec Utility (kWh)'!$M$7</f>
        <v>0</v>
      </c>
      <c r="K673" s="38">
        <f>PlanGrid[[#This Row],[kWh/yr]]/'Schedule-Building Info'!$B$6</f>
        <v>0</v>
      </c>
      <c r="L673" s="50">
        <f>CONVERT(PlanGrid[[#This Row],[kWh/yr]],"Wh","BTU")</f>
        <v>0</v>
      </c>
      <c r="M673" s="38">
        <f>PlanGrid[[#This Row],[kBtu/yr]]/'Schedule-Building Info'!$B$6</f>
        <v>0</v>
      </c>
      <c r="N673" t="s">
        <v>1089</v>
      </c>
      <c r="O673">
        <v>1</v>
      </c>
      <c r="P673" t="e">
        <f>VLOOKUP(PlanGrid[[#This Row],[Title]],'Spec Wattages'!$A$1:$C$973,3,FALSE)</f>
        <v>#N/A</v>
      </c>
      <c r="Q673" t="s">
        <v>979</v>
      </c>
      <c r="R673" t="s">
        <v>979</v>
      </c>
      <c r="S673" t="s">
        <v>51</v>
      </c>
    </row>
    <row r="674" spans="1:19" hidden="1" x14ac:dyDescent="0.25">
      <c r="A674">
        <v>939</v>
      </c>
      <c r="B674" t="s">
        <v>13</v>
      </c>
      <c r="C674" t="s">
        <v>10</v>
      </c>
      <c r="E674" s="50"/>
      <c r="F674" s="38"/>
      <c r="G674" s="38"/>
      <c r="H674" s="58">
        <f>PlanGrid[[#This Row],[Spec Wattage]]*PlanGrid[[#This Row],[Equipment Count]]</f>
        <v>0</v>
      </c>
      <c r="I674" s="50">
        <f>((PlanGrid[[#This Row],[Demand Watt]]*PlanGrid[[#This Row],[Utilization %]]*'Schedule-Building Info'!$N$16)/1000)</f>
        <v>0</v>
      </c>
      <c r="J674" s="50">
        <f>PlanGrid[[#This Row],[kWh/yr]]*' Elec Utility (kWh)'!$M$7</f>
        <v>0</v>
      </c>
      <c r="K674" s="38">
        <f>PlanGrid[[#This Row],[kWh/yr]]/'Schedule-Building Info'!$B$6</f>
        <v>0</v>
      </c>
      <c r="L674" s="50">
        <f>CONVERT(PlanGrid[[#This Row],[kWh/yr]],"Wh","BTU")</f>
        <v>0</v>
      </c>
      <c r="M674" s="38">
        <f>PlanGrid[[#This Row],[kBtu/yr]]/'Schedule-Building Info'!$B$6</f>
        <v>0</v>
      </c>
      <c r="N674" t="s">
        <v>1089</v>
      </c>
      <c r="O674">
        <v>2</v>
      </c>
      <c r="P674" t="e">
        <f>VLOOKUP(PlanGrid[[#This Row],[Title]],'Spec Wattages'!$A$1:$C$973,3,FALSE)</f>
        <v>#N/A</v>
      </c>
      <c r="Q674" t="s">
        <v>724</v>
      </c>
      <c r="R674" t="s">
        <v>796</v>
      </c>
      <c r="S674" t="s">
        <v>11</v>
      </c>
    </row>
    <row r="675" spans="1:19" x14ac:dyDescent="0.25">
      <c r="A675">
        <v>782</v>
      </c>
      <c r="B675" t="s">
        <v>632</v>
      </c>
      <c r="C675" t="s">
        <v>18</v>
      </c>
      <c r="E675" s="50">
        <f>VLOOKUP(PlanGrid[[#This Row],[Title]],'Spec Wattages'!$A$1:$C$973,2,FALSE)</f>
        <v>5</v>
      </c>
      <c r="F675" s="38">
        <v>1</v>
      </c>
      <c r="G675" s="39">
        <v>1</v>
      </c>
      <c r="H675" s="58">
        <f>PlanGrid[[#This Row],[Spec Wattage]]*PlanGrid[[#This Row],[Equipment Count]]</f>
        <v>5</v>
      </c>
      <c r="I675" s="50">
        <f>((PlanGrid[[#This Row],[Demand Watt]]*PlanGrid[[#This Row],[Utilization %]]*'Schedule-Building Info'!$N$16)/1000)</f>
        <v>27.375</v>
      </c>
      <c r="J675" s="57">
        <f>PlanGrid[[#This Row],[kWh/yr]]*' Elec Utility (kWh)'!$M$7</f>
        <v>2.9185401862234706</v>
      </c>
      <c r="K675" s="38">
        <f>PlanGrid[[#This Row],[kWh/yr]]/'Schedule-Building Info'!$B$6</f>
        <v>4.5018007202881152E-4</v>
      </c>
      <c r="L675" s="50">
        <f>CONVERT(PlanGrid[[#This Row],[kWh/yr]],"Wh","BTU")</f>
        <v>93.407377206877399</v>
      </c>
      <c r="M675" s="38">
        <f>PlanGrid[[#This Row],[kBtu/yr]]/'Schedule-Building Info'!$B$6</f>
        <v>1.5360781661740432E-3</v>
      </c>
      <c r="N675" t="s">
        <v>1090</v>
      </c>
      <c r="O675">
        <v>0</v>
      </c>
      <c r="P675" t="str">
        <f>VLOOKUP(PlanGrid[[#This Row],[Title]],'Spec Wattages'!$A$1:$C$973,3,FALSE)</f>
        <v>Plug Load</v>
      </c>
      <c r="Q675" t="s">
        <v>874</v>
      </c>
      <c r="R675" t="s">
        <v>874</v>
      </c>
      <c r="S675" t="s">
        <v>11</v>
      </c>
    </row>
    <row r="676" spans="1:19" x14ac:dyDescent="0.25">
      <c r="A676">
        <v>847</v>
      </c>
      <c r="B676" t="s">
        <v>632</v>
      </c>
      <c r="C676" t="s">
        <v>18</v>
      </c>
      <c r="E676" s="50">
        <f>VLOOKUP(PlanGrid[[#This Row],[Title]],'Spec Wattages'!$A$1:$C$973,2,FALSE)</f>
        <v>5</v>
      </c>
      <c r="F676" s="38">
        <v>1</v>
      </c>
      <c r="G676" s="39">
        <v>1</v>
      </c>
      <c r="H676" s="58">
        <f>PlanGrid[[#This Row],[Spec Wattage]]*PlanGrid[[#This Row],[Equipment Count]]</f>
        <v>5</v>
      </c>
      <c r="I676" s="50">
        <f>((PlanGrid[[#This Row],[Demand Watt]]*PlanGrid[[#This Row],[Utilization %]]*'Schedule-Building Info'!$N$16)/1000)</f>
        <v>27.375</v>
      </c>
      <c r="J676" s="57">
        <f>PlanGrid[[#This Row],[kWh/yr]]*' Elec Utility (kWh)'!$M$7</f>
        <v>2.9185401862234706</v>
      </c>
      <c r="K676" s="38">
        <f>PlanGrid[[#This Row],[kWh/yr]]/'Schedule-Building Info'!$B$6</f>
        <v>4.5018007202881152E-4</v>
      </c>
      <c r="L676" s="50">
        <f>CONVERT(PlanGrid[[#This Row],[kWh/yr]],"Wh","BTU")</f>
        <v>93.407377206877399</v>
      </c>
      <c r="M676" s="38">
        <f>PlanGrid[[#This Row],[kBtu/yr]]/'Schedule-Building Info'!$B$6</f>
        <v>1.5360781661740432E-3</v>
      </c>
      <c r="N676" t="s">
        <v>1090</v>
      </c>
      <c r="O676">
        <v>0</v>
      </c>
      <c r="P676" t="str">
        <f>VLOOKUP(PlanGrid[[#This Row],[Title]],'Spec Wattages'!$A$1:$C$973,3,FALSE)</f>
        <v>Plug Load</v>
      </c>
      <c r="Q676" t="s">
        <v>915</v>
      </c>
      <c r="R676" t="s">
        <v>915</v>
      </c>
      <c r="S676" t="s">
        <v>11</v>
      </c>
    </row>
    <row r="677" spans="1:19" x14ac:dyDescent="0.25">
      <c r="A677">
        <v>861</v>
      </c>
      <c r="B677" t="s">
        <v>632</v>
      </c>
      <c r="C677" t="s">
        <v>18</v>
      </c>
      <c r="E677" s="50">
        <f>VLOOKUP(PlanGrid[[#This Row],[Title]],'Spec Wattages'!$A$1:$C$973,2,FALSE)</f>
        <v>5</v>
      </c>
      <c r="F677" s="38">
        <v>1</v>
      </c>
      <c r="G677" s="39">
        <v>1</v>
      </c>
      <c r="H677" s="58">
        <f>PlanGrid[[#This Row],[Spec Wattage]]*PlanGrid[[#This Row],[Equipment Count]]</f>
        <v>5</v>
      </c>
      <c r="I677" s="50">
        <f>((PlanGrid[[#This Row],[Demand Watt]]*PlanGrid[[#This Row],[Utilization %]]*'Schedule-Building Info'!$N$16)/1000)</f>
        <v>27.375</v>
      </c>
      <c r="J677" s="57">
        <f>PlanGrid[[#This Row],[kWh/yr]]*' Elec Utility (kWh)'!$M$7</f>
        <v>2.9185401862234706</v>
      </c>
      <c r="K677" s="38">
        <f>PlanGrid[[#This Row],[kWh/yr]]/'Schedule-Building Info'!$B$6</f>
        <v>4.5018007202881152E-4</v>
      </c>
      <c r="L677" s="50">
        <f>CONVERT(PlanGrid[[#This Row],[kWh/yr]],"Wh","BTU")</f>
        <v>93.407377206877399</v>
      </c>
      <c r="M677" s="38">
        <f>PlanGrid[[#This Row],[kBtu/yr]]/'Schedule-Building Info'!$B$6</f>
        <v>1.5360781661740432E-3</v>
      </c>
      <c r="N677" t="s">
        <v>1090</v>
      </c>
      <c r="O677">
        <v>0</v>
      </c>
      <c r="P677" t="str">
        <f>VLOOKUP(PlanGrid[[#This Row],[Title]],'Spec Wattages'!$A$1:$C$973,3,FALSE)</f>
        <v>Plug Load</v>
      </c>
      <c r="Q677" t="s">
        <v>781</v>
      </c>
      <c r="R677" t="s">
        <v>781</v>
      </c>
      <c r="S677" t="s">
        <v>11</v>
      </c>
    </row>
    <row r="678" spans="1:19" x14ac:dyDescent="0.25">
      <c r="A678">
        <v>23</v>
      </c>
      <c r="B678" t="s">
        <v>632</v>
      </c>
      <c r="C678" t="s">
        <v>18</v>
      </c>
      <c r="E678" s="50">
        <f>VLOOKUP(PlanGrid[[#This Row],[Title]],'Spec Wattages'!$A$1:$C$973,2,FALSE)</f>
        <v>5</v>
      </c>
      <c r="F678" s="38">
        <v>1</v>
      </c>
      <c r="G678" s="39">
        <v>1</v>
      </c>
      <c r="H678" s="58">
        <f>PlanGrid[[#This Row],[Spec Wattage]]*PlanGrid[[#This Row],[Equipment Count]]</f>
        <v>5</v>
      </c>
      <c r="I678" s="50">
        <f>((PlanGrid[[#This Row],[Demand Watt]]*PlanGrid[[#This Row],[Utilization %]]*'Schedule-Building Info'!$N$16)/1000)</f>
        <v>27.375</v>
      </c>
      <c r="J678" s="57">
        <f>PlanGrid[[#This Row],[kWh/yr]]*' Elec Utility (kWh)'!$M$7</f>
        <v>2.9185401862234706</v>
      </c>
      <c r="K678" s="38">
        <f>PlanGrid[[#This Row],[kWh/yr]]/'Schedule-Building Info'!$B$6</f>
        <v>4.5018007202881152E-4</v>
      </c>
      <c r="L678" s="50">
        <f>CONVERT(PlanGrid[[#This Row],[kWh/yr]],"Wh","BTU")</f>
        <v>93.407377206877399</v>
      </c>
      <c r="M678" s="38">
        <f>PlanGrid[[#This Row],[kBtu/yr]]/'Schedule-Building Info'!$B$6</f>
        <v>1.5360781661740432E-3</v>
      </c>
      <c r="N678" t="s">
        <v>1092</v>
      </c>
      <c r="O678">
        <v>0</v>
      </c>
      <c r="P678" t="str">
        <f>VLOOKUP(PlanGrid[[#This Row],[Title]],'Spec Wattages'!$A$1:$C$973,3,FALSE)</f>
        <v>Plug Load</v>
      </c>
      <c r="Q678" t="s">
        <v>846</v>
      </c>
      <c r="R678" t="s">
        <v>931</v>
      </c>
      <c r="S678" t="s">
        <v>11</v>
      </c>
    </row>
    <row r="679" spans="1:19" hidden="1" x14ac:dyDescent="0.25">
      <c r="A679">
        <v>1101</v>
      </c>
      <c r="B679" t="s">
        <v>13</v>
      </c>
      <c r="C679" t="s">
        <v>10</v>
      </c>
      <c r="D679" t="s">
        <v>607</v>
      </c>
      <c r="E679" s="50"/>
      <c r="F679" s="38"/>
      <c r="G679" s="38"/>
      <c r="H679" s="58">
        <f>PlanGrid[[#This Row],[Spec Wattage]]*PlanGrid[[#This Row],[Equipment Count]]</f>
        <v>0</v>
      </c>
      <c r="I679" s="50">
        <f>((PlanGrid[[#This Row],[Demand Watt]]*PlanGrid[[#This Row],[Utilization %]]*'Schedule-Building Info'!$N$16)/1000)</f>
        <v>0</v>
      </c>
      <c r="J679" s="50">
        <f>PlanGrid[[#This Row],[kWh/yr]]*' Elec Utility (kWh)'!$M$7</f>
        <v>0</v>
      </c>
      <c r="K679" s="38">
        <f>PlanGrid[[#This Row],[kWh/yr]]/'Schedule-Building Info'!$B$6</f>
        <v>0</v>
      </c>
      <c r="L679" s="50">
        <f>CONVERT(PlanGrid[[#This Row],[kWh/yr]],"Wh","BTU")</f>
        <v>0</v>
      </c>
      <c r="M679" s="38">
        <f>PlanGrid[[#This Row],[kBtu/yr]]/'Schedule-Building Info'!$B$6</f>
        <v>0</v>
      </c>
      <c r="N679" t="s">
        <v>1089</v>
      </c>
      <c r="O679">
        <v>2</v>
      </c>
      <c r="P679" t="e">
        <f>VLOOKUP(PlanGrid[[#This Row],[Title]],'Spec Wattages'!$A$1:$C$973,3,FALSE)</f>
        <v>#N/A</v>
      </c>
      <c r="Q679" t="s">
        <v>803</v>
      </c>
      <c r="R679" t="s">
        <v>993</v>
      </c>
      <c r="S679" t="s">
        <v>11</v>
      </c>
    </row>
    <row r="680" spans="1:19" hidden="1" x14ac:dyDescent="0.25">
      <c r="A680">
        <v>1103</v>
      </c>
      <c r="B680" t="s">
        <v>13</v>
      </c>
      <c r="C680" t="s">
        <v>10</v>
      </c>
      <c r="D680" t="s">
        <v>608</v>
      </c>
      <c r="E680" s="50"/>
      <c r="F680" s="38"/>
      <c r="G680" s="38"/>
      <c r="H680" s="58">
        <f>PlanGrid[[#This Row],[Spec Wattage]]*PlanGrid[[#This Row],[Equipment Count]]</f>
        <v>0</v>
      </c>
      <c r="I680" s="50">
        <f>((PlanGrid[[#This Row],[Demand Watt]]*PlanGrid[[#This Row],[Utilization %]]*'Schedule-Building Info'!$N$16)/1000)</f>
        <v>0</v>
      </c>
      <c r="J680" s="50">
        <f>PlanGrid[[#This Row],[kWh/yr]]*' Elec Utility (kWh)'!$M$7</f>
        <v>0</v>
      </c>
      <c r="K680" s="38">
        <f>PlanGrid[[#This Row],[kWh/yr]]/'Schedule-Building Info'!$B$6</f>
        <v>0</v>
      </c>
      <c r="L680" s="50">
        <f>CONVERT(PlanGrid[[#This Row],[kWh/yr]],"Wh","BTU")</f>
        <v>0</v>
      </c>
      <c r="M680" s="38">
        <f>PlanGrid[[#This Row],[kBtu/yr]]/'Schedule-Building Info'!$B$6</f>
        <v>0</v>
      </c>
      <c r="N680" t="s">
        <v>1089</v>
      </c>
      <c r="O680">
        <v>2</v>
      </c>
      <c r="P680" t="e">
        <f>VLOOKUP(PlanGrid[[#This Row],[Title]],'Spec Wattages'!$A$1:$C$973,3,FALSE)</f>
        <v>#N/A</v>
      </c>
      <c r="Q680" t="s">
        <v>993</v>
      </c>
      <c r="R680" t="s">
        <v>1022</v>
      </c>
      <c r="S680" t="s">
        <v>11</v>
      </c>
    </row>
    <row r="681" spans="1:19" hidden="1" x14ac:dyDescent="0.25">
      <c r="A681">
        <v>1104</v>
      </c>
      <c r="B681" t="s">
        <v>13</v>
      </c>
      <c r="C681" t="s">
        <v>10</v>
      </c>
      <c r="D681" t="s">
        <v>609</v>
      </c>
      <c r="E681" s="50"/>
      <c r="F681" s="38"/>
      <c r="G681" s="38"/>
      <c r="H681" s="58">
        <f>PlanGrid[[#This Row],[Spec Wattage]]*PlanGrid[[#This Row],[Equipment Count]]</f>
        <v>0</v>
      </c>
      <c r="I681" s="50">
        <f>((PlanGrid[[#This Row],[Demand Watt]]*PlanGrid[[#This Row],[Utilization %]]*'Schedule-Building Info'!$N$16)/1000)</f>
        <v>0</v>
      </c>
      <c r="J681" s="50">
        <f>PlanGrid[[#This Row],[kWh/yr]]*' Elec Utility (kWh)'!$M$7</f>
        <v>0</v>
      </c>
      <c r="K681" s="38">
        <f>PlanGrid[[#This Row],[kWh/yr]]/'Schedule-Building Info'!$B$6</f>
        <v>0</v>
      </c>
      <c r="L681" s="50">
        <f>CONVERT(PlanGrid[[#This Row],[kWh/yr]],"Wh","BTU")</f>
        <v>0</v>
      </c>
      <c r="M681" s="38">
        <f>PlanGrid[[#This Row],[kBtu/yr]]/'Schedule-Building Info'!$B$6</f>
        <v>0</v>
      </c>
      <c r="N681" t="s">
        <v>1089</v>
      </c>
      <c r="O681">
        <v>1</v>
      </c>
      <c r="P681" t="e">
        <f>VLOOKUP(PlanGrid[[#This Row],[Title]],'Spec Wattages'!$A$1:$C$973,3,FALSE)</f>
        <v>#N/A</v>
      </c>
      <c r="Q681" t="s">
        <v>994</v>
      </c>
      <c r="R681" t="s">
        <v>1076</v>
      </c>
      <c r="S681" t="s">
        <v>11</v>
      </c>
    </row>
    <row r="682" spans="1:19" hidden="1" x14ac:dyDescent="0.25">
      <c r="A682">
        <v>1105</v>
      </c>
      <c r="B682" t="s">
        <v>13</v>
      </c>
      <c r="C682" t="s">
        <v>10</v>
      </c>
      <c r="D682" t="s">
        <v>610</v>
      </c>
      <c r="E682" s="50"/>
      <c r="F682" s="38"/>
      <c r="G682" s="38"/>
      <c r="H682" s="58">
        <f>PlanGrid[[#This Row],[Spec Wattage]]*PlanGrid[[#This Row],[Equipment Count]]</f>
        <v>0</v>
      </c>
      <c r="I682" s="50">
        <f>((PlanGrid[[#This Row],[Demand Watt]]*PlanGrid[[#This Row],[Utilization %]]*'Schedule-Building Info'!$N$16)/1000)</f>
        <v>0</v>
      </c>
      <c r="J682" s="50">
        <f>PlanGrid[[#This Row],[kWh/yr]]*' Elec Utility (kWh)'!$M$7</f>
        <v>0</v>
      </c>
      <c r="K682" s="38">
        <f>PlanGrid[[#This Row],[kWh/yr]]/'Schedule-Building Info'!$B$6</f>
        <v>0</v>
      </c>
      <c r="L682" s="50">
        <f>CONVERT(PlanGrid[[#This Row],[kWh/yr]],"Wh","BTU")</f>
        <v>0</v>
      </c>
      <c r="M682" s="38">
        <f>PlanGrid[[#This Row],[kBtu/yr]]/'Schedule-Building Info'!$B$6</f>
        <v>0</v>
      </c>
      <c r="N682" t="s">
        <v>1089</v>
      </c>
      <c r="O682">
        <v>0</v>
      </c>
      <c r="P682" t="e">
        <f>VLOOKUP(PlanGrid[[#This Row],[Title]],'Spec Wattages'!$A$1:$C$973,3,FALSE)</f>
        <v>#N/A</v>
      </c>
      <c r="Q682" t="s">
        <v>995</v>
      </c>
      <c r="R682" t="s">
        <v>1077</v>
      </c>
      <c r="S682" t="s">
        <v>11</v>
      </c>
    </row>
    <row r="683" spans="1:19" hidden="1" x14ac:dyDescent="0.25">
      <c r="A683">
        <v>1106</v>
      </c>
      <c r="B683" t="s">
        <v>13</v>
      </c>
      <c r="C683" t="s">
        <v>10</v>
      </c>
      <c r="D683" t="s">
        <v>611</v>
      </c>
      <c r="E683" s="50"/>
      <c r="F683" s="38"/>
      <c r="G683" s="38"/>
      <c r="H683" s="58">
        <f>PlanGrid[[#This Row],[Spec Wattage]]*PlanGrid[[#This Row],[Equipment Count]]</f>
        <v>0</v>
      </c>
      <c r="I683" s="50">
        <f>((PlanGrid[[#This Row],[Demand Watt]]*PlanGrid[[#This Row],[Utilization %]]*'Schedule-Building Info'!$N$16)/1000)</f>
        <v>0</v>
      </c>
      <c r="J683" s="50">
        <f>PlanGrid[[#This Row],[kWh/yr]]*' Elec Utility (kWh)'!$M$7</f>
        <v>0</v>
      </c>
      <c r="K683" s="38">
        <f>PlanGrid[[#This Row],[kWh/yr]]/'Schedule-Building Info'!$B$6</f>
        <v>0</v>
      </c>
      <c r="L683" s="50">
        <f>CONVERT(PlanGrid[[#This Row],[kWh/yr]],"Wh","BTU")</f>
        <v>0</v>
      </c>
      <c r="M683" s="38">
        <f>PlanGrid[[#This Row],[kBtu/yr]]/'Schedule-Building Info'!$B$6</f>
        <v>0</v>
      </c>
      <c r="N683" t="s">
        <v>1089</v>
      </c>
      <c r="O683">
        <v>0</v>
      </c>
      <c r="P683" t="e">
        <f>VLOOKUP(PlanGrid[[#This Row],[Title]],'Spec Wattages'!$A$1:$C$973,3,FALSE)</f>
        <v>#N/A</v>
      </c>
      <c r="Q683" t="s">
        <v>996</v>
      </c>
      <c r="R683" t="s">
        <v>1078</v>
      </c>
      <c r="S683" t="s">
        <v>11</v>
      </c>
    </row>
    <row r="684" spans="1:19" x14ac:dyDescent="0.25">
      <c r="A684">
        <v>40</v>
      </c>
      <c r="B684" t="s">
        <v>632</v>
      </c>
      <c r="C684" t="s">
        <v>18</v>
      </c>
      <c r="E684" s="50">
        <f>VLOOKUP(PlanGrid[[#This Row],[Title]],'Spec Wattages'!$A$1:$C$973,2,FALSE)</f>
        <v>5</v>
      </c>
      <c r="F684" s="38">
        <v>1</v>
      </c>
      <c r="G684" s="39">
        <v>1</v>
      </c>
      <c r="H684" s="58">
        <f>PlanGrid[[#This Row],[Spec Wattage]]*PlanGrid[[#This Row],[Equipment Count]]</f>
        <v>5</v>
      </c>
      <c r="I684" s="50">
        <f>((PlanGrid[[#This Row],[Demand Watt]]*PlanGrid[[#This Row],[Utilization %]]*'Schedule-Building Info'!$N$16)/1000)</f>
        <v>27.375</v>
      </c>
      <c r="J684" s="57">
        <f>PlanGrid[[#This Row],[kWh/yr]]*' Elec Utility (kWh)'!$M$7</f>
        <v>2.9185401862234706</v>
      </c>
      <c r="K684" s="38">
        <f>PlanGrid[[#This Row],[kWh/yr]]/'Schedule-Building Info'!$B$6</f>
        <v>4.5018007202881152E-4</v>
      </c>
      <c r="L684" s="50">
        <f>CONVERT(PlanGrid[[#This Row],[kWh/yr]],"Wh","BTU")</f>
        <v>93.407377206877399</v>
      </c>
      <c r="M684" s="38">
        <f>PlanGrid[[#This Row],[kBtu/yr]]/'Schedule-Building Info'!$B$6</f>
        <v>1.5360781661740432E-3</v>
      </c>
      <c r="N684" t="s">
        <v>1092</v>
      </c>
      <c r="O684">
        <v>0</v>
      </c>
      <c r="P684" t="str">
        <f>VLOOKUP(PlanGrid[[#This Row],[Title]],'Spec Wattages'!$A$1:$C$973,3,FALSE)</f>
        <v>Plug Load</v>
      </c>
      <c r="Q684" t="s">
        <v>743</v>
      </c>
      <c r="R684" t="s">
        <v>742</v>
      </c>
      <c r="S684" t="s">
        <v>11</v>
      </c>
    </row>
    <row r="685" spans="1:19" x14ac:dyDescent="0.25">
      <c r="A685">
        <v>46</v>
      </c>
      <c r="B685" t="s">
        <v>632</v>
      </c>
      <c r="C685" t="s">
        <v>18</v>
      </c>
      <c r="E685" s="50">
        <f>VLOOKUP(PlanGrid[[#This Row],[Title]],'Spec Wattages'!$A$1:$C$973,2,FALSE)</f>
        <v>5</v>
      </c>
      <c r="F685" s="38">
        <v>1</v>
      </c>
      <c r="G685" s="39">
        <v>1</v>
      </c>
      <c r="H685" s="58">
        <f>PlanGrid[[#This Row],[Spec Wattage]]*PlanGrid[[#This Row],[Equipment Count]]</f>
        <v>5</v>
      </c>
      <c r="I685" s="50">
        <f>((PlanGrid[[#This Row],[Demand Watt]]*PlanGrid[[#This Row],[Utilization %]]*'Schedule-Building Info'!$N$16)/1000)</f>
        <v>27.375</v>
      </c>
      <c r="J685" s="57">
        <f>PlanGrid[[#This Row],[kWh/yr]]*' Elec Utility (kWh)'!$M$7</f>
        <v>2.9185401862234706</v>
      </c>
      <c r="K685" s="38">
        <f>PlanGrid[[#This Row],[kWh/yr]]/'Schedule-Building Info'!$B$6</f>
        <v>4.5018007202881152E-4</v>
      </c>
      <c r="L685" s="50">
        <f>CONVERT(PlanGrid[[#This Row],[kWh/yr]],"Wh","BTU")</f>
        <v>93.407377206877399</v>
      </c>
      <c r="M685" s="38">
        <f>PlanGrid[[#This Row],[kBtu/yr]]/'Schedule-Building Info'!$B$6</f>
        <v>1.5360781661740432E-3</v>
      </c>
      <c r="N685" t="s">
        <v>1092</v>
      </c>
      <c r="O685">
        <v>0</v>
      </c>
      <c r="P685" t="str">
        <f>VLOOKUP(PlanGrid[[#This Row],[Title]],'Spec Wattages'!$A$1:$C$973,3,FALSE)</f>
        <v>Plug Load</v>
      </c>
      <c r="Q685" t="s">
        <v>844</v>
      </c>
      <c r="R685" t="s">
        <v>783</v>
      </c>
      <c r="S685" t="s">
        <v>11</v>
      </c>
    </row>
    <row r="686" spans="1:19" x14ac:dyDescent="0.25">
      <c r="A686">
        <v>56</v>
      </c>
      <c r="B686" t="s">
        <v>632</v>
      </c>
      <c r="C686" t="s">
        <v>18</v>
      </c>
      <c r="E686" s="50">
        <f>VLOOKUP(PlanGrid[[#This Row],[Title]],'Spec Wattages'!$A$1:$C$973,2,FALSE)</f>
        <v>5</v>
      </c>
      <c r="F686" s="38">
        <v>1</v>
      </c>
      <c r="G686" s="39">
        <v>1</v>
      </c>
      <c r="H686" s="58">
        <f>PlanGrid[[#This Row],[Spec Wattage]]*PlanGrid[[#This Row],[Equipment Count]]</f>
        <v>5</v>
      </c>
      <c r="I686" s="50">
        <f>((PlanGrid[[#This Row],[Demand Watt]]*PlanGrid[[#This Row],[Utilization %]]*'Schedule-Building Info'!$N$16)/1000)</f>
        <v>27.375</v>
      </c>
      <c r="J686" s="57">
        <f>PlanGrid[[#This Row],[kWh/yr]]*' Elec Utility (kWh)'!$M$7</f>
        <v>2.9185401862234706</v>
      </c>
      <c r="K686" s="38">
        <f>PlanGrid[[#This Row],[kWh/yr]]/'Schedule-Building Info'!$B$6</f>
        <v>4.5018007202881152E-4</v>
      </c>
      <c r="L686" s="50">
        <f>CONVERT(PlanGrid[[#This Row],[kWh/yr]],"Wh","BTU")</f>
        <v>93.407377206877399</v>
      </c>
      <c r="M686" s="38">
        <f>PlanGrid[[#This Row],[kBtu/yr]]/'Schedule-Building Info'!$B$6</f>
        <v>1.5360781661740432E-3</v>
      </c>
      <c r="N686" t="s">
        <v>1092</v>
      </c>
      <c r="O686">
        <v>0</v>
      </c>
      <c r="P686" t="str">
        <f>VLOOKUP(PlanGrid[[#This Row],[Title]],'Spec Wattages'!$A$1:$C$973,3,FALSE)</f>
        <v>Plug Load</v>
      </c>
      <c r="Q686" t="s">
        <v>847</v>
      </c>
      <c r="R686" t="s">
        <v>1009</v>
      </c>
      <c r="S686" t="s">
        <v>11</v>
      </c>
    </row>
    <row r="687" spans="1:19" x14ac:dyDescent="0.25">
      <c r="A687">
        <v>86</v>
      </c>
      <c r="B687" t="s">
        <v>632</v>
      </c>
      <c r="C687" t="s">
        <v>18</v>
      </c>
      <c r="E687" s="50">
        <f>VLOOKUP(PlanGrid[[#This Row],[Title]],'Spec Wattages'!$A$1:$C$973,2,FALSE)</f>
        <v>5</v>
      </c>
      <c r="F687" s="38">
        <v>1</v>
      </c>
      <c r="G687" s="39">
        <v>1</v>
      </c>
      <c r="H687" s="58">
        <f>PlanGrid[[#This Row],[Spec Wattage]]*PlanGrid[[#This Row],[Equipment Count]]</f>
        <v>5</v>
      </c>
      <c r="I687" s="50">
        <f>((PlanGrid[[#This Row],[Demand Watt]]*PlanGrid[[#This Row],[Utilization %]]*'Schedule-Building Info'!$N$16)/1000)</f>
        <v>27.375</v>
      </c>
      <c r="J687" s="57">
        <f>PlanGrid[[#This Row],[kWh/yr]]*' Elec Utility (kWh)'!$M$7</f>
        <v>2.9185401862234706</v>
      </c>
      <c r="K687" s="38">
        <f>PlanGrid[[#This Row],[kWh/yr]]/'Schedule-Building Info'!$B$6</f>
        <v>4.5018007202881152E-4</v>
      </c>
      <c r="L687" s="50">
        <f>CONVERT(PlanGrid[[#This Row],[kWh/yr]],"Wh","BTU")</f>
        <v>93.407377206877399</v>
      </c>
      <c r="M687" s="38">
        <f>PlanGrid[[#This Row],[kBtu/yr]]/'Schedule-Building Info'!$B$6</f>
        <v>1.5360781661740432E-3</v>
      </c>
      <c r="N687" t="s">
        <v>1092</v>
      </c>
      <c r="O687">
        <v>0</v>
      </c>
      <c r="P687" t="str">
        <f>VLOOKUP(PlanGrid[[#This Row],[Title]],'Spec Wattages'!$A$1:$C$973,3,FALSE)</f>
        <v>Plug Load</v>
      </c>
      <c r="Q687" t="s">
        <v>949</v>
      </c>
      <c r="R687" t="s">
        <v>1066</v>
      </c>
      <c r="S687" t="s">
        <v>11</v>
      </c>
    </row>
    <row r="688" spans="1:19" x14ac:dyDescent="0.25">
      <c r="A688">
        <v>96</v>
      </c>
      <c r="B688" t="s">
        <v>632</v>
      </c>
      <c r="C688" t="s">
        <v>18</v>
      </c>
      <c r="E688" s="50">
        <f>VLOOKUP(PlanGrid[[#This Row],[Title]],'Spec Wattages'!$A$1:$C$973,2,FALSE)</f>
        <v>5</v>
      </c>
      <c r="F688" s="38">
        <v>1</v>
      </c>
      <c r="G688" s="39">
        <v>1</v>
      </c>
      <c r="H688" s="58">
        <f>PlanGrid[[#This Row],[Spec Wattage]]*PlanGrid[[#This Row],[Equipment Count]]</f>
        <v>5</v>
      </c>
      <c r="I688" s="50">
        <f>((PlanGrid[[#This Row],[Demand Watt]]*PlanGrid[[#This Row],[Utilization %]]*'Schedule-Building Info'!$N$16)/1000)</f>
        <v>27.375</v>
      </c>
      <c r="J688" s="57">
        <f>PlanGrid[[#This Row],[kWh/yr]]*' Elec Utility (kWh)'!$M$7</f>
        <v>2.9185401862234706</v>
      </c>
      <c r="K688" s="38">
        <f>PlanGrid[[#This Row],[kWh/yr]]/'Schedule-Building Info'!$B$6</f>
        <v>4.5018007202881152E-4</v>
      </c>
      <c r="L688" s="50">
        <f>CONVERT(PlanGrid[[#This Row],[kWh/yr]],"Wh","BTU")</f>
        <v>93.407377206877399</v>
      </c>
      <c r="M688" s="38">
        <f>PlanGrid[[#This Row],[kBtu/yr]]/'Schedule-Building Info'!$B$6</f>
        <v>1.5360781661740432E-3</v>
      </c>
      <c r="N688" t="s">
        <v>1092</v>
      </c>
      <c r="O688">
        <v>0</v>
      </c>
      <c r="P688" t="str">
        <f>VLOOKUP(PlanGrid[[#This Row],[Title]],'Spec Wattages'!$A$1:$C$973,3,FALSE)</f>
        <v>Plug Load</v>
      </c>
      <c r="Q688" t="s">
        <v>855</v>
      </c>
      <c r="R688" t="s">
        <v>852</v>
      </c>
      <c r="S688" t="s">
        <v>11</v>
      </c>
    </row>
    <row r="689" spans="1:19" hidden="1" x14ac:dyDescent="0.25">
      <c r="A689">
        <v>742</v>
      </c>
      <c r="B689" t="s">
        <v>13</v>
      </c>
      <c r="C689" t="s">
        <v>10</v>
      </c>
      <c r="D689" t="s">
        <v>616</v>
      </c>
      <c r="E689" s="50"/>
      <c r="F689" s="38"/>
      <c r="G689" s="38"/>
      <c r="H689" s="58">
        <f>PlanGrid[[#This Row],[Spec Wattage]]*PlanGrid[[#This Row],[Equipment Count]]</f>
        <v>0</v>
      </c>
      <c r="I689" s="50">
        <f>((PlanGrid[[#This Row],[Demand Watt]]*PlanGrid[[#This Row],[Utilization %]]*'Schedule-Building Info'!$N$16)/1000)</f>
        <v>0</v>
      </c>
      <c r="J689" s="50">
        <f>PlanGrid[[#This Row],[kWh/yr]]*' Elec Utility (kWh)'!$M$7</f>
        <v>0</v>
      </c>
      <c r="K689" s="38">
        <f>PlanGrid[[#This Row],[kWh/yr]]/'Schedule-Building Info'!$B$6</f>
        <v>0</v>
      </c>
      <c r="L689" s="50">
        <f>CONVERT(PlanGrid[[#This Row],[kWh/yr]],"Wh","BTU")</f>
        <v>0</v>
      </c>
      <c r="M689" s="38">
        <f>PlanGrid[[#This Row],[kBtu/yr]]/'Schedule-Building Info'!$B$6</f>
        <v>0</v>
      </c>
      <c r="N689" t="s">
        <v>1090</v>
      </c>
      <c r="O689">
        <v>2</v>
      </c>
      <c r="P689" t="e">
        <f>VLOOKUP(PlanGrid[[#This Row],[Title]],'Spec Wattages'!$A$1:$C$973,3,FALSE)</f>
        <v>#N/A</v>
      </c>
      <c r="Q689" t="s">
        <v>1001</v>
      </c>
      <c r="R689" t="s">
        <v>965</v>
      </c>
      <c r="S689" t="s">
        <v>11</v>
      </c>
    </row>
    <row r="690" spans="1:19" hidden="1" x14ac:dyDescent="0.25">
      <c r="A690">
        <v>788</v>
      </c>
      <c r="B690" t="s">
        <v>13</v>
      </c>
      <c r="C690" t="s">
        <v>10</v>
      </c>
      <c r="D690" t="s">
        <v>616</v>
      </c>
      <c r="E690" s="50"/>
      <c r="F690" s="38"/>
      <c r="G690" s="38"/>
      <c r="H690" s="58">
        <f>PlanGrid[[#This Row],[Spec Wattage]]*PlanGrid[[#This Row],[Equipment Count]]</f>
        <v>0</v>
      </c>
      <c r="I690" s="50">
        <f>((PlanGrid[[#This Row],[Demand Watt]]*PlanGrid[[#This Row],[Utilization %]]*'Schedule-Building Info'!$N$16)/1000)</f>
        <v>0</v>
      </c>
      <c r="J690" s="50">
        <f>PlanGrid[[#This Row],[kWh/yr]]*' Elec Utility (kWh)'!$M$7</f>
        <v>0</v>
      </c>
      <c r="K690" s="38">
        <f>PlanGrid[[#This Row],[kWh/yr]]/'Schedule-Building Info'!$B$6</f>
        <v>0</v>
      </c>
      <c r="L690" s="50">
        <f>CONVERT(PlanGrid[[#This Row],[kWh/yr]],"Wh","BTU")</f>
        <v>0</v>
      </c>
      <c r="M690" s="38">
        <f>PlanGrid[[#This Row],[kBtu/yr]]/'Schedule-Building Info'!$B$6</f>
        <v>0</v>
      </c>
      <c r="N690" t="s">
        <v>1090</v>
      </c>
      <c r="O690">
        <v>0</v>
      </c>
      <c r="P690" t="e">
        <f>VLOOKUP(PlanGrid[[#This Row],[Title]],'Spec Wattages'!$A$1:$C$973,3,FALSE)</f>
        <v>#N/A</v>
      </c>
      <c r="Q690" t="s">
        <v>889</v>
      </c>
      <c r="R690" t="s">
        <v>889</v>
      </c>
      <c r="S690" t="s">
        <v>11</v>
      </c>
    </row>
    <row r="691" spans="1:19" x14ac:dyDescent="0.25">
      <c r="A691">
        <v>123</v>
      </c>
      <c r="B691" t="s">
        <v>632</v>
      </c>
      <c r="C691" t="s">
        <v>18</v>
      </c>
      <c r="E691" s="50">
        <f>VLOOKUP(PlanGrid[[#This Row],[Title]],'Spec Wattages'!$A$1:$C$973,2,FALSE)</f>
        <v>5</v>
      </c>
      <c r="F691" s="38">
        <v>1</v>
      </c>
      <c r="G691" s="39">
        <v>1</v>
      </c>
      <c r="H691" s="58">
        <f>PlanGrid[[#This Row],[Spec Wattage]]*PlanGrid[[#This Row],[Equipment Count]]</f>
        <v>5</v>
      </c>
      <c r="I691" s="50">
        <f>((PlanGrid[[#This Row],[Demand Watt]]*PlanGrid[[#This Row],[Utilization %]]*'Schedule-Building Info'!$N$16)/1000)</f>
        <v>27.375</v>
      </c>
      <c r="J691" s="57">
        <f>PlanGrid[[#This Row],[kWh/yr]]*' Elec Utility (kWh)'!$M$7</f>
        <v>2.9185401862234706</v>
      </c>
      <c r="K691" s="38">
        <f>PlanGrid[[#This Row],[kWh/yr]]/'Schedule-Building Info'!$B$6</f>
        <v>4.5018007202881152E-4</v>
      </c>
      <c r="L691" s="50">
        <f>CONVERT(PlanGrid[[#This Row],[kWh/yr]],"Wh","BTU")</f>
        <v>93.407377206877399</v>
      </c>
      <c r="M691" s="38">
        <f>PlanGrid[[#This Row],[kBtu/yr]]/'Schedule-Building Info'!$B$6</f>
        <v>1.5360781661740432E-3</v>
      </c>
      <c r="N691" t="s">
        <v>1092</v>
      </c>
      <c r="O691">
        <v>0</v>
      </c>
      <c r="P691" t="str">
        <f>VLOOKUP(PlanGrid[[#This Row],[Title]],'Spec Wattages'!$A$1:$C$973,3,FALSE)</f>
        <v>Plug Load</v>
      </c>
      <c r="Q691" t="s">
        <v>748</v>
      </c>
      <c r="R691" t="s">
        <v>949</v>
      </c>
      <c r="S691" t="s">
        <v>11</v>
      </c>
    </row>
    <row r="692" spans="1:19" x14ac:dyDescent="0.25">
      <c r="A692">
        <v>135</v>
      </c>
      <c r="B692" t="s">
        <v>632</v>
      </c>
      <c r="C692" t="s">
        <v>18</v>
      </c>
      <c r="E692" s="50">
        <f>VLOOKUP(PlanGrid[[#This Row],[Title]],'Spec Wattages'!$A$1:$C$973,2,FALSE)</f>
        <v>5</v>
      </c>
      <c r="F692" s="38">
        <v>1</v>
      </c>
      <c r="G692" s="39">
        <v>1</v>
      </c>
      <c r="H692" s="58">
        <f>PlanGrid[[#This Row],[Spec Wattage]]*PlanGrid[[#This Row],[Equipment Count]]</f>
        <v>5</v>
      </c>
      <c r="I692" s="50">
        <f>((PlanGrid[[#This Row],[Demand Watt]]*PlanGrid[[#This Row],[Utilization %]]*'Schedule-Building Info'!$N$16)/1000)</f>
        <v>27.375</v>
      </c>
      <c r="J692" s="57">
        <f>PlanGrid[[#This Row],[kWh/yr]]*' Elec Utility (kWh)'!$M$7</f>
        <v>2.9185401862234706</v>
      </c>
      <c r="K692" s="38">
        <f>PlanGrid[[#This Row],[kWh/yr]]/'Schedule-Building Info'!$B$6</f>
        <v>4.5018007202881152E-4</v>
      </c>
      <c r="L692" s="50">
        <f>CONVERT(PlanGrid[[#This Row],[kWh/yr]],"Wh","BTU")</f>
        <v>93.407377206877399</v>
      </c>
      <c r="M692" s="38">
        <f>PlanGrid[[#This Row],[kBtu/yr]]/'Schedule-Building Info'!$B$6</f>
        <v>1.5360781661740432E-3</v>
      </c>
      <c r="N692" t="s">
        <v>1092</v>
      </c>
      <c r="O692">
        <v>0</v>
      </c>
      <c r="P692" t="str">
        <f>VLOOKUP(PlanGrid[[#This Row],[Title]],'Spec Wattages'!$A$1:$C$973,3,FALSE)</f>
        <v>Plug Load</v>
      </c>
      <c r="Q692" t="s">
        <v>936</v>
      </c>
      <c r="R692" t="s">
        <v>937</v>
      </c>
      <c r="S692" t="s">
        <v>11</v>
      </c>
    </row>
    <row r="693" spans="1:19" hidden="1" x14ac:dyDescent="0.25">
      <c r="A693">
        <v>800</v>
      </c>
      <c r="B693" t="s">
        <v>13</v>
      </c>
      <c r="C693" t="s">
        <v>10</v>
      </c>
      <c r="D693" t="s">
        <v>616</v>
      </c>
      <c r="E693" s="50"/>
      <c r="F693" s="38"/>
      <c r="G693" s="38"/>
      <c r="H693" s="58">
        <f>PlanGrid[[#This Row],[Spec Wattage]]*PlanGrid[[#This Row],[Equipment Count]]</f>
        <v>0</v>
      </c>
      <c r="I693" s="50">
        <f>((PlanGrid[[#This Row],[Demand Watt]]*PlanGrid[[#This Row],[Utilization %]]*'Schedule-Building Info'!$N$16)/1000)</f>
        <v>0</v>
      </c>
      <c r="J693" s="50">
        <f>PlanGrid[[#This Row],[kWh/yr]]*' Elec Utility (kWh)'!$M$7</f>
        <v>0</v>
      </c>
      <c r="K693" s="38">
        <f>PlanGrid[[#This Row],[kWh/yr]]/'Schedule-Building Info'!$B$6</f>
        <v>0</v>
      </c>
      <c r="L693" s="50">
        <f>CONVERT(PlanGrid[[#This Row],[kWh/yr]],"Wh","BTU")</f>
        <v>0</v>
      </c>
      <c r="M693" s="38">
        <f>PlanGrid[[#This Row],[kBtu/yr]]/'Schedule-Building Info'!$B$6</f>
        <v>0</v>
      </c>
      <c r="N693" t="s">
        <v>1090</v>
      </c>
      <c r="O693">
        <v>0</v>
      </c>
      <c r="P693" t="e">
        <f>VLOOKUP(PlanGrid[[#This Row],[Title]],'Spec Wattages'!$A$1:$C$973,3,FALSE)</f>
        <v>#N/A</v>
      </c>
      <c r="Q693" t="s">
        <v>896</v>
      </c>
      <c r="R693" t="s">
        <v>896</v>
      </c>
      <c r="S693" t="s">
        <v>11</v>
      </c>
    </row>
    <row r="694" spans="1:19" x14ac:dyDescent="0.25">
      <c r="A694">
        <v>157</v>
      </c>
      <c r="B694" t="s">
        <v>632</v>
      </c>
      <c r="C694" t="s">
        <v>18</v>
      </c>
      <c r="E694" s="50">
        <f>VLOOKUP(PlanGrid[[#This Row],[Title]],'Spec Wattages'!$A$1:$C$973,2,FALSE)</f>
        <v>5</v>
      </c>
      <c r="F694" s="38">
        <v>1</v>
      </c>
      <c r="G694" s="39">
        <v>1</v>
      </c>
      <c r="H694" s="58">
        <f>PlanGrid[[#This Row],[Spec Wattage]]*PlanGrid[[#This Row],[Equipment Count]]</f>
        <v>5</v>
      </c>
      <c r="I694" s="50">
        <f>((PlanGrid[[#This Row],[Demand Watt]]*PlanGrid[[#This Row],[Utilization %]]*'Schedule-Building Info'!$N$16)/1000)</f>
        <v>27.375</v>
      </c>
      <c r="J694" s="57">
        <f>PlanGrid[[#This Row],[kWh/yr]]*' Elec Utility (kWh)'!$M$7</f>
        <v>2.9185401862234706</v>
      </c>
      <c r="K694" s="38">
        <f>PlanGrid[[#This Row],[kWh/yr]]/'Schedule-Building Info'!$B$6</f>
        <v>4.5018007202881152E-4</v>
      </c>
      <c r="L694" s="50">
        <f>CONVERT(PlanGrid[[#This Row],[kWh/yr]],"Wh","BTU")</f>
        <v>93.407377206877399</v>
      </c>
      <c r="M694" s="38">
        <f>PlanGrid[[#This Row],[kBtu/yr]]/'Schedule-Building Info'!$B$6</f>
        <v>1.5360781661740432E-3</v>
      </c>
      <c r="N694" t="s">
        <v>1092</v>
      </c>
      <c r="O694">
        <v>0</v>
      </c>
      <c r="P694" t="str">
        <f>VLOOKUP(PlanGrid[[#This Row],[Title]],'Spec Wattages'!$A$1:$C$973,3,FALSE)</f>
        <v>Plug Load</v>
      </c>
      <c r="Q694" t="s">
        <v>938</v>
      </c>
      <c r="R694" t="s">
        <v>748</v>
      </c>
      <c r="S694" t="s">
        <v>11</v>
      </c>
    </row>
    <row r="695" spans="1:19" x14ac:dyDescent="0.25">
      <c r="A695">
        <v>180</v>
      </c>
      <c r="B695" t="s">
        <v>632</v>
      </c>
      <c r="C695" t="s">
        <v>18</v>
      </c>
      <c r="E695" s="50">
        <f>VLOOKUP(PlanGrid[[#This Row],[Title]],'Spec Wattages'!$A$1:$C$973,2,FALSE)</f>
        <v>5</v>
      </c>
      <c r="F695" s="38">
        <v>1</v>
      </c>
      <c r="G695" s="39">
        <v>1</v>
      </c>
      <c r="H695" s="58">
        <f>PlanGrid[[#This Row],[Spec Wattage]]*PlanGrid[[#This Row],[Equipment Count]]</f>
        <v>5</v>
      </c>
      <c r="I695" s="50">
        <f>((PlanGrid[[#This Row],[Demand Watt]]*PlanGrid[[#This Row],[Utilization %]]*'Schedule-Building Info'!$N$16)/1000)</f>
        <v>27.375</v>
      </c>
      <c r="J695" s="57">
        <f>PlanGrid[[#This Row],[kWh/yr]]*' Elec Utility (kWh)'!$M$7</f>
        <v>2.9185401862234706</v>
      </c>
      <c r="K695" s="38">
        <f>PlanGrid[[#This Row],[kWh/yr]]/'Schedule-Building Info'!$B$6</f>
        <v>4.5018007202881152E-4</v>
      </c>
      <c r="L695" s="50">
        <f>CONVERT(PlanGrid[[#This Row],[kWh/yr]],"Wh","BTU")</f>
        <v>93.407377206877399</v>
      </c>
      <c r="M695" s="38">
        <f>PlanGrid[[#This Row],[kBtu/yr]]/'Schedule-Building Info'!$B$6</f>
        <v>1.5360781661740432E-3</v>
      </c>
      <c r="N695" t="s">
        <v>1092</v>
      </c>
      <c r="O695">
        <v>0</v>
      </c>
      <c r="P695" t="str">
        <f>VLOOKUP(PlanGrid[[#This Row],[Title]],'Spec Wattages'!$A$1:$C$973,3,FALSE)</f>
        <v>Plug Load</v>
      </c>
      <c r="Q695" t="s">
        <v>754</v>
      </c>
      <c r="R695" t="s">
        <v>859</v>
      </c>
      <c r="S695" t="s">
        <v>11</v>
      </c>
    </row>
    <row r="696" spans="1:19" hidden="1" x14ac:dyDescent="0.25">
      <c r="A696">
        <v>1107</v>
      </c>
      <c r="B696" t="s">
        <v>13</v>
      </c>
      <c r="C696" t="s">
        <v>10</v>
      </c>
      <c r="D696" t="s">
        <v>619</v>
      </c>
      <c r="E696" s="50"/>
      <c r="F696" s="38"/>
      <c r="G696" s="38"/>
      <c r="H696" s="58">
        <f>PlanGrid[[#This Row],[Spec Wattage]]*PlanGrid[[#This Row],[Equipment Count]]</f>
        <v>0</v>
      </c>
      <c r="I696" s="50">
        <f>((PlanGrid[[#This Row],[Demand Watt]]*PlanGrid[[#This Row],[Utilization %]]*'Schedule-Building Info'!$N$16)/1000)</f>
        <v>0</v>
      </c>
      <c r="J696" s="50">
        <f>PlanGrid[[#This Row],[kWh/yr]]*' Elec Utility (kWh)'!$M$7</f>
        <v>0</v>
      </c>
      <c r="K696" s="38">
        <f>PlanGrid[[#This Row],[kWh/yr]]/'Schedule-Building Info'!$B$6</f>
        <v>0</v>
      </c>
      <c r="L696" s="50">
        <f>CONVERT(PlanGrid[[#This Row],[kWh/yr]],"Wh","BTU")</f>
        <v>0</v>
      </c>
      <c r="M696" s="38">
        <f>PlanGrid[[#This Row],[kBtu/yr]]/'Schedule-Building Info'!$B$6</f>
        <v>0</v>
      </c>
      <c r="N696" t="s">
        <v>1090</v>
      </c>
      <c r="O696">
        <v>0</v>
      </c>
      <c r="P696" t="e">
        <f>VLOOKUP(PlanGrid[[#This Row],[Title]],'Spec Wattages'!$A$1:$C$973,3,FALSE)</f>
        <v>#N/A</v>
      </c>
      <c r="Q696" t="s">
        <v>1003</v>
      </c>
      <c r="R696" t="s">
        <v>1004</v>
      </c>
      <c r="S696" t="s">
        <v>11</v>
      </c>
    </row>
    <row r="697" spans="1:19" hidden="1" x14ac:dyDescent="0.25">
      <c r="A697">
        <v>1108</v>
      </c>
      <c r="B697" t="s">
        <v>13</v>
      </c>
      <c r="C697" t="s">
        <v>10</v>
      </c>
      <c r="D697" t="s">
        <v>620</v>
      </c>
      <c r="E697" s="50"/>
      <c r="F697" s="38"/>
      <c r="G697" s="38"/>
      <c r="H697" s="58">
        <f>PlanGrid[[#This Row],[Spec Wattage]]*PlanGrid[[#This Row],[Equipment Count]]</f>
        <v>0</v>
      </c>
      <c r="I697" s="50">
        <f>((PlanGrid[[#This Row],[Demand Watt]]*PlanGrid[[#This Row],[Utilization %]]*'Schedule-Building Info'!$N$16)/1000)</f>
        <v>0</v>
      </c>
      <c r="J697" s="50">
        <f>PlanGrid[[#This Row],[kWh/yr]]*' Elec Utility (kWh)'!$M$7</f>
        <v>0</v>
      </c>
      <c r="K697" s="38">
        <f>PlanGrid[[#This Row],[kWh/yr]]/'Schedule-Building Info'!$B$6</f>
        <v>0</v>
      </c>
      <c r="L697" s="50">
        <f>CONVERT(PlanGrid[[#This Row],[kWh/yr]],"Wh","BTU")</f>
        <v>0</v>
      </c>
      <c r="M697" s="38">
        <f>PlanGrid[[#This Row],[kBtu/yr]]/'Schedule-Building Info'!$B$6</f>
        <v>0</v>
      </c>
      <c r="N697" t="s">
        <v>1090</v>
      </c>
      <c r="O697">
        <v>0</v>
      </c>
      <c r="P697" t="e">
        <f>VLOOKUP(PlanGrid[[#This Row],[Title]],'Spec Wattages'!$A$1:$C$973,3,FALSE)</f>
        <v>#N/A</v>
      </c>
      <c r="Q697" t="s">
        <v>1004</v>
      </c>
      <c r="R697" t="s">
        <v>1081</v>
      </c>
      <c r="S697" t="s">
        <v>11</v>
      </c>
    </row>
    <row r="698" spans="1:19" x14ac:dyDescent="0.25">
      <c r="A698">
        <v>188</v>
      </c>
      <c r="B698" t="s">
        <v>632</v>
      </c>
      <c r="C698" t="s">
        <v>18</v>
      </c>
      <c r="E698" s="50">
        <f>VLOOKUP(PlanGrid[[#This Row],[Title]],'Spec Wattages'!$A$1:$C$973,2,FALSE)</f>
        <v>5</v>
      </c>
      <c r="F698" s="38">
        <v>1</v>
      </c>
      <c r="G698" s="39">
        <v>1</v>
      </c>
      <c r="H698" s="58">
        <f>PlanGrid[[#This Row],[Spec Wattage]]*PlanGrid[[#This Row],[Equipment Count]]</f>
        <v>5</v>
      </c>
      <c r="I698" s="50">
        <f>((PlanGrid[[#This Row],[Demand Watt]]*PlanGrid[[#This Row],[Utilization %]]*'Schedule-Building Info'!$N$16)/1000)</f>
        <v>27.375</v>
      </c>
      <c r="J698" s="57">
        <f>PlanGrid[[#This Row],[kWh/yr]]*' Elec Utility (kWh)'!$M$7</f>
        <v>2.9185401862234706</v>
      </c>
      <c r="K698" s="38">
        <f>PlanGrid[[#This Row],[kWh/yr]]/'Schedule-Building Info'!$B$6</f>
        <v>4.5018007202881152E-4</v>
      </c>
      <c r="L698" s="50">
        <f>CONVERT(PlanGrid[[#This Row],[kWh/yr]],"Wh","BTU")</f>
        <v>93.407377206877399</v>
      </c>
      <c r="M698" s="38">
        <f>PlanGrid[[#This Row],[kBtu/yr]]/'Schedule-Building Info'!$B$6</f>
        <v>1.5360781661740432E-3</v>
      </c>
      <c r="N698" t="s">
        <v>1092</v>
      </c>
      <c r="O698">
        <v>0</v>
      </c>
      <c r="P698" t="str">
        <f>VLOOKUP(PlanGrid[[#This Row],[Title]],'Spec Wattages'!$A$1:$C$973,3,FALSE)</f>
        <v>Plug Load</v>
      </c>
      <c r="Q698" t="s">
        <v>939</v>
      </c>
      <c r="R698" t="s">
        <v>938</v>
      </c>
      <c r="S698" t="s">
        <v>11</v>
      </c>
    </row>
    <row r="699" spans="1:19" x14ac:dyDescent="0.25">
      <c r="A699">
        <v>194</v>
      </c>
      <c r="B699" t="s">
        <v>632</v>
      </c>
      <c r="C699" t="s">
        <v>18</v>
      </c>
      <c r="E699" s="50">
        <f>VLOOKUP(PlanGrid[[#This Row],[Title]],'Spec Wattages'!$A$1:$C$973,2,FALSE)</f>
        <v>5</v>
      </c>
      <c r="F699" s="38">
        <v>1</v>
      </c>
      <c r="G699" s="39">
        <v>1</v>
      </c>
      <c r="H699" s="58">
        <f>PlanGrid[[#This Row],[Spec Wattage]]*PlanGrid[[#This Row],[Equipment Count]]</f>
        <v>5</v>
      </c>
      <c r="I699" s="50">
        <f>((PlanGrid[[#This Row],[Demand Watt]]*PlanGrid[[#This Row],[Utilization %]]*'Schedule-Building Info'!$N$16)/1000)</f>
        <v>27.375</v>
      </c>
      <c r="J699" s="57">
        <f>PlanGrid[[#This Row],[kWh/yr]]*' Elec Utility (kWh)'!$M$7</f>
        <v>2.9185401862234706</v>
      </c>
      <c r="K699" s="38">
        <f>PlanGrid[[#This Row],[kWh/yr]]/'Schedule-Building Info'!$B$6</f>
        <v>4.5018007202881152E-4</v>
      </c>
      <c r="L699" s="50">
        <f>CONVERT(PlanGrid[[#This Row],[kWh/yr]],"Wh","BTU")</f>
        <v>93.407377206877399</v>
      </c>
      <c r="M699" s="38">
        <f>PlanGrid[[#This Row],[kBtu/yr]]/'Schedule-Building Info'!$B$6</f>
        <v>1.5360781661740432E-3</v>
      </c>
      <c r="N699" t="s">
        <v>1092</v>
      </c>
      <c r="O699">
        <v>0</v>
      </c>
      <c r="P699" t="str">
        <f>VLOOKUP(PlanGrid[[#This Row],[Title]],'Spec Wattages'!$A$1:$C$973,3,FALSE)</f>
        <v>Plug Load</v>
      </c>
      <c r="Q699" t="s">
        <v>752</v>
      </c>
      <c r="R699" t="s">
        <v>751</v>
      </c>
      <c r="S699" t="s">
        <v>11</v>
      </c>
    </row>
    <row r="700" spans="1:19" x14ac:dyDescent="0.25">
      <c r="A700">
        <v>217</v>
      </c>
      <c r="B700" t="s">
        <v>632</v>
      </c>
      <c r="C700" t="s">
        <v>18</v>
      </c>
      <c r="E700" s="50">
        <f>VLOOKUP(PlanGrid[[#This Row],[Title]],'Spec Wattages'!$A$1:$C$973,2,FALSE)</f>
        <v>5</v>
      </c>
      <c r="F700" s="38">
        <v>1</v>
      </c>
      <c r="G700" s="39">
        <v>1</v>
      </c>
      <c r="H700" s="58">
        <f>PlanGrid[[#This Row],[Spec Wattage]]*PlanGrid[[#This Row],[Equipment Count]]</f>
        <v>5</v>
      </c>
      <c r="I700" s="50">
        <f>((PlanGrid[[#This Row],[Demand Watt]]*PlanGrid[[#This Row],[Utilization %]]*'Schedule-Building Info'!$N$16)/1000)</f>
        <v>27.375</v>
      </c>
      <c r="J700" s="57">
        <f>PlanGrid[[#This Row],[kWh/yr]]*' Elec Utility (kWh)'!$M$7</f>
        <v>2.9185401862234706</v>
      </c>
      <c r="K700" s="38">
        <f>PlanGrid[[#This Row],[kWh/yr]]/'Schedule-Building Info'!$B$6</f>
        <v>4.5018007202881152E-4</v>
      </c>
      <c r="L700" s="50">
        <f>CONVERT(PlanGrid[[#This Row],[kWh/yr]],"Wh","BTU")</f>
        <v>93.407377206877399</v>
      </c>
      <c r="M700" s="38">
        <f>PlanGrid[[#This Row],[kBtu/yr]]/'Schedule-Building Info'!$B$6</f>
        <v>1.5360781661740432E-3</v>
      </c>
      <c r="N700" t="s">
        <v>1092</v>
      </c>
      <c r="O700">
        <v>0</v>
      </c>
      <c r="P700" t="str">
        <f>VLOOKUP(PlanGrid[[#This Row],[Title]],'Spec Wattages'!$A$1:$C$973,3,FALSE)</f>
        <v>Plug Load</v>
      </c>
      <c r="Q700" t="s">
        <v>967</v>
      </c>
      <c r="R700" t="s">
        <v>754</v>
      </c>
      <c r="S700" t="s">
        <v>11</v>
      </c>
    </row>
    <row r="701" spans="1:19" hidden="1" x14ac:dyDescent="0.25">
      <c r="A701">
        <v>319</v>
      </c>
      <c r="B701" t="s">
        <v>13</v>
      </c>
      <c r="C701" t="s">
        <v>10</v>
      </c>
      <c r="D701" t="s">
        <v>624</v>
      </c>
      <c r="E701" s="50"/>
      <c r="F701" s="38"/>
      <c r="G701" s="38"/>
      <c r="H701" s="58">
        <f>PlanGrid[[#This Row],[Spec Wattage]]*PlanGrid[[#This Row],[Equipment Count]]</f>
        <v>0</v>
      </c>
      <c r="I701" s="50">
        <f>((PlanGrid[[#This Row],[Demand Watt]]*PlanGrid[[#This Row],[Utilization %]]*'Schedule-Building Info'!$N$16)/1000)</f>
        <v>0</v>
      </c>
      <c r="J701" s="50">
        <f>PlanGrid[[#This Row],[kWh/yr]]*' Elec Utility (kWh)'!$M$7</f>
        <v>0</v>
      </c>
      <c r="K701" s="38">
        <f>PlanGrid[[#This Row],[kWh/yr]]/'Schedule-Building Info'!$B$6</f>
        <v>0</v>
      </c>
      <c r="L701" s="50">
        <f>CONVERT(PlanGrid[[#This Row],[kWh/yr]],"Wh","BTU")</f>
        <v>0</v>
      </c>
      <c r="M701" s="38">
        <f>PlanGrid[[#This Row],[kBtu/yr]]/'Schedule-Building Info'!$B$6</f>
        <v>0</v>
      </c>
      <c r="N701" t="s">
        <v>1092</v>
      </c>
      <c r="O701">
        <v>0</v>
      </c>
      <c r="P701" t="e">
        <f>VLOOKUP(PlanGrid[[#This Row],[Title]],'Spec Wattages'!$A$1:$C$973,3,FALSE)</f>
        <v>#N/A</v>
      </c>
      <c r="Q701" t="s">
        <v>885</v>
      </c>
      <c r="R701" t="s">
        <v>1056</v>
      </c>
      <c r="S701" t="s">
        <v>11</v>
      </c>
    </row>
    <row r="702" spans="1:19" x14ac:dyDescent="0.25">
      <c r="A702">
        <v>272</v>
      </c>
      <c r="B702" t="s">
        <v>632</v>
      </c>
      <c r="C702" t="s">
        <v>18</v>
      </c>
      <c r="E702" s="50">
        <f>VLOOKUP(PlanGrid[[#This Row],[Title]],'Spec Wattages'!$A$1:$C$973,2,FALSE)</f>
        <v>5</v>
      </c>
      <c r="F702" s="38">
        <v>1</v>
      </c>
      <c r="G702" s="39">
        <v>1</v>
      </c>
      <c r="H702" s="58">
        <f>PlanGrid[[#This Row],[Spec Wattage]]*PlanGrid[[#This Row],[Equipment Count]]</f>
        <v>5</v>
      </c>
      <c r="I702" s="50">
        <f>((PlanGrid[[#This Row],[Demand Watt]]*PlanGrid[[#This Row],[Utilization %]]*'Schedule-Building Info'!$N$16)/1000)</f>
        <v>27.375</v>
      </c>
      <c r="J702" s="57">
        <f>PlanGrid[[#This Row],[kWh/yr]]*' Elec Utility (kWh)'!$M$7</f>
        <v>2.9185401862234706</v>
      </c>
      <c r="K702" s="38">
        <f>PlanGrid[[#This Row],[kWh/yr]]/'Schedule-Building Info'!$B$6</f>
        <v>4.5018007202881152E-4</v>
      </c>
      <c r="L702" s="50">
        <f>CONVERT(PlanGrid[[#This Row],[kWh/yr]],"Wh","BTU")</f>
        <v>93.407377206877399</v>
      </c>
      <c r="M702" s="38">
        <f>PlanGrid[[#This Row],[kBtu/yr]]/'Schedule-Building Info'!$B$6</f>
        <v>1.5360781661740432E-3</v>
      </c>
      <c r="N702" t="s">
        <v>1092</v>
      </c>
      <c r="O702">
        <v>0</v>
      </c>
      <c r="P702" t="str">
        <f>VLOOKUP(PlanGrid[[#This Row],[Title]],'Spec Wattages'!$A$1:$C$973,3,FALSE)</f>
        <v>Plug Load</v>
      </c>
      <c r="Q702" t="s">
        <v>983</v>
      </c>
      <c r="R702" t="s">
        <v>872</v>
      </c>
      <c r="S702" t="s">
        <v>11</v>
      </c>
    </row>
    <row r="703" spans="1:19" hidden="1" x14ac:dyDescent="0.25">
      <c r="A703">
        <v>1109</v>
      </c>
      <c r="B703" t="s">
        <v>13</v>
      </c>
      <c r="C703" t="s">
        <v>10</v>
      </c>
      <c r="D703" t="s">
        <v>625</v>
      </c>
      <c r="E703" s="50"/>
      <c r="F703" s="38"/>
      <c r="G703" s="38"/>
      <c r="H703" s="58">
        <f>PlanGrid[[#This Row],[Spec Wattage]]*PlanGrid[[#This Row],[Equipment Count]]</f>
        <v>0</v>
      </c>
      <c r="I703" s="50">
        <f>((PlanGrid[[#This Row],[Demand Watt]]*PlanGrid[[#This Row],[Utilization %]]*'Schedule-Building Info'!$N$16)/1000)</f>
        <v>0</v>
      </c>
      <c r="J703" s="50">
        <f>PlanGrid[[#This Row],[kWh/yr]]*' Elec Utility (kWh)'!$M$7</f>
        <v>0</v>
      </c>
      <c r="K703" s="38">
        <f>PlanGrid[[#This Row],[kWh/yr]]/'Schedule-Building Info'!$B$6</f>
        <v>0</v>
      </c>
      <c r="L703" s="50">
        <f>CONVERT(PlanGrid[[#This Row],[kWh/yr]],"Wh","BTU")</f>
        <v>0</v>
      </c>
      <c r="M703" s="38">
        <f>PlanGrid[[#This Row],[kBtu/yr]]/'Schedule-Building Info'!$B$6</f>
        <v>0</v>
      </c>
      <c r="N703" t="s">
        <v>1092</v>
      </c>
      <c r="O703">
        <v>0</v>
      </c>
      <c r="P703" t="e">
        <f>VLOOKUP(PlanGrid[[#This Row],[Title]],'Spec Wattages'!$A$1:$C$973,3,FALSE)</f>
        <v>#N/A</v>
      </c>
      <c r="Q703" t="s">
        <v>1007</v>
      </c>
      <c r="R703" t="s">
        <v>1008</v>
      </c>
      <c r="S703" t="s">
        <v>11</v>
      </c>
    </row>
    <row r="704" spans="1:19" hidden="1" x14ac:dyDescent="0.25">
      <c r="A704">
        <v>1110</v>
      </c>
      <c r="B704" t="s">
        <v>13</v>
      </c>
      <c r="C704" t="s">
        <v>10</v>
      </c>
      <c r="D704" t="s">
        <v>626</v>
      </c>
      <c r="E704" s="50"/>
      <c r="F704" s="38"/>
      <c r="G704" s="38"/>
      <c r="H704" s="58">
        <f>PlanGrid[[#This Row],[Spec Wattage]]*PlanGrid[[#This Row],[Equipment Count]]</f>
        <v>0</v>
      </c>
      <c r="I704" s="50">
        <f>((PlanGrid[[#This Row],[Demand Watt]]*PlanGrid[[#This Row],[Utilization %]]*'Schedule-Building Info'!$N$16)/1000)</f>
        <v>0</v>
      </c>
      <c r="J704" s="50">
        <f>PlanGrid[[#This Row],[kWh/yr]]*' Elec Utility (kWh)'!$M$7</f>
        <v>0</v>
      </c>
      <c r="K704" s="38">
        <f>PlanGrid[[#This Row],[kWh/yr]]/'Schedule-Building Info'!$B$6</f>
        <v>0</v>
      </c>
      <c r="L704" s="50">
        <f>CONVERT(PlanGrid[[#This Row],[kWh/yr]],"Wh","BTU")</f>
        <v>0</v>
      </c>
      <c r="M704" s="38">
        <f>PlanGrid[[#This Row],[kBtu/yr]]/'Schedule-Building Info'!$B$6</f>
        <v>0</v>
      </c>
      <c r="N704" t="s">
        <v>1092</v>
      </c>
      <c r="O704">
        <v>0</v>
      </c>
      <c r="P704" t="e">
        <f>VLOOKUP(PlanGrid[[#This Row],[Title]],'Spec Wattages'!$A$1:$C$973,3,FALSE)</f>
        <v>#N/A</v>
      </c>
      <c r="Q704" t="s">
        <v>1008</v>
      </c>
      <c r="R704" t="s">
        <v>1083</v>
      </c>
      <c r="S704" t="s">
        <v>11</v>
      </c>
    </row>
    <row r="705" spans="1:19" x14ac:dyDescent="0.25">
      <c r="A705">
        <v>293</v>
      </c>
      <c r="B705" t="s">
        <v>632</v>
      </c>
      <c r="C705" t="s">
        <v>18</v>
      </c>
      <c r="E705" s="50">
        <f>VLOOKUP(PlanGrid[[#This Row],[Title]],'Spec Wattages'!$A$1:$C$973,2,FALSE)</f>
        <v>5</v>
      </c>
      <c r="F705" s="38">
        <v>1</v>
      </c>
      <c r="G705" s="39">
        <v>1</v>
      </c>
      <c r="H705" s="58">
        <f>PlanGrid[[#This Row],[Spec Wattage]]*PlanGrid[[#This Row],[Equipment Count]]</f>
        <v>5</v>
      </c>
      <c r="I705" s="50">
        <f>((PlanGrid[[#This Row],[Demand Watt]]*PlanGrid[[#This Row],[Utilization %]]*'Schedule-Building Info'!$N$16)/1000)</f>
        <v>27.375</v>
      </c>
      <c r="J705" s="57">
        <f>PlanGrid[[#This Row],[kWh/yr]]*' Elec Utility (kWh)'!$M$7</f>
        <v>2.9185401862234706</v>
      </c>
      <c r="K705" s="38">
        <f>PlanGrid[[#This Row],[kWh/yr]]/'Schedule-Building Info'!$B$6</f>
        <v>4.5018007202881152E-4</v>
      </c>
      <c r="L705" s="50">
        <f>CONVERT(PlanGrid[[#This Row],[kWh/yr]],"Wh","BTU")</f>
        <v>93.407377206877399</v>
      </c>
      <c r="M705" s="38">
        <f>PlanGrid[[#This Row],[kBtu/yr]]/'Schedule-Building Info'!$B$6</f>
        <v>1.5360781661740432E-3</v>
      </c>
      <c r="N705" t="s">
        <v>1092</v>
      </c>
      <c r="O705">
        <v>0</v>
      </c>
      <c r="P705" t="str">
        <f>VLOOKUP(PlanGrid[[#This Row],[Title]],'Spec Wattages'!$A$1:$C$973,3,FALSE)</f>
        <v>Plug Load</v>
      </c>
      <c r="Q705" t="s">
        <v>875</v>
      </c>
      <c r="R705" t="s">
        <v>1042</v>
      </c>
      <c r="S705" t="s">
        <v>11</v>
      </c>
    </row>
    <row r="706" spans="1:19" x14ac:dyDescent="0.25">
      <c r="A706">
        <v>316</v>
      </c>
      <c r="B706" t="s">
        <v>632</v>
      </c>
      <c r="C706" t="s">
        <v>18</v>
      </c>
      <c r="E706" s="50">
        <f>VLOOKUP(PlanGrid[[#This Row],[Title]],'Spec Wattages'!$A$1:$C$973,2,FALSE)</f>
        <v>5</v>
      </c>
      <c r="F706" s="38">
        <v>1</v>
      </c>
      <c r="G706" s="39">
        <v>1</v>
      </c>
      <c r="H706" s="58">
        <f>PlanGrid[[#This Row],[Spec Wattage]]*PlanGrid[[#This Row],[Equipment Count]]</f>
        <v>5</v>
      </c>
      <c r="I706" s="50">
        <f>((PlanGrid[[#This Row],[Demand Watt]]*PlanGrid[[#This Row],[Utilization %]]*'Schedule-Building Info'!$N$16)/1000)</f>
        <v>27.375</v>
      </c>
      <c r="J706" s="57">
        <f>PlanGrid[[#This Row],[kWh/yr]]*' Elec Utility (kWh)'!$M$7</f>
        <v>2.9185401862234706</v>
      </c>
      <c r="K706" s="38">
        <f>PlanGrid[[#This Row],[kWh/yr]]/'Schedule-Building Info'!$B$6</f>
        <v>4.5018007202881152E-4</v>
      </c>
      <c r="L706" s="50">
        <f>CONVERT(PlanGrid[[#This Row],[kWh/yr]],"Wh","BTU")</f>
        <v>93.407377206877399</v>
      </c>
      <c r="M706" s="38">
        <f>PlanGrid[[#This Row],[kBtu/yr]]/'Schedule-Building Info'!$B$6</f>
        <v>1.5360781661740432E-3</v>
      </c>
      <c r="N706" t="s">
        <v>1092</v>
      </c>
      <c r="O706">
        <v>0</v>
      </c>
      <c r="P706" t="str">
        <f>VLOOKUP(PlanGrid[[#This Row],[Title]],'Spec Wattages'!$A$1:$C$973,3,FALSE)</f>
        <v>Plug Load</v>
      </c>
      <c r="Q706" t="s">
        <v>885</v>
      </c>
      <c r="R706" t="s">
        <v>1056</v>
      </c>
      <c r="S706" t="s">
        <v>11</v>
      </c>
    </row>
    <row r="707" spans="1:19" x14ac:dyDescent="0.25">
      <c r="A707">
        <v>324</v>
      </c>
      <c r="B707" t="s">
        <v>632</v>
      </c>
      <c r="C707" t="s">
        <v>18</v>
      </c>
      <c r="E707" s="50">
        <f>VLOOKUP(PlanGrid[[#This Row],[Title]],'Spec Wattages'!$A$1:$C$973,2,FALSE)</f>
        <v>5</v>
      </c>
      <c r="F707" s="38">
        <v>1</v>
      </c>
      <c r="G707" s="39">
        <v>1</v>
      </c>
      <c r="H707" s="58">
        <f>PlanGrid[[#This Row],[Spec Wattage]]*PlanGrid[[#This Row],[Equipment Count]]</f>
        <v>5</v>
      </c>
      <c r="I707" s="50">
        <f>((PlanGrid[[#This Row],[Demand Watt]]*PlanGrid[[#This Row],[Utilization %]]*'Schedule-Building Info'!$N$16)/1000)</f>
        <v>27.375</v>
      </c>
      <c r="J707" s="57">
        <f>PlanGrid[[#This Row],[kWh/yr]]*' Elec Utility (kWh)'!$M$7</f>
        <v>2.9185401862234706</v>
      </c>
      <c r="K707" s="38">
        <f>PlanGrid[[#This Row],[kWh/yr]]/'Schedule-Building Info'!$B$6</f>
        <v>4.5018007202881152E-4</v>
      </c>
      <c r="L707" s="50">
        <f>CONVERT(PlanGrid[[#This Row],[kWh/yr]],"Wh","BTU")</f>
        <v>93.407377206877399</v>
      </c>
      <c r="M707" s="38">
        <f>PlanGrid[[#This Row],[kBtu/yr]]/'Schedule-Building Info'!$B$6</f>
        <v>1.5360781661740432E-3</v>
      </c>
      <c r="N707" t="s">
        <v>1092</v>
      </c>
      <c r="O707">
        <v>0</v>
      </c>
      <c r="P707" t="str">
        <f>VLOOKUP(PlanGrid[[#This Row],[Title]],'Spec Wattages'!$A$1:$C$973,3,FALSE)</f>
        <v>Plug Load</v>
      </c>
      <c r="Q707" t="s">
        <v>887</v>
      </c>
      <c r="R707" t="s">
        <v>1056</v>
      </c>
      <c r="S707" t="s">
        <v>11</v>
      </c>
    </row>
    <row r="708" spans="1:19" x14ac:dyDescent="0.25">
      <c r="A708">
        <v>330</v>
      </c>
      <c r="B708" t="s">
        <v>632</v>
      </c>
      <c r="C708" t="s">
        <v>18</v>
      </c>
      <c r="E708" s="50">
        <f>VLOOKUP(PlanGrid[[#This Row],[Title]],'Spec Wattages'!$A$1:$C$973,2,FALSE)</f>
        <v>5</v>
      </c>
      <c r="F708" s="38">
        <v>1</v>
      </c>
      <c r="G708" s="39">
        <v>1</v>
      </c>
      <c r="H708" s="58">
        <f>PlanGrid[[#This Row],[Spec Wattage]]*PlanGrid[[#This Row],[Equipment Count]]</f>
        <v>5</v>
      </c>
      <c r="I708" s="50">
        <f>((PlanGrid[[#This Row],[Demand Watt]]*PlanGrid[[#This Row],[Utilization %]]*'Schedule-Building Info'!$N$16)/1000)</f>
        <v>27.375</v>
      </c>
      <c r="J708" s="57">
        <f>PlanGrid[[#This Row],[kWh/yr]]*' Elec Utility (kWh)'!$M$7</f>
        <v>2.9185401862234706</v>
      </c>
      <c r="K708" s="38">
        <f>PlanGrid[[#This Row],[kWh/yr]]/'Schedule-Building Info'!$B$6</f>
        <v>4.5018007202881152E-4</v>
      </c>
      <c r="L708" s="50">
        <f>CONVERT(PlanGrid[[#This Row],[kWh/yr]],"Wh","BTU")</f>
        <v>93.407377206877399</v>
      </c>
      <c r="M708" s="38">
        <f>PlanGrid[[#This Row],[kBtu/yr]]/'Schedule-Building Info'!$B$6</f>
        <v>1.5360781661740432E-3</v>
      </c>
      <c r="N708" t="s">
        <v>1092</v>
      </c>
      <c r="O708">
        <v>0</v>
      </c>
      <c r="P708" t="str">
        <f>VLOOKUP(PlanGrid[[#This Row],[Title]],'Spec Wattages'!$A$1:$C$973,3,FALSE)</f>
        <v>Plug Load</v>
      </c>
      <c r="Q708" t="s">
        <v>888</v>
      </c>
      <c r="R708" t="s">
        <v>1056</v>
      </c>
      <c r="S708" t="s">
        <v>11</v>
      </c>
    </row>
    <row r="709" spans="1:19" x14ac:dyDescent="0.25">
      <c r="A709">
        <v>335</v>
      </c>
      <c r="B709" t="s">
        <v>632</v>
      </c>
      <c r="C709" t="s">
        <v>18</v>
      </c>
      <c r="E709" s="50">
        <f>VLOOKUP(PlanGrid[[#This Row],[Title]],'Spec Wattages'!$A$1:$C$973,2,FALSE)</f>
        <v>5</v>
      </c>
      <c r="F709" s="38">
        <v>1</v>
      </c>
      <c r="G709" s="39">
        <v>1</v>
      </c>
      <c r="H709" s="58">
        <f>PlanGrid[[#This Row],[Spec Wattage]]*PlanGrid[[#This Row],[Equipment Count]]</f>
        <v>5</v>
      </c>
      <c r="I709" s="50">
        <f>((PlanGrid[[#This Row],[Demand Watt]]*PlanGrid[[#This Row],[Utilization %]]*'Schedule-Building Info'!$N$16)/1000)</f>
        <v>27.375</v>
      </c>
      <c r="J709" s="57">
        <f>PlanGrid[[#This Row],[kWh/yr]]*' Elec Utility (kWh)'!$M$7</f>
        <v>2.9185401862234706</v>
      </c>
      <c r="K709" s="38">
        <f>PlanGrid[[#This Row],[kWh/yr]]/'Schedule-Building Info'!$B$6</f>
        <v>4.5018007202881152E-4</v>
      </c>
      <c r="L709" s="50">
        <f>CONVERT(PlanGrid[[#This Row],[kWh/yr]],"Wh","BTU")</f>
        <v>93.407377206877399</v>
      </c>
      <c r="M709" s="38">
        <f>PlanGrid[[#This Row],[kBtu/yr]]/'Schedule-Building Info'!$B$6</f>
        <v>1.5360781661740432E-3</v>
      </c>
      <c r="N709" t="s">
        <v>1092</v>
      </c>
      <c r="O709">
        <v>0</v>
      </c>
      <c r="P709" t="str">
        <f>VLOOKUP(PlanGrid[[#This Row],[Title]],'Spec Wattages'!$A$1:$C$973,3,FALSE)</f>
        <v>Plug Load</v>
      </c>
      <c r="Q709" t="s">
        <v>946</v>
      </c>
      <c r="R709" t="s">
        <v>1056</v>
      </c>
      <c r="S709" t="s">
        <v>11</v>
      </c>
    </row>
    <row r="710" spans="1:19" x14ac:dyDescent="0.25">
      <c r="A710">
        <v>339</v>
      </c>
      <c r="B710" t="s">
        <v>632</v>
      </c>
      <c r="C710" t="s">
        <v>18</v>
      </c>
      <c r="E710" s="50">
        <f>VLOOKUP(PlanGrid[[#This Row],[Title]],'Spec Wattages'!$A$1:$C$973,2,FALSE)</f>
        <v>5</v>
      </c>
      <c r="F710" s="38">
        <v>1</v>
      </c>
      <c r="G710" s="39">
        <v>1</v>
      </c>
      <c r="H710" s="58">
        <f>PlanGrid[[#This Row],[Spec Wattage]]*PlanGrid[[#This Row],[Equipment Count]]</f>
        <v>5</v>
      </c>
      <c r="I710" s="50">
        <f>((PlanGrid[[#This Row],[Demand Watt]]*PlanGrid[[#This Row],[Utilization %]]*'Schedule-Building Info'!$N$16)/1000)</f>
        <v>27.375</v>
      </c>
      <c r="J710" s="57">
        <f>PlanGrid[[#This Row],[kWh/yr]]*' Elec Utility (kWh)'!$M$7</f>
        <v>2.9185401862234706</v>
      </c>
      <c r="K710" s="38">
        <f>PlanGrid[[#This Row],[kWh/yr]]/'Schedule-Building Info'!$B$6</f>
        <v>4.5018007202881152E-4</v>
      </c>
      <c r="L710" s="50">
        <f>CONVERT(PlanGrid[[#This Row],[kWh/yr]],"Wh","BTU")</f>
        <v>93.407377206877399</v>
      </c>
      <c r="M710" s="38">
        <f>PlanGrid[[#This Row],[kBtu/yr]]/'Schedule-Building Info'!$B$6</f>
        <v>1.5360781661740432E-3</v>
      </c>
      <c r="N710" t="s">
        <v>1092</v>
      </c>
      <c r="O710">
        <v>0</v>
      </c>
      <c r="P710" t="str">
        <f>VLOOKUP(PlanGrid[[#This Row],[Title]],'Spec Wattages'!$A$1:$C$973,3,FALSE)</f>
        <v>Plug Load</v>
      </c>
      <c r="Q710" t="s">
        <v>891</v>
      </c>
      <c r="R710" t="s">
        <v>1056</v>
      </c>
      <c r="S710" t="s">
        <v>11</v>
      </c>
    </row>
    <row r="711" spans="1:19" x14ac:dyDescent="0.25">
      <c r="A711">
        <v>349</v>
      </c>
      <c r="B711" t="s">
        <v>632</v>
      </c>
      <c r="C711" t="s">
        <v>18</v>
      </c>
      <c r="E711" s="50">
        <f>VLOOKUP(PlanGrid[[#This Row],[Title]],'Spec Wattages'!$A$1:$C$973,2,FALSE)</f>
        <v>5</v>
      </c>
      <c r="F711" s="38">
        <v>1</v>
      </c>
      <c r="G711" s="39">
        <v>1</v>
      </c>
      <c r="H711" s="58">
        <f>PlanGrid[[#This Row],[Spec Wattage]]*PlanGrid[[#This Row],[Equipment Count]]</f>
        <v>5</v>
      </c>
      <c r="I711" s="50">
        <f>((PlanGrid[[#This Row],[Demand Watt]]*PlanGrid[[#This Row],[Utilization %]]*'Schedule-Building Info'!$N$16)/1000)</f>
        <v>27.375</v>
      </c>
      <c r="J711" s="57">
        <f>PlanGrid[[#This Row],[kWh/yr]]*' Elec Utility (kWh)'!$M$7</f>
        <v>2.9185401862234706</v>
      </c>
      <c r="K711" s="38">
        <f>PlanGrid[[#This Row],[kWh/yr]]/'Schedule-Building Info'!$B$6</f>
        <v>4.5018007202881152E-4</v>
      </c>
      <c r="L711" s="50">
        <f>CONVERT(PlanGrid[[#This Row],[kWh/yr]],"Wh","BTU")</f>
        <v>93.407377206877399</v>
      </c>
      <c r="M711" s="38">
        <f>PlanGrid[[#This Row],[kBtu/yr]]/'Schedule-Building Info'!$B$6</f>
        <v>1.5360781661740432E-3</v>
      </c>
      <c r="N711" t="s">
        <v>1092</v>
      </c>
      <c r="O711">
        <v>0</v>
      </c>
      <c r="P711" t="str">
        <f>VLOOKUP(PlanGrid[[#This Row],[Title]],'Spec Wattages'!$A$1:$C$973,3,FALSE)</f>
        <v>Plug Load</v>
      </c>
      <c r="Q711" t="s">
        <v>892</v>
      </c>
      <c r="R711" t="s">
        <v>1043</v>
      </c>
      <c r="S711" t="s">
        <v>11</v>
      </c>
    </row>
    <row r="712" spans="1:19" x14ac:dyDescent="0.25">
      <c r="A712">
        <v>354</v>
      </c>
      <c r="B712" t="s">
        <v>632</v>
      </c>
      <c r="C712" t="s">
        <v>18</v>
      </c>
      <c r="E712" s="50">
        <f>VLOOKUP(PlanGrid[[#This Row],[Title]],'Spec Wattages'!$A$1:$C$973,2,FALSE)</f>
        <v>5</v>
      </c>
      <c r="F712" s="38">
        <v>1</v>
      </c>
      <c r="G712" s="39">
        <v>1</v>
      </c>
      <c r="H712" s="58">
        <f>PlanGrid[[#This Row],[Spec Wattage]]*PlanGrid[[#This Row],[Equipment Count]]</f>
        <v>5</v>
      </c>
      <c r="I712" s="50">
        <f>((PlanGrid[[#This Row],[Demand Watt]]*PlanGrid[[#This Row],[Utilization %]]*'Schedule-Building Info'!$N$16)/1000)</f>
        <v>27.375</v>
      </c>
      <c r="J712" s="57">
        <f>PlanGrid[[#This Row],[kWh/yr]]*' Elec Utility (kWh)'!$M$7</f>
        <v>2.9185401862234706</v>
      </c>
      <c r="K712" s="38">
        <f>PlanGrid[[#This Row],[kWh/yr]]/'Schedule-Building Info'!$B$6</f>
        <v>4.5018007202881152E-4</v>
      </c>
      <c r="L712" s="50">
        <f>CONVERT(PlanGrid[[#This Row],[kWh/yr]],"Wh","BTU")</f>
        <v>93.407377206877399</v>
      </c>
      <c r="M712" s="38">
        <f>PlanGrid[[#This Row],[kBtu/yr]]/'Schedule-Building Info'!$B$6</f>
        <v>1.5360781661740432E-3</v>
      </c>
      <c r="N712" t="s">
        <v>1092</v>
      </c>
      <c r="O712">
        <v>0</v>
      </c>
      <c r="P712" t="str">
        <f>VLOOKUP(PlanGrid[[#This Row],[Title]],'Spec Wattages'!$A$1:$C$973,3,FALSE)</f>
        <v>Plug Load</v>
      </c>
      <c r="Q712" t="s">
        <v>947</v>
      </c>
      <c r="R712" t="s">
        <v>1043</v>
      </c>
      <c r="S712" t="s">
        <v>11</v>
      </c>
    </row>
    <row r="713" spans="1:19" x14ac:dyDescent="0.25">
      <c r="A713">
        <v>356</v>
      </c>
      <c r="B713" t="s">
        <v>632</v>
      </c>
      <c r="C713" t="s">
        <v>18</v>
      </c>
      <c r="E713" s="50">
        <f>VLOOKUP(PlanGrid[[#This Row],[Title]],'Spec Wattages'!$A$1:$C$973,2,FALSE)</f>
        <v>5</v>
      </c>
      <c r="F713" s="38">
        <v>1</v>
      </c>
      <c r="G713" s="39">
        <v>1</v>
      </c>
      <c r="H713" s="58">
        <f>PlanGrid[[#This Row],[Spec Wattage]]*PlanGrid[[#This Row],[Equipment Count]]</f>
        <v>5</v>
      </c>
      <c r="I713" s="50">
        <f>((PlanGrid[[#This Row],[Demand Watt]]*PlanGrid[[#This Row],[Utilization %]]*'Schedule-Building Info'!$N$16)/1000)</f>
        <v>27.375</v>
      </c>
      <c r="J713" s="57">
        <f>PlanGrid[[#This Row],[kWh/yr]]*' Elec Utility (kWh)'!$M$7</f>
        <v>2.9185401862234706</v>
      </c>
      <c r="K713" s="38">
        <f>PlanGrid[[#This Row],[kWh/yr]]/'Schedule-Building Info'!$B$6</f>
        <v>4.5018007202881152E-4</v>
      </c>
      <c r="L713" s="50">
        <f>CONVERT(PlanGrid[[#This Row],[kWh/yr]],"Wh","BTU")</f>
        <v>93.407377206877399</v>
      </c>
      <c r="M713" s="38">
        <f>PlanGrid[[#This Row],[kBtu/yr]]/'Schedule-Building Info'!$B$6</f>
        <v>1.5360781661740432E-3</v>
      </c>
      <c r="N713" t="s">
        <v>1092</v>
      </c>
      <c r="O713">
        <v>0</v>
      </c>
      <c r="P713" t="str">
        <f>VLOOKUP(PlanGrid[[#This Row],[Title]],'Spec Wattages'!$A$1:$C$973,3,FALSE)</f>
        <v>Plug Load</v>
      </c>
      <c r="Q713" t="s">
        <v>893</v>
      </c>
      <c r="R713" t="s">
        <v>1043</v>
      </c>
      <c r="S713" t="s">
        <v>11</v>
      </c>
    </row>
    <row r="714" spans="1:19" x14ac:dyDescent="0.25">
      <c r="A714">
        <v>359</v>
      </c>
      <c r="B714" t="s">
        <v>632</v>
      </c>
      <c r="C714" t="s">
        <v>18</v>
      </c>
      <c r="E714" s="50">
        <f>VLOOKUP(PlanGrid[[#This Row],[Title]],'Spec Wattages'!$A$1:$C$973,2,FALSE)</f>
        <v>5</v>
      </c>
      <c r="F714" s="38">
        <v>1</v>
      </c>
      <c r="G714" s="39">
        <v>1</v>
      </c>
      <c r="H714" s="58">
        <f>PlanGrid[[#This Row],[Spec Wattage]]*PlanGrid[[#This Row],[Equipment Count]]</f>
        <v>5</v>
      </c>
      <c r="I714" s="50">
        <f>((PlanGrid[[#This Row],[Demand Watt]]*PlanGrid[[#This Row],[Utilization %]]*'Schedule-Building Info'!$N$16)/1000)</f>
        <v>27.375</v>
      </c>
      <c r="J714" s="57">
        <f>PlanGrid[[#This Row],[kWh/yr]]*' Elec Utility (kWh)'!$M$7</f>
        <v>2.9185401862234706</v>
      </c>
      <c r="K714" s="38">
        <f>PlanGrid[[#This Row],[kWh/yr]]/'Schedule-Building Info'!$B$6</f>
        <v>4.5018007202881152E-4</v>
      </c>
      <c r="L714" s="50">
        <f>CONVERT(PlanGrid[[#This Row],[kWh/yr]],"Wh","BTU")</f>
        <v>93.407377206877399</v>
      </c>
      <c r="M714" s="38">
        <f>PlanGrid[[#This Row],[kBtu/yr]]/'Schedule-Building Info'!$B$6</f>
        <v>1.5360781661740432E-3</v>
      </c>
      <c r="N714" t="s">
        <v>1092</v>
      </c>
      <c r="O714">
        <v>0</v>
      </c>
      <c r="P714" t="str">
        <f>VLOOKUP(PlanGrid[[#This Row],[Title]],'Spec Wattages'!$A$1:$C$973,3,FALSE)</f>
        <v>Plug Load</v>
      </c>
      <c r="Q714" t="s">
        <v>893</v>
      </c>
      <c r="R714" t="s">
        <v>1043</v>
      </c>
      <c r="S714" t="s">
        <v>11</v>
      </c>
    </row>
    <row r="715" spans="1:19" x14ac:dyDescent="0.25">
      <c r="A715">
        <v>366</v>
      </c>
      <c r="B715" t="s">
        <v>632</v>
      </c>
      <c r="C715" t="s">
        <v>18</v>
      </c>
      <c r="E715" s="50">
        <f>VLOOKUP(PlanGrid[[#This Row],[Title]],'Spec Wattages'!$A$1:$C$973,2,FALSE)</f>
        <v>5</v>
      </c>
      <c r="F715" s="38">
        <v>1</v>
      </c>
      <c r="G715" s="39">
        <v>1</v>
      </c>
      <c r="H715" s="58">
        <f>PlanGrid[[#This Row],[Spec Wattage]]*PlanGrid[[#This Row],[Equipment Count]]</f>
        <v>5</v>
      </c>
      <c r="I715" s="50">
        <f>((PlanGrid[[#This Row],[Demand Watt]]*PlanGrid[[#This Row],[Utilization %]]*'Schedule-Building Info'!$N$16)/1000)</f>
        <v>27.375</v>
      </c>
      <c r="J715" s="57">
        <f>PlanGrid[[#This Row],[kWh/yr]]*' Elec Utility (kWh)'!$M$7</f>
        <v>2.9185401862234706</v>
      </c>
      <c r="K715" s="38">
        <f>PlanGrid[[#This Row],[kWh/yr]]/'Schedule-Building Info'!$B$6</f>
        <v>4.5018007202881152E-4</v>
      </c>
      <c r="L715" s="50">
        <f>CONVERT(PlanGrid[[#This Row],[kWh/yr]],"Wh","BTU")</f>
        <v>93.407377206877399</v>
      </c>
      <c r="M715" s="38">
        <f>PlanGrid[[#This Row],[kBtu/yr]]/'Schedule-Building Info'!$B$6</f>
        <v>1.5360781661740432E-3</v>
      </c>
      <c r="N715" t="s">
        <v>1092</v>
      </c>
      <c r="O715">
        <v>0</v>
      </c>
      <c r="P715" t="str">
        <f>VLOOKUP(PlanGrid[[#This Row],[Title]],'Spec Wattages'!$A$1:$C$973,3,FALSE)</f>
        <v>Plug Load</v>
      </c>
      <c r="Q715" t="s">
        <v>895</v>
      </c>
      <c r="R715" t="s">
        <v>1043</v>
      </c>
      <c r="S715" t="s">
        <v>11</v>
      </c>
    </row>
    <row r="716" spans="1:19" x14ac:dyDescent="0.25">
      <c r="A716">
        <v>387</v>
      </c>
      <c r="B716" t="s">
        <v>632</v>
      </c>
      <c r="C716" t="s">
        <v>18</v>
      </c>
      <c r="E716" s="50">
        <f>VLOOKUP(PlanGrid[[#This Row],[Title]],'Spec Wattages'!$A$1:$C$973,2,FALSE)</f>
        <v>5</v>
      </c>
      <c r="F716" s="38">
        <v>1</v>
      </c>
      <c r="G716" s="39">
        <v>1</v>
      </c>
      <c r="H716" s="58">
        <f>PlanGrid[[#This Row],[Spec Wattage]]*PlanGrid[[#This Row],[Equipment Count]]</f>
        <v>5</v>
      </c>
      <c r="I716" s="50">
        <f>((PlanGrid[[#This Row],[Demand Watt]]*PlanGrid[[#This Row],[Utilization %]]*'Schedule-Building Info'!$N$16)/1000)</f>
        <v>27.375</v>
      </c>
      <c r="J716" s="57">
        <f>PlanGrid[[#This Row],[kWh/yr]]*' Elec Utility (kWh)'!$M$7</f>
        <v>2.9185401862234706</v>
      </c>
      <c r="K716" s="38">
        <f>PlanGrid[[#This Row],[kWh/yr]]/'Schedule-Building Info'!$B$6</f>
        <v>4.5018007202881152E-4</v>
      </c>
      <c r="L716" s="50">
        <f>CONVERT(PlanGrid[[#This Row],[kWh/yr]],"Wh","BTU")</f>
        <v>93.407377206877399</v>
      </c>
      <c r="M716" s="38">
        <f>PlanGrid[[#This Row],[kBtu/yr]]/'Schedule-Building Info'!$B$6</f>
        <v>1.5360781661740432E-3</v>
      </c>
      <c r="N716" t="s">
        <v>1092</v>
      </c>
      <c r="O716">
        <v>0</v>
      </c>
      <c r="P716" t="str">
        <f>VLOOKUP(PlanGrid[[#This Row],[Title]],'Spec Wattages'!$A$1:$C$973,3,FALSE)</f>
        <v>Plug Load</v>
      </c>
      <c r="Q716" t="s">
        <v>784</v>
      </c>
      <c r="R716" t="s">
        <v>1085</v>
      </c>
      <c r="S716" t="s">
        <v>11</v>
      </c>
    </row>
    <row r="717" spans="1:19" x14ac:dyDescent="0.25">
      <c r="A717">
        <v>392</v>
      </c>
      <c r="B717" t="s">
        <v>632</v>
      </c>
      <c r="C717" t="s">
        <v>18</v>
      </c>
      <c r="E717" s="50">
        <f>VLOOKUP(PlanGrid[[#This Row],[Title]],'Spec Wattages'!$A$1:$C$973,2,FALSE)</f>
        <v>5</v>
      </c>
      <c r="F717" s="38">
        <v>1</v>
      </c>
      <c r="G717" s="39">
        <v>1</v>
      </c>
      <c r="H717" s="58">
        <f>PlanGrid[[#This Row],[Spec Wattage]]*PlanGrid[[#This Row],[Equipment Count]]</f>
        <v>5</v>
      </c>
      <c r="I717" s="50">
        <f>((PlanGrid[[#This Row],[Demand Watt]]*PlanGrid[[#This Row],[Utilization %]]*'Schedule-Building Info'!$N$16)/1000)</f>
        <v>27.375</v>
      </c>
      <c r="J717" s="57">
        <f>PlanGrid[[#This Row],[kWh/yr]]*' Elec Utility (kWh)'!$M$7</f>
        <v>2.9185401862234706</v>
      </c>
      <c r="K717" s="38">
        <f>PlanGrid[[#This Row],[kWh/yr]]/'Schedule-Building Info'!$B$6</f>
        <v>4.5018007202881152E-4</v>
      </c>
      <c r="L717" s="50">
        <f>CONVERT(PlanGrid[[#This Row],[kWh/yr]],"Wh","BTU")</f>
        <v>93.407377206877399</v>
      </c>
      <c r="M717" s="38">
        <f>PlanGrid[[#This Row],[kBtu/yr]]/'Schedule-Building Info'!$B$6</f>
        <v>1.5360781661740432E-3</v>
      </c>
      <c r="N717" t="s">
        <v>1092</v>
      </c>
      <c r="O717">
        <v>0</v>
      </c>
      <c r="P717" t="str">
        <f>VLOOKUP(PlanGrid[[#This Row],[Title]],'Spec Wattages'!$A$1:$C$973,3,FALSE)</f>
        <v>Plug Load</v>
      </c>
      <c r="Q717" t="s">
        <v>764</v>
      </c>
      <c r="R717" t="s">
        <v>1058</v>
      </c>
      <c r="S717" t="s">
        <v>11</v>
      </c>
    </row>
    <row r="718" spans="1:19" x14ac:dyDescent="0.25">
      <c r="A718">
        <v>399</v>
      </c>
      <c r="B718" t="s">
        <v>632</v>
      </c>
      <c r="C718" t="s">
        <v>18</v>
      </c>
      <c r="E718" s="50">
        <f>VLOOKUP(PlanGrid[[#This Row],[Title]],'Spec Wattages'!$A$1:$C$973,2,FALSE)</f>
        <v>5</v>
      </c>
      <c r="F718" s="38">
        <v>1</v>
      </c>
      <c r="G718" s="39">
        <v>1</v>
      </c>
      <c r="H718" s="58">
        <f>PlanGrid[[#This Row],[Spec Wattage]]*PlanGrid[[#This Row],[Equipment Count]]</f>
        <v>5</v>
      </c>
      <c r="I718" s="50">
        <f>((PlanGrid[[#This Row],[Demand Watt]]*PlanGrid[[#This Row],[Utilization %]]*'Schedule-Building Info'!$N$16)/1000)</f>
        <v>27.375</v>
      </c>
      <c r="J718" s="57">
        <f>PlanGrid[[#This Row],[kWh/yr]]*' Elec Utility (kWh)'!$M$7</f>
        <v>2.9185401862234706</v>
      </c>
      <c r="K718" s="38">
        <f>PlanGrid[[#This Row],[kWh/yr]]/'Schedule-Building Info'!$B$6</f>
        <v>4.5018007202881152E-4</v>
      </c>
      <c r="L718" s="50">
        <f>CONVERT(PlanGrid[[#This Row],[kWh/yr]],"Wh","BTU")</f>
        <v>93.407377206877399</v>
      </c>
      <c r="M718" s="38">
        <f>PlanGrid[[#This Row],[kBtu/yr]]/'Schedule-Building Info'!$B$6</f>
        <v>1.5360781661740432E-3</v>
      </c>
      <c r="N718" t="s">
        <v>1092</v>
      </c>
      <c r="O718">
        <v>0</v>
      </c>
      <c r="P718" t="str">
        <f>VLOOKUP(PlanGrid[[#This Row],[Title]],'Spec Wattages'!$A$1:$C$973,3,FALSE)</f>
        <v>Plug Load</v>
      </c>
      <c r="Q718" t="s">
        <v>762</v>
      </c>
      <c r="R718" t="s">
        <v>900</v>
      </c>
      <c r="S718" t="s">
        <v>11</v>
      </c>
    </row>
    <row r="719" spans="1:19" x14ac:dyDescent="0.25">
      <c r="A719">
        <v>421</v>
      </c>
      <c r="B719" t="s">
        <v>632</v>
      </c>
      <c r="C719" t="s">
        <v>18</v>
      </c>
      <c r="E719" s="50">
        <f>VLOOKUP(PlanGrid[[#This Row],[Title]],'Spec Wattages'!$A$1:$C$973,2,FALSE)</f>
        <v>5</v>
      </c>
      <c r="F719" s="38">
        <v>1</v>
      </c>
      <c r="G719" s="39">
        <v>1</v>
      </c>
      <c r="H719" s="58">
        <f>PlanGrid[[#This Row],[Spec Wattage]]*PlanGrid[[#This Row],[Equipment Count]]</f>
        <v>5</v>
      </c>
      <c r="I719" s="50">
        <f>((PlanGrid[[#This Row],[Demand Watt]]*PlanGrid[[#This Row],[Utilization %]]*'Schedule-Building Info'!$N$16)/1000)</f>
        <v>27.375</v>
      </c>
      <c r="J719" s="57">
        <f>PlanGrid[[#This Row],[kWh/yr]]*' Elec Utility (kWh)'!$M$7</f>
        <v>2.9185401862234706</v>
      </c>
      <c r="K719" s="38">
        <f>PlanGrid[[#This Row],[kWh/yr]]/'Schedule-Building Info'!$B$6</f>
        <v>4.5018007202881152E-4</v>
      </c>
      <c r="L719" s="50">
        <f>CONVERT(PlanGrid[[#This Row],[kWh/yr]],"Wh","BTU")</f>
        <v>93.407377206877399</v>
      </c>
      <c r="M719" s="38">
        <f>PlanGrid[[#This Row],[kBtu/yr]]/'Schedule-Building Info'!$B$6</f>
        <v>1.5360781661740432E-3</v>
      </c>
      <c r="N719" t="s">
        <v>1092</v>
      </c>
      <c r="O719">
        <v>0</v>
      </c>
      <c r="P719" t="str">
        <f>VLOOKUP(PlanGrid[[#This Row],[Title]],'Spec Wattages'!$A$1:$C$973,3,FALSE)</f>
        <v>Plug Load</v>
      </c>
      <c r="Q719" t="s">
        <v>982</v>
      </c>
      <c r="R719" t="s">
        <v>764</v>
      </c>
      <c r="S719" t="s">
        <v>11</v>
      </c>
    </row>
    <row r="720" spans="1:19" x14ac:dyDescent="0.25">
      <c r="A720">
        <v>422</v>
      </c>
      <c r="B720" t="s">
        <v>632</v>
      </c>
      <c r="C720" t="s">
        <v>18</v>
      </c>
      <c r="E720" s="50">
        <f>VLOOKUP(PlanGrid[[#This Row],[Title]],'Spec Wattages'!$A$1:$C$973,2,FALSE)</f>
        <v>5</v>
      </c>
      <c r="F720" s="38">
        <v>1</v>
      </c>
      <c r="G720" s="39">
        <v>1</v>
      </c>
      <c r="H720" s="58">
        <f>PlanGrid[[#This Row],[Spec Wattage]]*PlanGrid[[#This Row],[Equipment Count]]</f>
        <v>5</v>
      </c>
      <c r="I720" s="50">
        <f>((PlanGrid[[#This Row],[Demand Watt]]*PlanGrid[[#This Row],[Utilization %]]*'Schedule-Building Info'!$N$16)/1000)</f>
        <v>27.375</v>
      </c>
      <c r="J720" s="57">
        <f>PlanGrid[[#This Row],[kWh/yr]]*' Elec Utility (kWh)'!$M$7</f>
        <v>2.9185401862234706</v>
      </c>
      <c r="K720" s="38">
        <f>PlanGrid[[#This Row],[kWh/yr]]/'Schedule-Building Info'!$B$6</f>
        <v>4.5018007202881152E-4</v>
      </c>
      <c r="L720" s="50">
        <f>CONVERT(PlanGrid[[#This Row],[kWh/yr]],"Wh","BTU")</f>
        <v>93.407377206877399</v>
      </c>
      <c r="M720" s="38">
        <f>PlanGrid[[#This Row],[kBtu/yr]]/'Schedule-Building Info'!$B$6</f>
        <v>1.5360781661740432E-3</v>
      </c>
      <c r="N720" t="s">
        <v>1092</v>
      </c>
      <c r="O720">
        <v>0</v>
      </c>
      <c r="P720" t="str">
        <f>VLOOKUP(PlanGrid[[#This Row],[Title]],'Spec Wattages'!$A$1:$C$973,3,FALSE)</f>
        <v>Plug Load</v>
      </c>
      <c r="Q720" t="s">
        <v>982</v>
      </c>
      <c r="R720" t="s">
        <v>764</v>
      </c>
      <c r="S720" t="s">
        <v>11</v>
      </c>
    </row>
    <row r="721" spans="1:19" x14ac:dyDescent="0.25">
      <c r="A721">
        <v>460</v>
      </c>
      <c r="B721" t="s">
        <v>632</v>
      </c>
      <c r="C721" t="s">
        <v>18</v>
      </c>
      <c r="E721" s="50">
        <f>VLOOKUP(PlanGrid[[#This Row],[Title]],'Spec Wattages'!$A$1:$C$973,2,FALSE)</f>
        <v>5</v>
      </c>
      <c r="F721" s="38">
        <v>1</v>
      </c>
      <c r="G721" s="39">
        <v>1</v>
      </c>
      <c r="H721" s="58">
        <f>PlanGrid[[#This Row],[Spec Wattage]]*PlanGrid[[#This Row],[Equipment Count]]</f>
        <v>5</v>
      </c>
      <c r="I721" s="50">
        <f>((PlanGrid[[#This Row],[Demand Watt]]*PlanGrid[[#This Row],[Utilization %]]*'Schedule-Building Info'!$N$16)/1000)</f>
        <v>27.375</v>
      </c>
      <c r="J721" s="57">
        <f>PlanGrid[[#This Row],[kWh/yr]]*' Elec Utility (kWh)'!$M$7</f>
        <v>2.9185401862234706</v>
      </c>
      <c r="K721" s="38">
        <f>PlanGrid[[#This Row],[kWh/yr]]/'Schedule-Building Info'!$B$6</f>
        <v>4.5018007202881152E-4</v>
      </c>
      <c r="L721" s="50">
        <f>CONVERT(PlanGrid[[#This Row],[kWh/yr]],"Wh","BTU")</f>
        <v>93.407377206877399</v>
      </c>
      <c r="M721" s="38">
        <f>PlanGrid[[#This Row],[kBtu/yr]]/'Schedule-Building Info'!$B$6</f>
        <v>1.5360781661740432E-3</v>
      </c>
      <c r="N721" t="s">
        <v>1092</v>
      </c>
      <c r="O721">
        <v>0</v>
      </c>
      <c r="P721" t="str">
        <f>VLOOKUP(PlanGrid[[#This Row],[Title]],'Spec Wattages'!$A$1:$C$973,3,FALSE)</f>
        <v>Plug Load</v>
      </c>
      <c r="Q721" t="s">
        <v>952</v>
      </c>
      <c r="R721" t="s">
        <v>950</v>
      </c>
      <c r="S721" t="s">
        <v>11</v>
      </c>
    </row>
    <row r="722" spans="1:19" x14ac:dyDescent="0.25">
      <c r="A722">
        <v>465</v>
      </c>
      <c r="B722" t="s">
        <v>632</v>
      </c>
      <c r="C722" t="s">
        <v>18</v>
      </c>
      <c r="E722" s="50">
        <f>VLOOKUP(PlanGrid[[#This Row],[Title]],'Spec Wattages'!$A$1:$C$973,2,FALSE)</f>
        <v>5</v>
      </c>
      <c r="F722" s="38">
        <v>1</v>
      </c>
      <c r="G722" s="39">
        <v>1</v>
      </c>
      <c r="H722" s="58">
        <f>PlanGrid[[#This Row],[Spec Wattage]]*PlanGrid[[#This Row],[Equipment Count]]</f>
        <v>5</v>
      </c>
      <c r="I722" s="50">
        <f>((PlanGrid[[#This Row],[Demand Watt]]*PlanGrid[[#This Row],[Utilization %]]*'Schedule-Building Info'!$N$16)/1000)</f>
        <v>27.375</v>
      </c>
      <c r="J722" s="57">
        <f>PlanGrid[[#This Row],[kWh/yr]]*' Elec Utility (kWh)'!$M$7</f>
        <v>2.9185401862234706</v>
      </c>
      <c r="K722" s="38">
        <f>PlanGrid[[#This Row],[kWh/yr]]/'Schedule-Building Info'!$B$6</f>
        <v>4.5018007202881152E-4</v>
      </c>
      <c r="L722" s="50">
        <f>CONVERT(PlanGrid[[#This Row],[kWh/yr]],"Wh","BTU")</f>
        <v>93.407377206877399</v>
      </c>
      <c r="M722" s="38">
        <f>PlanGrid[[#This Row],[kBtu/yr]]/'Schedule-Building Info'!$B$6</f>
        <v>1.5360781661740432E-3</v>
      </c>
      <c r="N722" t="s">
        <v>1092</v>
      </c>
      <c r="O722">
        <v>0</v>
      </c>
      <c r="P722" t="str">
        <f>VLOOKUP(PlanGrid[[#This Row],[Title]],'Spec Wattages'!$A$1:$C$973,3,FALSE)</f>
        <v>Plug Load</v>
      </c>
      <c r="Q722" t="s">
        <v>906</v>
      </c>
      <c r="R722" t="s">
        <v>1045</v>
      </c>
      <c r="S722" t="s">
        <v>11</v>
      </c>
    </row>
    <row r="723" spans="1:19" x14ac:dyDescent="0.25">
      <c r="A723">
        <v>485</v>
      </c>
      <c r="B723" t="s">
        <v>632</v>
      </c>
      <c r="C723" t="s">
        <v>18</v>
      </c>
      <c r="E723" s="50">
        <f>VLOOKUP(PlanGrid[[#This Row],[Title]],'Spec Wattages'!$A$1:$C$973,2,FALSE)</f>
        <v>5</v>
      </c>
      <c r="F723" s="38">
        <v>1</v>
      </c>
      <c r="G723" s="39">
        <v>1</v>
      </c>
      <c r="H723" s="58">
        <f>PlanGrid[[#This Row],[Spec Wattage]]*PlanGrid[[#This Row],[Equipment Count]]</f>
        <v>5</v>
      </c>
      <c r="I723" s="50">
        <f>((PlanGrid[[#This Row],[Demand Watt]]*PlanGrid[[#This Row],[Utilization %]]*'Schedule-Building Info'!$N$16)/1000)</f>
        <v>27.375</v>
      </c>
      <c r="J723" s="57">
        <f>PlanGrid[[#This Row],[kWh/yr]]*' Elec Utility (kWh)'!$M$7</f>
        <v>2.9185401862234706</v>
      </c>
      <c r="K723" s="38">
        <f>PlanGrid[[#This Row],[kWh/yr]]/'Schedule-Building Info'!$B$6</f>
        <v>4.5018007202881152E-4</v>
      </c>
      <c r="L723" s="50">
        <f>CONVERT(PlanGrid[[#This Row],[kWh/yr]],"Wh","BTU")</f>
        <v>93.407377206877399</v>
      </c>
      <c r="M723" s="38">
        <f>PlanGrid[[#This Row],[kBtu/yr]]/'Schedule-Building Info'!$B$6</f>
        <v>1.5360781661740432E-3</v>
      </c>
      <c r="N723" t="s">
        <v>1092</v>
      </c>
      <c r="O723">
        <v>0</v>
      </c>
      <c r="P723" t="str">
        <f>VLOOKUP(PlanGrid[[#This Row],[Title]],'Spec Wattages'!$A$1:$C$973,3,FALSE)</f>
        <v>Plug Load</v>
      </c>
      <c r="Q723" t="s">
        <v>769</v>
      </c>
      <c r="R723" t="s">
        <v>905</v>
      </c>
      <c r="S723" t="s">
        <v>11</v>
      </c>
    </row>
    <row r="724" spans="1:19" x14ac:dyDescent="0.25">
      <c r="A724">
        <v>486</v>
      </c>
      <c r="B724" t="s">
        <v>632</v>
      </c>
      <c r="C724" t="s">
        <v>18</v>
      </c>
      <c r="E724" s="50">
        <f>VLOOKUP(PlanGrid[[#This Row],[Title]],'Spec Wattages'!$A$1:$C$973,2,FALSE)</f>
        <v>5</v>
      </c>
      <c r="F724" s="38">
        <v>1</v>
      </c>
      <c r="G724" s="39">
        <v>1</v>
      </c>
      <c r="H724" s="58">
        <f>PlanGrid[[#This Row],[Spec Wattage]]*PlanGrid[[#This Row],[Equipment Count]]</f>
        <v>5</v>
      </c>
      <c r="I724" s="50">
        <f>((PlanGrid[[#This Row],[Demand Watt]]*PlanGrid[[#This Row],[Utilization %]]*'Schedule-Building Info'!$N$16)/1000)</f>
        <v>27.375</v>
      </c>
      <c r="J724" s="57">
        <f>PlanGrid[[#This Row],[kWh/yr]]*' Elec Utility (kWh)'!$M$7</f>
        <v>2.9185401862234706</v>
      </c>
      <c r="K724" s="38">
        <f>PlanGrid[[#This Row],[kWh/yr]]/'Schedule-Building Info'!$B$6</f>
        <v>4.5018007202881152E-4</v>
      </c>
      <c r="L724" s="50">
        <f>CONVERT(PlanGrid[[#This Row],[kWh/yr]],"Wh","BTU")</f>
        <v>93.407377206877399</v>
      </c>
      <c r="M724" s="38">
        <f>PlanGrid[[#This Row],[kBtu/yr]]/'Schedule-Building Info'!$B$6</f>
        <v>1.5360781661740432E-3</v>
      </c>
      <c r="N724" t="s">
        <v>1092</v>
      </c>
      <c r="O724">
        <v>0</v>
      </c>
      <c r="P724" t="str">
        <f>VLOOKUP(PlanGrid[[#This Row],[Title]],'Spec Wattages'!$A$1:$C$973,3,FALSE)</f>
        <v>Plug Load</v>
      </c>
      <c r="Q724" t="s">
        <v>769</v>
      </c>
      <c r="R724" t="s">
        <v>976</v>
      </c>
      <c r="S724" t="s">
        <v>11</v>
      </c>
    </row>
    <row r="725" spans="1:19" x14ac:dyDescent="0.25">
      <c r="A725">
        <v>490</v>
      </c>
      <c r="B725" t="s">
        <v>632</v>
      </c>
      <c r="C725" t="s">
        <v>18</v>
      </c>
      <c r="E725" s="50">
        <f>VLOOKUP(PlanGrid[[#This Row],[Title]],'Spec Wattages'!$A$1:$C$973,2,FALSE)</f>
        <v>5</v>
      </c>
      <c r="F725" s="38">
        <v>1</v>
      </c>
      <c r="G725" s="39">
        <v>1</v>
      </c>
      <c r="H725" s="58">
        <f>PlanGrid[[#This Row],[Spec Wattage]]*PlanGrid[[#This Row],[Equipment Count]]</f>
        <v>5</v>
      </c>
      <c r="I725" s="50">
        <f>((PlanGrid[[#This Row],[Demand Watt]]*PlanGrid[[#This Row],[Utilization %]]*'Schedule-Building Info'!$N$16)/1000)</f>
        <v>27.375</v>
      </c>
      <c r="J725" s="57">
        <f>PlanGrid[[#This Row],[kWh/yr]]*' Elec Utility (kWh)'!$M$7</f>
        <v>2.9185401862234706</v>
      </c>
      <c r="K725" s="38">
        <f>PlanGrid[[#This Row],[kWh/yr]]/'Schedule-Building Info'!$B$6</f>
        <v>4.5018007202881152E-4</v>
      </c>
      <c r="L725" s="50">
        <f>CONVERT(PlanGrid[[#This Row],[kWh/yr]],"Wh","BTU")</f>
        <v>93.407377206877399</v>
      </c>
      <c r="M725" s="38">
        <f>PlanGrid[[#This Row],[kBtu/yr]]/'Schedule-Building Info'!$B$6</f>
        <v>1.5360781661740432E-3</v>
      </c>
      <c r="N725" t="s">
        <v>1092</v>
      </c>
      <c r="O725">
        <v>0</v>
      </c>
      <c r="P725" t="str">
        <f>VLOOKUP(PlanGrid[[#This Row],[Title]],'Spec Wattages'!$A$1:$C$973,3,FALSE)</f>
        <v>Plug Load</v>
      </c>
      <c r="Q725" t="s">
        <v>907</v>
      </c>
      <c r="R725" t="s">
        <v>952</v>
      </c>
      <c r="S725" t="s">
        <v>11</v>
      </c>
    </row>
    <row r="726" spans="1:19" x14ac:dyDescent="0.25">
      <c r="A726">
        <v>500</v>
      </c>
      <c r="B726" t="s">
        <v>632</v>
      </c>
      <c r="C726" t="s">
        <v>18</v>
      </c>
      <c r="E726" s="50">
        <f>VLOOKUP(PlanGrid[[#This Row],[Title]],'Spec Wattages'!$A$1:$C$973,2,FALSE)</f>
        <v>5</v>
      </c>
      <c r="F726" s="38">
        <v>1</v>
      </c>
      <c r="G726" s="39">
        <v>1</v>
      </c>
      <c r="H726" s="58">
        <f>PlanGrid[[#This Row],[Spec Wattage]]*PlanGrid[[#This Row],[Equipment Count]]</f>
        <v>5</v>
      </c>
      <c r="I726" s="50">
        <f>((PlanGrid[[#This Row],[Demand Watt]]*PlanGrid[[#This Row],[Utilization %]]*'Schedule-Building Info'!$N$16)/1000)</f>
        <v>27.375</v>
      </c>
      <c r="J726" s="57">
        <f>PlanGrid[[#This Row],[kWh/yr]]*' Elec Utility (kWh)'!$M$7</f>
        <v>2.9185401862234706</v>
      </c>
      <c r="K726" s="38">
        <f>PlanGrid[[#This Row],[kWh/yr]]/'Schedule-Building Info'!$B$6</f>
        <v>4.5018007202881152E-4</v>
      </c>
      <c r="L726" s="50">
        <f>CONVERT(PlanGrid[[#This Row],[kWh/yr]],"Wh","BTU")</f>
        <v>93.407377206877399</v>
      </c>
      <c r="M726" s="38">
        <f>PlanGrid[[#This Row],[kBtu/yr]]/'Schedule-Building Info'!$B$6</f>
        <v>1.5360781661740432E-3</v>
      </c>
      <c r="N726" t="s">
        <v>1092</v>
      </c>
      <c r="O726">
        <v>0</v>
      </c>
      <c r="P726" t="str">
        <f>VLOOKUP(PlanGrid[[#This Row],[Title]],'Spec Wattages'!$A$1:$C$973,3,FALSE)</f>
        <v>Plug Load</v>
      </c>
      <c r="Q726" t="s">
        <v>770</v>
      </c>
      <c r="R726" t="s">
        <v>767</v>
      </c>
      <c r="S726" t="s">
        <v>11</v>
      </c>
    </row>
    <row r="727" spans="1:19" x14ac:dyDescent="0.25">
      <c r="A727">
        <v>512</v>
      </c>
      <c r="B727" t="s">
        <v>632</v>
      </c>
      <c r="C727" t="s">
        <v>18</v>
      </c>
      <c r="E727" s="50">
        <f>VLOOKUP(PlanGrid[[#This Row],[Title]],'Spec Wattages'!$A$1:$C$973,2,FALSE)</f>
        <v>5</v>
      </c>
      <c r="F727" s="38">
        <v>1</v>
      </c>
      <c r="G727" s="39">
        <v>1</v>
      </c>
      <c r="H727" s="58">
        <f>PlanGrid[[#This Row],[Spec Wattage]]*PlanGrid[[#This Row],[Equipment Count]]</f>
        <v>5</v>
      </c>
      <c r="I727" s="50">
        <f>((PlanGrid[[#This Row],[Demand Watt]]*PlanGrid[[#This Row],[Utilization %]]*'Schedule-Building Info'!$N$16)/1000)</f>
        <v>27.375</v>
      </c>
      <c r="J727" s="57">
        <f>PlanGrid[[#This Row],[kWh/yr]]*' Elec Utility (kWh)'!$M$7</f>
        <v>2.9185401862234706</v>
      </c>
      <c r="K727" s="38">
        <f>PlanGrid[[#This Row],[kWh/yr]]/'Schedule-Building Info'!$B$6</f>
        <v>4.5018007202881152E-4</v>
      </c>
      <c r="L727" s="50">
        <f>CONVERT(PlanGrid[[#This Row],[kWh/yr]],"Wh","BTU")</f>
        <v>93.407377206877399</v>
      </c>
      <c r="M727" s="38">
        <f>PlanGrid[[#This Row],[kBtu/yr]]/'Schedule-Building Info'!$B$6</f>
        <v>1.5360781661740432E-3</v>
      </c>
      <c r="N727" t="s">
        <v>1092</v>
      </c>
      <c r="O727">
        <v>0</v>
      </c>
      <c r="P727" t="str">
        <f>VLOOKUP(PlanGrid[[#This Row],[Title]],'Spec Wattages'!$A$1:$C$973,3,FALSE)</f>
        <v>Plug Load</v>
      </c>
      <c r="Q727" t="s">
        <v>908</v>
      </c>
      <c r="R727" t="s">
        <v>906</v>
      </c>
      <c r="S727" t="s">
        <v>11</v>
      </c>
    </row>
    <row r="728" spans="1:19" x14ac:dyDescent="0.25">
      <c r="A728">
        <v>528</v>
      </c>
      <c r="B728" t="s">
        <v>632</v>
      </c>
      <c r="C728" t="s">
        <v>18</v>
      </c>
      <c r="E728" s="50">
        <f>VLOOKUP(PlanGrid[[#This Row],[Title]],'Spec Wattages'!$A$1:$C$973,2,FALSE)</f>
        <v>5</v>
      </c>
      <c r="F728" s="38">
        <v>1</v>
      </c>
      <c r="G728" s="39">
        <v>1</v>
      </c>
      <c r="H728" s="58">
        <f>PlanGrid[[#This Row],[Spec Wattage]]*PlanGrid[[#This Row],[Equipment Count]]</f>
        <v>5</v>
      </c>
      <c r="I728" s="50">
        <f>((PlanGrid[[#This Row],[Demand Watt]]*PlanGrid[[#This Row],[Utilization %]]*'Schedule-Building Info'!$N$16)/1000)</f>
        <v>27.375</v>
      </c>
      <c r="J728" s="57">
        <f>PlanGrid[[#This Row],[kWh/yr]]*' Elec Utility (kWh)'!$M$7</f>
        <v>2.9185401862234706</v>
      </c>
      <c r="K728" s="38">
        <f>PlanGrid[[#This Row],[kWh/yr]]/'Schedule-Building Info'!$B$6</f>
        <v>4.5018007202881152E-4</v>
      </c>
      <c r="L728" s="50">
        <f>CONVERT(PlanGrid[[#This Row],[kWh/yr]],"Wh","BTU")</f>
        <v>93.407377206877399</v>
      </c>
      <c r="M728" s="38">
        <f>PlanGrid[[#This Row],[kBtu/yr]]/'Schedule-Building Info'!$B$6</f>
        <v>1.5360781661740432E-3</v>
      </c>
      <c r="N728" t="s">
        <v>1092</v>
      </c>
      <c r="O728">
        <v>0</v>
      </c>
      <c r="P728" t="str">
        <f>VLOOKUP(PlanGrid[[#This Row],[Title]],'Spec Wattages'!$A$1:$C$973,3,FALSE)</f>
        <v>Plug Load</v>
      </c>
      <c r="Q728" t="s">
        <v>772</v>
      </c>
      <c r="R728" t="s">
        <v>909</v>
      </c>
      <c r="S728" t="s">
        <v>11</v>
      </c>
    </row>
    <row r="729" spans="1:19" x14ac:dyDescent="0.25">
      <c r="A729">
        <v>544</v>
      </c>
      <c r="B729" t="s">
        <v>632</v>
      </c>
      <c r="C729" t="s">
        <v>18</v>
      </c>
      <c r="E729" s="50">
        <f>VLOOKUP(PlanGrid[[#This Row],[Title]],'Spec Wattages'!$A$1:$C$973,2,FALSE)</f>
        <v>5</v>
      </c>
      <c r="F729" s="38">
        <v>1</v>
      </c>
      <c r="G729" s="39">
        <v>1</v>
      </c>
      <c r="H729" s="58">
        <f>PlanGrid[[#This Row],[Spec Wattage]]*PlanGrid[[#This Row],[Equipment Count]]</f>
        <v>5</v>
      </c>
      <c r="I729" s="50">
        <f>((PlanGrid[[#This Row],[Demand Watt]]*PlanGrid[[#This Row],[Utilization %]]*'Schedule-Building Info'!$N$16)/1000)</f>
        <v>27.375</v>
      </c>
      <c r="J729" s="57">
        <f>PlanGrid[[#This Row],[kWh/yr]]*' Elec Utility (kWh)'!$M$7</f>
        <v>2.9185401862234706</v>
      </c>
      <c r="K729" s="38">
        <f>PlanGrid[[#This Row],[kWh/yr]]/'Schedule-Building Info'!$B$6</f>
        <v>4.5018007202881152E-4</v>
      </c>
      <c r="L729" s="50">
        <f>CONVERT(PlanGrid[[#This Row],[kWh/yr]],"Wh","BTU")</f>
        <v>93.407377206877399</v>
      </c>
      <c r="M729" s="38">
        <f>PlanGrid[[#This Row],[kBtu/yr]]/'Schedule-Building Info'!$B$6</f>
        <v>1.5360781661740432E-3</v>
      </c>
      <c r="N729" t="s">
        <v>1092</v>
      </c>
      <c r="O729">
        <v>0</v>
      </c>
      <c r="P729" t="str">
        <f>VLOOKUP(PlanGrid[[#This Row],[Title]],'Spec Wattages'!$A$1:$C$973,3,FALSE)</f>
        <v>Plug Load</v>
      </c>
      <c r="Q729" t="s">
        <v>774</v>
      </c>
      <c r="R729" t="s">
        <v>769</v>
      </c>
      <c r="S729" t="s">
        <v>11</v>
      </c>
    </row>
    <row r="730" spans="1:19" x14ac:dyDescent="0.25">
      <c r="A730">
        <v>552</v>
      </c>
      <c r="B730" t="s">
        <v>632</v>
      </c>
      <c r="C730" t="s">
        <v>18</v>
      </c>
      <c r="E730" s="50">
        <f>VLOOKUP(PlanGrid[[#This Row],[Title]],'Spec Wattages'!$A$1:$C$973,2,FALSE)</f>
        <v>5</v>
      </c>
      <c r="F730" s="38">
        <v>1</v>
      </c>
      <c r="G730" s="39">
        <v>1</v>
      </c>
      <c r="H730" s="58">
        <f>PlanGrid[[#This Row],[Spec Wattage]]*PlanGrid[[#This Row],[Equipment Count]]</f>
        <v>5</v>
      </c>
      <c r="I730" s="50">
        <f>((PlanGrid[[#This Row],[Demand Watt]]*PlanGrid[[#This Row],[Utilization %]]*'Schedule-Building Info'!$N$16)/1000)</f>
        <v>27.375</v>
      </c>
      <c r="J730" s="57">
        <f>PlanGrid[[#This Row],[kWh/yr]]*' Elec Utility (kWh)'!$M$7</f>
        <v>2.9185401862234706</v>
      </c>
      <c r="K730" s="38">
        <f>PlanGrid[[#This Row],[kWh/yr]]/'Schedule-Building Info'!$B$6</f>
        <v>4.5018007202881152E-4</v>
      </c>
      <c r="L730" s="50">
        <f>CONVERT(PlanGrid[[#This Row],[kWh/yr]],"Wh","BTU")</f>
        <v>93.407377206877399</v>
      </c>
      <c r="M730" s="38">
        <f>PlanGrid[[#This Row],[kBtu/yr]]/'Schedule-Building Info'!$B$6</f>
        <v>1.5360781661740432E-3</v>
      </c>
      <c r="N730" t="s">
        <v>1092</v>
      </c>
      <c r="O730">
        <v>0</v>
      </c>
      <c r="P730" t="str">
        <f>VLOOKUP(PlanGrid[[#This Row],[Title]],'Spec Wattages'!$A$1:$C$973,3,FALSE)</f>
        <v>Plug Load</v>
      </c>
      <c r="Q730" t="s">
        <v>910</v>
      </c>
      <c r="R730" t="s">
        <v>770</v>
      </c>
      <c r="S730" t="s">
        <v>11</v>
      </c>
    </row>
    <row r="731" spans="1:19" x14ac:dyDescent="0.25">
      <c r="A731">
        <v>565</v>
      </c>
      <c r="B731" t="s">
        <v>632</v>
      </c>
      <c r="C731" t="s">
        <v>18</v>
      </c>
      <c r="E731" s="50">
        <f>VLOOKUP(PlanGrid[[#This Row],[Title]],'Spec Wattages'!$A$1:$C$973,2,FALSE)</f>
        <v>5</v>
      </c>
      <c r="F731" s="38">
        <v>1</v>
      </c>
      <c r="G731" s="39">
        <v>1</v>
      </c>
      <c r="H731" s="58">
        <f>PlanGrid[[#This Row],[Spec Wattage]]*PlanGrid[[#This Row],[Equipment Count]]</f>
        <v>5</v>
      </c>
      <c r="I731" s="50">
        <f>((PlanGrid[[#This Row],[Demand Watt]]*PlanGrid[[#This Row],[Utilization %]]*'Schedule-Building Info'!$N$16)/1000)</f>
        <v>27.375</v>
      </c>
      <c r="J731" s="57">
        <f>PlanGrid[[#This Row],[kWh/yr]]*' Elec Utility (kWh)'!$M$7</f>
        <v>2.9185401862234706</v>
      </c>
      <c r="K731" s="38">
        <f>PlanGrid[[#This Row],[kWh/yr]]/'Schedule-Building Info'!$B$6</f>
        <v>4.5018007202881152E-4</v>
      </c>
      <c r="L731" s="50">
        <f>CONVERT(PlanGrid[[#This Row],[kWh/yr]],"Wh","BTU")</f>
        <v>93.407377206877399</v>
      </c>
      <c r="M731" s="38">
        <f>PlanGrid[[#This Row],[kBtu/yr]]/'Schedule-Building Info'!$B$6</f>
        <v>1.5360781661740432E-3</v>
      </c>
      <c r="N731" t="s">
        <v>1092</v>
      </c>
      <c r="O731">
        <v>0</v>
      </c>
      <c r="P731" t="str">
        <f>VLOOKUP(PlanGrid[[#This Row],[Title]],'Spec Wattages'!$A$1:$C$973,3,FALSE)</f>
        <v>Plug Load</v>
      </c>
      <c r="Q731" t="s">
        <v>912</v>
      </c>
      <c r="R731" t="s">
        <v>911</v>
      </c>
      <c r="S731" t="s">
        <v>11</v>
      </c>
    </row>
    <row r="732" spans="1:19" x14ac:dyDescent="0.25">
      <c r="A732">
        <v>580</v>
      </c>
      <c r="B732" t="s">
        <v>632</v>
      </c>
      <c r="C732" t="s">
        <v>18</v>
      </c>
      <c r="E732" s="50">
        <f>VLOOKUP(PlanGrid[[#This Row],[Title]],'Spec Wattages'!$A$1:$C$973,2,FALSE)</f>
        <v>5</v>
      </c>
      <c r="F732" s="38">
        <v>1</v>
      </c>
      <c r="G732" s="39">
        <v>1</v>
      </c>
      <c r="H732" s="58">
        <f>PlanGrid[[#This Row],[Spec Wattage]]*PlanGrid[[#This Row],[Equipment Count]]</f>
        <v>5</v>
      </c>
      <c r="I732" s="50">
        <f>((PlanGrid[[#This Row],[Demand Watt]]*PlanGrid[[#This Row],[Utilization %]]*'Schedule-Building Info'!$N$16)/1000)</f>
        <v>27.375</v>
      </c>
      <c r="J732" s="57">
        <f>PlanGrid[[#This Row],[kWh/yr]]*' Elec Utility (kWh)'!$M$7</f>
        <v>2.9185401862234706</v>
      </c>
      <c r="K732" s="38">
        <f>PlanGrid[[#This Row],[kWh/yr]]/'Schedule-Building Info'!$B$6</f>
        <v>4.5018007202881152E-4</v>
      </c>
      <c r="L732" s="50">
        <f>CONVERT(PlanGrid[[#This Row],[kWh/yr]],"Wh","BTU")</f>
        <v>93.407377206877399</v>
      </c>
      <c r="M732" s="38">
        <f>PlanGrid[[#This Row],[kBtu/yr]]/'Schedule-Building Info'!$B$6</f>
        <v>1.5360781661740432E-3</v>
      </c>
      <c r="N732" t="s">
        <v>1092</v>
      </c>
      <c r="O732">
        <v>0</v>
      </c>
      <c r="P732" t="str">
        <f>VLOOKUP(PlanGrid[[#This Row],[Title]],'Spec Wattages'!$A$1:$C$973,3,FALSE)</f>
        <v>Plug Load</v>
      </c>
      <c r="Q732" t="s">
        <v>913</v>
      </c>
      <c r="R732" t="s">
        <v>774</v>
      </c>
      <c r="S732" t="s">
        <v>11</v>
      </c>
    </row>
    <row r="733" spans="1:19" x14ac:dyDescent="0.25">
      <c r="A733">
        <v>601</v>
      </c>
      <c r="B733" t="s">
        <v>632</v>
      </c>
      <c r="C733" t="s">
        <v>18</v>
      </c>
      <c r="E733" s="50">
        <f>VLOOKUP(PlanGrid[[#This Row],[Title]],'Spec Wattages'!$A$1:$C$973,2,FALSE)</f>
        <v>5</v>
      </c>
      <c r="F733" s="38">
        <v>1</v>
      </c>
      <c r="G733" s="39">
        <v>1</v>
      </c>
      <c r="H733" s="58">
        <f>PlanGrid[[#This Row],[Spec Wattage]]*PlanGrid[[#This Row],[Equipment Count]]</f>
        <v>5</v>
      </c>
      <c r="I733" s="50">
        <f>((PlanGrid[[#This Row],[Demand Watt]]*PlanGrid[[#This Row],[Utilization %]]*'Schedule-Building Info'!$N$16)/1000)</f>
        <v>27.375</v>
      </c>
      <c r="J733" s="57">
        <f>PlanGrid[[#This Row],[kWh/yr]]*' Elec Utility (kWh)'!$M$7</f>
        <v>2.9185401862234706</v>
      </c>
      <c r="K733" s="38">
        <f>PlanGrid[[#This Row],[kWh/yr]]/'Schedule-Building Info'!$B$6</f>
        <v>4.5018007202881152E-4</v>
      </c>
      <c r="L733" s="50">
        <f>CONVERT(PlanGrid[[#This Row],[kWh/yr]],"Wh","BTU")</f>
        <v>93.407377206877399</v>
      </c>
      <c r="M733" s="38">
        <f>PlanGrid[[#This Row],[kBtu/yr]]/'Schedule-Building Info'!$B$6</f>
        <v>1.5360781661740432E-3</v>
      </c>
      <c r="N733" t="s">
        <v>1092</v>
      </c>
      <c r="O733">
        <v>0</v>
      </c>
      <c r="P733" t="str">
        <f>VLOOKUP(PlanGrid[[#This Row],[Title]],'Spec Wattages'!$A$1:$C$973,3,FALSE)</f>
        <v>Plug Load</v>
      </c>
      <c r="Q733" t="s">
        <v>914</v>
      </c>
      <c r="R733" t="s">
        <v>1018</v>
      </c>
      <c r="S733" t="s">
        <v>11</v>
      </c>
    </row>
    <row r="734" spans="1:19" x14ac:dyDescent="0.25">
      <c r="A734">
        <v>609</v>
      </c>
      <c r="B734" t="s">
        <v>632</v>
      </c>
      <c r="C734" t="s">
        <v>18</v>
      </c>
      <c r="E734" s="50">
        <f>VLOOKUP(PlanGrid[[#This Row],[Title]],'Spec Wattages'!$A$1:$C$973,2,FALSE)</f>
        <v>5</v>
      </c>
      <c r="F734" s="38">
        <v>1</v>
      </c>
      <c r="G734" s="39">
        <v>1</v>
      </c>
      <c r="H734" s="58">
        <f>PlanGrid[[#This Row],[Spec Wattage]]*PlanGrid[[#This Row],[Equipment Count]]</f>
        <v>5</v>
      </c>
      <c r="I734" s="50">
        <f>((PlanGrid[[#This Row],[Demand Watt]]*PlanGrid[[#This Row],[Utilization %]]*'Schedule-Building Info'!$N$16)/1000)</f>
        <v>27.375</v>
      </c>
      <c r="J734" s="57">
        <f>PlanGrid[[#This Row],[kWh/yr]]*' Elec Utility (kWh)'!$M$7</f>
        <v>2.9185401862234706</v>
      </c>
      <c r="K734" s="38">
        <f>PlanGrid[[#This Row],[kWh/yr]]/'Schedule-Building Info'!$B$6</f>
        <v>4.5018007202881152E-4</v>
      </c>
      <c r="L734" s="50">
        <f>CONVERT(PlanGrid[[#This Row],[kWh/yr]],"Wh","BTU")</f>
        <v>93.407377206877399</v>
      </c>
      <c r="M734" s="38">
        <f>PlanGrid[[#This Row],[kBtu/yr]]/'Schedule-Building Info'!$B$6</f>
        <v>1.5360781661740432E-3</v>
      </c>
      <c r="N734" t="s">
        <v>1092</v>
      </c>
      <c r="O734">
        <v>0</v>
      </c>
      <c r="P734" t="str">
        <f>VLOOKUP(PlanGrid[[#This Row],[Title]],'Spec Wattages'!$A$1:$C$973,3,FALSE)</f>
        <v>Plug Load</v>
      </c>
      <c r="Q734" t="s">
        <v>775</v>
      </c>
      <c r="R734" t="s">
        <v>910</v>
      </c>
      <c r="S734" t="s">
        <v>11</v>
      </c>
    </row>
    <row r="735" spans="1:19" x14ac:dyDescent="0.25">
      <c r="A735">
        <v>622</v>
      </c>
      <c r="B735" t="s">
        <v>632</v>
      </c>
      <c r="C735" t="s">
        <v>18</v>
      </c>
      <c r="E735" s="50">
        <f>VLOOKUP(PlanGrid[[#This Row],[Title]],'Spec Wattages'!$A$1:$C$973,2,FALSE)</f>
        <v>5</v>
      </c>
      <c r="F735" s="38">
        <v>1</v>
      </c>
      <c r="G735" s="39">
        <v>1</v>
      </c>
      <c r="H735" s="58">
        <f>PlanGrid[[#This Row],[Spec Wattage]]*PlanGrid[[#This Row],[Equipment Count]]</f>
        <v>5</v>
      </c>
      <c r="I735" s="50">
        <f>((PlanGrid[[#This Row],[Demand Watt]]*PlanGrid[[#This Row],[Utilization %]]*'Schedule-Building Info'!$N$16)/1000)</f>
        <v>27.375</v>
      </c>
      <c r="J735" s="57">
        <f>PlanGrid[[#This Row],[kWh/yr]]*' Elec Utility (kWh)'!$M$7</f>
        <v>2.9185401862234706</v>
      </c>
      <c r="K735" s="38">
        <f>PlanGrid[[#This Row],[kWh/yr]]/'Schedule-Building Info'!$B$6</f>
        <v>4.5018007202881152E-4</v>
      </c>
      <c r="L735" s="50">
        <f>CONVERT(PlanGrid[[#This Row],[kWh/yr]],"Wh","BTU")</f>
        <v>93.407377206877399</v>
      </c>
      <c r="M735" s="38">
        <f>PlanGrid[[#This Row],[kBtu/yr]]/'Schedule-Building Info'!$B$6</f>
        <v>1.5360781661740432E-3</v>
      </c>
      <c r="N735" t="s">
        <v>1092</v>
      </c>
      <c r="O735">
        <v>0</v>
      </c>
      <c r="P735" t="str">
        <f>VLOOKUP(PlanGrid[[#This Row],[Title]],'Spec Wattages'!$A$1:$C$973,3,FALSE)</f>
        <v>Plug Load</v>
      </c>
      <c r="Q735" t="s">
        <v>916</v>
      </c>
      <c r="R735" t="s">
        <v>914</v>
      </c>
      <c r="S735" t="s">
        <v>11</v>
      </c>
    </row>
    <row r="736" spans="1:19" x14ac:dyDescent="0.25">
      <c r="A736">
        <v>1044</v>
      </c>
      <c r="B736" t="s">
        <v>633</v>
      </c>
      <c r="C736" t="s">
        <v>634</v>
      </c>
      <c r="D736" t="s">
        <v>635</v>
      </c>
      <c r="E736" s="50">
        <v>370</v>
      </c>
      <c r="F736" s="38">
        <v>1</v>
      </c>
      <c r="G736" s="39">
        <v>0.75</v>
      </c>
      <c r="H736" s="58">
        <f>PlanGrid[[#This Row],[Spec Wattage]]*PlanGrid[[#This Row],[Equipment Count]]</f>
        <v>370</v>
      </c>
      <c r="I736" s="50">
        <f>((PlanGrid[[#This Row],[Demand Watt]]*PlanGrid[[#This Row],[Utilization %]]*'Schedule-Building Info'!$N$16)/1000)</f>
        <v>1519.3125</v>
      </c>
      <c r="J736" s="57">
        <f>PlanGrid[[#This Row],[kWh/yr]]*' Elec Utility (kWh)'!$M$7</f>
        <v>161.97898033540261</v>
      </c>
      <c r="K736" s="38">
        <f>PlanGrid[[#This Row],[kWh/yr]]/'Schedule-Building Info'!$B$6</f>
        <v>2.4984993997599039E-2</v>
      </c>
      <c r="L736" s="50">
        <f>CONVERT(PlanGrid[[#This Row],[kWh/yr]],"Wh","BTU")</f>
        <v>5184.1094349816958</v>
      </c>
      <c r="M736" s="38">
        <f>PlanGrid[[#This Row],[kBtu/yr]]/'Schedule-Building Info'!$B$6</f>
        <v>8.5252338222659402E-2</v>
      </c>
      <c r="N736" t="s">
        <v>1089</v>
      </c>
      <c r="O736">
        <v>1</v>
      </c>
      <c r="P736" t="s">
        <v>87</v>
      </c>
      <c r="Q736" t="s">
        <v>955</v>
      </c>
      <c r="R736" t="s">
        <v>955</v>
      </c>
      <c r="S736" t="s">
        <v>51</v>
      </c>
    </row>
    <row r="737" spans="1:19" x14ac:dyDescent="0.25">
      <c r="A737">
        <v>728</v>
      </c>
      <c r="B737" t="s">
        <v>633</v>
      </c>
      <c r="C737" t="s">
        <v>634</v>
      </c>
      <c r="D737" t="s">
        <v>636</v>
      </c>
      <c r="E737" s="50">
        <v>8000</v>
      </c>
      <c r="F737" s="38">
        <v>1</v>
      </c>
      <c r="G737" s="39">
        <v>0.1</v>
      </c>
      <c r="H737" s="58">
        <f>PlanGrid[[#This Row],[Spec Wattage]]*PlanGrid[[#This Row],[Equipment Count]]</f>
        <v>8000</v>
      </c>
      <c r="I737" s="50">
        <f>((PlanGrid[[#This Row],[Demand Watt]]*PlanGrid[[#This Row],[Utilization %]]*'Schedule-Building Info'!$N$16)/1000)</f>
        <v>4380</v>
      </c>
      <c r="J737" s="57">
        <f>PlanGrid[[#This Row],[kWh/yr]]*' Elec Utility (kWh)'!$M$7</f>
        <v>466.96642979575529</v>
      </c>
      <c r="K737" s="38">
        <f>PlanGrid[[#This Row],[kWh/yr]]/'Schedule-Building Info'!$B$6</f>
        <v>7.202881152460984E-2</v>
      </c>
      <c r="L737" s="50">
        <f>CONVERT(PlanGrid[[#This Row],[kWh/yr]],"Wh","BTU")</f>
        <v>14945.180353100384</v>
      </c>
      <c r="M737" s="38">
        <f>PlanGrid[[#This Row],[kBtu/yr]]/'Schedule-Building Info'!$B$6</f>
        <v>0.24577250658784694</v>
      </c>
      <c r="N737" t="s">
        <v>1090</v>
      </c>
      <c r="O737">
        <v>1</v>
      </c>
      <c r="P737" t="s">
        <v>110</v>
      </c>
      <c r="Q737" t="s">
        <v>820</v>
      </c>
      <c r="R737" t="s">
        <v>858</v>
      </c>
      <c r="S737" t="s">
        <v>51</v>
      </c>
    </row>
    <row r="738" spans="1:19" x14ac:dyDescent="0.25">
      <c r="A738">
        <v>947</v>
      </c>
      <c r="B738" t="s">
        <v>637</v>
      </c>
      <c r="C738" t="s">
        <v>14</v>
      </c>
      <c r="E738" s="50">
        <f>VLOOKUP(PlanGrid[[#This Row],[Title]],'Spec Wattages'!$A$1:$C$973,2,FALSE)</f>
        <v>100</v>
      </c>
      <c r="F738" s="38">
        <v>1</v>
      </c>
      <c r="G738" s="39">
        <v>0.1</v>
      </c>
      <c r="H738" s="58">
        <f>PlanGrid[[#This Row],[Spec Wattage]]*PlanGrid[[#This Row],[Equipment Count]]</f>
        <v>100</v>
      </c>
      <c r="I738" s="50">
        <f>((PlanGrid[[#This Row],[Demand Watt]]*PlanGrid[[#This Row],[Utilization %]]*'Schedule-Building Info'!$N$16)/1000)</f>
        <v>54.75</v>
      </c>
      <c r="J738" s="57">
        <f>PlanGrid[[#This Row],[kWh/yr]]*' Elec Utility (kWh)'!$M$7</f>
        <v>5.8370803724469411</v>
      </c>
      <c r="K738" s="38">
        <f>PlanGrid[[#This Row],[kWh/yr]]/'Schedule-Building Info'!$B$6</f>
        <v>9.0036014405762304E-4</v>
      </c>
      <c r="L738" s="50">
        <f>CONVERT(PlanGrid[[#This Row],[kWh/yr]],"Wh","BTU")</f>
        <v>186.8147544137548</v>
      </c>
      <c r="M738" s="38">
        <f>PlanGrid[[#This Row],[kBtu/yr]]/'Schedule-Building Info'!$B$6</f>
        <v>3.0721563323480865E-3</v>
      </c>
      <c r="N738" t="s">
        <v>1089</v>
      </c>
      <c r="O738">
        <v>2</v>
      </c>
      <c r="P738" t="str">
        <f>VLOOKUP(PlanGrid[[#This Row],[Title]],'Spec Wattages'!$A$1:$C$973,3,FALSE)</f>
        <v>Plug Load</v>
      </c>
      <c r="Q738" t="s">
        <v>733</v>
      </c>
      <c r="R738" t="s">
        <v>733</v>
      </c>
      <c r="S738" t="s">
        <v>11</v>
      </c>
    </row>
    <row r="739" spans="1:19" x14ac:dyDescent="0.25">
      <c r="A739">
        <v>953</v>
      </c>
      <c r="B739" t="s">
        <v>637</v>
      </c>
      <c r="C739" t="s">
        <v>14</v>
      </c>
      <c r="D739" t="s">
        <v>638</v>
      </c>
      <c r="E739" s="50">
        <f>VLOOKUP(PlanGrid[[#This Row],[Title]],'Spec Wattages'!$A$1:$C$973,2,FALSE)</f>
        <v>100</v>
      </c>
      <c r="F739" s="38">
        <v>1</v>
      </c>
      <c r="G739" s="39">
        <v>0.1</v>
      </c>
      <c r="H739" s="58">
        <f>PlanGrid[[#This Row],[Spec Wattage]]*PlanGrid[[#This Row],[Equipment Count]]</f>
        <v>100</v>
      </c>
      <c r="I739" s="50">
        <f>((PlanGrid[[#This Row],[Demand Watt]]*PlanGrid[[#This Row],[Utilization %]]*'Schedule-Building Info'!$N$16)/1000)</f>
        <v>54.75</v>
      </c>
      <c r="J739" s="57">
        <f>PlanGrid[[#This Row],[kWh/yr]]*' Elec Utility (kWh)'!$M$7</f>
        <v>5.8370803724469411</v>
      </c>
      <c r="K739" s="38">
        <f>PlanGrid[[#This Row],[kWh/yr]]/'Schedule-Building Info'!$B$6</f>
        <v>9.0036014405762304E-4</v>
      </c>
      <c r="L739" s="50">
        <f>CONVERT(PlanGrid[[#This Row],[kWh/yr]],"Wh","BTU")</f>
        <v>186.8147544137548</v>
      </c>
      <c r="M739" s="38">
        <f>PlanGrid[[#This Row],[kBtu/yr]]/'Schedule-Building Info'!$B$6</f>
        <v>3.0721563323480865E-3</v>
      </c>
      <c r="N739" t="s">
        <v>1089</v>
      </c>
      <c r="O739">
        <v>0</v>
      </c>
      <c r="P739" t="str">
        <f>VLOOKUP(PlanGrid[[#This Row],[Title]],'Spec Wattages'!$A$1:$C$973,3,FALSE)</f>
        <v>Plug Load</v>
      </c>
      <c r="Q739" t="s">
        <v>736</v>
      </c>
      <c r="R739" t="s">
        <v>736</v>
      </c>
      <c r="S739" t="s">
        <v>11</v>
      </c>
    </row>
    <row r="740" spans="1:19" x14ac:dyDescent="0.25">
      <c r="A740">
        <v>963</v>
      </c>
      <c r="B740" t="s">
        <v>637</v>
      </c>
      <c r="C740" t="s">
        <v>14</v>
      </c>
      <c r="D740" t="s">
        <v>639</v>
      </c>
      <c r="E740" s="50">
        <f>VLOOKUP(PlanGrid[[#This Row],[Title]],'Spec Wattages'!$A$1:$C$973,2,FALSE)</f>
        <v>100</v>
      </c>
      <c r="F740" s="38">
        <v>1</v>
      </c>
      <c r="G740" s="39">
        <v>0.1</v>
      </c>
      <c r="H740" s="58">
        <f>PlanGrid[[#This Row],[Spec Wattage]]*PlanGrid[[#This Row],[Equipment Count]]</f>
        <v>100</v>
      </c>
      <c r="I740" s="50">
        <f>((PlanGrid[[#This Row],[Demand Watt]]*PlanGrid[[#This Row],[Utilization %]]*'Schedule-Building Info'!$N$16)/1000)</f>
        <v>54.75</v>
      </c>
      <c r="J740" s="57">
        <f>PlanGrid[[#This Row],[kWh/yr]]*' Elec Utility (kWh)'!$M$7</f>
        <v>5.8370803724469411</v>
      </c>
      <c r="K740" s="38">
        <f>PlanGrid[[#This Row],[kWh/yr]]/'Schedule-Building Info'!$B$6</f>
        <v>9.0036014405762304E-4</v>
      </c>
      <c r="L740" s="50">
        <f>CONVERT(PlanGrid[[#This Row],[kWh/yr]],"Wh","BTU")</f>
        <v>186.8147544137548</v>
      </c>
      <c r="M740" s="38">
        <f>PlanGrid[[#This Row],[kBtu/yr]]/'Schedule-Building Info'!$B$6</f>
        <v>3.0721563323480865E-3</v>
      </c>
      <c r="N740" t="s">
        <v>1089</v>
      </c>
      <c r="O740">
        <v>1</v>
      </c>
      <c r="P740" t="str">
        <f>VLOOKUP(PlanGrid[[#This Row],[Title]],'Spec Wattages'!$A$1:$C$973,3,FALSE)</f>
        <v>Plug Load</v>
      </c>
      <c r="Q740" t="s">
        <v>739</v>
      </c>
      <c r="R740" t="s">
        <v>745</v>
      </c>
      <c r="S740" t="s">
        <v>11</v>
      </c>
    </row>
    <row r="741" spans="1:19" x14ac:dyDescent="0.25">
      <c r="A741">
        <v>971</v>
      </c>
      <c r="B741" t="s">
        <v>637</v>
      </c>
      <c r="C741" t="s">
        <v>14</v>
      </c>
      <c r="E741" s="50">
        <f>VLOOKUP(PlanGrid[[#This Row],[Title]],'Spec Wattages'!$A$1:$C$973,2,FALSE)</f>
        <v>100</v>
      </c>
      <c r="F741" s="38">
        <v>1</v>
      </c>
      <c r="G741" s="39">
        <v>0.1</v>
      </c>
      <c r="H741" s="58">
        <f>PlanGrid[[#This Row],[Spec Wattage]]*PlanGrid[[#This Row],[Equipment Count]]</f>
        <v>100</v>
      </c>
      <c r="I741" s="50">
        <f>((PlanGrid[[#This Row],[Demand Watt]]*PlanGrid[[#This Row],[Utilization %]]*'Schedule-Building Info'!$N$16)/1000)</f>
        <v>54.75</v>
      </c>
      <c r="J741" s="57">
        <f>PlanGrid[[#This Row],[kWh/yr]]*' Elec Utility (kWh)'!$M$7</f>
        <v>5.8370803724469411</v>
      </c>
      <c r="K741" s="38">
        <f>PlanGrid[[#This Row],[kWh/yr]]/'Schedule-Building Info'!$B$6</f>
        <v>9.0036014405762304E-4</v>
      </c>
      <c r="L741" s="50">
        <f>CONVERT(PlanGrid[[#This Row],[kWh/yr]],"Wh","BTU")</f>
        <v>186.8147544137548</v>
      </c>
      <c r="M741" s="38">
        <f>PlanGrid[[#This Row],[kBtu/yr]]/'Schedule-Building Info'!$B$6</f>
        <v>3.0721563323480865E-3</v>
      </c>
      <c r="N741" t="s">
        <v>1089</v>
      </c>
      <c r="O741">
        <v>0</v>
      </c>
      <c r="P741" t="str">
        <f>VLOOKUP(PlanGrid[[#This Row],[Title]],'Spec Wattages'!$A$1:$C$973,3,FALSE)</f>
        <v>Plug Load</v>
      </c>
      <c r="Q741" t="s">
        <v>745</v>
      </c>
      <c r="R741" t="s">
        <v>745</v>
      </c>
      <c r="S741" t="s">
        <v>11</v>
      </c>
    </row>
    <row r="742" spans="1:19" x14ac:dyDescent="0.25">
      <c r="A742">
        <v>987</v>
      </c>
      <c r="B742" t="s">
        <v>637</v>
      </c>
      <c r="C742" t="s">
        <v>14</v>
      </c>
      <c r="E742" s="50">
        <f>VLOOKUP(PlanGrid[[#This Row],[Title]],'Spec Wattages'!$A$1:$C$973,2,FALSE)</f>
        <v>100</v>
      </c>
      <c r="F742" s="38">
        <v>1</v>
      </c>
      <c r="G742" s="39">
        <v>0.1</v>
      </c>
      <c r="H742" s="58">
        <f>PlanGrid[[#This Row],[Spec Wattage]]*PlanGrid[[#This Row],[Equipment Count]]</f>
        <v>100</v>
      </c>
      <c r="I742" s="50">
        <f>((PlanGrid[[#This Row],[Demand Watt]]*PlanGrid[[#This Row],[Utilization %]]*'Schedule-Building Info'!$N$16)/1000)</f>
        <v>54.75</v>
      </c>
      <c r="J742" s="57">
        <f>PlanGrid[[#This Row],[kWh/yr]]*' Elec Utility (kWh)'!$M$7</f>
        <v>5.8370803724469411</v>
      </c>
      <c r="K742" s="38">
        <f>PlanGrid[[#This Row],[kWh/yr]]/'Schedule-Building Info'!$B$6</f>
        <v>9.0036014405762304E-4</v>
      </c>
      <c r="L742" s="50">
        <f>CONVERT(PlanGrid[[#This Row],[kWh/yr]],"Wh","BTU")</f>
        <v>186.8147544137548</v>
      </c>
      <c r="M742" s="38">
        <f>PlanGrid[[#This Row],[kBtu/yr]]/'Schedule-Building Info'!$B$6</f>
        <v>3.0721563323480865E-3</v>
      </c>
      <c r="N742" t="s">
        <v>1089</v>
      </c>
      <c r="O742">
        <v>0</v>
      </c>
      <c r="P742" t="str">
        <f>VLOOKUP(PlanGrid[[#This Row],[Title]],'Spec Wattages'!$A$1:$C$973,3,FALSE)</f>
        <v>Plug Load</v>
      </c>
      <c r="Q742" t="s">
        <v>753</v>
      </c>
      <c r="R742" t="s">
        <v>753</v>
      </c>
      <c r="S742" t="s">
        <v>11</v>
      </c>
    </row>
    <row r="743" spans="1:19" x14ac:dyDescent="0.25">
      <c r="A743">
        <v>1025</v>
      </c>
      <c r="B743" t="s">
        <v>637</v>
      </c>
      <c r="C743" t="s">
        <v>14</v>
      </c>
      <c r="D743" t="s">
        <v>640</v>
      </c>
      <c r="E743" s="50">
        <f>VLOOKUP(PlanGrid[[#This Row],[Title]],'Spec Wattages'!$A$1:$C$973,2,FALSE)</f>
        <v>100</v>
      </c>
      <c r="F743" s="38">
        <v>1</v>
      </c>
      <c r="G743" s="39">
        <v>0.1</v>
      </c>
      <c r="H743" s="58">
        <f>PlanGrid[[#This Row],[Spec Wattage]]*PlanGrid[[#This Row],[Equipment Count]]</f>
        <v>100</v>
      </c>
      <c r="I743" s="50">
        <f>((PlanGrid[[#This Row],[Demand Watt]]*PlanGrid[[#This Row],[Utilization %]]*'Schedule-Building Info'!$N$16)/1000)</f>
        <v>54.75</v>
      </c>
      <c r="J743" s="57">
        <f>PlanGrid[[#This Row],[kWh/yr]]*' Elec Utility (kWh)'!$M$7</f>
        <v>5.8370803724469411</v>
      </c>
      <c r="K743" s="38">
        <f>PlanGrid[[#This Row],[kWh/yr]]/'Schedule-Building Info'!$B$6</f>
        <v>9.0036014405762304E-4</v>
      </c>
      <c r="L743" s="50">
        <f>CONVERT(PlanGrid[[#This Row],[kWh/yr]],"Wh","BTU")</f>
        <v>186.8147544137548</v>
      </c>
      <c r="M743" s="38">
        <f>PlanGrid[[#This Row],[kBtu/yr]]/'Schedule-Building Info'!$B$6</f>
        <v>3.0721563323480865E-3</v>
      </c>
      <c r="N743" t="s">
        <v>1089</v>
      </c>
      <c r="O743">
        <v>1</v>
      </c>
      <c r="P743" t="str">
        <f>VLOOKUP(PlanGrid[[#This Row],[Title]],'Spec Wattages'!$A$1:$C$973,3,FALSE)</f>
        <v>Plug Load</v>
      </c>
      <c r="Q743" t="s">
        <v>773</v>
      </c>
      <c r="R743" t="s">
        <v>780</v>
      </c>
      <c r="S743" t="s">
        <v>11</v>
      </c>
    </row>
    <row r="744" spans="1:19" x14ac:dyDescent="0.25">
      <c r="A744">
        <v>1028</v>
      </c>
      <c r="B744" t="s">
        <v>637</v>
      </c>
      <c r="C744" t="s">
        <v>14</v>
      </c>
      <c r="E744" s="50">
        <f>VLOOKUP(PlanGrid[[#This Row],[Title]],'Spec Wattages'!$A$1:$C$973,2,FALSE)</f>
        <v>100</v>
      </c>
      <c r="F744" s="38">
        <v>1</v>
      </c>
      <c r="G744" s="39">
        <v>0.1</v>
      </c>
      <c r="H744" s="58">
        <f>PlanGrid[[#This Row],[Spec Wattage]]*PlanGrid[[#This Row],[Equipment Count]]</f>
        <v>100</v>
      </c>
      <c r="I744" s="50">
        <f>((PlanGrid[[#This Row],[Demand Watt]]*PlanGrid[[#This Row],[Utilization %]]*'Schedule-Building Info'!$N$16)/1000)</f>
        <v>54.75</v>
      </c>
      <c r="J744" s="57">
        <f>PlanGrid[[#This Row],[kWh/yr]]*' Elec Utility (kWh)'!$M$7</f>
        <v>5.8370803724469411</v>
      </c>
      <c r="K744" s="38">
        <f>PlanGrid[[#This Row],[kWh/yr]]/'Schedule-Building Info'!$B$6</f>
        <v>9.0036014405762304E-4</v>
      </c>
      <c r="L744" s="50">
        <f>CONVERT(PlanGrid[[#This Row],[kWh/yr]],"Wh","BTU")</f>
        <v>186.8147544137548</v>
      </c>
      <c r="M744" s="38">
        <f>PlanGrid[[#This Row],[kBtu/yr]]/'Schedule-Building Info'!$B$6</f>
        <v>3.0721563323480865E-3</v>
      </c>
      <c r="N744" t="s">
        <v>1089</v>
      </c>
      <c r="O744">
        <v>0</v>
      </c>
      <c r="P744" t="str">
        <f>VLOOKUP(PlanGrid[[#This Row],[Title]],'Spec Wattages'!$A$1:$C$973,3,FALSE)</f>
        <v>Plug Load</v>
      </c>
      <c r="Q744" t="s">
        <v>702</v>
      </c>
      <c r="R744" t="s">
        <v>702</v>
      </c>
      <c r="S744" t="s">
        <v>51</v>
      </c>
    </row>
    <row r="745" spans="1:19" x14ac:dyDescent="0.25">
      <c r="A745">
        <v>1037</v>
      </c>
      <c r="B745" t="s">
        <v>637</v>
      </c>
      <c r="C745" t="s">
        <v>14</v>
      </c>
      <c r="D745" t="s">
        <v>640</v>
      </c>
      <c r="E745" s="50">
        <f>VLOOKUP(PlanGrid[[#This Row],[Title]],'Spec Wattages'!$A$1:$C$973,2,FALSE)</f>
        <v>100</v>
      </c>
      <c r="F745" s="38">
        <v>1</v>
      </c>
      <c r="G745" s="39">
        <v>0.1</v>
      </c>
      <c r="H745" s="58">
        <f>PlanGrid[[#This Row],[Spec Wattage]]*PlanGrid[[#This Row],[Equipment Count]]</f>
        <v>100</v>
      </c>
      <c r="I745" s="50">
        <f>((PlanGrid[[#This Row],[Demand Watt]]*PlanGrid[[#This Row],[Utilization %]]*'Schedule-Building Info'!$N$16)/1000)</f>
        <v>54.75</v>
      </c>
      <c r="J745" s="57">
        <f>PlanGrid[[#This Row],[kWh/yr]]*' Elec Utility (kWh)'!$M$7</f>
        <v>5.8370803724469411</v>
      </c>
      <c r="K745" s="38">
        <f>PlanGrid[[#This Row],[kWh/yr]]/'Schedule-Building Info'!$B$6</f>
        <v>9.0036014405762304E-4</v>
      </c>
      <c r="L745" s="50">
        <f>CONVERT(PlanGrid[[#This Row],[kWh/yr]],"Wh","BTU")</f>
        <v>186.8147544137548</v>
      </c>
      <c r="M745" s="38">
        <f>PlanGrid[[#This Row],[kBtu/yr]]/'Schedule-Building Info'!$B$6</f>
        <v>3.0721563323480865E-3</v>
      </c>
      <c r="N745" t="s">
        <v>1089</v>
      </c>
      <c r="O745">
        <v>0</v>
      </c>
      <c r="P745" t="str">
        <f>VLOOKUP(PlanGrid[[#This Row],[Title]],'Spec Wattages'!$A$1:$C$973,3,FALSE)</f>
        <v>Plug Load</v>
      </c>
      <c r="Q745" t="s">
        <v>782</v>
      </c>
      <c r="R745" t="s">
        <v>763</v>
      </c>
      <c r="S745" t="s">
        <v>11</v>
      </c>
    </row>
    <row r="746" spans="1:19" x14ac:dyDescent="0.25">
      <c r="A746">
        <v>1057</v>
      </c>
      <c r="B746" t="s">
        <v>637</v>
      </c>
      <c r="C746" t="s">
        <v>14</v>
      </c>
      <c r="D746" t="s">
        <v>641</v>
      </c>
      <c r="E746" s="50">
        <f>VLOOKUP(PlanGrid[[#This Row],[Title]],'Spec Wattages'!$A$1:$C$973,2,FALSE)</f>
        <v>100</v>
      </c>
      <c r="F746" s="38">
        <v>1</v>
      </c>
      <c r="G746" s="39">
        <v>0.1</v>
      </c>
      <c r="H746" s="58">
        <f>PlanGrid[[#This Row],[Spec Wattage]]*PlanGrid[[#This Row],[Equipment Count]]</f>
        <v>100</v>
      </c>
      <c r="I746" s="50">
        <f>((PlanGrid[[#This Row],[Demand Watt]]*PlanGrid[[#This Row],[Utilization %]]*'Schedule-Building Info'!$N$16)/1000)</f>
        <v>54.75</v>
      </c>
      <c r="J746" s="57">
        <f>PlanGrid[[#This Row],[kWh/yr]]*' Elec Utility (kWh)'!$M$7</f>
        <v>5.8370803724469411</v>
      </c>
      <c r="K746" s="38">
        <f>PlanGrid[[#This Row],[kWh/yr]]/'Schedule-Building Info'!$B$6</f>
        <v>9.0036014405762304E-4</v>
      </c>
      <c r="L746" s="50">
        <f>CONVERT(PlanGrid[[#This Row],[kWh/yr]],"Wh","BTU")</f>
        <v>186.8147544137548</v>
      </c>
      <c r="M746" s="38">
        <f>PlanGrid[[#This Row],[kBtu/yr]]/'Schedule-Building Info'!$B$6</f>
        <v>3.0721563323480865E-3</v>
      </c>
      <c r="N746" t="s">
        <v>1089</v>
      </c>
      <c r="O746">
        <v>0</v>
      </c>
      <c r="P746" t="str">
        <f>VLOOKUP(PlanGrid[[#This Row],[Title]],'Spec Wattages'!$A$1:$C$973,3,FALSE)</f>
        <v>Plug Load</v>
      </c>
      <c r="Q746" t="s">
        <v>777</v>
      </c>
      <c r="R746" t="s">
        <v>1046</v>
      </c>
      <c r="S746" t="s">
        <v>11</v>
      </c>
    </row>
    <row r="747" spans="1:19" x14ac:dyDescent="0.25">
      <c r="A747">
        <v>1058</v>
      </c>
      <c r="B747" t="s">
        <v>637</v>
      </c>
      <c r="C747" t="s">
        <v>14</v>
      </c>
      <c r="D747" t="s">
        <v>642</v>
      </c>
      <c r="E747" s="50">
        <f>VLOOKUP(PlanGrid[[#This Row],[Title]],'Spec Wattages'!$A$1:$C$973,2,FALSE)</f>
        <v>100</v>
      </c>
      <c r="F747" s="38">
        <v>1</v>
      </c>
      <c r="G747" s="39">
        <v>0.1</v>
      </c>
      <c r="H747" s="58">
        <f>PlanGrid[[#This Row],[Spec Wattage]]*PlanGrid[[#This Row],[Equipment Count]]</f>
        <v>100</v>
      </c>
      <c r="I747" s="50">
        <f>((PlanGrid[[#This Row],[Demand Watt]]*PlanGrid[[#This Row],[Utilization %]]*'Schedule-Building Info'!$N$16)/1000)</f>
        <v>54.75</v>
      </c>
      <c r="J747" s="57">
        <f>PlanGrid[[#This Row],[kWh/yr]]*' Elec Utility (kWh)'!$M$7</f>
        <v>5.8370803724469411</v>
      </c>
      <c r="K747" s="38">
        <f>PlanGrid[[#This Row],[kWh/yr]]/'Schedule-Building Info'!$B$6</f>
        <v>9.0036014405762304E-4</v>
      </c>
      <c r="L747" s="50">
        <f>CONVERT(PlanGrid[[#This Row],[kWh/yr]],"Wh","BTU")</f>
        <v>186.8147544137548</v>
      </c>
      <c r="M747" s="38">
        <f>PlanGrid[[#This Row],[kBtu/yr]]/'Schedule-Building Info'!$B$6</f>
        <v>3.0721563323480865E-3</v>
      </c>
      <c r="N747" t="s">
        <v>1089</v>
      </c>
      <c r="O747">
        <v>1</v>
      </c>
      <c r="P747" t="str">
        <f>VLOOKUP(PlanGrid[[#This Row],[Title]],'Spec Wattages'!$A$1:$C$973,3,FALSE)</f>
        <v>Plug Load</v>
      </c>
      <c r="Q747" t="s">
        <v>708</v>
      </c>
      <c r="R747" t="s">
        <v>1049</v>
      </c>
      <c r="S747" t="s">
        <v>11</v>
      </c>
    </row>
    <row r="748" spans="1:19" x14ac:dyDescent="0.25">
      <c r="A748">
        <v>1061</v>
      </c>
      <c r="B748" t="s">
        <v>637</v>
      </c>
      <c r="C748" t="s">
        <v>14</v>
      </c>
      <c r="D748" t="s">
        <v>643</v>
      </c>
      <c r="E748" s="50">
        <v>700</v>
      </c>
      <c r="F748" s="38">
        <v>1</v>
      </c>
      <c r="G748" s="39">
        <v>0.1</v>
      </c>
      <c r="H748" s="58">
        <f>PlanGrid[[#This Row],[Spec Wattage]]*PlanGrid[[#This Row],[Equipment Count]]</f>
        <v>700</v>
      </c>
      <c r="I748" s="50">
        <f>((PlanGrid[[#This Row],[Demand Watt]]*PlanGrid[[#This Row],[Utilization %]]*'Schedule-Building Info'!$N$16)/1000)</f>
        <v>383.25</v>
      </c>
      <c r="J748" s="57">
        <f>PlanGrid[[#This Row],[kWh/yr]]*' Elec Utility (kWh)'!$M$7</f>
        <v>40.859562607128588</v>
      </c>
      <c r="K748" s="38">
        <f>PlanGrid[[#This Row],[kWh/yr]]/'Schedule-Building Info'!$B$6</f>
        <v>6.3025210084033615E-3</v>
      </c>
      <c r="L748" s="50">
        <f>CONVERT(PlanGrid[[#This Row],[kWh/yr]],"Wh","BTU")</f>
        <v>1307.7032808962836</v>
      </c>
      <c r="M748" s="38">
        <f>PlanGrid[[#This Row],[kBtu/yr]]/'Schedule-Building Info'!$B$6</f>
        <v>2.1505094326436606E-2</v>
      </c>
      <c r="N748" t="s">
        <v>1089</v>
      </c>
      <c r="O748">
        <v>1</v>
      </c>
      <c r="P748" t="str">
        <f>VLOOKUP(PlanGrid[[#This Row],[Title]],'Spec Wattages'!$A$1:$C$973,3,FALSE)</f>
        <v>Plug Load</v>
      </c>
      <c r="Q748" t="s">
        <v>800</v>
      </c>
      <c r="R748" t="s">
        <v>776</v>
      </c>
      <c r="S748" t="s">
        <v>11</v>
      </c>
    </row>
    <row r="749" spans="1:19" x14ac:dyDescent="0.25">
      <c r="A749">
        <v>1068</v>
      </c>
      <c r="B749" t="s">
        <v>637</v>
      </c>
      <c r="C749" t="s">
        <v>14</v>
      </c>
      <c r="E749" s="50">
        <f>VLOOKUP(PlanGrid[[#This Row],[Title]],'Spec Wattages'!$A$1:$C$973,2,FALSE)</f>
        <v>100</v>
      </c>
      <c r="F749" s="38">
        <v>1</v>
      </c>
      <c r="G749" s="39">
        <v>0.1</v>
      </c>
      <c r="H749" s="58">
        <f>PlanGrid[[#This Row],[Spec Wattage]]*PlanGrid[[#This Row],[Equipment Count]]</f>
        <v>100</v>
      </c>
      <c r="I749" s="50">
        <f>((PlanGrid[[#This Row],[Demand Watt]]*PlanGrid[[#This Row],[Utilization %]]*'Schedule-Building Info'!$N$16)/1000)</f>
        <v>54.75</v>
      </c>
      <c r="J749" s="57">
        <f>PlanGrid[[#This Row],[kWh/yr]]*' Elec Utility (kWh)'!$M$7</f>
        <v>5.8370803724469411</v>
      </c>
      <c r="K749" s="38">
        <f>PlanGrid[[#This Row],[kWh/yr]]/'Schedule-Building Info'!$B$6</f>
        <v>9.0036014405762304E-4</v>
      </c>
      <c r="L749" s="50">
        <f>CONVERT(PlanGrid[[#This Row],[kWh/yr]],"Wh","BTU")</f>
        <v>186.8147544137548</v>
      </c>
      <c r="M749" s="38">
        <f>PlanGrid[[#This Row],[kBtu/yr]]/'Schedule-Building Info'!$B$6</f>
        <v>3.0721563323480865E-3</v>
      </c>
      <c r="N749" t="s">
        <v>1089</v>
      </c>
      <c r="O749">
        <v>0</v>
      </c>
      <c r="P749" t="str">
        <f>VLOOKUP(PlanGrid[[#This Row],[Title]],'Spec Wattages'!$A$1:$C$973,3,FALSE)</f>
        <v>Plug Load</v>
      </c>
      <c r="Q749" t="s">
        <v>802</v>
      </c>
      <c r="R749" t="s">
        <v>797</v>
      </c>
      <c r="S749" t="s">
        <v>11</v>
      </c>
    </row>
    <row r="750" spans="1:19" x14ac:dyDescent="0.25">
      <c r="A750">
        <v>1081</v>
      </c>
      <c r="B750" t="s">
        <v>637</v>
      </c>
      <c r="C750" t="s">
        <v>14</v>
      </c>
      <c r="E750" s="50">
        <f>VLOOKUP(PlanGrid[[#This Row],[Title]],'Spec Wattages'!$A$1:$C$973,2,FALSE)</f>
        <v>100</v>
      </c>
      <c r="F750" s="38">
        <v>1</v>
      </c>
      <c r="G750" s="39">
        <v>0.1</v>
      </c>
      <c r="H750" s="58">
        <f>PlanGrid[[#This Row],[Spec Wattage]]*PlanGrid[[#This Row],[Equipment Count]]</f>
        <v>100</v>
      </c>
      <c r="I750" s="50">
        <f>((PlanGrid[[#This Row],[Demand Watt]]*PlanGrid[[#This Row],[Utilization %]]*'Schedule-Building Info'!$N$16)/1000)</f>
        <v>54.75</v>
      </c>
      <c r="J750" s="57">
        <f>PlanGrid[[#This Row],[kWh/yr]]*' Elec Utility (kWh)'!$M$7</f>
        <v>5.8370803724469411</v>
      </c>
      <c r="K750" s="38">
        <f>PlanGrid[[#This Row],[kWh/yr]]/'Schedule-Building Info'!$B$6</f>
        <v>9.0036014405762304E-4</v>
      </c>
      <c r="L750" s="50">
        <f>CONVERT(PlanGrid[[#This Row],[kWh/yr]],"Wh","BTU")</f>
        <v>186.8147544137548</v>
      </c>
      <c r="M750" s="38">
        <f>PlanGrid[[#This Row],[kBtu/yr]]/'Schedule-Building Info'!$B$6</f>
        <v>3.0721563323480865E-3</v>
      </c>
      <c r="N750" t="s">
        <v>1089</v>
      </c>
      <c r="O750">
        <v>0</v>
      </c>
      <c r="P750" t="str">
        <f>VLOOKUP(PlanGrid[[#This Row],[Title]],'Spec Wattages'!$A$1:$C$973,3,FALSE)</f>
        <v>Plug Load</v>
      </c>
      <c r="Q750" t="s">
        <v>777</v>
      </c>
      <c r="R750" t="s">
        <v>777</v>
      </c>
      <c r="S750" t="s">
        <v>51</v>
      </c>
    </row>
    <row r="751" spans="1:19" x14ac:dyDescent="0.25">
      <c r="A751">
        <v>1082</v>
      </c>
      <c r="B751" t="s">
        <v>637</v>
      </c>
      <c r="C751" t="s">
        <v>14</v>
      </c>
      <c r="D751" t="s">
        <v>644</v>
      </c>
      <c r="E751" s="50">
        <f>VLOOKUP(PlanGrid[[#This Row],[Title]],'Spec Wattages'!$A$1:$C$973,2,FALSE)</f>
        <v>100</v>
      </c>
      <c r="F751" s="38">
        <v>1</v>
      </c>
      <c r="G751" s="39">
        <v>0.1</v>
      </c>
      <c r="H751" s="58">
        <f>PlanGrid[[#This Row],[Spec Wattage]]*PlanGrid[[#This Row],[Equipment Count]]</f>
        <v>100</v>
      </c>
      <c r="I751" s="50">
        <f>((PlanGrid[[#This Row],[Demand Watt]]*PlanGrid[[#This Row],[Utilization %]]*'Schedule-Building Info'!$N$16)/1000)</f>
        <v>54.75</v>
      </c>
      <c r="J751" s="57">
        <f>PlanGrid[[#This Row],[kWh/yr]]*' Elec Utility (kWh)'!$M$7</f>
        <v>5.8370803724469411</v>
      </c>
      <c r="K751" s="38">
        <f>PlanGrid[[#This Row],[kWh/yr]]/'Schedule-Building Info'!$B$6</f>
        <v>9.0036014405762304E-4</v>
      </c>
      <c r="L751" s="50">
        <f>CONVERT(PlanGrid[[#This Row],[kWh/yr]],"Wh","BTU")</f>
        <v>186.8147544137548</v>
      </c>
      <c r="M751" s="38">
        <f>PlanGrid[[#This Row],[kBtu/yr]]/'Schedule-Building Info'!$B$6</f>
        <v>3.0721563323480865E-3</v>
      </c>
      <c r="N751" t="s">
        <v>1089</v>
      </c>
      <c r="O751">
        <v>1</v>
      </c>
      <c r="P751" t="str">
        <f>VLOOKUP(PlanGrid[[#This Row],[Title]],'Spec Wattages'!$A$1:$C$973,3,FALSE)</f>
        <v>Plug Load</v>
      </c>
      <c r="Q751" t="s">
        <v>799</v>
      </c>
      <c r="R751" t="s">
        <v>800</v>
      </c>
      <c r="S751" t="s">
        <v>11</v>
      </c>
    </row>
    <row r="752" spans="1:19" x14ac:dyDescent="0.25">
      <c r="A752">
        <v>1092</v>
      </c>
      <c r="B752" t="s">
        <v>637</v>
      </c>
      <c r="C752" t="s">
        <v>14</v>
      </c>
      <c r="D752" t="s">
        <v>645</v>
      </c>
      <c r="E752" s="50">
        <f>VLOOKUP(PlanGrid[[#This Row],[Title]],'Spec Wattages'!$A$1:$C$973,2,FALSE)</f>
        <v>100</v>
      </c>
      <c r="F752" s="38">
        <v>1</v>
      </c>
      <c r="G752" s="39">
        <v>0.1</v>
      </c>
      <c r="H752" s="58">
        <f>PlanGrid[[#This Row],[Spec Wattage]]*PlanGrid[[#This Row],[Equipment Count]]</f>
        <v>100</v>
      </c>
      <c r="I752" s="50">
        <f>((PlanGrid[[#This Row],[Demand Watt]]*PlanGrid[[#This Row],[Utilization %]]*'Schedule-Building Info'!$N$16)/1000)</f>
        <v>54.75</v>
      </c>
      <c r="J752" s="57">
        <f>PlanGrid[[#This Row],[kWh/yr]]*' Elec Utility (kWh)'!$M$7</f>
        <v>5.8370803724469411</v>
      </c>
      <c r="K752" s="38">
        <f>PlanGrid[[#This Row],[kWh/yr]]/'Schedule-Building Info'!$B$6</f>
        <v>9.0036014405762304E-4</v>
      </c>
      <c r="L752" s="50">
        <f>CONVERT(PlanGrid[[#This Row],[kWh/yr]],"Wh","BTU")</f>
        <v>186.8147544137548</v>
      </c>
      <c r="M752" s="38">
        <f>PlanGrid[[#This Row],[kBtu/yr]]/'Schedule-Building Info'!$B$6</f>
        <v>3.0721563323480865E-3</v>
      </c>
      <c r="N752" t="s">
        <v>1089</v>
      </c>
      <c r="O752">
        <v>0</v>
      </c>
      <c r="P752" t="str">
        <f>VLOOKUP(PlanGrid[[#This Row],[Title]],'Spec Wattages'!$A$1:$C$973,3,FALSE)</f>
        <v>Plug Load</v>
      </c>
      <c r="Q752" t="s">
        <v>1016</v>
      </c>
      <c r="R752" t="s">
        <v>1016</v>
      </c>
      <c r="S752" t="s">
        <v>11</v>
      </c>
    </row>
    <row r="753" spans="1:19" x14ac:dyDescent="0.25">
      <c r="A753">
        <v>657</v>
      </c>
      <c r="B753" t="s">
        <v>637</v>
      </c>
      <c r="C753" t="s">
        <v>14</v>
      </c>
      <c r="E753" s="50">
        <f>VLOOKUP(PlanGrid[[#This Row],[Title]],'Spec Wattages'!$A$1:$C$973,2,FALSE)</f>
        <v>100</v>
      </c>
      <c r="F753" s="38">
        <v>1</v>
      </c>
      <c r="G753" s="39">
        <v>0.1</v>
      </c>
      <c r="H753" s="58">
        <f>PlanGrid[[#This Row],[Spec Wattage]]*PlanGrid[[#This Row],[Equipment Count]]</f>
        <v>100</v>
      </c>
      <c r="I753" s="50">
        <f>((PlanGrid[[#This Row],[Demand Watt]]*PlanGrid[[#This Row],[Utilization %]]*'Schedule-Building Info'!$N$16)/1000)</f>
        <v>54.75</v>
      </c>
      <c r="J753" s="57">
        <f>PlanGrid[[#This Row],[kWh/yr]]*' Elec Utility (kWh)'!$M$7</f>
        <v>5.8370803724469411</v>
      </c>
      <c r="K753" s="38">
        <f>PlanGrid[[#This Row],[kWh/yr]]/'Schedule-Building Info'!$B$6</f>
        <v>9.0036014405762304E-4</v>
      </c>
      <c r="L753" s="50">
        <f>CONVERT(PlanGrid[[#This Row],[kWh/yr]],"Wh","BTU")</f>
        <v>186.8147544137548</v>
      </c>
      <c r="M753" s="38">
        <f>PlanGrid[[#This Row],[kBtu/yr]]/'Schedule-Building Info'!$B$6</f>
        <v>3.0721563323480865E-3</v>
      </c>
      <c r="N753" t="s">
        <v>1090</v>
      </c>
      <c r="O753">
        <v>0</v>
      </c>
      <c r="P753" t="str">
        <f>VLOOKUP(PlanGrid[[#This Row],[Title]],'Spec Wattages'!$A$1:$C$973,3,FALSE)</f>
        <v>Plug Load</v>
      </c>
      <c r="Q753" t="s">
        <v>718</v>
      </c>
      <c r="R753" t="s">
        <v>718</v>
      </c>
      <c r="S753" t="s">
        <v>51</v>
      </c>
    </row>
    <row r="754" spans="1:19" x14ac:dyDescent="0.25">
      <c r="A754">
        <v>664</v>
      </c>
      <c r="B754" t="s">
        <v>637</v>
      </c>
      <c r="C754" t="s">
        <v>14</v>
      </c>
      <c r="D754" t="s">
        <v>646</v>
      </c>
      <c r="E754" s="50">
        <v>700</v>
      </c>
      <c r="F754" s="38">
        <v>1</v>
      </c>
      <c r="G754" s="39">
        <v>0.1</v>
      </c>
      <c r="H754" s="58">
        <f>PlanGrid[[#This Row],[Spec Wattage]]*PlanGrid[[#This Row],[Equipment Count]]</f>
        <v>700</v>
      </c>
      <c r="I754" s="50">
        <f>((PlanGrid[[#This Row],[Demand Watt]]*PlanGrid[[#This Row],[Utilization %]]*'Schedule-Building Info'!$N$16)/1000)</f>
        <v>383.25</v>
      </c>
      <c r="J754" s="57">
        <f>PlanGrid[[#This Row],[kWh/yr]]*' Elec Utility (kWh)'!$M$7</f>
        <v>40.859562607128588</v>
      </c>
      <c r="K754" s="38">
        <f>PlanGrid[[#This Row],[kWh/yr]]/'Schedule-Building Info'!$B$6</f>
        <v>6.3025210084033615E-3</v>
      </c>
      <c r="L754" s="50">
        <f>CONVERT(PlanGrid[[#This Row],[kWh/yr]],"Wh","BTU")</f>
        <v>1307.7032808962836</v>
      </c>
      <c r="M754" s="38">
        <f>PlanGrid[[#This Row],[kBtu/yr]]/'Schedule-Building Info'!$B$6</f>
        <v>2.1505094326436606E-2</v>
      </c>
      <c r="N754" t="s">
        <v>1090</v>
      </c>
      <c r="O754">
        <v>1</v>
      </c>
      <c r="P754" t="str">
        <f>VLOOKUP(PlanGrid[[#This Row],[Title]],'Spec Wattages'!$A$1:$C$973,3,FALSE)</f>
        <v>Plug Load</v>
      </c>
      <c r="Q754" t="s">
        <v>720</v>
      </c>
      <c r="R754" t="s">
        <v>959</v>
      </c>
      <c r="S754" t="s">
        <v>11</v>
      </c>
    </row>
    <row r="755" spans="1:19" x14ac:dyDescent="0.25">
      <c r="A755">
        <v>666</v>
      </c>
      <c r="B755" t="s">
        <v>637</v>
      </c>
      <c r="C755" t="s">
        <v>14</v>
      </c>
      <c r="E755" s="50">
        <f>VLOOKUP(PlanGrid[[#This Row],[Title]],'Spec Wattages'!$A$1:$C$973,2,FALSE)</f>
        <v>100</v>
      </c>
      <c r="F755" s="38">
        <v>1</v>
      </c>
      <c r="G755" s="39">
        <v>0.1</v>
      </c>
      <c r="H755" s="58">
        <f>PlanGrid[[#This Row],[Spec Wattage]]*PlanGrid[[#This Row],[Equipment Count]]</f>
        <v>100</v>
      </c>
      <c r="I755" s="50">
        <f>((PlanGrid[[#This Row],[Demand Watt]]*PlanGrid[[#This Row],[Utilization %]]*'Schedule-Building Info'!$N$16)/1000)</f>
        <v>54.75</v>
      </c>
      <c r="J755" s="57">
        <f>PlanGrid[[#This Row],[kWh/yr]]*' Elec Utility (kWh)'!$M$7</f>
        <v>5.8370803724469411</v>
      </c>
      <c r="K755" s="38">
        <f>PlanGrid[[#This Row],[kWh/yr]]/'Schedule-Building Info'!$B$6</f>
        <v>9.0036014405762304E-4</v>
      </c>
      <c r="L755" s="50">
        <f>CONVERT(PlanGrid[[#This Row],[kWh/yr]],"Wh","BTU")</f>
        <v>186.8147544137548</v>
      </c>
      <c r="M755" s="38">
        <f>PlanGrid[[#This Row],[kBtu/yr]]/'Schedule-Building Info'!$B$6</f>
        <v>3.0721563323480865E-3</v>
      </c>
      <c r="N755" t="s">
        <v>1090</v>
      </c>
      <c r="O755">
        <v>0</v>
      </c>
      <c r="P755" t="str">
        <f>VLOOKUP(PlanGrid[[#This Row],[Title]],'Spec Wattages'!$A$1:$C$973,3,FALSE)</f>
        <v>Plug Load</v>
      </c>
      <c r="Q755" t="s">
        <v>831</v>
      </c>
      <c r="R755" t="s">
        <v>831</v>
      </c>
      <c r="S755" t="s">
        <v>51</v>
      </c>
    </row>
    <row r="756" spans="1:19" x14ac:dyDescent="0.25">
      <c r="A756">
        <v>668</v>
      </c>
      <c r="B756" t="s">
        <v>637</v>
      </c>
      <c r="C756" t="s">
        <v>14</v>
      </c>
      <c r="D756" t="s">
        <v>639</v>
      </c>
      <c r="E756" s="50">
        <f>VLOOKUP(PlanGrid[[#This Row],[Title]],'Spec Wattages'!$A$1:$C$973,2,FALSE)</f>
        <v>100</v>
      </c>
      <c r="F756" s="38">
        <v>1</v>
      </c>
      <c r="G756" s="39">
        <v>0.1</v>
      </c>
      <c r="H756" s="58">
        <f>PlanGrid[[#This Row],[Spec Wattage]]*PlanGrid[[#This Row],[Equipment Count]]</f>
        <v>100</v>
      </c>
      <c r="I756" s="50">
        <f>((PlanGrid[[#This Row],[Demand Watt]]*PlanGrid[[#This Row],[Utilization %]]*'Schedule-Building Info'!$N$16)/1000)</f>
        <v>54.75</v>
      </c>
      <c r="J756" s="57">
        <f>PlanGrid[[#This Row],[kWh/yr]]*' Elec Utility (kWh)'!$M$7</f>
        <v>5.8370803724469411</v>
      </c>
      <c r="K756" s="38">
        <f>PlanGrid[[#This Row],[kWh/yr]]/'Schedule-Building Info'!$B$6</f>
        <v>9.0036014405762304E-4</v>
      </c>
      <c r="L756" s="50">
        <f>CONVERT(PlanGrid[[#This Row],[kWh/yr]],"Wh","BTU")</f>
        <v>186.8147544137548</v>
      </c>
      <c r="M756" s="38">
        <f>PlanGrid[[#This Row],[kBtu/yr]]/'Schedule-Building Info'!$B$6</f>
        <v>3.0721563323480865E-3</v>
      </c>
      <c r="N756" t="s">
        <v>1090</v>
      </c>
      <c r="O756">
        <v>1</v>
      </c>
      <c r="P756" t="str">
        <f>VLOOKUP(PlanGrid[[#This Row],[Title]],'Spec Wattages'!$A$1:$C$973,3,FALSE)</f>
        <v>Plug Load</v>
      </c>
      <c r="Q756" t="s">
        <v>815</v>
      </c>
      <c r="R756" t="s">
        <v>833</v>
      </c>
      <c r="S756" t="s">
        <v>11</v>
      </c>
    </row>
    <row r="757" spans="1:19" x14ac:dyDescent="0.25">
      <c r="A757">
        <v>685</v>
      </c>
      <c r="B757" t="s">
        <v>637</v>
      </c>
      <c r="C757" t="s">
        <v>14</v>
      </c>
      <c r="D757" t="s">
        <v>42</v>
      </c>
      <c r="E757" s="50">
        <f>VLOOKUP(PlanGrid[[#This Row],[Title]],'Spec Wattages'!$A$1:$C$973,2,FALSE)</f>
        <v>100</v>
      </c>
      <c r="F757" s="38">
        <v>1</v>
      </c>
      <c r="G757" s="39">
        <v>0.1</v>
      </c>
      <c r="H757" s="58">
        <f>PlanGrid[[#This Row],[Spec Wattage]]*PlanGrid[[#This Row],[Equipment Count]]</f>
        <v>100</v>
      </c>
      <c r="I757" s="50">
        <f>((PlanGrid[[#This Row],[Demand Watt]]*PlanGrid[[#This Row],[Utilization %]]*'Schedule-Building Info'!$N$16)/1000)</f>
        <v>54.75</v>
      </c>
      <c r="J757" s="57">
        <f>PlanGrid[[#This Row],[kWh/yr]]*' Elec Utility (kWh)'!$M$7</f>
        <v>5.8370803724469411</v>
      </c>
      <c r="K757" s="38">
        <f>PlanGrid[[#This Row],[kWh/yr]]/'Schedule-Building Info'!$B$6</f>
        <v>9.0036014405762304E-4</v>
      </c>
      <c r="L757" s="50">
        <f>CONVERT(PlanGrid[[#This Row],[kWh/yr]],"Wh","BTU")</f>
        <v>186.8147544137548</v>
      </c>
      <c r="M757" s="38">
        <f>PlanGrid[[#This Row],[kBtu/yr]]/'Schedule-Building Info'!$B$6</f>
        <v>3.0721563323480865E-3</v>
      </c>
      <c r="N757" t="s">
        <v>1090</v>
      </c>
      <c r="O757">
        <v>0</v>
      </c>
      <c r="P757" t="str">
        <f>VLOOKUP(PlanGrid[[#This Row],[Title]],'Spec Wattages'!$A$1:$C$973,3,FALSE)</f>
        <v>Plug Load</v>
      </c>
      <c r="Q757" t="s">
        <v>719</v>
      </c>
      <c r="R757" t="s">
        <v>719</v>
      </c>
      <c r="S757" t="s">
        <v>11</v>
      </c>
    </row>
    <row r="758" spans="1:19" x14ac:dyDescent="0.25">
      <c r="A758">
        <v>694</v>
      </c>
      <c r="B758" t="s">
        <v>637</v>
      </c>
      <c r="C758" t="s">
        <v>14</v>
      </c>
      <c r="E758" s="50">
        <f>VLOOKUP(PlanGrid[[#This Row],[Title]],'Spec Wattages'!$A$1:$C$973,2,FALSE)</f>
        <v>100</v>
      </c>
      <c r="F758" s="38">
        <v>1</v>
      </c>
      <c r="G758" s="39">
        <v>0.1</v>
      </c>
      <c r="H758" s="58">
        <f>PlanGrid[[#This Row],[Spec Wattage]]*PlanGrid[[#This Row],[Equipment Count]]</f>
        <v>100</v>
      </c>
      <c r="I758" s="50">
        <f>((PlanGrid[[#This Row],[Demand Watt]]*PlanGrid[[#This Row],[Utilization %]]*'Schedule-Building Info'!$N$16)/1000)</f>
        <v>54.75</v>
      </c>
      <c r="J758" s="57">
        <f>PlanGrid[[#This Row],[kWh/yr]]*' Elec Utility (kWh)'!$M$7</f>
        <v>5.8370803724469411</v>
      </c>
      <c r="K758" s="38">
        <f>PlanGrid[[#This Row],[kWh/yr]]/'Schedule-Building Info'!$B$6</f>
        <v>9.0036014405762304E-4</v>
      </c>
      <c r="L758" s="50">
        <f>CONVERT(PlanGrid[[#This Row],[kWh/yr]],"Wh","BTU")</f>
        <v>186.8147544137548</v>
      </c>
      <c r="M758" s="38">
        <f>PlanGrid[[#This Row],[kBtu/yr]]/'Schedule-Building Info'!$B$6</f>
        <v>3.0721563323480865E-3</v>
      </c>
      <c r="N758" t="s">
        <v>1090</v>
      </c>
      <c r="O758">
        <v>0</v>
      </c>
      <c r="P758" t="str">
        <f>VLOOKUP(PlanGrid[[#This Row],[Title]],'Spec Wattages'!$A$1:$C$973,3,FALSE)</f>
        <v>Plug Load</v>
      </c>
      <c r="Q758" t="s">
        <v>720</v>
      </c>
      <c r="R758" t="s">
        <v>720</v>
      </c>
      <c r="S758" t="s">
        <v>51</v>
      </c>
    </row>
    <row r="759" spans="1:19" x14ac:dyDescent="0.25">
      <c r="A759">
        <v>778</v>
      </c>
      <c r="B759" t="s">
        <v>637</v>
      </c>
      <c r="C759" t="s">
        <v>14</v>
      </c>
      <c r="D759" t="s">
        <v>39</v>
      </c>
      <c r="E759" s="50">
        <f>VLOOKUP(PlanGrid[[#This Row],[Title]],'Spec Wattages'!$A$1:$C$973,2,FALSE)</f>
        <v>100</v>
      </c>
      <c r="F759" s="38">
        <v>1</v>
      </c>
      <c r="G759" s="39">
        <v>0.1</v>
      </c>
      <c r="H759" s="58">
        <f>PlanGrid[[#This Row],[Spec Wattage]]*PlanGrid[[#This Row],[Equipment Count]]</f>
        <v>100</v>
      </c>
      <c r="I759" s="50">
        <f>((PlanGrid[[#This Row],[Demand Watt]]*PlanGrid[[#This Row],[Utilization %]]*'Schedule-Building Info'!$N$16)/1000)</f>
        <v>54.75</v>
      </c>
      <c r="J759" s="57">
        <f>PlanGrid[[#This Row],[kWh/yr]]*' Elec Utility (kWh)'!$M$7</f>
        <v>5.8370803724469411</v>
      </c>
      <c r="K759" s="38">
        <f>PlanGrid[[#This Row],[kWh/yr]]/'Schedule-Building Info'!$B$6</f>
        <v>9.0036014405762304E-4</v>
      </c>
      <c r="L759" s="50">
        <f>CONVERT(PlanGrid[[#This Row],[kWh/yr]],"Wh","BTU")</f>
        <v>186.8147544137548</v>
      </c>
      <c r="M759" s="38">
        <f>PlanGrid[[#This Row],[kBtu/yr]]/'Schedule-Building Info'!$B$6</f>
        <v>3.0721563323480865E-3</v>
      </c>
      <c r="N759" t="s">
        <v>1090</v>
      </c>
      <c r="O759">
        <v>0</v>
      </c>
      <c r="P759" t="str">
        <f>VLOOKUP(PlanGrid[[#This Row],[Title]],'Spec Wattages'!$A$1:$C$973,3,FALSE)</f>
        <v>Plug Load</v>
      </c>
      <c r="Q759" t="s">
        <v>825</v>
      </c>
      <c r="R759" t="s">
        <v>825</v>
      </c>
      <c r="S759" t="s">
        <v>11</v>
      </c>
    </row>
    <row r="760" spans="1:19" x14ac:dyDescent="0.25">
      <c r="A760">
        <v>783</v>
      </c>
      <c r="B760" t="s">
        <v>637</v>
      </c>
      <c r="C760" t="s">
        <v>14</v>
      </c>
      <c r="D760" t="s">
        <v>14</v>
      </c>
      <c r="E760" s="50">
        <f>VLOOKUP(PlanGrid[[#This Row],[Title]],'Spec Wattages'!$A$1:$C$973,2,FALSE)</f>
        <v>100</v>
      </c>
      <c r="F760" s="38">
        <v>1</v>
      </c>
      <c r="G760" s="39">
        <v>0.1</v>
      </c>
      <c r="H760" s="58">
        <f>PlanGrid[[#This Row],[Spec Wattage]]*PlanGrid[[#This Row],[Equipment Count]]</f>
        <v>100</v>
      </c>
      <c r="I760" s="50">
        <f>((PlanGrid[[#This Row],[Demand Watt]]*PlanGrid[[#This Row],[Utilization %]]*'Schedule-Building Info'!$N$16)/1000)</f>
        <v>54.75</v>
      </c>
      <c r="J760" s="57">
        <f>PlanGrid[[#This Row],[kWh/yr]]*' Elec Utility (kWh)'!$M$7</f>
        <v>5.8370803724469411</v>
      </c>
      <c r="K760" s="38">
        <f>PlanGrid[[#This Row],[kWh/yr]]/'Schedule-Building Info'!$B$6</f>
        <v>9.0036014405762304E-4</v>
      </c>
      <c r="L760" s="50">
        <f>CONVERT(PlanGrid[[#This Row],[kWh/yr]],"Wh","BTU")</f>
        <v>186.8147544137548</v>
      </c>
      <c r="M760" s="38">
        <f>PlanGrid[[#This Row],[kBtu/yr]]/'Schedule-Building Info'!$B$6</f>
        <v>3.0721563323480865E-3</v>
      </c>
      <c r="N760" t="s">
        <v>1090</v>
      </c>
      <c r="O760">
        <v>0</v>
      </c>
      <c r="P760" t="str">
        <f>VLOOKUP(PlanGrid[[#This Row],[Title]],'Spec Wattages'!$A$1:$C$973,3,FALSE)</f>
        <v>Plug Load</v>
      </c>
      <c r="Q760" t="s">
        <v>874</v>
      </c>
      <c r="R760" t="s">
        <v>874</v>
      </c>
      <c r="S760" t="s">
        <v>11</v>
      </c>
    </row>
    <row r="761" spans="1:19" x14ac:dyDescent="0.25">
      <c r="A761">
        <v>850</v>
      </c>
      <c r="B761" t="s">
        <v>637</v>
      </c>
      <c r="C761" t="s">
        <v>14</v>
      </c>
      <c r="E761" s="50">
        <f>VLOOKUP(PlanGrid[[#This Row],[Title]],'Spec Wattages'!$A$1:$C$973,2,FALSE)</f>
        <v>100</v>
      </c>
      <c r="F761" s="38">
        <v>1</v>
      </c>
      <c r="G761" s="39">
        <v>0.1</v>
      </c>
      <c r="H761" s="58">
        <f>PlanGrid[[#This Row],[Spec Wattage]]*PlanGrid[[#This Row],[Equipment Count]]</f>
        <v>100</v>
      </c>
      <c r="I761" s="50">
        <f>((PlanGrid[[#This Row],[Demand Watt]]*PlanGrid[[#This Row],[Utilization %]]*'Schedule-Building Info'!$N$16)/1000)</f>
        <v>54.75</v>
      </c>
      <c r="J761" s="57">
        <f>PlanGrid[[#This Row],[kWh/yr]]*' Elec Utility (kWh)'!$M$7</f>
        <v>5.8370803724469411</v>
      </c>
      <c r="K761" s="38">
        <f>PlanGrid[[#This Row],[kWh/yr]]/'Schedule-Building Info'!$B$6</f>
        <v>9.0036014405762304E-4</v>
      </c>
      <c r="L761" s="50">
        <f>CONVERT(PlanGrid[[#This Row],[kWh/yr]],"Wh","BTU")</f>
        <v>186.8147544137548</v>
      </c>
      <c r="M761" s="38">
        <f>PlanGrid[[#This Row],[kBtu/yr]]/'Schedule-Building Info'!$B$6</f>
        <v>3.0721563323480865E-3</v>
      </c>
      <c r="N761" t="s">
        <v>1090</v>
      </c>
      <c r="O761">
        <v>0</v>
      </c>
      <c r="P761" t="str">
        <f>VLOOKUP(PlanGrid[[#This Row],[Title]],'Spec Wattages'!$A$1:$C$973,3,FALSE)</f>
        <v>Plug Load</v>
      </c>
      <c r="Q761" t="s">
        <v>836</v>
      </c>
      <c r="R761" t="s">
        <v>836</v>
      </c>
      <c r="S761" t="s">
        <v>11</v>
      </c>
    </row>
    <row r="762" spans="1:19" x14ac:dyDescent="0.25">
      <c r="A762">
        <v>863</v>
      </c>
      <c r="B762" t="s">
        <v>637</v>
      </c>
      <c r="C762" t="s">
        <v>14</v>
      </c>
      <c r="E762" s="50">
        <f>VLOOKUP(PlanGrid[[#This Row],[Title]],'Spec Wattages'!$A$1:$C$973,2,FALSE)</f>
        <v>100</v>
      </c>
      <c r="F762" s="38">
        <v>1</v>
      </c>
      <c r="G762" s="39">
        <v>0.1</v>
      </c>
      <c r="H762" s="58">
        <f>PlanGrid[[#This Row],[Spec Wattage]]*PlanGrid[[#This Row],[Equipment Count]]</f>
        <v>100</v>
      </c>
      <c r="I762" s="50">
        <f>((PlanGrid[[#This Row],[Demand Watt]]*PlanGrid[[#This Row],[Utilization %]]*'Schedule-Building Info'!$N$16)/1000)</f>
        <v>54.75</v>
      </c>
      <c r="J762" s="57">
        <f>PlanGrid[[#This Row],[kWh/yr]]*' Elec Utility (kWh)'!$M$7</f>
        <v>5.8370803724469411</v>
      </c>
      <c r="K762" s="38">
        <f>PlanGrid[[#This Row],[kWh/yr]]/'Schedule-Building Info'!$B$6</f>
        <v>9.0036014405762304E-4</v>
      </c>
      <c r="L762" s="50">
        <f>CONVERT(PlanGrid[[#This Row],[kWh/yr]],"Wh","BTU")</f>
        <v>186.8147544137548</v>
      </c>
      <c r="M762" s="38">
        <f>PlanGrid[[#This Row],[kBtu/yr]]/'Schedule-Building Info'!$B$6</f>
        <v>3.0721563323480865E-3</v>
      </c>
      <c r="N762" t="s">
        <v>1090</v>
      </c>
      <c r="O762">
        <v>0</v>
      </c>
      <c r="P762" t="str">
        <f>VLOOKUP(PlanGrid[[#This Row],[Title]],'Spec Wattages'!$A$1:$C$973,3,FALSE)</f>
        <v>Plug Load</v>
      </c>
      <c r="Q762" t="s">
        <v>781</v>
      </c>
      <c r="R762" t="s">
        <v>781</v>
      </c>
      <c r="S762" t="s">
        <v>51</v>
      </c>
    </row>
    <row r="763" spans="1:19" x14ac:dyDescent="0.25">
      <c r="A763">
        <v>872</v>
      </c>
      <c r="B763" t="s">
        <v>637</v>
      </c>
      <c r="C763" t="s">
        <v>14</v>
      </c>
      <c r="D763" t="s">
        <v>640</v>
      </c>
      <c r="E763" s="50">
        <f>VLOOKUP(PlanGrid[[#This Row],[Title]],'Spec Wattages'!$A$1:$C$973,2,FALSE)</f>
        <v>100</v>
      </c>
      <c r="F763" s="38">
        <v>1</v>
      </c>
      <c r="G763" s="39">
        <v>0.1</v>
      </c>
      <c r="H763" s="58">
        <f>PlanGrid[[#This Row],[Spec Wattage]]*PlanGrid[[#This Row],[Equipment Count]]</f>
        <v>100</v>
      </c>
      <c r="I763" s="50">
        <f>((PlanGrid[[#This Row],[Demand Watt]]*PlanGrid[[#This Row],[Utilization %]]*'Schedule-Building Info'!$N$16)/1000)</f>
        <v>54.75</v>
      </c>
      <c r="J763" s="57">
        <f>PlanGrid[[#This Row],[kWh/yr]]*' Elec Utility (kWh)'!$M$7</f>
        <v>5.8370803724469411</v>
      </c>
      <c r="K763" s="38">
        <f>PlanGrid[[#This Row],[kWh/yr]]/'Schedule-Building Info'!$B$6</f>
        <v>9.0036014405762304E-4</v>
      </c>
      <c r="L763" s="50">
        <f>CONVERT(PlanGrid[[#This Row],[kWh/yr]],"Wh","BTU")</f>
        <v>186.8147544137548</v>
      </c>
      <c r="M763" s="38">
        <f>PlanGrid[[#This Row],[kBtu/yr]]/'Schedule-Building Info'!$B$6</f>
        <v>3.0721563323480865E-3</v>
      </c>
      <c r="N763" t="s">
        <v>1090</v>
      </c>
      <c r="O763">
        <v>1</v>
      </c>
      <c r="P763" t="str">
        <f>VLOOKUP(PlanGrid[[#This Row],[Title]],'Spec Wattages'!$A$1:$C$973,3,FALSE)</f>
        <v>Plug Load</v>
      </c>
      <c r="Q763" t="s">
        <v>924</v>
      </c>
      <c r="R763" t="s">
        <v>838</v>
      </c>
      <c r="S763" t="s">
        <v>11</v>
      </c>
    </row>
    <row r="764" spans="1:19" x14ac:dyDescent="0.25">
      <c r="A764">
        <v>26</v>
      </c>
      <c r="B764" t="s">
        <v>637</v>
      </c>
      <c r="C764" t="s">
        <v>14</v>
      </c>
      <c r="E764" s="50">
        <f>VLOOKUP(PlanGrid[[#This Row],[Title]],'Spec Wattages'!$A$1:$C$973,2,FALSE)</f>
        <v>100</v>
      </c>
      <c r="F764" s="38">
        <v>1</v>
      </c>
      <c r="G764" s="39">
        <v>0.1</v>
      </c>
      <c r="H764" s="58">
        <f>PlanGrid[[#This Row],[Spec Wattage]]*PlanGrid[[#This Row],[Equipment Count]]</f>
        <v>100</v>
      </c>
      <c r="I764" s="50">
        <f>((PlanGrid[[#This Row],[Demand Watt]]*PlanGrid[[#This Row],[Utilization %]]*'Schedule-Building Info'!$N$16)/1000)</f>
        <v>54.75</v>
      </c>
      <c r="J764" s="57">
        <f>PlanGrid[[#This Row],[kWh/yr]]*' Elec Utility (kWh)'!$M$7</f>
        <v>5.8370803724469411</v>
      </c>
      <c r="K764" s="38">
        <f>PlanGrid[[#This Row],[kWh/yr]]/'Schedule-Building Info'!$B$6</f>
        <v>9.0036014405762304E-4</v>
      </c>
      <c r="L764" s="50">
        <f>CONVERT(PlanGrid[[#This Row],[kWh/yr]],"Wh","BTU")</f>
        <v>186.8147544137548</v>
      </c>
      <c r="M764" s="38">
        <f>PlanGrid[[#This Row],[kBtu/yr]]/'Schedule-Building Info'!$B$6</f>
        <v>3.0721563323480865E-3</v>
      </c>
      <c r="N764" t="s">
        <v>1092</v>
      </c>
      <c r="O764">
        <v>0</v>
      </c>
      <c r="P764" t="str">
        <f>VLOOKUP(PlanGrid[[#This Row],[Title]],'Spec Wattages'!$A$1:$C$973,3,FALSE)</f>
        <v>Plug Load</v>
      </c>
      <c r="Q764" t="s">
        <v>1017</v>
      </c>
      <c r="R764" t="s">
        <v>1017</v>
      </c>
      <c r="S764" t="s">
        <v>51</v>
      </c>
    </row>
    <row r="765" spans="1:19" x14ac:dyDescent="0.25">
      <c r="A765">
        <v>31</v>
      </c>
      <c r="B765" t="s">
        <v>637</v>
      </c>
      <c r="C765" t="s">
        <v>14</v>
      </c>
      <c r="E765" s="50">
        <f>VLOOKUP(PlanGrid[[#This Row],[Title]],'Spec Wattages'!$A$1:$C$973,2,FALSE)</f>
        <v>100</v>
      </c>
      <c r="F765" s="38">
        <v>1</v>
      </c>
      <c r="G765" s="39">
        <v>0.1</v>
      </c>
      <c r="H765" s="58">
        <f>PlanGrid[[#This Row],[Spec Wattage]]*PlanGrid[[#This Row],[Equipment Count]]</f>
        <v>100</v>
      </c>
      <c r="I765" s="50">
        <f>((PlanGrid[[#This Row],[Demand Watt]]*PlanGrid[[#This Row],[Utilization %]]*'Schedule-Building Info'!$N$16)/1000)</f>
        <v>54.75</v>
      </c>
      <c r="J765" s="57">
        <f>PlanGrid[[#This Row],[kWh/yr]]*' Elec Utility (kWh)'!$M$7</f>
        <v>5.8370803724469411</v>
      </c>
      <c r="K765" s="38">
        <f>PlanGrid[[#This Row],[kWh/yr]]/'Schedule-Building Info'!$B$6</f>
        <v>9.0036014405762304E-4</v>
      </c>
      <c r="L765" s="50">
        <f>CONVERT(PlanGrid[[#This Row],[kWh/yr]],"Wh","BTU")</f>
        <v>186.8147544137548</v>
      </c>
      <c r="M765" s="38">
        <f>PlanGrid[[#This Row],[kBtu/yr]]/'Schedule-Building Info'!$B$6</f>
        <v>3.0721563323480865E-3</v>
      </c>
      <c r="N765" t="s">
        <v>1092</v>
      </c>
      <c r="O765">
        <v>0</v>
      </c>
      <c r="P765" t="str">
        <f>VLOOKUP(PlanGrid[[#This Row],[Title]],'Spec Wattages'!$A$1:$C$973,3,FALSE)</f>
        <v>Plug Load</v>
      </c>
      <c r="Q765" t="s">
        <v>933</v>
      </c>
      <c r="R765" t="s">
        <v>933</v>
      </c>
      <c r="S765" t="s">
        <v>51</v>
      </c>
    </row>
    <row r="766" spans="1:19" x14ac:dyDescent="0.25">
      <c r="A766">
        <v>35</v>
      </c>
      <c r="B766" t="s">
        <v>637</v>
      </c>
      <c r="C766" t="s">
        <v>14</v>
      </c>
      <c r="E766" s="50">
        <f>VLOOKUP(PlanGrid[[#This Row],[Title]],'Spec Wattages'!$A$1:$C$973,2,FALSE)</f>
        <v>100</v>
      </c>
      <c r="F766" s="38">
        <v>1</v>
      </c>
      <c r="G766" s="39">
        <v>0.1</v>
      </c>
      <c r="H766" s="58">
        <f>PlanGrid[[#This Row],[Spec Wattage]]*PlanGrid[[#This Row],[Equipment Count]]</f>
        <v>100</v>
      </c>
      <c r="I766" s="50">
        <f>((PlanGrid[[#This Row],[Demand Watt]]*PlanGrid[[#This Row],[Utilization %]]*'Schedule-Building Info'!$N$16)/1000)</f>
        <v>54.75</v>
      </c>
      <c r="J766" s="57">
        <f>PlanGrid[[#This Row],[kWh/yr]]*' Elec Utility (kWh)'!$M$7</f>
        <v>5.8370803724469411</v>
      </c>
      <c r="K766" s="38">
        <f>PlanGrid[[#This Row],[kWh/yr]]/'Schedule-Building Info'!$B$6</f>
        <v>9.0036014405762304E-4</v>
      </c>
      <c r="L766" s="50">
        <f>CONVERT(PlanGrid[[#This Row],[kWh/yr]],"Wh","BTU")</f>
        <v>186.8147544137548</v>
      </c>
      <c r="M766" s="38">
        <f>PlanGrid[[#This Row],[kBtu/yr]]/'Schedule-Building Info'!$B$6</f>
        <v>3.0721563323480865E-3</v>
      </c>
      <c r="N766" t="s">
        <v>1092</v>
      </c>
      <c r="O766">
        <v>0</v>
      </c>
      <c r="P766" t="str">
        <f>VLOOKUP(PlanGrid[[#This Row],[Title]],'Spec Wattages'!$A$1:$C$973,3,FALSE)</f>
        <v>Plug Load</v>
      </c>
      <c r="Q766" t="s">
        <v>934</v>
      </c>
      <c r="R766" t="s">
        <v>742</v>
      </c>
      <c r="S766" t="s">
        <v>11</v>
      </c>
    </row>
    <row r="767" spans="1:19" x14ac:dyDescent="0.25">
      <c r="A767">
        <v>45</v>
      </c>
      <c r="B767" t="s">
        <v>637</v>
      </c>
      <c r="C767" t="s">
        <v>14</v>
      </c>
      <c r="E767" s="50">
        <f>VLOOKUP(PlanGrid[[#This Row],[Title]],'Spec Wattages'!$A$1:$C$973,2,FALSE)</f>
        <v>100</v>
      </c>
      <c r="F767" s="38">
        <v>1</v>
      </c>
      <c r="G767" s="39">
        <v>0.1</v>
      </c>
      <c r="H767" s="58">
        <f>PlanGrid[[#This Row],[Spec Wattage]]*PlanGrid[[#This Row],[Equipment Count]]</f>
        <v>100</v>
      </c>
      <c r="I767" s="50">
        <f>((PlanGrid[[#This Row],[Demand Watt]]*PlanGrid[[#This Row],[Utilization %]]*'Schedule-Building Info'!$N$16)/1000)</f>
        <v>54.75</v>
      </c>
      <c r="J767" s="57">
        <f>PlanGrid[[#This Row],[kWh/yr]]*' Elec Utility (kWh)'!$M$7</f>
        <v>5.8370803724469411</v>
      </c>
      <c r="K767" s="38">
        <f>PlanGrid[[#This Row],[kWh/yr]]/'Schedule-Building Info'!$B$6</f>
        <v>9.0036014405762304E-4</v>
      </c>
      <c r="L767" s="50">
        <f>CONVERT(PlanGrid[[#This Row],[kWh/yr]],"Wh","BTU")</f>
        <v>186.8147544137548</v>
      </c>
      <c r="M767" s="38">
        <f>PlanGrid[[#This Row],[kBtu/yr]]/'Schedule-Building Info'!$B$6</f>
        <v>3.0721563323480865E-3</v>
      </c>
      <c r="N767" t="s">
        <v>1092</v>
      </c>
      <c r="O767">
        <v>0</v>
      </c>
      <c r="P767" t="str">
        <f>VLOOKUP(PlanGrid[[#This Row],[Title]],'Spec Wattages'!$A$1:$C$973,3,FALSE)</f>
        <v>Plug Load</v>
      </c>
      <c r="Q767" t="s">
        <v>783</v>
      </c>
      <c r="R767" t="s">
        <v>783</v>
      </c>
      <c r="S767" t="s">
        <v>51</v>
      </c>
    </row>
    <row r="768" spans="1:19" x14ac:dyDescent="0.25">
      <c r="A768">
        <v>48</v>
      </c>
      <c r="B768" t="s">
        <v>637</v>
      </c>
      <c r="C768" t="s">
        <v>14</v>
      </c>
      <c r="D768" t="s">
        <v>42</v>
      </c>
      <c r="E768" s="50">
        <f>VLOOKUP(PlanGrid[[#This Row],[Title]],'Spec Wattages'!$A$1:$C$973,2,FALSE)</f>
        <v>100</v>
      </c>
      <c r="F768" s="38">
        <v>1</v>
      </c>
      <c r="G768" s="39">
        <v>0.1</v>
      </c>
      <c r="H768" s="58">
        <f>PlanGrid[[#This Row],[Spec Wattage]]*PlanGrid[[#This Row],[Equipment Count]]</f>
        <v>100</v>
      </c>
      <c r="I768" s="50">
        <f>((PlanGrid[[#This Row],[Demand Watt]]*PlanGrid[[#This Row],[Utilization %]]*'Schedule-Building Info'!$N$16)/1000)</f>
        <v>54.75</v>
      </c>
      <c r="J768" s="57">
        <f>PlanGrid[[#This Row],[kWh/yr]]*' Elec Utility (kWh)'!$M$7</f>
        <v>5.8370803724469411</v>
      </c>
      <c r="K768" s="38">
        <f>PlanGrid[[#This Row],[kWh/yr]]/'Schedule-Building Info'!$B$6</f>
        <v>9.0036014405762304E-4</v>
      </c>
      <c r="L768" s="50">
        <f>CONVERT(PlanGrid[[#This Row],[kWh/yr]],"Wh","BTU")</f>
        <v>186.8147544137548</v>
      </c>
      <c r="M768" s="38">
        <f>PlanGrid[[#This Row],[kBtu/yr]]/'Schedule-Building Info'!$B$6</f>
        <v>3.0721563323480865E-3</v>
      </c>
      <c r="N768" t="s">
        <v>1092</v>
      </c>
      <c r="O768">
        <v>0</v>
      </c>
      <c r="P768" t="str">
        <f>VLOOKUP(PlanGrid[[#This Row],[Title]],'Spec Wattages'!$A$1:$C$973,3,FALSE)</f>
        <v>Plug Load</v>
      </c>
      <c r="Q768" t="s">
        <v>744</v>
      </c>
      <c r="R768" t="s">
        <v>783</v>
      </c>
      <c r="S768" t="s">
        <v>11</v>
      </c>
    </row>
    <row r="769" spans="1:19" x14ac:dyDescent="0.25">
      <c r="A769">
        <v>53</v>
      </c>
      <c r="B769" t="s">
        <v>637</v>
      </c>
      <c r="C769" t="s">
        <v>14</v>
      </c>
      <c r="E769" s="50">
        <f>VLOOKUP(PlanGrid[[#This Row],[Title]],'Spec Wattages'!$A$1:$C$973,2,FALSE)</f>
        <v>100</v>
      </c>
      <c r="F769" s="38">
        <v>1</v>
      </c>
      <c r="G769" s="39">
        <v>0.1</v>
      </c>
      <c r="H769" s="58">
        <f>PlanGrid[[#This Row],[Spec Wattage]]*PlanGrid[[#This Row],[Equipment Count]]</f>
        <v>100</v>
      </c>
      <c r="I769" s="50">
        <f>((PlanGrid[[#This Row],[Demand Watt]]*PlanGrid[[#This Row],[Utilization %]]*'Schedule-Building Info'!$N$16)/1000)</f>
        <v>54.75</v>
      </c>
      <c r="J769" s="57">
        <f>PlanGrid[[#This Row],[kWh/yr]]*' Elec Utility (kWh)'!$M$7</f>
        <v>5.8370803724469411</v>
      </c>
      <c r="K769" s="38">
        <f>PlanGrid[[#This Row],[kWh/yr]]/'Schedule-Building Info'!$B$6</f>
        <v>9.0036014405762304E-4</v>
      </c>
      <c r="L769" s="50">
        <f>CONVERT(PlanGrid[[#This Row],[kWh/yr]],"Wh","BTU")</f>
        <v>186.8147544137548</v>
      </c>
      <c r="M769" s="38">
        <f>PlanGrid[[#This Row],[kBtu/yr]]/'Schedule-Building Info'!$B$6</f>
        <v>3.0721563323480865E-3</v>
      </c>
      <c r="N769" t="s">
        <v>1092</v>
      </c>
      <c r="O769">
        <v>0</v>
      </c>
      <c r="P769" t="str">
        <f>VLOOKUP(PlanGrid[[#This Row],[Title]],'Spec Wattages'!$A$1:$C$973,3,FALSE)</f>
        <v>Plug Load</v>
      </c>
      <c r="Q769" t="s">
        <v>846</v>
      </c>
      <c r="R769" t="s">
        <v>846</v>
      </c>
      <c r="S769" t="s">
        <v>51</v>
      </c>
    </row>
    <row r="770" spans="1:19" x14ac:dyDescent="0.25">
      <c r="A770">
        <v>55</v>
      </c>
      <c r="B770" t="s">
        <v>637</v>
      </c>
      <c r="C770" t="s">
        <v>14</v>
      </c>
      <c r="D770" t="s">
        <v>39</v>
      </c>
      <c r="E770" s="50">
        <f>VLOOKUP(PlanGrid[[#This Row],[Title]],'Spec Wattages'!$A$1:$C$973,2,FALSE)</f>
        <v>100</v>
      </c>
      <c r="F770" s="38">
        <v>1</v>
      </c>
      <c r="G770" s="39">
        <v>0.1</v>
      </c>
      <c r="H770" s="58">
        <f>PlanGrid[[#This Row],[Spec Wattage]]*PlanGrid[[#This Row],[Equipment Count]]</f>
        <v>100</v>
      </c>
      <c r="I770" s="50">
        <f>((PlanGrid[[#This Row],[Demand Watt]]*PlanGrid[[#This Row],[Utilization %]]*'Schedule-Building Info'!$N$16)/1000)</f>
        <v>54.75</v>
      </c>
      <c r="J770" s="57">
        <f>PlanGrid[[#This Row],[kWh/yr]]*' Elec Utility (kWh)'!$M$7</f>
        <v>5.8370803724469411</v>
      </c>
      <c r="K770" s="38">
        <f>PlanGrid[[#This Row],[kWh/yr]]/'Schedule-Building Info'!$B$6</f>
        <v>9.0036014405762304E-4</v>
      </c>
      <c r="L770" s="50">
        <f>CONVERT(PlanGrid[[#This Row],[kWh/yr]],"Wh","BTU")</f>
        <v>186.8147544137548</v>
      </c>
      <c r="M770" s="38">
        <f>PlanGrid[[#This Row],[kBtu/yr]]/'Schedule-Building Info'!$B$6</f>
        <v>3.0721563323480865E-3</v>
      </c>
      <c r="N770" t="s">
        <v>1092</v>
      </c>
      <c r="O770">
        <v>0</v>
      </c>
      <c r="P770" t="str">
        <f>VLOOKUP(PlanGrid[[#This Row],[Title]],'Spec Wattages'!$A$1:$C$973,3,FALSE)</f>
        <v>Plug Load</v>
      </c>
      <c r="Q770" t="s">
        <v>847</v>
      </c>
      <c r="R770" t="s">
        <v>1009</v>
      </c>
      <c r="S770" t="s">
        <v>11</v>
      </c>
    </row>
    <row r="771" spans="1:19" x14ac:dyDescent="0.25">
      <c r="A771">
        <v>62</v>
      </c>
      <c r="B771" t="s">
        <v>637</v>
      </c>
      <c r="C771" t="s">
        <v>14</v>
      </c>
      <c r="E771" s="50">
        <f>VLOOKUP(PlanGrid[[#This Row],[Title]],'Spec Wattages'!$A$1:$C$973,2,FALSE)</f>
        <v>100</v>
      </c>
      <c r="F771" s="38">
        <v>1</v>
      </c>
      <c r="G771" s="39">
        <v>0.1</v>
      </c>
      <c r="H771" s="58">
        <f>PlanGrid[[#This Row],[Spec Wattage]]*PlanGrid[[#This Row],[Equipment Count]]</f>
        <v>100</v>
      </c>
      <c r="I771" s="50">
        <f>((PlanGrid[[#This Row],[Demand Watt]]*PlanGrid[[#This Row],[Utilization %]]*'Schedule-Building Info'!$N$16)/1000)</f>
        <v>54.75</v>
      </c>
      <c r="J771" s="57">
        <f>PlanGrid[[#This Row],[kWh/yr]]*' Elec Utility (kWh)'!$M$7</f>
        <v>5.8370803724469411</v>
      </c>
      <c r="K771" s="38">
        <f>PlanGrid[[#This Row],[kWh/yr]]/'Schedule-Building Info'!$B$6</f>
        <v>9.0036014405762304E-4</v>
      </c>
      <c r="L771" s="50">
        <f>CONVERT(PlanGrid[[#This Row],[kWh/yr]],"Wh","BTU")</f>
        <v>186.8147544137548</v>
      </c>
      <c r="M771" s="38">
        <f>PlanGrid[[#This Row],[kBtu/yr]]/'Schedule-Building Info'!$B$6</f>
        <v>3.0721563323480865E-3</v>
      </c>
      <c r="N771" t="s">
        <v>1092</v>
      </c>
      <c r="O771">
        <v>0</v>
      </c>
      <c r="P771" t="str">
        <f>VLOOKUP(PlanGrid[[#This Row],[Title]],'Spec Wattages'!$A$1:$C$973,3,FALSE)</f>
        <v>Plug Load</v>
      </c>
      <c r="Q771" t="s">
        <v>847</v>
      </c>
      <c r="R771" t="s">
        <v>847</v>
      </c>
      <c r="S771" t="s">
        <v>51</v>
      </c>
    </row>
    <row r="772" spans="1:19" x14ac:dyDescent="0.25">
      <c r="A772">
        <v>74</v>
      </c>
      <c r="B772" t="s">
        <v>637</v>
      </c>
      <c r="C772" t="s">
        <v>14</v>
      </c>
      <c r="D772" t="s">
        <v>643</v>
      </c>
      <c r="E772" s="50">
        <v>700</v>
      </c>
      <c r="F772" s="38">
        <v>1</v>
      </c>
      <c r="G772" s="39">
        <v>0.1</v>
      </c>
      <c r="H772" s="58">
        <f>PlanGrid[[#This Row],[Spec Wattage]]*PlanGrid[[#This Row],[Equipment Count]]</f>
        <v>700</v>
      </c>
      <c r="I772" s="50">
        <f>((PlanGrid[[#This Row],[Demand Watt]]*PlanGrid[[#This Row],[Utilization %]]*'Schedule-Building Info'!$N$16)/1000)</f>
        <v>383.25</v>
      </c>
      <c r="J772" s="57">
        <f>PlanGrid[[#This Row],[kWh/yr]]*' Elec Utility (kWh)'!$M$7</f>
        <v>40.859562607128588</v>
      </c>
      <c r="K772" s="38">
        <f>PlanGrid[[#This Row],[kWh/yr]]/'Schedule-Building Info'!$B$6</f>
        <v>6.3025210084033615E-3</v>
      </c>
      <c r="L772" s="50">
        <f>CONVERT(PlanGrid[[#This Row],[kWh/yr]],"Wh","BTU")</f>
        <v>1307.7032808962836</v>
      </c>
      <c r="M772" s="38">
        <f>PlanGrid[[#This Row],[kBtu/yr]]/'Schedule-Building Info'!$B$6</f>
        <v>2.1505094326436606E-2</v>
      </c>
      <c r="N772" t="s">
        <v>1092</v>
      </c>
      <c r="O772">
        <v>0</v>
      </c>
      <c r="P772" t="str">
        <f>VLOOKUP(PlanGrid[[#This Row],[Title]],'Spec Wattages'!$A$1:$C$973,3,FALSE)</f>
        <v>Plug Load</v>
      </c>
      <c r="Q772" t="s">
        <v>852</v>
      </c>
      <c r="R772" t="s">
        <v>850</v>
      </c>
      <c r="S772" t="s">
        <v>11</v>
      </c>
    </row>
    <row r="773" spans="1:19" x14ac:dyDescent="0.25">
      <c r="A773">
        <v>79</v>
      </c>
      <c r="B773" t="s">
        <v>637</v>
      </c>
      <c r="C773" t="s">
        <v>14</v>
      </c>
      <c r="E773" s="50">
        <f>VLOOKUP(PlanGrid[[#This Row],[Title]],'Spec Wattages'!$A$1:$C$973,2,FALSE)</f>
        <v>100</v>
      </c>
      <c r="F773" s="38">
        <v>1</v>
      </c>
      <c r="G773" s="39">
        <v>0.1</v>
      </c>
      <c r="H773" s="58">
        <f>PlanGrid[[#This Row],[Spec Wattage]]*PlanGrid[[#This Row],[Equipment Count]]</f>
        <v>100</v>
      </c>
      <c r="I773" s="50">
        <f>((PlanGrid[[#This Row],[Demand Watt]]*PlanGrid[[#This Row],[Utilization %]]*'Schedule-Building Info'!$N$16)/1000)</f>
        <v>54.75</v>
      </c>
      <c r="J773" s="57">
        <f>PlanGrid[[#This Row],[kWh/yr]]*' Elec Utility (kWh)'!$M$7</f>
        <v>5.8370803724469411</v>
      </c>
      <c r="K773" s="38">
        <f>PlanGrid[[#This Row],[kWh/yr]]/'Schedule-Building Info'!$B$6</f>
        <v>9.0036014405762304E-4</v>
      </c>
      <c r="L773" s="50">
        <f>CONVERT(PlanGrid[[#This Row],[kWh/yr]],"Wh","BTU")</f>
        <v>186.8147544137548</v>
      </c>
      <c r="M773" s="38">
        <f>PlanGrid[[#This Row],[kBtu/yr]]/'Schedule-Building Info'!$B$6</f>
        <v>3.0721563323480865E-3</v>
      </c>
      <c r="N773" t="s">
        <v>1092</v>
      </c>
      <c r="O773">
        <v>0</v>
      </c>
      <c r="P773" t="str">
        <f>VLOOKUP(PlanGrid[[#This Row],[Title]],'Spec Wattages'!$A$1:$C$973,3,FALSE)</f>
        <v>Plug Load</v>
      </c>
      <c r="Q773" t="s">
        <v>942</v>
      </c>
      <c r="R773" t="s">
        <v>942</v>
      </c>
      <c r="S773" t="s">
        <v>51</v>
      </c>
    </row>
    <row r="774" spans="1:19" x14ac:dyDescent="0.25">
      <c r="A774">
        <v>89</v>
      </c>
      <c r="B774" t="s">
        <v>637</v>
      </c>
      <c r="C774" t="s">
        <v>14</v>
      </c>
      <c r="D774" t="s">
        <v>39</v>
      </c>
      <c r="E774" s="50">
        <f>VLOOKUP(PlanGrid[[#This Row],[Title]],'Spec Wattages'!$A$1:$C$973,2,FALSE)</f>
        <v>100</v>
      </c>
      <c r="F774" s="38">
        <v>1</v>
      </c>
      <c r="G774" s="39">
        <v>0.1</v>
      </c>
      <c r="H774" s="58">
        <f>PlanGrid[[#This Row],[Spec Wattage]]*PlanGrid[[#This Row],[Equipment Count]]</f>
        <v>100</v>
      </c>
      <c r="I774" s="50">
        <f>((PlanGrid[[#This Row],[Demand Watt]]*PlanGrid[[#This Row],[Utilization %]]*'Schedule-Building Info'!$N$16)/1000)</f>
        <v>54.75</v>
      </c>
      <c r="J774" s="57">
        <f>PlanGrid[[#This Row],[kWh/yr]]*' Elec Utility (kWh)'!$M$7</f>
        <v>5.8370803724469411</v>
      </c>
      <c r="K774" s="38">
        <f>PlanGrid[[#This Row],[kWh/yr]]/'Schedule-Building Info'!$B$6</f>
        <v>9.0036014405762304E-4</v>
      </c>
      <c r="L774" s="50">
        <f>CONVERT(PlanGrid[[#This Row],[kWh/yr]],"Wh","BTU")</f>
        <v>186.8147544137548</v>
      </c>
      <c r="M774" s="38">
        <f>PlanGrid[[#This Row],[kBtu/yr]]/'Schedule-Building Info'!$B$6</f>
        <v>3.0721563323480865E-3</v>
      </c>
      <c r="N774" t="s">
        <v>1092</v>
      </c>
      <c r="O774">
        <v>0</v>
      </c>
      <c r="P774" t="str">
        <f>VLOOKUP(PlanGrid[[#This Row],[Title]],'Spec Wattages'!$A$1:$C$973,3,FALSE)</f>
        <v>Plug Load</v>
      </c>
      <c r="Q774" t="s">
        <v>749</v>
      </c>
      <c r="R774" t="s">
        <v>851</v>
      </c>
      <c r="S774" t="s">
        <v>11</v>
      </c>
    </row>
    <row r="775" spans="1:19" x14ac:dyDescent="0.25">
      <c r="A775">
        <v>92</v>
      </c>
      <c r="B775" t="s">
        <v>637</v>
      </c>
      <c r="C775" t="s">
        <v>14</v>
      </c>
      <c r="D775" t="s">
        <v>42</v>
      </c>
      <c r="E775" s="50">
        <f>VLOOKUP(PlanGrid[[#This Row],[Title]],'Spec Wattages'!$A$1:$C$973,2,FALSE)</f>
        <v>100</v>
      </c>
      <c r="F775" s="38">
        <v>1</v>
      </c>
      <c r="G775" s="39">
        <v>0.1</v>
      </c>
      <c r="H775" s="58">
        <f>PlanGrid[[#This Row],[Spec Wattage]]*PlanGrid[[#This Row],[Equipment Count]]</f>
        <v>100</v>
      </c>
      <c r="I775" s="50">
        <f>((PlanGrid[[#This Row],[Demand Watt]]*PlanGrid[[#This Row],[Utilization %]]*'Schedule-Building Info'!$N$16)/1000)</f>
        <v>54.75</v>
      </c>
      <c r="J775" s="57">
        <f>PlanGrid[[#This Row],[kWh/yr]]*' Elec Utility (kWh)'!$M$7</f>
        <v>5.8370803724469411</v>
      </c>
      <c r="K775" s="38">
        <f>PlanGrid[[#This Row],[kWh/yr]]/'Schedule-Building Info'!$B$6</f>
        <v>9.0036014405762304E-4</v>
      </c>
      <c r="L775" s="50">
        <f>CONVERT(PlanGrid[[#This Row],[kWh/yr]],"Wh","BTU")</f>
        <v>186.8147544137548</v>
      </c>
      <c r="M775" s="38">
        <f>PlanGrid[[#This Row],[kBtu/yr]]/'Schedule-Building Info'!$B$6</f>
        <v>3.0721563323480865E-3</v>
      </c>
      <c r="N775" t="s">
        <v>1092</v>
      </c>
      <c r="O775">
        <v>0</v>
      </c>
      <c r="P775" t="str">
        <f>VLOOKUP(PlanGrid[[#This Row],[Title]],'Spec Wattages'!$A$1:$C$973,3,FALSE)</f>
        <v>Plug Load</v>
      </c>
      <c r="Q775" t="s">
        <v>937</v>
      </c>
      <c r="R775" t="s">
        <v>852</v>
      </c>
      <c r="S775" t="s">
        <v>11</v>
      </c>
    </row>
    <row r="776" spans="1:19" x14ac:dyDescent="0.25">
      <c r="A776">
        <v>119</v>
      </c>
      <c r="B776" t="s">
        <v>637</v>
      </c>
      <c r="C776" t="s">
        <v>14</v>
      </c>
      <c r="E776" s="50">
        <f>VLOOKUP(PlanGrid[[#This Row],[Title]],'Spec Wattages'!$A$1:$C$973,2,FALSE)</f>
        <v>100</v>
      </c>
      <c r="F776" s="38">
        <v>1</v>
      </c>
      <c r="G776" s="39">
        <v>0.1</v>
      </c>
      <c r="H776" s="58">
        <f>PlanGrid[[#This Row],[Spec Wattage]]*PlanGrid[[#This Row],[Equipment Count]]</f>
        <v>100</v>
      </c>
      <c r="I776" s="50">
        <f>((PlanGrid[[#This Row],[Demand Watt]]*PlanGrid[[#This Row],[Utilization %]]*'Schedule-Building Info'!$N$16)/1000)</f>
        <v>54.75</v>
      </c>
      <c r="J776" s="57">
        <f>PlanGrid[[#This Row],[kWh/yr]]*' Elec Utility (kWh)'!$M$7</f>
        <v>5.8370803724469411</v>
      </c>
      <c r="K776" s="38">
        <f>PlanGrid[[#This Row],[kWh/yr]]/'Schedule-Building Info'!$B$6</f>
        <v>9.0036014405762304E-4</v>
      </c>
      <c r="L776" s="50">
        <f>CONVERT(PlanGrid[[#This Row],[kWh/yr]],"Wh","BTU")</f>
        <v>186.8147544137548</v>
      </c>
      <c r="M776" s="38">
        <f>PlanGrid[[#This Row],[kBtu/yr]]/'Schedule-Building Info'!$B$6</f>
        <v>3.0721563323480865E-3</v>
      </c>
      <c r="N776" t="s">
        <v>1092</v>
      </c>
      <c r="O776">
        <v>0</v>
      </c>
      <c r="P776" t="str">
        <f>VLOOKUP(PlanGrid[[#This Row],[Title]],'Spec Wattages'!$A$1:$C$973,3,FALSE)</f>
        <v>Plug Load</v>
      </c>
      <c r="Q776" t="s">
        <v>949</v>
      </c>
      <c r="R776" t="s">
        <v>949</v>
      </c>
      <c r="S776" t="s">
        <v>51</v>
      </c>
    </row>
    <row r="777" spans="1:19" x14ac:dyDescent="0.25">
      <c r="A777">
        <v>120</v>
      </c>
      <c r="B777" t="s">
        <v>637</v>
      </c>
      <c r="C777" t="s">
        <v>14</v>
      </c>
      <c r="E777" s="50">
        <f>VLOOKUP(PlanGrid[[#This Row],[Title]],'Spec Wattages'!$A$1:$C$973,2,FALSE)</f>
        <v>100</v>
      </c>
      <c r="F777" s="38">
        <v>1</v>
      </c>
      <c r="G777" s="39">
        <v>0.1</v>
      </c>
      <c r="H777" s="58">
        <f>PlanGrid[[#This Row],[Spec Wattage]]*PlanGrid[[#This Row],[Equipment Count]]</f>
        <v>100</v>
      </c>
      <c r="I777" s="50">
        <f>((PlanGrid[[#This Row],[Demand Watt]]*PlanGrid[[#This Row],[Utilization %]]*'Schedule-Building Info'!$N$16)/1000)</f>
        <v>54.75</v>
      </c>
      <c r="J777" s="57">
        <f>PlanGrid[[#This Row],[kWh/yr]]*' Elec Utility (kWh)'!$M$7</f>
        <v>5.8370803724469411</v>
      </c>
      <c r="K777" s="38">
        <f>PlanGrid[[#This Row],[kWh/yr]]/'Schedule-Building Info'!$B$6</f>
        <v>9.0036014405762304E-4</v>
      </c>
      <c r="L777" s="50">
        <f>CONVERT(PlanGrid[[#This Row],[kWh/yr]],"Wh","BTU")</f>
        <v>186.8147544137548</v>
      </c>
      <c r="M777" s="38">
        <f>PlanGrid[[#This Row],[kBtu/yr]]/'Schedule-Building Info'!$B$6</f>
        <v>3.0721563323480865E-3</v>
      </c>
      <c r="N777" t="s">
        <v>1092</v>
      </c>
      <c r="O777">
        <v>0</v>
      </c>
      <c r="P777" t="str">
        <f>VLOOKUP(PlanGrid[[#This Row],[Title]],'Spec Wattages'!$A$1:$C$973,3,FALSE)</f>
        <v>Plug Load</v>
      </c>
      <c r="Q777" t="s">
        <v>748</v>
      </c>
      <c r="R777" t="s">
        <v>949</v>
      </c>
      <c r="S777" t="s">
        <v>11</v>
      </c>
    </row>
    <row r="778" spans="1:19" x14ac:dyDescent="0.25">
      <c r="A778">
        <v>130</v>
      </c>
      <c r="B778" t="s">
        <v>637</v>
      </c>
      <c r="C778" t="s">
        <v>14</v>
      </c>
      <c r="E778" s="50">
        <f>VLOOKUP(PlanGrid[[#This Row],[Title]],'Spec Wattages'!$A$1:$C$973,2,FALSE)</f>
        <v>100</v>
      </c>
      <c r="F778" s="38">
        <v>1</v>
      </c>
      <c r="G778" s="39">
        <v>0.1</v>
      </c>
      <c r="H778" s="58">
        <f>PlanGrid[[#This Row],[Spec Wattage]]*PlanGrid[[#This Row],[Equipment Count]]</f>
        <v>100</v>
      </c>
      <c r="I778" s="50">
        <f>((PlanGrid[[#This Row],[Demand Watt]]*PlanGrid[[#This Row],[Utilization %]]*'Schedule-Building Info'!$N$16)/1000)</f>
        <v>54.75</v>
      </c>
      <c r="J778" s="57">
        <f>PlanGrid[[#This Row],[kWh/yr]]*' Elec Utility (kWh)'!$M$7</f>
        <v>5.8370803724469411</v>
      </c>
      <c r="K778" s="38">
        <f>PlanGrid[[#This Row],[kWh/yr]]/'Schedule-Building Info'!$B$6</f>
        <v>9.0036014405762304E-4</v>
      </c>
      <c r="L778" s="50">
        <f>CONVERT(PlanGrid[[#This Row],[kWh/yr]],"Wh","BTU")</f>
        <v>186.8147544137548</v>
      </c>
      <c r="M778" s="38">
        <f>PlanGrid[[#This Row],[kBtu/yr]]/'Schedule-Building Info'!$B$6</f>
        <v>3.0721563323480865E-3</v>
      </c>
      <c r="N778" t="s">
        <v>1092</v>
      </c>
      <c r="O778">
        <v>0</v>
      </c>
      <c r="P778" t="str">
        <f>VLOOKUP(PlanGrid[[#This Row],[Title]],'Spec Wattages'!$A$1:$C$973,3,FALSE)</f>
        <v>Plug Load</v>
      </c>
      <c r="Q778" t="s">
        <v>937</v>
      </c>
      <c r="R778" t="s">
        <v>937</v>
      </c>
      <c r="S778" t="s">
        <v>51</v>
      </c>
    </row>
    <row r="779" spans="1:19" x14ac:dyDescent="0.25">
      <c r="A779">
        <v>136</v>
      </c>
      <c r="B779" t="s">
        <v>637</v>
      </c>
      <c r="C779" t="s">
        <v>14</v>
      </c>
      <c r="D779" t="s">
        <v>39</v>
      </c>
      <c r="E779" s="50">
        <f>VLOOKUP(PlanGrid[[#This Row],[Title]],'Spec Wattages'!$A$1:$C$973,2,FALSE)</f>
        <v>100</v>
      </c>
      <c r="F779" s="38">
        <v>1</v>
      </c>
      <c r="G779" s="39">
        <v>0.1</v>
      </c>
      <c r="H779" s="58">
        <f>PlanGrid[[#This Row],[Spec Wattage]]*PlanGrid[[#This Row],[Equipment Count]]</f>
        <v>100</v>
      </c>
      <c r="I779" s="50">
        <f>((PlanGrid[[#This Row],[Demand Watt]]*PlanGrid[[#This Row],[Utilization %]]*'Schedule-Building Info'!$N$16)/1000)</f>
        <v>54.75</v>
      </c>
      <c r="J779" s="57">
        <f>PlanGrid[[#This Row],[kWh/yr]]*' Elec Utility (kWh)'!$M$7</f>
        <v>5.8370803724469411</v>
      </c>
      <c r="K779" s="38">
        <f>PlanGrid[[#This Row],[kWh/yr]]/'Schedule-Building Info'!$B$6</f>
        <v>9.0036014405762304E-4</v>
      </c>
      <c r="L779" s="50">
        <f>CONVERT(PlanGrid[[#This Row],[kWh/yr]],"Wh","BTU")</f>
        <v>186.8147544137548</v>
      </c>
      <c r="M779" s="38">
        <f>PlanGrid[[#This Row],[kBtu/yr]]/'Schedule-Building Info'!$B$6</f>
        <v>3.0721563323480865E-3</v>
      </c>
      <c r="N779" t="s">
        <v>1092</v>
      </c>
      <c r="O779">
        <v>0</v>
      </c>
      <c r="P779" t="str">
        <f>VLOOKUP(PlanGrid[[#This Row],[Title]],'Spec Wattages'!$A$1:$C$973,3,FALSE)</f>
        <v>Plug Load</v>
      </c>
      <c r="Q779" t="s">
        <v>936</v>
      </c>
      <c r="R779" t="s">
        <v>855</v>
      </c>
      <c r="S779" t="s">
        <v>11</v>
      </c>
    </row>
    <row r="780" spans="1:19" x14ac:dyDescent="0.25">
      <c r="A780">
        <v>138</v>
      </c>
      <c r="B780" t="s">
        <v>637</v>
      </c>
      <c r="C780" t="s">
        <v>14</v>
      </c>
      <c r="E780" s="50">
        <f>VLOOKUP(PlanGrid[[#This Row],[Title]],'Spec Wattages'!$A$1:$C$973,2,FALSE)</f>
        <v>100</v>
      </c>
      <c r="F780" s="38">
        <v>1</v>
      </c>
      <c r="G780" s="39">
        <v>0.1</v>
      </c>
      <c r="H780" s="58">
        <f>PlanGrid[[#This Row],[Spec Wattage]]*PlanGrid[[#This Row],[Equipment Count]]</f>
        <v>100</v>
      </c>
      <c r="I780" s="50">
        <f>((PlanGrid[[#This Row],[Demand Watt]]*PlanGrid[[#This Row],[Utilization %]]*'Schedule-Building Info'!$N$16)/1000)</f>
        <v>54.75</v>
      </c>
      <c r="J780" s="57">
        <f>PlanGrid[[#This Row],[kWh/yr]]*' Elec Utility (kWh)'!$M$7</f>
        <v>5.8370803724469411</v>
      </c>
      <c r="K780" s="38">
        <f>PlanGrid[[#This Row],[kWh/yr]]/'Schedule-Building Info'!$B$6</f>
        <v>9.0036014405762304E-4</v>
      </c>
      <c r="L780" s="50">
        <f>CONVERT(PlanGrid[[#This Row],[kWh/yr]],"Wh","BTU")</f>
        <v>186.8147544137548</v>
      </c>
      <c r="M780" s="38">
        <f>PlanGrid[[#This Row],[kBtu/yr]]/'Schedule-Building Info'!$B$6</f>
        <v>3.0721563323480865E-3</v>
      </c>
      <c r="N780" t="s">
        <v>1092</v>
      </c>
      <c r="O780">
        <v>0</v>
      </c>
      <c r="P780" t="str">
        <f>VLOOKUP(PlanGrid[[#This Row],[Title]],'Spec Wattages'!$A$1:$C$973,3,FALSE)</f>
        <v>Plug Load</v>
      </c>
      <c r="Q780" t="s">
        <v>855</v>
      </c>
      <c r="R780" t="s">
        <v>855</v>
      </c>
      <c r="S780" t="s">
        <v>51</v>
      </c>
    </row>
    <row r="781" spans="1:19" x14ac:dyDescent="0.25">
      <c r="A781">
        <v>146</v>
      </c>
      <c r="B781" t="s">
        <v>637</v>
      </c>
      <c r="C781" t="s">
        <v>14</v>
      </c>
      <c r="D781" t="s">
        <v>39</v>
      </c>
      <c r="E781" s="50">
        <f>VLOOKUP(PlanGrid[[#This Row],[Title]],'Spec Wattages'!$A$1:$C$973,2,FALSE)</f>
        <v>100</v>
      </c>
      <c r="F781" s="38">
        <v>1</v>
      </c>
      <c r="G781" s="39">
        <v>0.1</v>
      </c>
      <c r="H781" s="58">
        <f>PlanGrid[[#This Row],[Spec Wattage]]*PlanGrid[[#This Row],[Equipment Count]]</f>
        <v>100</v>
      </c>
      <c r="I781" s="50">
        <f>((PlanGrid[[#This Row],[Demand Watt]]*PlanGrid[[#This Row],[Utilization %]]*'Schedule-Building Info'!$N$16)/1000)</f>
        <v>54.75</v>
      </c>
      <c r="J781" s="57">
        <f>PlanGrid[[#This Row],[kWh/yr]]*' Elec Utility (kWh)'!$M$7</f>
        <v>5.8370803724469411</v>
      </c>
      <c r="K781" s="38">
        <f>PlanGrid[[#This Row],[kWh/yr]]/'Schedule-Building Info'!$B$6</f>
        <v>9.0036014405762304E-4</v>
      </c>
      <c r="L781" s="50">
        <f>CONVERT(PlanGrid[[#This Row],[kWh/yr]],"Wh","BTU")</f>
        <v>186.8147544137548</v>
      </c>
      <c r="M781" s="38">
        <f>PlanGrid[[#This Row],[kBtu/yr]]/'Schedule-Building Info'!$B$6</f>
        <v>3.0721563323480865E-3</v>
      </c>
      <c r="N781" t="s">
        <v>1092</v>
      </c>
      <c r="O781">
        <v>0</v>
      </c>
      <c r="P781" t="str">
        <f>VLOOKUP(PlanGrid[[#This Row],[Title]],'Spec Wattages'!$A$1:$C$973,3,FALSE)</f>
        <v>Plug Load</v>
      </c>
      <c r="Q781" t="s">
        <v>857</v>
      </c>
      <c r="R781" t="s">
        <v>856</v>
      </c>
      <c r="S781" t="s">
        <v>11</v>
      </c>
    </row>
    <row r="782" spans="1:19" x14ac:dyDescent="0.25">
      <c r="A782">
        <v>155</v>
      </c>
      <c r="B782" t="s">
        <v>637</v>
      </c>
      <c r="C782" t="s">
        <v>14</v>
      </c>
      <c r="D782" t="s">
        <v>39</v>
      </c>
      <c r="E782" s="50">
        <f>VLOOKUP(PlanGrid[[#This Row],[Title]],'Spec Wattages'!$A$1:$C$973,2,FALSE)</f>
        <v>100</v>
      </c>
      <c r="F782" s="38">
        <v>1</v>
      </c>
      <c r="G782" s="39">
        <v>0.1</v>
      </c>
      <c r="H782" s="58">
        <f>PlanGrid[[#This Row],[Spec Wattage]]*PlanGrid[[#This Row],[Equipment Count]]</f>
        <v>100</v>
      </c>
      <c r="I782" s="50">
        <f>((PlanGrid[[#This Row],[Demand Watt]]*PlanGrid[[#This Row],[Utilization %]]*'Schedule-Building Info'!$N$16)/1000)</f>
        <v>54.75</v>
      </c>
      <c r="J782" s="57">
        <f>PlanGrid[[#This Row],[kWh/yr]]*' Elec Utility (kWh)'!$M$7</f>
        <v>5.8370803724469411</v>
      </c>
      <c r="K782" s="38">
        <f>PlanGrid[[#This Row],[kWh/yr]]/'Schedule-Building Info'!$B$6</f>
        <v>9.0036014405762304E-4</v>
      </c>
      <c r="L782" s="50">
        <f>CONVERT(PlanGrid[[#This Row],[kWh/yr]],"Wh","BTU")</f>
        <v>186.8147544137548</v>
      </c>
      <c r="M782" s="38">
        <f>PlanGrid[[#This Row],[kBtu/yr]]/'Schedule-Building Info'!$B$6</f>
        <v>3.0721563323480865E-3</v>
      </c>
      <c r="N782" t="s">
        <v>1092</v>
      </c>
      <c r="O782">
        <v>0</v>
      </c>
      <c r="P782" t="str">
        <f>VLOOKUP(PlanGrid[[#This Row],[Title]],'Spec Wattages'!$A$1:$C$973,3,FALSE)</f>
        <v>Plug Load</v>
      </c>
      <c r="Q782" t="s">
        <v>859</v>
      </c>
      <c r="R782" t="s">
        <v>748</v>
      </c>
      <c r="S782" t="s">
        <v>11</v>
      </c>
    </row>
    <row r="783" spans="1:19" x14ac:dyDescent="0.25">
      <c r="A783">
        <v>174</v>
      </c>
      <c r="B783" t="s">
        <v>637</v>
      </c>
      <c r="C783" t="s">
        <v>14</v>
      </c>
      <c r="D783" t="s">
        <v>39</v>
      </c>
      <c r="E783" s="50">
        <f>VLOOKUP(PlanGrid[[#This Row],[Title]],'Spec Wattages'!$A$1:$C$973,2,FALSE)</f>
        <v>100</v>
      </c>
      <c r="F783" s="38">
        <v>1</v>
      </c>
      <c r="G783" s="39">
        <v>0.1</v>
      </c>
      <c r="H783" s="58">
        <f>PlanGrid[[#This Row],[Spec Wattage]]*PlanGrid[[#This Row],[Equipment Count]]</f>
        <v>100</v>
      </c>
      <c r="I783" s="50">
        <f>((PlanGrid[[#This Row],[Demand Watt]]*PlanGrid[[#This Row],[Utilization %]]*'Schedule-Building Info'!$N$16)/1000)</f>
        <v>54.75</v>
      </c>
      <c r="J783" s="57">
        <f>PlanGrid[[#This Row],[kWh/yr]]*' Elec Utility (kWh)'!$M$7</f>
        <v>5.8370803724469411</v>
      </c>
      <c r="K783" s="38">
        <f>PlanGrid[[#This Row],[kWh/yr]]/'Schedule-Building Info'!$B$6</f>
        <v>9.0036014405762304E-4</v>
      </c>
      <c r="L783" s="50">
        <f>CONVERT(PlanGrid[[#This Row],[kWh/yr]],"Wh","BTU")</f>
        <v>186.8147544137548</v>
      </c>
      <c r="M783" s="38">
        <f>PlanGrid[[#This Row],[kBtu/yr]]/'Schedule-Building Info'!$B$6</f>
        <v>3.0721563323480865E-3</v>
      </c>
      <c r="N783" t="s">
        <v>1092</v>
      </c>
      <c r="O783">
        <v>0</v>
      </c>
      <c r="P783" t="str">
        <f>VLOOKUP(PlanGrid[[#This Row],[Title]],'Spec Wattages'!$A$1:$C$973,3,FALSE)</f>
        <v>Plug Load</v>
      </c>
      <c r="Q783" t="s">
        <v>864</v>
      </c>
      <c r="R783" t="s">
        <v>861</v>
      </c>
      <c r="S783" t="s">
        <v>11</v>
      </c>
    </row>
    <row r="784" spans="1:19" x14ac:dyDescent="0.25">
      <c r="A784">
        <v>179</v>
      </c>
      <c r="B784" t="s">
        <v>637</v>
      </c>
      <c r="C784" t="s">
        <v>14</v>
      </c>
      <c r="D784" t="s">
        <v>39</v>
      </c>
      <c r="E784" s="50">
        <f>VLOOKUP(PlanGrid[[#This Row],[Title]],'Spec Wattages'!$A$1:$C$973,2,FALSE)</f>
        <v>100</v>
      </c>
      <c r="F784" s="38">
        <v>1</v>
      </c>
      <c r="G784" s="39">
        <v>0.1</v>
      </c>
      <c r="H784" s="58">
        <f>PlanGrid[[#This Row],[Spec Wattage]]*PlanGrid[[#This Row],[Equipment Count]]</f>
        <v>100</v>
      </c>
      <c r="I784" s="50">
        <f>((PlanGrid[[#This Row],[Demand Watt]]*PlanGrid[[#This Row],[Utilization %]]*'Schedule-Building Info'!$N$16)/1000)</f>
        <v>54.75</v>
      </c>
      <c r="J784" s="57">
        <f>PlanGrid[[#This Row],[kWh/yr]]*' Elec Utility (kWh)'!$M$7</f>
        <v>5.8370803724469411</v>
      </c>
      <c r="K784" s="38">
        <f>PlanGrid[[#This Row],[kWh/yr]]/'Schedule-Building Info'!$B$6</f>
        <v>9.0036014405762304E-4</v>
      </c>
      <c r="L784" s="50">
        <f>CONVERT(PlanGrid[[#This Row],[kWh/yr]],"Wh","BTU")</f>
        <v>186.8147544137548</v>
      </c>
      <c r="M784" s="38">
        <f>PlanGrid[[#This Row],[kBtu/yr]]/'Schedule-Building Info'!$B$6</f>
        <v>3.0721563323480865E-3</v>
      </c>
      <c r="N784" t="s">
        <v>1092</v>
      </c>
      <c r="O784">
        <v>0</v>
      </c>
      <c r="P784" t="str">
        <f>VLOOKUP(PlanGrid[[#This Row],[Title]],'Spec Wattages'!$A$1:$C$973,3,FALSE)</f>
        <v>Plug Load</v>
      </c>
      <c r="Q784" t="s">
        <v>754</v>
      </c>
      <c r="R784" t="s">
        <v>857</v>
      </c>
      <c r="S784" t="s">
        <v>11</v>
      </c>
    </row>
    <row r="785" spans="1:19" x14ac:dyDescent="0.25">
      <c r="A785">
        <v>185</v>
      </c>
      <c r="B785" t="s">
        <v>637</v>
      </c>
      <c r="C785" t="s">
        <v>14</v>
      </c>
      <c r="D785" t="s">
        <v>39</v>
      </c>
      <c r="E785" s="50">
        <f>VLOOKUP(PlanGrid[[#This Row],[Title]],'Spec Wattages'!$A$1:$C$973,2,FALSE)</f>
        <v>100</v>
      </c>
      <c r="F785" s="38">
        <v>1</v>
      </c>
      <c r="G785" s="39">
        <v>0.1</v>
      </c>
      <c r="H785" s="58">
        <f>PlanGrid[[#This Row],[Spec Wattage]]*PlanGrid[[#This Row],[Equipment Count]]</f>
        <v>100</v>
      </c>
      <c r="I785" s="50">
        <f>((PlanGrid[[#This Row],[Demand Watt]]*PlanGrid[[#This Row],[Utilization %]]*'Schedule-Building Info'!$N$16)/1000)</f>
        <v>54.75</v>
      </c>
      <c r="J785" s="57">
        <f>PlanGrid[[#This Row],[kWh/yr]]*' Elec Utility (kWh)'!$M$7</f>
        <v>5.8370803724469411</v>
      </c>
      <c r="K785" s="38">
        <f>PlanGrid[[#This Row],[kWh/yr]]/'Schedule-Building Info'!$B$6</f>
        <v>9.0036014405762304E-4</v>
      </c>
      <c r="L785" s="50">
        <f>CONVERT(PlanGrid[[#This Row],[kWh/yr]],"Wh","BTU")</f>
        <v>186.8147544137548</v>
      </c>
      <c r="M785" s="38">
        <f>PlanGrid[[#This Row],[kBtu/yr]]/'Schedule-Building Info'!$B$6</f>
        <v>3.0721563323480865E-3</v>
      </c>
      <c r="N785" t="s">
        <v>1092</v>
      </c>
      <c r="O785">
        <v>0</v>
      </c>
      <c r="P785" t="str">
        <f>VLOOKUP(PlanGrid[[#This Row],[Title]],'Spec Wattages'!$A$1:$C$973,3,FALSE)</f>
        <v>Plug Load</v>
      </c>
      <c r="Q785" t="s">
        <v>954</v>
      </c>
      <c r="R785" t="s">
        <v>938</v>
      </c>
      <c r="S785" t="s">
        <v>11</v>
      </c>
    </row>
    <row r="786" spans="1:19" x14ac:dyDescent="0.25">
      <c r="A786">
        <v>196</v>
      </c>
      <c r="B786" t="s">
        <v>637</v>
      </c>
      <c r="C786" t="s">
        <v>14</v>
      </c>
      <c r="D786" t="s">
        <v>39</v>
      </c>
      <c r="E786" s="50">
        <f>VLOOKUP(PlanGrid[[#This Row],[Title]],'Spec Wattages'!$A$1:$C$973,2,FALSE)</f>
        <v>100</v>
      </c>
      <c r="F786" s="38">
        <v>1</v>
      </c>
      <c r="G786" s="39">
        <v>0.1</v>
      </c>
      <c r="H786" s="58">
        <f>PlanGrid[[#This Row],[Spec Wattage]]*PlanGrid[[#This Row],[Equipment Count]]</f>
        <v>100</v>
      </c>
      <c r="I786" s="50">
        <f>((PlanGrid[[#This Row],[Demand Watt]]*PlanGrid[[#This Row],[Utilization %]]*'Schedule-Building Info'!$N$16)/1000)</f>
        <v>54.75</v>
      </c>
      <c r="J786" s="57">
        <f>PlanGrid[[#This Row],[kWh/yr]]*' Elec Utility (kWh)'!$M$7</f>
        <v>5.8370803724469411</v>
      </c>
      <c r="K786" s="38">
        <f>PlanGrid[[#This Row],[kWh/yr]]/'Schedule-Building Info'!$B$6</f>
        <v>9.0036014405762304E-4</v>
      </c>
      <c r="L786" s="50">
        <f>CONVERT(PlanGrid[[#This Row],[kWh/yr]],"Wh","BTU")</f>
        <v>186.8147544137548</v>
      </c>
      <c r="M786" s="38">
        <f>PlanGrid[[#This Row],[kBtu/yr]]/'Schedule-Building Info'!$B$6</f>
        <v>3.0721563323480865E-3</v>
      </c>
      <c r="N786" t="s">
        <v>1092</v>
      </c>
      <c r="O786">
        <v>0</v>
      </c>
      <c r="P786" t="str">
        <f>VLOOKUP(PlanGrid[[#This Row],[Title]],'Spec Wattages'!$A$1:$C$973,3,FALSE)</f>
        <v>Plug Load</v>
      </c>
      <c r="Q786" t="s">
        <v>752</v>
      </c>
      <c r="R786" t="s">
        <v>960</v>
      </c>
      <c r="S786" t="s">
        <v>11</v>
      </c>
    </row>
    <row r="787" spans="1:19" x14ac:dyDescent="0.25">
      <c r="A787">
        <v>209</v>
      </c>
      <c r="B787" t="s">
        <v>637</v>
      </c>
      <c r="C787" t="s">
        <v>14</v>
      </c>
      <c r="E787" s="50">
        <f>VLOOKUP(PlanGrid[[#This Row],[Title]],'Spec Wattages'!$A$1:$C$973,2,FALSE)</f>
        <v>100</v>
      </c>
      <c r="F787" s="38">
        <v>1</v>
      </c>
      <c r="G787" s="39">
        <v>0.1</v>
      </c>
      <c r="H787" s="58">
        <f>PlanGrid[[#This Row],[Spec Wattage]]*PlanGrid[[#This Row],[Equipment Count]]</f>
        <v>100</v>
      </c>
      <c r="I787" s="50">
        <f>((PlanGrid[[#This Row],[Demand Watt]]*PlanGrid[[#This Row],[Utilization %]]*'Schedule-Building Info'!$N$16)/1000)</f>
        <v>54.75</v>
      </c>
      <c r="J787" s="57">
        <f>PlanGrid[[#This Row],[kWh/yr]]*' Elec Utility (kWh)'!$M$7</f>
        <v>5.8370803724469411</v>
      </c>
      <c r="K787" s="38">
        <f>PlanGrid[[#This Row],[kWh/yr]]/'Schedule-Building Info'!$B$6</f>
        <v>9.0036014405762304E-4</v>
      </c>
      <c r="L787" s="50">
        <f>CONVERT(PlanGrid[[#This Row],[kWh/yr]],"Wh","BTU")</f>
        <v>186.8147544137548</v>
      </c>
      <c r="M787" s="38">
        <f>PlanGrid[[#This Row],[kBtu/yr]]/'Schedule-Building Info'!$B$6</f>
        <v>3.0721563323480865E-3</v>
      </c>
      <c r="N787" t="s">
        <v>1092</v>
      </c>
      <c r="O787">
        <v>0</v>
      </c>
      <c r="P787" t="str">
        <f>VLOOKUP(PlanGrid[[#This Row],[Title]],'Spec Wattages'!$A$1:$C$973,3,FALSE)</f>
        <v>Plug Load</v>
      </c>
      <c r="Q787" t="s">
        <v>966</v>
      </c>
      <c r="R787" t="s">
        <v>966</v>
      </c>
      <c r="S787" t="s">
        <v>51</v>
      </c>
    </row>
    <row r="788" spans="1:19" x14ac:dyDescent="0.25">
      <c r="A788">
        <v>219</v>
      </c>
      <c r="B788" t="s">
        <v>637</v>
      </c>
      <c r="C788" t="s">
        <v>14</v>
      </c>
      <c r="D788" t="s">
        <v>39</v>
      </c>
      <c r="E788" s="50">
        <f>VLOOKUP(PlanGrid[[#This Row],[Title]],'Spec Wattages'!$A$1:$C$973,2,FALSE)</f>
        <v>100</v>
      </c>
      <c r="F788" s="38">
        <v>1</v>
      </c>
      <c r="G788" s="39">
        <v>0.1</v>
      </c>
      <c r="H788" s="58">
        <f>PlanGrid[[#This Row],[Spec Wattage]]*PlanGrid[[#This Row],[Equipment Count]]</f>
        <v>100</v>
      </c>
      <c r="I788" s="50">
        <f>((PlanGrid[[#This Row],[Demand Watt]]*PlanGrid[[#This Row],[Utilization %]]*'Schedule-Building Info'!$N$16)/1000)</f>
        <v>54.75</v>
      </c>
      <c r="J788" s="57">
        <f>PlanGrid[[#This Row],[kWh/yr]]*' Elec Utility (kWh)'!$M$7</f>
        <v>5.8370803724469411</v>
      </c>
      <c r="K788" s="38">
        <f>PlanGrid[[#This Row],[kWh/yr]]/'Schedule-Building Info'!$B$6</f>
        <v>9.0036014405762304E-4</v>
      </c>
      <c r="L788" s="50">
        <f>CONVERT(PlanGrid[[#This Row],[kWh/yr]],"Wh","BTU")</f>
        <v>186.8147544137548</v>
      </c>
      <c r="M788" s="38">
        <f>PlanGrid[[#This Row],[kBtu/yr]]/'Schedule-Building Info'!$B$6</f>
        <v>3.0721563323480865E-3</v>
      </c>
      <c r="N788" t="s">
        <v>1092</v>
      </c>
      <c r="O788">
        <v>0</v>
      </c>
      <c r="P788" t="str">
        <f>VLOOKUP(PlanGrid[[#This Row],[Title]],'Spec Wattages'!$A$1:$C$973,3,FALSE)</f>
        <v>Plug Load</v>
      </c>
      <c r="Q788" t="s">
        <v>967</v>
      </c>
      <c r="R788" t="s">
        <v>954</v>
      </c>
      <c r="S788" t="s">
        <v>11</v>
      </c>
    </row>
    <row r="789" spans="1:19" x14ac:dyDescent="0.25">
      <c r="A789">
        <v>224</v>
      </c>
      <c r="B789" t="s">
        <v>637</v>
      </c>
      <c r="C789" t="s">
        <v>14</v>
      </c>
      <c r="E789" s="50">
        <f>VLOOKUP(PlanGrid[[#This Row],[Title]],'Spec Wattages'!$A$1:$C$973,2,FALSE)</f>
        <v>100</v>
      </c>
      <c r="F789" s="38">
        <v>1</v>
      </c>
      <c r="G789" s="39">
        <v>0.1</v>
      </c>
      <c r="H789" s="58">
        <f>PlanGrid[[#This Row],[Spec Wattage]]*PlanGrid[[#This Row],[Equipment Count]]</f>
        <v>100</v>
      </c>
      <c r="I789" s="50">
        <f>((PlanGrid[[#This Row],[Demand Watt]]*PlanGrid[[#This Row],[Utilization %]]*'Schedule-Building Info'!$N$16)/1000)</f>
        <v>54.75</v>
      </c>
      <c r="J789" s="57">
        <f>PlanGrid[[#This Row],[kWh/yr]]*' Elec Utility (kWh)'!$M$7</f>
        <v>5.8370803724469411</v>
      </c>
      <c r="K789" s="38">
        <f>PlanGrid[[#This Row],[kWh/yr]]/'Schedule-Building Info'!$B$6</f>
        <v>9.0036014405762304E-4</v>
      </c>
      <c r="L789" s="50">
        <f>CONVERT(PlanGrid[[#This Row],[kWh/yr]],"Wh","BTU")</f>
        <v>186.8147544137548</v>
      </c>
      <c r="M789" s="38">
        <f>PlanGrid[[#This Row],[kBtu/yr]]/'Schedule-Building Info'!$B$6</f>
        <v>3.0721563323480865E-3</v>
      </c>
      <c r="N789" t="s">
        <v>1092</v>
      </c>
      <c r="O789">
        <v>0</v>
      </c>
      <c r="P789" t="str">
        <f>VLOOKUP(PlanGrid[[#This Row],[Title]],'Spec Wattages'!$A$1:$C$973,3,FALSE)</f>
        <v>Plug Load</v>
      </c>
      <c r="Q789" t="s">
        <v>939</v>
      </c>
      <c r="R789" t="s">
        <v>939</v>
      </c>
      <c r="S789" t="s">
        <v>51</v>
      </c>
    </row>
    <row r="790" spans="1:19" x14ac:dyDescent="0.25">
      <c r="A790">
        <v>237</v>
      </c>
      <c r="B790" t="s">
        <v>637</v>
      </c>
      <c r="C790" t="s">
        <v>14</v>
      </c>
      <c r="D790" t="s">
        <v>39</v>
      </c>
      <c r="E790" s="50">
        <f>VLOOKUP(PlanGrid[[#This Row],[Title]],'Spec Wattages'!$A$1:$C$973,2,FALSE)</f>
        <v>100</v>
      </c>
      <c r="F790" s="38">
        <v>1</v>
      </c>
      <c r="G790" s="39">
        <v>0.1</v>
      </c>
      <c r="H790" s="58">
        <f>PlanGrid[[#This Row],[Spec Wattage]]*PlanGrid[[#This Row],[Equipment Count]]</f>
        <v>100</v>
      </c>
      <c r="I790" s="50">
        <f>((PlanGrid[[#This Row],[Demand Watt]]*PlanGrid[[#This Row],[Utilization %]]*'Schedule-Building Info'!$N$16)/1000)</f>
        <v>54.75</v>
      </c>
      <c r="J790" s="57">
        <f>PlanGrid[[#This Row],[kWh/yr]]*' Elec Utility (kWh)'!$M$7</f>
        <v>5.8370803724469411</v>
      </c>
      <c r="K790" s="38">
        <f>PlanGrid[[#This Row],[kWh/yr]]/'Schedule-Building Info'!$B$6</f>
        <v>9.0036014405762304E-4</v>
      </c>
      <c r="L790" s="50">
        <f>CONVERT(PlanGrid[[#This Row],[kWh/yr]],"Wh","BTU")</f>
        <v>186.8147544137548</v>
      </c>
      <c r="M790" s="38">
        <f>PlanGrid[[#This Row],[kBtu/yr]]/'Schedule-Building Info'!$B$6</f>
        <v>3.0721563323480865E-3</v>
      </c>
      <c r="N790" t="s">
        <v>1092</v>
      </c>
      <c r="O790">
        <v>0</v>
      </c>
      <c r="P790" t="str">
        <f>VLOOKUP(PlanGrid[[#This Row],[Title]],'Spec Wattages'!$A$1:$C$973,3,FALSE)</f>
        <v>Plug Load</v>
      </c>
      <c r="Q790" t="s">
        <v>793</v>
      </c>
      <c r="R790" t="s">
        <v>789</v>
      </c>
      <c r="S790" t="s">
        <v>11</v>
      </c>
    </row>
    <row r="791" spans="1:19" x14ac:dyDescent="0.25">
      <c r="A791">
        <v>251</v>
      </c>
      <c r="B791" t="s">
        <v>637</v>
      </c>
      <c r="C791" t="s">
        <v>14</v>
      </c>
      <c r="E791" s="50">
        <f>VLOOKUP(PlanGrid[[#This Row],[Title]],'Spec Wattages'!$A$1:$C$973,2,FALSE)</f>
        <v>100</v>
      </c>
      <c r="F791" s="38">
        <v>1</v>
      </c>
      <c r="G791" s="39">
        <v>0.1</v>
      </c>
      <c r="H791" s="58">
        <f>PlanGrid[[#This Row],[Spec Wattage]]*PlanGrid[[#This Row],[Equipment Count]]</f>
        <v>100</v>
      </c>
      <c r="I791" s="50">
        <f>((PlanGrid[[#This Row],[Demand Watt]]*PlanGrid[[#This Row],[Utilization %]]*'Schedule-Building Info'!$N$16)/1000)</f>
        <v>54.75</v>
      </c>
      <c r="J791" s="57">
        <f>PlanGrid[[#This Row],[kWh/yr]]*' Elec Utility (kWh)'!$M$7</f>
        <v>5.8370803724469411</v>
      </c>
      <c r="K791" s="38">
        <f>PlanGrid[[#This Row],[kWh/yr]]/'Schedule-Building Info'!$B$6</f>
        <v>9.0036014405762304E-4</v>
      </c>
      <c r="L791" s="50">
        <f>CONVERT(PlanGrid[[#This Row],[kWh/yr]],"Wh","BTU")</f>
        <v>186.8147544137548</v>
      </c>
      <c r="M791" s="38">
        <f>PlanGrid[[#This Row],[kBtu/yr]]/'Schedule-Building Info'!$B$6</f>
        <v>3.0721563323480865E-3</v>
      </c>
      <c r="N791" t="s">
        <v>1092</v>
      </c>
      <c r="O791">
        <v>0</v>
      </c>
      <c r="P791" t="str">
        <f>VLOOKUP(PlanGrid[[#This Row],[Title]],'Spec Wattages'!$A$1:$C$973,3,FALSE)</f>
        <v>Plug Load</v>
      </c>
      <c r="Q791" t="s">
        <v>978</v>
      </c>
      <c r="R791" t="s">
        <v>978</v>
      </c>
      <c r="S791" t="s">
        <v>51</v>
      </c>
    </row>
    <row r="792" spans="1:19" x14ac:dyDescent="0.25">
      <c r="A792">
        <v>267</v>
      </c>
      <c r="B792" t="s">
        <v>637</v>
      </c>
      <c r="C792" t="s">
        <v>14</v>
      </c>
      <c r="D792" t="s">
        <v>42</v>
      </c>
      <c r="E792" s="50">
        <f>VLOOKUP(PlanGrid[[#This Row],[Title]],'Spec Wattages'!$A$1:$C$973,2,FALSE)</f>
        <v>100</v>
      </c>
      <c r="F792" s="38">
        <v>1</v>
      </c>
      <c r="G792" s="39">
        <v>0.1</v>
      </c>
      <c r="H792" s="58">
        <f>PlanGrid[[#This Row],[Spec Wattage]]*PlanGrid[[#This Row],[Equipment Count]]</f>
        <v>100</v>
      </c>
      <c r="I792" s="50">
        <f>((PlanGrid[[#This Row],[Demand Watt]]*PlanGrid[[#This Row],[Utilization %]]*'Schedule-Building Info'!$N$16)/1000)</f>
        <v>54.75</v>
      </c>
      <c r="J792" s="57">
        <f>PlanGrid[[#This Row],[kWh/yr]]*' Elec Utility (kWh)'!$M$7</f>
        <v>5.8370803724469411</v>
      </c>
      <c r="K792" s="38">
        <f>PlanGrid[[#This Row],[kWh/yr]]/'Schedule-Building Info'!$B$6</f>
        <v>9.0036014405762304E-4</v>
      </c>
      <c r="L792" s="50">
        <f>CONVERT(PlanGrid[[#This Row],[kWh/yr]],"Wh","BTU")</f>
        <v>186.8147544137548</v>
      </c>
      <c r="M792" s="38">
        <f>PlanGrid[[#This Row],[kBtu/yr]]/'Schedule-Building Info'!$B$6</f>
        <v>3.0721563323480865E-3</v>
      </c>
      <c r="N792" t="s">
        <v>1092</v>
      </c>
      <c r="O792">
        <v>0</v>
      </c>
      <c r="P792" t="str">
        <f>VLOOKUP(PlanGrid[[#This Row],[Title]],'Spec Wattages'!$A$1:$C$973,3,FALSE)</f>
        <v>Plug Load</v>
      </c>
      <c r="Q792" t="s">
        <v>983</v>
      </c>
      <c r="R792" t="s">
        <v>872</v>
      </c>
      <c r="S792" t="s">
        <v>11</v>
      </c>
    </row>
    <row r="793" spans="1:19" x14ac:dyDescent="0.25">
      <c r="A793">
        <v>275</v>
      </c>
      <c r="B793" t="s">
        <v>637</v>
      </c>
      <c r="C793" t="s">
        <v>14</v>
      </c>
      <c r="E793" s="50">
        <f>VLOOKUP(PlanGrid[[#This Row],[Title]],'Spec Wattages'!$A$1:$C$973,2,FALSE)</f>
        <v>100</v>
      </c>
      <c r="F793" s="38">
        <v>1</v>
      </c>
      <c r="G793" s="39">
        <v>0.1</v>
      </c>
      <c r="H793" s="58">
        <f>PlanGrid[[#This Row],[Spec Wattage]]*PlanGrid[[#This Row],[Equipment Count]]</f>
        <v>100</v>
      </c>
      <c r="I793" s="50">
        <f>((PlanGrid[[#This Row],[Demand Watt]]*PlanGrid[[#This Row],[Utilization %]]*'Schedule-Building Info'!$N$16)/1000)</f>
        <v>54.75</v>
      </c>
      <c r="J793" s="57">
        <f>PlanGrid[[#This Row],[kWh/yr]]*' Elec Utility (kWh)'!$M$7</f>
        <v>5.8370803724469411</v>
      </c>
      <c r="K793" s="38">
        <f>PlanGrid[[#This Row],[kWh/yr]]/'Schedule-Building Info'!$B$6</f>
        <v>9.0036014405762304E-4</v>
      </c>
      <c r="L793" s="50">
        <f>CONVERT(PlanGrid[[#This Row],[kWh/yr]],"Wh","BTU")</f>
        <v>186.8147544137548</v>
      </c>
      <c r="M793" s="38">
        <f>PlanGrid[[#This Row],[kBtu/yr]]/'Schedule-Building Info'!$B$6</f>
        <v>3.0721563323480865E-3</v>
      </c>
      <c r="N793" t="s">
        <v>1092</v>
      </c>
      <c r="O793">
        <v>0</v>
      </c>
      <c r="P793" t="str">
        <f>VLOOKUP(PlanGrid[[#This Row],[Title]],'Spec Wattages'!$A$1:$C$973,3,FALSE)</f>
        <v>Plug Load</v>
      </c>
      <c r="Q793" t="s">
        <v>985</v>
      </c>
      <c r="R793" t="s">
        <v>985</v>
      </c>
      <c r="S793" t="s">
        <v>51</v>
      </c>
    </row>
    <row r="794" spans="1:19" x14ac:dyDescent="0.25">
      <c r="A794">
        <v>285</v>
      </c>
      <c r="B794" t="s">
        <v>637</v>
      </c>
      <c r="C794" t="s">
        <v>14</v>
      </c>
      <c r="D794" t="s">
        <v>39</v>
      </c>
      <c r="E794" s="50">
        <f>VLOOKUP(PlanGrid[[#This Row],[Title]],'Spec Wattages'!$A$1:$C$973,2,FALSE)</f>
        <v>100</v>
      </c>
      <c r="F794" s="38">
        <v>1</v>
      </c>
      <c r="G794" s="39">
        <v>0.1</v>
      </c>
      <c r="H794" s="58">
        <f>PlanGrid[[#This Row],[Spec Wattage]]*PlanGrid[[#This Row],[Equipment Count]]</f>
        <v>100</v>
      </c>
      <c r="I794" s="50">
        <f>((PlanGrid[[#This Row],[Demand Watt]]*PlanGrid[[#This Row],[Utilization %]]*'Schedule-Building Info'!$N$16)/1000)</f>
        <v>54.75</v>
      </c>
      <c r="J794" s="57">
        <f>PlanGrid[[#This Row],[kWh/yr]]*' Elec Utility (kWh)'!$M$7</f>
        <v>5.8370803724469411</v>
      </c>
      <c r="K794" s="38">
        <f>PlanGrid[[#This Row],[kWh/yr]]/'Schedule-Building Info'!$B$6</f>
        <v>9.0036014405762304E-4</v>
      </c>
      <c r="L794" s="50">
        <f>CONVERT(PlanGrid[[#This Row],[kWh/yr]],"Wh","BTU")</f>
        <v>186.8147544137548</v>
      </c>
      <c r="M794" s="38">
        <f>PlanGrid[[#This Row],[kBtu/yr]]/'Schedule-Building Info'!$B$6</f>
        <v>3.0721563323480865E-3</v>
      </c>
      <c r="N794" t="s">
        <v>1092</v>
      </c>
      <c r="O794">
        <v>0</v>
      </c>
      <c r="P794" t="str">
        <f>VLOOKUP(PlanGrid[[#This Row],[Title]],'Spec Wattages'!$A$1:$C$973,3,FALSE)</f>
        <v>Plug Load</v>
      </c>
      <c r="Q794" t="s">
        <v>757</v>
      </c>
      <c r="R794" t="s">
        <v>1042</v>
      </c>
      <c r="S794" t="s">
        <v>11</v>
      </c>
    </row>
    <row r="795" spans="1:19" x14ac:dyDescent="0.25">
      <c r="A795">
        <v>294</v>
      </c>
      <c r="B795" t="s">
        <v>637</v>
      </c>
      <c r="C795" t="s">
        <v>14</v>
      </c>
      <c r="D795" t="s">
        <v>39</v>
      </c>
      <c r="E795" s="50">
        <f>VLOOKUP(PlanGrid[[#This Row],[Title]],'Spec Wattages'!$A$1:$C$973,2,FALSE)</f>
        <v>100</v>
      </c>
      <c r="F795" s="38">
        <v>1</v>
      </c>
      <c r="G795" s="39">
        <v>0.1</v>
      </c>
      <c r="H795" s="58">
        <f>PlanGrid[[#This Row],[Spec Wattage]]*PlanGrid[[#This Row],[Equipment Count]]</f>
        <v>100</v>
      </c>
      <c r="I795" s="50">
        <f>((PlanGrid[[#This Row],[Demand Watt]]*PlanGrid[[#This Row],[Utilization %]]*'Schedule-Building Info'!$N$16)/1000)</f>
        <v>54.75</v>
      </c>
      <c r="J795" s="57">
        <f>PlanGrid[[#This Row],[kWh/yr]]*' Elec Utility (kWh)'!$M$7</f>
        <v>5.8370803724469411</v>
      </c>
      <c r="K795" s="38">
        <f>PlanGrid[[#This Row],[kWh/yr]]/'Schedule-Building Info'!$B$6</f>
        <v>9.0036014405762304E-4</v>
      </c>
      <c r="L795" s="50">
        <f>CONVERT(PlanGrid[[#This Row],[kWh/yr]],"Wh","BTU")</f>
        <v>186.8147544137548</v>
      </c>
      <c r="M795" s="38">
        <f>PlanGrid[[#This Row],[kBtu/yr]]/'Schedule-Building Info'!$B$6</f>
        <v>3.0721563323480865E-3</v>
      </c>
      <c r="N795" t="s">
        <v>1092</v>
      </c>
      <c r="O795">
        <v>0</v>
      </c>
      <c r="P795" t="str">
        <f>VLOOKUP(PlanGrid[[#This Row],[Title]],'Spec Wattages'!$A$1:$C$973,3,FALSE)</f>
        <v>Plug Load</v>
      </c>
      <c r="Q795" t="s">
        <v>875</v>
      </c>
      <c r="R795" t="s">
        <v>1042</v>
      </c>
      <c r="S795" t="s">
        <v>11</v>
      </c>
    </row>
    <row r="796" spans="1:19" x14ac:dyDescent="0.25">
      <c r="A796">
        <v>309</v>
      </c>
      <c r="B796" t="s">
        <v>637</v>
      </c>
      <c r="C796" t="s">
        <v>14</v>
      </c>
      <c r="E796" s="50">
        <f>VLOOKUP(PlanGrid[[#This Row],[Title]],'Spec Wattages'!$A$1:$C$973,2,FALSE)</f>
        <v>100</v>
      </c>
      <c r="F796" s="38">
        <v>1</v>
      </c>
      <c r="G796" s="39">
        <v>0.1</v>
      </c>
      <c r="H796" s="58">
        <f>PlanGrid[[#This Row],[Spec Wattage]]*PlanGrid[[#This Row],[Equipment Count]]</f>
        <v>100</v>
      </c>
      <c r="I796" s="50">
        <f>((PlanGrid[[#This Row],[Demand Watt]]*PlanGrid[[#This Row],[Utilization %]]*'Schedule-Building Info'!$N$16)/1000)</f>
        <v>54.75</v>
      </c>
      <c r="J796" s="57">
        <f>PlanGrid[[#This Row],[kWh/yr]]*' Elec Utility (kWh)'!$M$7</f>
        <v>5.8370803724469411</v>
      </c>
      <c r="K796" s="38">
        <f>PlanGrid[[#This Row],[kWh/yr]]/'Schedule-Building Info'!$B$6</f>
        <v>9.0036014405762304E-4</v>
      </c>
      <c r="L796" s="50">
        <f>CONVERT(PlanGrid[[#This Row],[kWh/yr]],"Wh","BTU")</f>
        <v>186.8147544137548</v>
      </c>
      <c r="M796" s="38">
        <f>PlanGrid[[#This Row],[kBtu/yr]]/'Schedule-Building Info'!$B$6</f>
        <v>3.0721563323480865E-3</v>
      </c>
      <c r="N796" t="s">
        <v>1092</v>
      </c>
      <c r="O796">
        <v>2</v>
      </c>
      <c r="P796" t="str">
        <f>VLOOKUP(PlanGrid[[#This Row],[Title]],'Spec Wattages'!$A$1:$C$973,3,FALSE)</f>
        <v>Plug Load</v>
      </c>
      <c r="Q796" t="s">
        <v>990</v>
      </c>
      <c r="R796" t="s">
        <v>1056</v>
      </c>
      <c r="S796" t="s">
        <v>11</v>
      </c>
    </row>
    <row r="797" spans="1:19" x14ac:dyDescent="0.25">
      <c r="A797">
        <v>331</v>
      </c>
      <c r="B797" t="s">
        <v>637</v>
      </c>
      <c r="C797" t="s">
        <v>14</v>
      </c>
      <c r="D797" t="s">
        <v>42</v>
      </c>
      <c r="E797" s="50">
        <f>VLOOKUP(PlanGrid[[#This Row],[Title]],'Spec Wattages'!$A$1:$C$973,2,FALSE)</f>
        <v>100</v>
      </c>
      <c r="F797" s="38">
        <v>1</v>
      </c>
      <c r="G797" s="39">
        <v>0.1</v>
      </c>
      <c r="H797" s="58">
        <f>PlanGrid[[#This Row],[Spec Wattage]]*PlanGrid[[#This Row],[Equipment Count]]</f>
        <v>100</v>
      </c>
      <c r="I797" s="50">
        <f>((PlanGrid[[#This Row],[Demand Watt]]*PlanGrid[[#This Row],[Utilization %]]*'Schedule-Building Info'!$N$16)/1000)</f>
        <v>54.75</v>
      </c>
      <c r="J797" s="57">
        <f>PlanGrid[[#This Row],[kWh/yr]]*' Elec Utility (kWh)'!$M$7</f>
        <v>5.8370803724469411</v>
      </c>
      <c r="K797" s="38">
        <f>PlanGrid[[#This Row],[kWh/yr]]/'Schedule-Building Info'!$B$6</f>
        <v>9.0036014405762304E-4</v>
      </c>
      <c r="L797" s="50">
        <f>CONVERT(PlanGrid[[#This Row],[kWh/yr]],"Wh","BTU")</f>
        <v>186.8147544137548</v>
      </c>
      <c r="M797" s="38">
        <f>PlanGrid[[#This Row],[kBtu/yr]]/'Schedule-Building Info'!$B$6</f>
        <v>3.0721563323480865E-3</v>
      </c>
      <c r="N797" t="s">
        <v>1092</v>
      </c>
      <c r="O797">
        <v>0</v>
      </c>
      <c r="P797" t="str">
        <f>VLOOKUP(PlanGrid[[#This Row],[Title]],'Spec Wattages'!$A$1:$C$973,3,FALSE)</f>
        <v>Plug Load</v>
      </c>
      <c r="Q797" t="s">
        <v>974</v>
      </c>
      <c r="R797" t="s">
        <v>1056</v>
      </c>
      <c r="S797" t="s">
        <v>11</v>
      </c>
    </row>
    <row r="798" spans="1:19" x14ac:dyDescent="0.25">
      <c r="A798">
        <v>382</v>
      </c>
      <c r="B798" t="s">
        <v>637</v>
      </c>
      <c r="C798" t="s">
        <v>14</v>
      </c>
      <c r="E798" s="50">
        <f>VLOOKUP(PlanGrid[[#This Row],[Title]],'Spec Wattages'!$A$1:$C$973,2,FALSE)</f>
        <v>100</v>
      </c>
      <c r="F798" s="38">
        <v>1</v>
      </c>
      <c r="G798" s="39">
        <v>0.1</v>
      </c>
      <c r="H798" s="58">
        <f>PlanGrid[[#This Row],[Spec Wattage]]*PlanGrid[[#This Row],[Equipment Count]]</f>
        <v>100</v>
      </c>
      <c r="I798" s="50">
        <f>((PlanGrid[[#This Row],[Demand Watt]]*PlanGrid[[#This Row],[Utilization %]]*'Schedule-Building Info'!$N$16)/1000)</f>
        <v>54.75</v>
      </c>
      <c r="J798" s="57">
        <f>PlanGrid[[#This Row],[kWh/yr]]*' Elec Utility (kWh)'!$M$7</f>
        <v>5.8370803724469411</v>
      </c>
      <c r="K798" s="38">
        <f>PlanGrid[[#This Row],[kWh/yr]]/'Schedule-Building Info'!$B$6</f>
        <v>9.0036014405762304E-4</v>
      </c>
      <c r="L798" s="50">
        <f>CONVERT(PlanGrid[[#This Row],[kWh/yr]],"Wh","BTU")</f>
        <v>186.8147544137548</v>
      </c>
      <c r="M798" s="38">
        <f>PlanGrid[[#This Row],[kBtu/yr]]/'Schedule-Building Info'!$B$6</f>
        <v>3.0721563323480865E-3</v>
      </c>
      <c r="N798" t="s">
        <v>1092</v>
      </c>
      <c r="O798">
        <v>0</v>
      </c>
      <c r="P798" t="str">
        <f>VLOOKUP(PlanGrid[[#This Row],[Title]],'Spec Wattages'!$A$1:$C$973,3,FALSE)</f>
        <v>Plug Load</v>
      </c>
      <c r="Q798" t="s">
        <v>1013</v>
      </c>
      <c r="R798" t="s">
        <v>1057</v>
      </c>
      <c r="S798" t="s">
        <v>11</v>
      </c>
    </row>
    <row r="799" spans="1:19" x14ac:dyDescent="0.25">
      <c r="A799">
        <v>410</v>
      </c>
      <c r="B799" t="s">
        <v>637</v>
      </c>
      <c r="C799" t="s">
        <v>14</v>
      </c>
      <c r="D799" t="s">
        <v>39</v>
      </c>
      <c r="E799" s="50">
        <f>VLOOKUP(PlanGrid[[#This Row],[Title]],'Spec Wattages'!$A$1:$C$973,2,FALSE)</f>
        <v>100</v>
      </c>
      <c r="F799" s="38">
        <v>1</v>
      </c>
      <c r="G799" s="39">
        <v>0.1</v>
      </c>
      <c r="H799" s="58">
        <f>PlanGrid[[#This Row],[Spec Wattage]]*PlanGrid[[#This Row],[Equipment Count]]</f>
        <v>100</v>
      </c>
      <c r="I799" s="50">
        <f>((PlanGrid[[#This Row],[Demand Watt]]*PlanGrid[[#This Row],[Utilization %]]*'Schedule-Building Info'!$N$16)/1000)</f>
        <v>54.75</v>
      </c>
      <c r="J799" s="57">
        <f>PlanGrid[[#This Row],[kWh/yr]]*' Elec Utility (kWh)'!$M$7</f>
        <v>5.8370803724469411</v>
      </c>
      <c r="K799" s="38">
        <f>PlanGrid[[#This Row],[kWh/yr]]/'Schedule-Building Info'!$B$6</f>
        <v>9.0036014405762304E-4</v>
      </c>
      <c r="L799" s="50">
        <f>CONVERT(PlanGrid[[#This Row],[kWh/yr]],"Wh","BTU")</f>
        <v>186.8147544137548</v>
      </c>
      <c r="M799" s="38">
        <f>PlanGrid[[#This Row],[kBtu/yr]]/'Schedule-Building Info'!$B$6</f>
        <v>3.0721563323480865E-3</v>
      </c>
      <c r="N799" t="s">
        <v>1092</v>
      </c>
      <c r="O799">
        <v>0</v>
      </c>
      <c r="P799" t="str">
        <f>VLOOKUP(PlanGrid[[#This Row],[Title]],'Spec Wattages'!$A$1:$C$973,3,FALSE)</f>
        <v>Plug Load</v>
      </c>
      <c r="Q799" t="s">
        <v>948</v>
      </c>
      <c r="R799" t="s">
        <v>764</v>
      </c>
      <c r="S799" t="s">
        <v>11</v>
      </c>
    </row>
    <row r="800" spans="1:19" x14ac:dyDescent="0.25">
      <c r="A800">
        <v>415</v>
      </c>
      <c r="B800" t="s">
        <v>637</v>
      </c>
      <c r="C800" t="s">
        <v>14</v>
      </c>
      <c r="E800" s="50">
        <f>VLOOKUP(PlanGrid[[#This Row],[Title]],'Spec Wattages'!$A$1:$C$973,2,FALSE)</f>
        <v>100</v>
      </c>
      <c r="F800" s="38">
        <v>1</v>
      </c>
      <c r="G800" s="39">
        <v>0.1</v>
      </c>
      <c r="H800" s="58">
        <f>PlanGrid[[#This Row],[Spec Wattage]]*PlanGrid[[#This Row],[Equipment Count]]</f>
        <v>100</v>
      </c>
      <c r="I800" s="50">
        <f>((PlanGrid[[#This Row],[Demand Watt]]*PlanGrid[[#This Row],[Utilization %]]*'Schedule-Building Info'!$N$16)/1000)</f>
        <v>54.75</v>
      </c>
      <c r="J800" s="57">
        <f>PlanGrid[[#This Row],[kWh/yr]]*' Elec Utility (kWh)'!$M$7</f>
        <v>5.8370803724469411</v>
      </c>
      <c r="K800" s="38">
        <f>PlanGrid[[#This Row],[kWh/yr]]/'Schedule-Building Info'!$B$6</f>
        <v>9.0036014405762304E-4</v>
      </c>
      <c r="L800" s="50">
        <f>CONVERT(PlanGrid[[#This Row],[kWh/yr]],"Wh","BTU")</f>
        <v>186.8147544137548</v>
      </c>
      <c r="M800" s="38">
        <f>PlanGrid[[#This Row],[kBtu/yr]]/'Schedule-Building Info'!$B$6</f>
        <v>3.0721563323480865E-3</v>
      </c>
      <c r="N800" t="s">
        <v>1092</v>
      </c>
      <c r="O800">
        <v>0</v>
      </c>
      <c r="P800" t="str">
        <f>VLOOKUP(PlanGrid[[#This Row],[Title]],'Spec Wattages'!$A$1:$C$973,3,FALSE)</f>
        <v>Plug Load</v>
      </c>
      <c r="Q800" t="s">
        <v>784</v>
      </c>
      <c r="R800" t="s">
        <v>784</v>
      </c>
      <c r="S800" t="s">
        <v>51</v>
      </c>
    </row>
    <row r="801" spans="1:19" x14ac:dyDescent="0.25">
      <c r="A801">
        <v>416</v>
      </c>
      <c r="B801" t="s">
        <v>637</v>
      </c>
      <c r="C801" t="s">
        <v>14</v>
      </c>
      <c r="E801" s="50">
        <f>VLOOKUP(PlanGrid[[#This Row],[Title]],'Spec Wattages'!$A$1:$C$973,2,FALSE)</f>
        <v>100</v>
      </c>
      <c r="F801" s="38">
        <v>1</v>
      </c>
      <c r="G801" s="39">
        <v>0.1</v>
      </c>
      <c r="H801" s="58">
        <f>PlanGrid[[#This Row],[Spec Wattage]]*PlanGrid[[#This Row],[Equipment Count]]</f>
        <v>100</v>
      </c>
      <c r="I801" s="50">
        <f>((PlanGrid[[#This Row],[Demand Watt]]*PlanGrid[[#This Row],[Utilization %]]*'Schedule-Building Info'!$N$16)/1000)</f>
        <v>54.75</v>
      </c>
      <c r="J801" s="57">
        <f>PlanGrid[[#This Row],[kWh/yr]]*' Elec Utility (kWh)'!$M$7</f>
        <v>5.8370803724469411</v>
      </c>
      <c r="K801" s="38">
        <f>PlanGrid[[#This Row],[kWh/yr]]/'Schedule-Building Info'!$B$6</f>
        <v>9.0036014405762304E-4</v>
      </c>
      <c r="L801" s="50">
        <f>CONVERT(PlanGrid[[#This Row],[kWh/yr]],"Wh","BTU")</f>
        <v>186.8147544137548</v>
      </c>
      <c r="M801" s="38">
        <f>PlanGrid[[#This Row],[kBtu/yr]]/'Schedule-Building Info'!$B$6</f>
        <v>3.0721563323480865E-3</v>
      </c>
      <c r="N801" t="s">
        <v>1092</v>
      </c>
      <c r="O801">
        <v>0</v>
      </c>
      <c r="P801" t="str">
        <f>VLOOKUP(PlanGrid[[#This Row],[Title]],'Spec Wattages'!$A$1:$C$973,3,FALSE)</f>
        <v>Plug Load</v>
      </c>
      <c r="Q801" t="s">
        <v>784</v>
      </c>
      <c r="R801" t="s">
        <v>784</v>
      </c>
      <c r="S801" t="s">
        <v>51</v>
      </c>
    </row>
    <row r="802" spans="1:19" x14ac:dyDescent="0.25">
      <c r="A802">
        <v>423</v>
      </c>
      <c r="B802" t="s">
        <v>637</v>
      </c>
      <c r="C802" t="s">
        <v>14</v>
      </c>
      <c r="D802" t="s">
        <v>42</v>
      </c>
      <c r="E802" s="50">
        <f>VLOOKUP(PlanGrid[[#This Row],[Title]],'Spec Wattages'!$A$1:$C$973,2,FALSE)</f>
        <v>100</v>
      </c>
      <c r="F802" s="38">
        <v>1</v>
      </c>
      <c r="G802" s="39">
        <v>0.1</v>
      </c>
      <c r="H802" s="58">
        <f>PlanGrid[[#This Row],[Spec Wattage]]*PlanGrid[[#This Row],[Equipment Count]]</f>
        <v>100</v>
      </c>
      <c r="I802" s="50">
        <f>((PlanGrid[[#This Row],[Demand Watt]]*PlanGrid[[#This Row],[Utilization %]]*'Schedule-Building Info'!$N$16)/1000)</f>
        <v>54.75</v>
      </c>
      <c r="J802" s="57">
        <f>PlanGrid[[#This Row],[kWh/yr]]*' Elec Utility (kWh)'!$M$7</f>
        <v>5.8370803724469411</v>
      </c>
      <c r="K802" s="38">
        <f>PlanGrid[[#This Row],[kWh/yr]]/'Schedule-Building Info'!$B$6</f>
        <v>9.0036014405762304E-4</v>
      </c>
      <c r="L802" s="50">
        <f>CONVERT(PlanGrid[[#This Row],[kWh/yr]],"Wh","BTU")</f>
        <v>186.8147544137548</v>
      </c>
      <c r="M802" s="38">
        <f>PlanGrid[[#This Row],[kBtu/yr]]/'Schedule-Building Info'!$B$6</f>
        <v>3.0721563323480865E-3</v>
      </c>
      <c r="N802" t="s">
        <v>1092</v>
      </c>
      <c r="O802">
        <v>0</v>
      </c>
      <c r="P802" t="str">
        <f>VLOOKUP(PlanGrid[[#This Row],[Title]],'Spec Wattages'!$A$1:$C$973,3,FALSE)</f>
        <v>Plug Load</v>
      </c>
      <c r="Q802" t="s">
        <v>982</v>
      </c>
      <c r="R802" t="s">
        <v>764</v>
      </c>
      <c r="S802" t="s">
        <v>11</v>
      </c>
    </row>
    <row r="803" spans="1:19" x14ac:dyDescent="0.25">
      <c r="A803">
        <v>449</v>
      </c>
      <c r="B803" t="s">
        <v>637</v>
      </c>
      <c r="C803" t="s">
        <v>14</v>
      </c>
      <c r="E803" s="50">
        <f>VLOOKUP(PlanGrid[[#This Row],[Title]],'Spec Wattages'!$A$1:$C$973,2,FALSE)</f>
        <v>100</v>
      </c>
      <c r="F803" s="38">
        <v>1</v>
      </c>
      <c r="G803" s="39">
        <v>0.1</v>
      </c>
      <c r="H803" s="58">
        <f>PlanGrid[[#This Row],[Spec Wattage]]*PlanGrid[[#This Row],[Equipment Count]]</f>
        <v>100</v>
      </c>
      <c r="I803" s="50">
        <f>((PlanGrid[[#This Row],[Demand Watt]]*PlanGrid[[#This Row],[Utilization %]]*'Schedule-Building Info'!$N$16)/1000)</f>
        <v>54.75</v>
      </c>
      <c r="J803" s="57">
        <f>PlanGrid[[#This Row],[kWh/yr]]*' Elec Utility (kWh)'!$M$7</f>
        <v>5.8370803724469411</v>
      </c>
      <c r="K803" s="38">
        <f>PlanGrid[[#This Row],[kWh/yr]]/'Schedule-Building Info'!$B$6</f>
        <v>9.0036014405762304E-4</v>
      </c>
      <c r="L803" s="50">
        <f>CONVERT(PlanGrid[[#This Row],[kWh/yr]],"Wh","BTU")</f>
        <v>186.8147544137548</v>
      </c>
      <c r="M803" s="38">
        <f>PlanGrid[[#This Row],[kBtu/yr]]/'Schedule-Building Info'!$B$6</f>
        <v>3.0721563323480865E-3</v>
      </c>
      <c r="N803" t="s">
        <v>1092</v>
      </c>
      <c r="O803">
        <v>0</v>
      </c>
      <c r="P803" t="str">
        <f>VLOOKUP(PlanGrid[[#This Row],[Title]],'Spec Wattages'!$A$1:$C$973,3,FALSE)</f>
        <v>Plug Load</v>
      </c>
      <c r="Q803" t="s">
        <v>1015</v>
      </c>
      <c r="R803" t="s">
        <v>1015</v>
      </c>
      <c r="S803" t="s">
        <v>51</v>
      </c>
    </row>
    <row r="804" spans="1:19" x14ac:dyDescent="0.25">
      <c r="A804">
        <v>451</v>
      </c>
      <c r="B804" t="s">
        <v>637</v>
      </c>
      <c r="C804" t="s">
        <v>14</v>
      </c>
      <c r="E804" s="50">
        <f>VLOOKUP(PlanGrid[[#This Row],[Title]],'Spec Wattages'!$A$1:$C$973,2,FALSE)</f>
        <v>100</v>
      </c>
      <c r="F804" s="38">
        <v>1</v>
      </c>
      <c r="G804" s="39">
        <v>0.1</v>
      </c>
      <c r="H804" s="58">
        <f>PlanGrid[[#This Row],[Spec Wattage]]*PlanGrid[[#This Row],[Equipment Count]]</f>
        <v>100</v>
      </c>
      <c r="I804" s="50">
        <f>((PlanGrid[[#This Row],[Demand Watt]]*PlanGrid[[#This Row],[Utilization %]]*'Schedule-Building Info'!$N$16)/1000)</f>
        <v>54.75</v>
      </c>
      <c r="J804" s="57">
        <f>PlanGrid[[#This Row],[kWh/yr]]*' Elec Utility (kWh)'!$M$7</f>
        <v>5.8370803724469411</v>
      </c>
      <c r="K804" s="38">
        <f>PlanGrid[[#This Row],[kWh/yr]]/'Schedule-Building Info'!$B$6</f>
        <v>9.0036014405762304E-4</v>
      </c>
      <c r="L804" s="50">
        <f>CONVERT(PlanGrid[[#This Row],[kWh/yr]],"Wh","BTU")</f>
        <v>186.8147544137548</v>
      </c>
      <c r="M804" s="38">
        <f>PlanGrid[[#This Row],[kBtu/yr]]/'Schedule-Building Info'!$B$6</f>
        <v>3.0721563323480865E-3</v>
      </c>
      <c r="N804" t="s">
        <v>1092</v>
      </c>
      <c r="O804">
        <v>0</v>
      </c>
      <c r="P804" t="str">
        <f>VLOOKUP(PlanGrid[[#This Row],[Title]],'Spec Wattages'!$A$1:$C$973,3,FALSE)</f>
        <v>Plug Load</v>
      </c>
      <c r="Q804" t="s">
        <v>1015</v>
      </c>
      <c r="R804" t="s">
        <v>1015</v>
      </c>
      <c r="S804" t="s">
        <v>51</v>
      </c>
    </row>
    <row r="805" spans="1:19" x14ac:dyDescent="0.25">
      <c r="A805">
        <v>453</v>
      </c>
      <c r="B805" t="s">
        <v>637</v>
      </c>
      <c r="C805" t="s">
        <v>14</v>
      </c>
      <c r="E805" s="50">
        <f>VLOOKUP(PlanGrid[[#This Row],[Title]],'Spec Wattages'!$A$1:$C$973,2,FALSE)</f>
        <v>100</v>
      </c>
      <c r="F805" s="38">
        <v>1</v>
      </c>
      <c r="G805" s="39">
        <v>0.1</v>
      </c>
      <c r="H805" s="58">
        <f>PlanGrid[[#This Row],[Spec Wattage]]*PlanGrid[[#This Row],[Equipment Count]]</f>
        <v>100</v>
      </c>
      <c r="I805" s="50">
        <f>((PlanGrid[[#This Row],[Demand Watt]]*PlanGrid[[#This Row],[Utilization %]]*'Schedule-Building Info'!$N$16)/1000)</f>
        <v>54.75</v>
      </c>
      <c r="J805" s="57">
        <f>PlanGrid[[#This Row],[kWh/yr]]*' Elec Utility (kWh)'!$M$7</f>
        <v>5.8370803724469411</v>
      </c>
      <c r="K805" s="38">
        <f>PlanGrid[[#This Row],[kWh/yr]]/'Schedule-Building Info'!$B$6</f>
        <v>9.0036014405762304E-4</v>
      </c>
      <c r="L805" s="50">
        <f>CONVERT(PlanGrid[[#This Row],[kWh/yr]],"Wh","BTU")</f>
        <v>186.8147544137548</v>
      </c>
      <c r="M805" s="38">
        <f>PlanGrid[[#This Row],[kBtu/yr]]/'Schedule-Building Info'!$B$6</f>
        <v>3.0721563323480865E-3</v>
      </c>
      <c r="N805" t="s">
        <v>1092</v>
      </c>
      <c r="O805">
        <v>0</v>
      </c>
      <c r="P805" t="str">
        <f>VLOOKUP(PlanGrid[[#This Row],[Title]],'Spec Wattages'!$A$1:$C$973,3,FALSE)</f>
        <v>Plug Load</v>
      </c>
      <c r="Q805" t="s">
        <v>1015</v>
      </c>
      <c r="R805" t="s">
        <v>1015</v>
      </c>
      <c r="S805" t="s">
        <v>51</v>
      </c>
    </row>
    <row r="806" spans="1:19" x14ac:dyDescent="0.25">
      <c r="A806">
        <v>455</v>
      </c>
      <c r="B806" t="s">
        <v>637</v>
      </c>
      <c r="C806" t="s">
        <v>14</v>
      </c>
      <c r="E806" s="50">
        <f>VLOOKUP(PlanGrid[[#This Row],[Title]],'Spec Wattages'!$A$1:$C$973,2,FALSE)</f>
        <v>100</v>
      </c>
      <c r="F806" s="38">
        <v>1</v>
      </c>
      <c r="G806" s="39">
        <v>0.1</v>
      </c>
      <c r="H806" s="58">
        <f>PlanGrid[[#This Row],[Spec Wattage]]*PlanGrid[[#This Row],[Equipment Count]]</f>
        <v>100</v>
      </c>
      <c r="I806" s="50">
        <f>((PlanGrid[[#This Row],[Demand Watt]]*PlanGrid[[#This Row],[Utilization %]]*'Schedule-Building Info'!$N$16)/1000)</f>
        <v>54.75</v>
      </c>
      <c r="J806" s="57">
        <f>PlanGrid[[#This Row],[kWh/yr]]*' Elec Utility (kWh)'!$M$7</f>
        <v>5.8370803724469411</v>
      </c>
      <c r="K806" s="38">
        <f>PlanGrid[[#This Row],[kWh/yr]]/'Schedule-Building Info'!$B$6</f>
        <v>9.0036014405762304E-4</v>
      </c>
      <c r="L806" s="50">
        <f>CONVERT(PlanGrid[[#This Row],[kWh/yr]],"Wh","BTU")</f>
        <v>186.8147544137548</v>
      </c>
      <c r="M806" s="38">
        <f>PlanGrid[[#This Row],[kBtu/yr]]/'Schedule-Building Info'!$B$6</f>
        <v>3.0721563323480865E-3</v>
      </c>
      <c r="N806" t="s">
        <v>1092</v>
      </c>
      <c r="O806">
        <v>0</v>
      </c>
      <c r="P806" t="str">
        <f>VLOOKUP(PlanGrid[[#This Row],[Title]],'Spec Wattages'!$A$1:$C$973,3,FALSE)</f>
        <v>Plug Load</v>
      </c>
      <c r="Q806" t="s">
        <v>952</v>
      </c>
      <c r="R806" t="s">
        <v>1073</v>
      </c>
      <c r="S806" t="s">
        <v>11</v>
      </c>
    </row>
    <row r="807" spans="1:19" x14ac:dyDescent="0.25">
      <c r="A807">
        <v>456</v>
      </c>
      <c r="B807" t="s">
        <v>637</v>
      </c>
      <c r="C807" t="s">
        <v>14</v>
      </c>
      <c r="E807" s="50">
        <f>VLOOKUP(PlanGrid[[#This Row],[Title]],'Spec Wattages'!$A$1:$C$973,2,FALSE)</f>
        <v>100</v>
      </c>
      <c r="F807" s="38">
        <v>1</v>
      </c>
      <c r="G807" s="39">
        <v>0.1</v>
      </c>
      <c r="H807" s="58">
        <f>PlanGrid[[#This Row],[Spec Wattage]]*PlanGrid[[#This Row],[Equipment Count]]</f>
        <v>100</v>
      </c>
      <c r="I807" s="50">
        <f>((PlanGrid[[#This Row],[Demand Watt]]*PlanGrid[[#This Row],[Utilization %]]*'Schedule-Building Info'!$N$16)/1000)</f>
        <v>54.75</v>
      </c>
      <c r="J807" s="57">
        <f>PlanGrid[[#This Row],[kWh/yr]]*' Elec Utility (kWh)'!$M$7</f>
        <v>5.8370803724469411</v>
      </c>
      <c r="K807" s="38">
        <f>PlanGrid[[#This Row],[kWh/yr]]/'Schedule-Building Info'!$B$6</f>
        <v>9.0036014405762304E-4</v>
      </c>
      <c r="L807" s="50">
        <f>CONVERT(PlanGrid[[#This Row],[kWh/yr]],"Wh","BTU")</f>
        <v>186.8147544137548</v>
      </c>
      <c r="M807" s="38">
        <f>PlanGrid[[#This Row],[kBtu/yr]]/'Schedule-Building Info'!$B$6</f>
        <v>3.0721563323480865E-3</v>
      </c>
      <c r="N807" t="s">
        <v>1092</v>
      </c>
      <c r="O807">
        <v>0</v>
      </c>
      <c r="P807" t="str">
        <f>VLOOKUP(PlanGrid[[#This Row],[Title]],'Spec Wattages'!$A$1:$C$973,3,FALSE)</f>
        <v>Plug Load</v>
      </c>
      <c r="Q807" t="s">
        <v>952</v>
      </c>
      <c r="R807" t="s">
        <v>1073</v>
      </c>
      <c r="S807" t="s">
        <v>11</v>
      </c>
    </row>
    <row r="808" spans="1:19" x14ac:dyDescent="0.25">
      <c r="A808">
        <v>472</v>
      </c>
      <c r="B808" t="s">
        <v>637</v>
      </c>
      <c r="C808" t="s">
        <v>14</v>
      </c>
      <c r="D808" t="s">
        <v>42</v>
      </c>
      <c r="E808" s="50">
        <f>VLOOKUP(PlanGrid[[#This Row],[Title]],'Spec Wattages'!$A$1:$C$973,2,FALSE)</f>
        <v>100</v>
      </c>
      <c r="F808" s="38">
        <v>1</v>
      </c>
      <c r="G808" s="39">
        <v>0.1</v>
      </c>
      <c r="H808" s="58">
        <f>PlanGrid[[#This Row],[Spec Wattage]]*PlanGrid[[#This Row],[Equipment Count]]</f>
        <v>100</v>
      </c>
      <c r="I808" s="50">
        <f>((PlanGrid[[#This Row],[Demand Watt]]*PlanGrid[[#This Row],[Utilization %]]*'Schedule-Building Info'!$N$16)/1000)</f>
        <v>54.75</v>
      </c>
      <c r="J808" s="57">
        <f>PlanGrid[[#This Row],[kWh/yr]]*' Elec Utility (kWh)'!$M$7</f>
        <v>5.8370803724469411</v>
      </c>
      <c r="K808" s="38">
        <f>PlanGrid[[#This Row],[kWh/yr]]/'Schedule-Building Info'!$B$6</f>
        <v>9.0036014405762304E-4</v>
      </c>
      <c r="L808" s="50">
        <f>CONVERT(PlanGrid[[#This Row],[kWh/yr]],"Wh","BTU")</f>
        <v>186.8147544137548</v>
      </c>
      <c r="M808" s="38">
        <f>PlanGrid[[#This Row],[kBtu/yr]]/'Schedule-Building Info'!$B$6</f>
        <v>3.0721563323480865E-3</v>
      </c>
      <c r="N808" t="s">
        <v>1092</v>
      </c>
      <c r="O808">
        <v>0</v>
      </c>
      <c r="P808" t="str">
        <f>VLOOKUP(PlanGrid[[#This Row],[Title]],'Spec Wattages'!$A$1:$C$973,3,FALSE)</f>
        <v>Plug Load</v>
      </c>
      <c r="Q808" t="s">
        <v>771</v>
      </c>
      <c r="R808" t="s">
        <v>951</v>
      </c>
      <c r="S808" t="s">
        <v>11</v>
      </c>
    </row>
    <row r="809" spans="1:19" x14ac:dyDescent="0.25">
      <c r="A809">
        <v>478</v>
      </c>
      <c r="B809" t="s">
        <v>637</v>
      </c>
      <c r="C809" t="s">
        <v>14</v>
      </c>
      <c r="D809" t="s">
        <v>42</v>
      </c>
      <c r="E809" s="50">
        <f>VLOOKUP(PlanGrid[[#This Row],[Title]],'Spec Wattages'!$A$1:$C$973,2,FALSE)</f>
        <v>100</v>
      </c>
      <c r="F809" s="38">
        <v>1</v>
      </c>
      <c r="G809" s="39">
        <v>0.1</v>
      </c>
      <c r="H809" s="58">
        <f>PlanGrid[[#This Row],[Spec Wattage]]*PlanGrid[[#This Row],[Equipment Count]]</f>
        <v>100</v>
      </c>
      <c r="I809" s="50">
        <f>((PlanGrid[[#This Row],[Demand Watt]]*PlanGrid[[#This Row],[Utilization %]]*'Schedule-Building Info'!$N$16)/1000)</f>
        <v>54.75</v>
      </c>
      <c r="J809" s="57">
        <f>PlanGrid[[#This Row],[kWh/yr]]*' Elec Utility (kWh)'!$M$7</f>
        <v>5.8370803724469411</v>
      </c>
      <c r="K809" s="38">
        <f>PlanGrid[[#This Row],[kWh/yr]]/'Schedule-Building Info'!$B$6</f>
        <v>9.0036014405762304E-4</v>
      </c>
      <c r="L809" s="50">
        <f>CONVERT(PlanGrid[[#This Row],[kWh/yr]],"Wh","BTU")</f>
        <v>186.8147544137548</v>
      </c>
      <c r="M809" s="38">
        <f>PlanGrid[[#This Row],[kBtu/yr]]/'Schedule-Building Info'!$B$6</f>
        <v>3.0721563323480865E-3</v>
      </c>
      <c r="N809" t="s">
        <v>1092</v>
      </c>
      <c r="O809">
        <v>0</v>
      </c>
      <c r="P809" t="str">
        <f>VLOOKUP(PlanGrid[[#This Row],[Title]],'Spec Wattages'!$A$1:$C$973,3,FALSE)</f>
        <v>Plug Load</v>
      </c>
      <c r="Q809" t="s">
        <v>909</v>
      </c>
      <c r="R809" t="s">
        <v>905</v>
      </c>
      <c r="S809" t="s">
        <v>11</v>
      </c>
    </row>
    <row r="810" spans="1:19" x14ac:dyDescent="0.25">
      <c r="A810">
        <v>487</v>
      </c>
      <c r="B810" t="s">
        <v>637</v>
      </c>
      <c r="C810" t="s">
        <v>14</v>
      </c>
      <c r="E810" s="50">
        <f>VLOOKUP(PlanGrid[[#This Row],[Title]],'Spec Wattages'!$A$1:$C$973,2,FALSE)</f>
        <v>100</v>
      </c>
      <c r="F810" s="38">
        <v>1</v>
      </c>
      <c r="G810" s="39">
        <v>0.1</v>
      </c>
      <c r="H810" s="58">
        <f>PlanGrid[[#This Row],[Spec Wattage]]*PlanGrid[[#This Row],[Equipment Count]]</f>
        <v>100</v>
      </c>
      <c r="I810" s="50">
        <f>((PlanGrid[[#This Row],[Demand Watt]]*PlanGrid[[#This Row],[Utilization %]]*'Schedule-Building Info'!$N$16)/1000)</f>
        <v>54.75</v>
      </c>
      <c r="J810" s="57">
        <f>PlanGrid[[#This Row],[kWh/yr]]*' Elec Utility (kWh)'!$M$7</f>
        <v>5.8370803724469411</v>
      </c>
      <c r="K810" s="38">
        <f>PlanGrid[[#This Row],[kWh/yr]]/'Schedule-Building Info'!$B$6</f>
        <v>9.0036014405762304E-4</v>
      </c>
      <c r="L810" s="50">
        <f>CONVERT(PlanGrid[[#This Row],[kWh/yr]],"Wh","BTU")</f>
        <v>186.8147544137548</v>
      </c>
      <c r="M810" s="38">
        <f>PlanGrid[[#This Row],[kBtu/yr]]/'Schedule-Building Info'!$B$6</f>
        <v>3.0721563323480865E-3</v>
      </c>
      <c r="N810" t="s">
        <v>1092</v>
      </c>
      <c r="O810">
        <v>0</v>
      </c>
      <c r="P810" t="str">
        <f>VLOOKUP(PlanGrid[[#This Row],[Title]],'Spec Wattages'!$A$1:$C$973,3,FALSE)</f>
        <v>Plug Load</v>
      </c>
      <c r="Q810" t="s">
        <v>976</v>
      </c>
      <c r="R810" t="s">
        <v>976</v>
      </c>
      <c r="S810" t="s">
        <v>51</v>
      </c>
    </row>
    <row r="811" spans="1:19" x14ac:dyDescent="0.25">
      <c r="A811">
        <v>494</v>
      </c>
      <c r="B811" t="s">
        <v>637</v>
      </c>
      <c r="C811" t="s">
        <v>14</v>
      </c>
      <c r="D811" t="s">
        <v>42</v>
      </c>
      <c r="E811" s="50">
        <f>VLOOKUP(PlanGrid[[#This Row],[Title]],'Spec Wattages'!$A$1:$C$973,2,FALSE)</f>
        <v>100</v>
      </c>
      <c r="F811" s="38">
        <v>1</v>
      </c>
      <c r="G811" s="39">
        <v>0.1</v>
      </c>
      <c r="H811" s="58">
        <f>PlanGrid[[#This Row],[Spec Wattage]]*PlanGrid[[#This Row],[Equipment Count]]</f>
        <v>100</v>
      </c>
      <c r="I811" s="50">
        <f>((PlanGrid[[#This Row],[Demand Watt]]*PlanGrid[[#This Row],[Utilization %]]*'Schedule-Building Info'!$N$16)/1000)</f>
        <v>54.75</v>
      </c>
      <c r="J811" s="57">
        <f>PlanGrid[[#This Row],[kWh/yr]]*' Elec Utility (kWh)'!$M$7</f>
        <v>5.8370803724469411</v>
      </c>
      <c r="K811" s="38">
        <f>PlanGrid[[#This Row],[kWh/yr]]/'Schedule-Building Info'!$B$6</f>
        <v>9.0036014405762304E-4</v>
      </c>
      <c r="L811" s="50">
        <f>CONVERT(PlanGrid[[#This Row],[kWh/yr]],"Wh","BTU")</f>
        <v>186.8147544137548</v>
      </c>
      <c r="M811" s="38">
        <f>PlanGrid[[#This Row],[kBtu/yr]]/'Schedule-Building Info'!$B$6</f>
        <v>3.0721563323480865E-3</v>
      </c>
      <c r="N811" t="s">
        <v>1092</v>
      </c>
      <c r="O811">
        <v>0</v>
      </c>
      <c r="P811" t="str">
        <f>VLOOKUP(PlanGrid[[#This Row],[Title]],'Spec Wattages'!$A$1:$C$973,3,FALSE)</f>
        <v>Plug Load</v>
      </c>
      <c r="Q811" t="s">
        <v>907</v>
      </c>
      <c r="R811" t="s">
        <v>952</v>
      </c>
      <c r="S811" t="s">
        <v>11</v>
      </c>
    </row>
    <row r="812" spans="1:19" x14ac:dyDescent="0.25">
      <c r="A812">
        <v>504</v>
      </c>
      <c r="B812" t="s">
        <v>637</v>
      </c>
      <c r="C812" t="s">
        <v>14</v>
      </c>
      <c r="D812" t="s">
        <v>42</v>
      </c>
      <c r="E812" s="50">
        <f>VLOOKUP(PlanGrid[[#This Row],[Title]],'Spec Wattages'!$A$1:$C$973,2,FALSE)</f>
        <v>100</v>
      </c>
      <c r="F812" s="38">
        <v>1</v>
      </c>
      <c r="G812" s="39">
        <v>0.1</v>
      </c>
      <c r="H812" s="58">
        <f>PlanGrid[[#This Row],[Spec Wattage]]*PlanGrid[[#This Row],[Equipment Count]]</f>
        <v>100</v>
      </c>
      <c r="I812" s="50">
        <f>((PlanGrid[[#This Row],[Demand Watt]]*PlanGrid[[#This Row],[Utilization %]]*'Schedule-Building Info'!$N$16)/1000)</f>
        <v>54.75</v>
      </c>
      <c r="J812" s="57">
        <f>PlanGrid[[#This Row],[kWh/yr]]*' Elec Utility (kWh)'!$M$7</f>
        <v>5.8370803724469411</v>
      </c>
      <c r="K812" s="38">
        <f>PlanGrid[[#This Row],[kWh/yr]]/'Schedule-Building Info'!$B$6</f>
        <v>9.0036014405762304E-4</v>
      </c>
      <c r="L812" s="50">
        <f>CONVERT(PlanGrid[[#This Row],[kWh/yr]],"Wh","BTU")</f>
        <v>186.8147544137548</v>
      </c>
      <c r="M812" s="38">
        <f>PlanGrid[[#This Row],[kBtu/yr]]/'Schedule-Building Info'!$B$6</f>
        <v>3.0721563323480865E-3</v>
      </c>
      <c r="N812" t="s">
        <v>1092</v>
      </c>
      <c r="O812">
        <v>0</v>
      </c>
      <c r="P812" t="str">
        <f>VLOOKUP(PlanGrid[[#This Row],[Title]],'Spec Wattages'!$A$1:$C$973,3,FALSE)</f>
        <v>Plug Load</v>
      </c>
      <c r="Q812" t="s">
        <v>770</v>
      </c>
      <c r="R812" t="s">
        <v>767</v>
      </c>
      <c r="S812" t="s">
        <v>11</v>
      </c>
    </row>
    <row r="813" spans="1:19" x14ac:dyDescent="0.25">
      <c r="A813">
        <v>516</v>
      </c>
      <c r="B813" t="s">
        <v>637</v>
      </c>
      <c r="C813" t="s">
        <v>14</v>
      </c>
      <c r="D813" t="s">
        <v>42</v>
      </c>
      <c r="E813" s="50">
        <f>VLOOKUP(PlanGrid[[#This Row],[Title]],'Spec Wattages'!$A$1:$C$973,2,FALSE)</f>
        <v>100</v>
      </c>
      <c r="F813" s="38">
        <v>1</v>
      </c>
      <c r="G813" s="39">
        <v>0.1</v>
      </c>
      <c r="H813" s="58">
        <f>PlanGrid[[#This Row],[Spec Wattage]]*PlanGrid[[#This Row],[Equipment Count]]</f>
        <v>100</v>
      </c>
      <c r="I813" s="50">
        <f>((PlanGrid[[#This Row],[Demand Watt]]*PlanGrid[[#This Row],[Utilization %]]*'Schedule-Building Info'!$N$16)/1000)</f>
        <v>54.75</v>
      </c>
      <c r="J813" s="57">
        <f>PlanGrid[[#This Row],[kWh/yr]]*' Elec Utility (kWh)'!$M$7</f>
        <v>5.8370803724469411</v>
      </c>
      <c r="K813" s="38">
        <f>PlanGrid[[#This Row],[kWh/yr]]/'Schedule-Building Info'!$B$6</f>
        <v>9.0036014405762304E-4</v>
      </c>
      <c r="L813" s="50">
        <f>CONVERT(PlanGrid[[#This Row],[kWh/yr]],"Wh","BTU")</f>
        <v>186.8147544137548</v>
      </c>
      <c r="M813" s="38">
        <f>PlanGrid[[#This Row],[kBtu/yr]]/'Schedule-Building Info'!$B$6</f>
        <v>3.0721563323480865E-3</v>
      </c>
      <c r="N813" t="s">
        <v>1092</v>
      </c>
      <c r="O813">
        <v>0</v>
      </c>
      <c r="P813" t="str">
        <f>VLOOKUP(PlanGrid[[#This Row],[Title]],'Spec Wattages'!$A$1:$C$973,3,FALSE)</f>
        <v>Plug Load</v>
      </c>
      <c r="Q813" t="s">
        <v>908</v>
      </c>
      <c r="R813" t="s">
        <v>906</v>
      </c>
      <c r="S813" t="s">
        <v>11</v>
      </c>
    </row>
    <row r="814" spans="1:19" x14ac:dyDescent="0.25">
      <c r="A814">
        <v>524</v>
      </c>
      <c r="B814" t="s">
        <v>637</v>
      </c>
      <c r="C814" t="s">
        <v>14</v>
      </c>
      <c r="D814" t="s">
        <v>42</v>
      </c>
      <c r="E814" s="50">
        <f>VLOOKUP(PlanGrid[[#This Row],[Title]],'Spec Wattages'!$A$1:$C$973,2,FALSE)</f>
        <v>100</v>
      </c>
      <c r="F814" s="38">
        <v>1</v>
      </c>
      <c r="G814" s="39">
        <v>0.1</v>
      </c>
      <c r="H814" s="58">
        <f>PlanGrid[[#This Row],[Spec Wattage]]*PlanGrid[[#This Row],[Equipment Count]]</f>
        <v>100</v>
      </c>
      <c r="I814" s="50">
        <f>((PlanGrid[[#This Row],[Demand Watt]]*PlanGrid[[#This Row],[Utilization %]]*'Schedule-Building Info'!$N$16)/1000)</f>
        <v>54.75</v>
      </c>
      <c r="J814" s="57">
        <f>PlanGrid[[#This Row],[kWh/yr]]*' Elec Utility (kWh)'!$M$7</f>
        <v>5.8370803724469411</v>
      </c>
      <c r="K814" s="38">
        <f>PlanGrid[[#This Row],[kWh/yr]]/'Schedule-Building Info'!$B$6</f>
        <v>9.0036014405762304E-4</v>
      </c>
      <c r="L814" s="50">
        <f>CONVERT(PlanGrid[[#This Row],[kWh/yr]],"Wh","BTU")</f>
        <v>186.8147544137548</v>
      </c>
      <c r="M814" s="38">
        <f>PlanGrid[[#This Row],[kBtu/yr]]/'Schedule-Building Info'!$B$6</f>
        <v>3.0721563323480865E-3</v>
      </c>
      <c r="N814" t="s">
        <v>1092</v>
      </c>
      <c r="O814">
        <v>0</v>
      </c>
      <c r="P814" t="str">
        <f>VLOOKUP(PlanGrid[[#This Row],[Title]],'Spec Wattages'!$A$1:$C$973,3,FALSE)</f>
        <v>Plug Load</v>
      </c>
      <c r="Q814" t="s">
        <v>772</v>
      </c>
      <c r="R814" t="s">
        <v>909</v>
      </c>
      <c r="S814" t="s">
        <v>11</v>
      </c>
    </row>
    <row r="815" spans="1:19" x14ac:dyDescent="0.25">
      <c r="A815">
        <v>540</v>
      </c>
      <c r="B815" t="s">
        <v>637</v>
      </c>
      <c r="C815" t="s">
        <v>14</v>
      </c>
      <c r="D815" t="s">
        <v>42</v>
      </c>
      <c r="E815" s="50">
        <f>VLOOKUP(PlanGrid[[#This Row],[Title]],'Spec Wattages'!$A$1:$C$973,2,FALSE)</f>
        <v>100</v>
      </c>
      <c r="F815" s="38">
        <v>1</v>
      </c>
      <c r="G815" s="39">
        <v>0.1</v>
      </c>
      <c r="H815" s="58">
        <f>PlanGrid[[#This Row],[Spec Wattage]]*PlanGrid[[#This Row],[Equipment Count]]</f>
        <v>100</v>
      </c>
      <c r="I815" s="50">
        <f>((PlanGrid[[#This Row],[Demand Watt]]*PlanGrid[[#This Row],[Utilization %]]*'Schedule-Building Info'!$N$16)/1000)</f>
        <v>54.75</v>
      </c>
      <c r="J815" s="57">
        <f>PlanGrid[[#This Row],[kWh/yr]]*' Elec Utility (kWh)'!$M$7</f>
        <v>5.8370803724469411</v>
      </c>
      <c r="K815" s="38">
        <f>PlanGrid[[#This Row],[kWh/yr]]/'Schedule-Building Info'!$B$6</f>
        <v>9.0036014405762304E-4</v>
      </c>
      <c r="L815" s="50">
        <f>CONVERT(PlanGrid[[#This Row],[kWh/yr]],"Wh","BTU")</f>
        <v>186.8147544137548</v>
      </c>
      <c r="M815" s="38">
        <f>PlanGrid[[#This Row],[kBtu/yr]]/'Schedule-Building Info'!$B$6</f>
        <v>3.0721563323480865E-3</v>
      </c>
      <c r="N815" t="s">
        <v>1092</v>
      </c>
      <c r="O815">
        <v>0</v>
      </c>
      <c r="P815" t="str">
        <f>VLOOKUP(PlanGrid[[#This Row],[Title]],'Spec Wattages'!$A$1:$C$973,3,FALSE)</f>
        <v>Plug Load</v>
      </c>
      <c r="Q815" t="s">
        <v>774</v>
      </c>
      <c r="R815" t="s">
        <v>769</v>
      </c>
      <c r="S815" t="s">
        <v>11</v>
      </c>
    </row>
    <row r="816" spans="1:19" x14ac:dyDescent="0.25">
      <c r="A816">
        <v>556</v>
      </c>
      <c r="B816" t="s">
        <v>637</v>
      </c>
      <c r="C816" t="s">
        <v>14</v>
      </c>
      <c r="D816" t="s">
        <v>42</v>
      </c>
      <c r="E816" s="50">
        <f>VLOOKUP(PlanGrid[[#This Row],[Title]],'Spec Wattages'!$A$1:$C$973,2,FALSE)</f>
        <v>100</v>
      </c>
      <c r="F816" s="38">
        <v>1</v>
      </c>
      <c r="G816" s="39">
        <v>0.1</v>
      </c>
      <c r="H816" s="58">
        <f>PlanGrid[[#This Row],[Spec Wattage]]*PlanGrid[[#This Row],[Equipment Count]]</f>
        <v>100</v>
      </c>
      <c r="I816" s="50">
        <f>((PlanGrid[[#This Row],[Demand Watt]]*PlanGrid[[#This Row],[Utilization %]]*'Schedule-Building Info'!$N$16)/1000)</f>
        <v>54.75</v>
      </c>
      <c r="J816" s="57">
        <f>PlanGrid[[#This Row],[kWh/yr]]*' Elec Utility (kWh)'!$M$7</f>
        <v>5.8370803724469411</v>
      </c>
      <c r="K816" s="38">
        <f>PlanGrid[[#This Row],[kWh/yr]]/'Schedule-Building Info'!$B$6</f>
        <v>9.0036014405762304E-4</v>
      </c>
      <c r="L816" s="50">
        <f>CONVERT(PlanGrid[[#This Row],[kWh/yr]],"Wh","BTU")</f>
        <v>186.8147544137548</v>
      </c>
      <c r="M816" s="38">
        <f>PlanGrid[[#This Row],[kBtu/yr]]/'Schedule-Building Info'!$B$6</f>
        <v>3.0721563323480865E-3</v>
      </c>
      <c r="N816" t="s">
        <v>1092</v>
      </c>
      <c r="O816">
        <v>0</v>
      </c>
      <c r="P816" t="str">
        <f>VLOOKUP(PlanGrid[[#This Row],[Title]],'Spec Wattages'!$A$1:$C$973,3,FALSE)</f>
        <v>Plug Load</v>
      </c>
      <c r="Q816" t="s">
        <v>910</v>
      </c>
      <c r="R816" t="s">
        <v>770</v>
      </c>
      <c r="S816" t="s">
        <v>11</v>
      </c>
    </row>
    <row r="817" spans="1:19" x14ac:dyDescent="0.25">
      <c r="A817">
        <v>571</v>
      </c>
      <c r="B817" t="s">
        <v>637</v>
      </c>
      <c r="C817" t="s">
        <v>14</v>
      </c>
      <c r="E817" s="50">
        <f>VLOOKUP(PlanGrid[[#This Row],[Title]],'Spec Wattages'!$A$1:$C$973,2,FALSE)</f>
        <v>100</v>
      </c>
      <c r="F817" s="38">
        <v>1</v>
      </c>
      <c r="G817" s="39">
        <v>0.1</v>
      </c>
      <c r="H817" s="58">
        <f>PlanGrid[[#This Row],[Spec Wattage]]*PlanGrid[[#This Row],[Equipment Count]]</f>
        <v>100</v>
      </c>
      <c r="I817" s="50">
        <f>((PlanGrid[[#This Row],[Demand Watt]]*PlanGrid[[#This Row],[Utilization %]]*'Schedule-Building Info'!$N$16)/1000)</f>
        <v>54.75</v>
      </c>
      <c r="J817" s="57">
        <f>PlanGrid[[#This Row],[kWh/yr]]*' Elec Utility (kWh)'!$M$7</f>
        <v>5.8370803724469411</v>
      </c>
      <c r="K817" s="38">
        <f>PlanGrid[[#This Row],[kWh/yr]]/'Schedule-Building Info'!$B$6</f>
        <v>9.0036014405762304E-4</v>
      </c>
      <c r="L817" s="50">
        <f>CONVERT(PlanGrid[[#This Row],[kWh/yr]],"Wh","BTU")</f>
        <v>186.8147544137548</v>
      </c>
      <c r="M817" s="38">
        <f>PlanGrid[[#This Row],[kBtu/yr]]/'Schedule-Building Info'!$B$6</f>
        <v>3.0721563323480865E-3</v>
      </c>
      <c r="N817" t="s">
        <v>1092</v>
      </c>
      <c r="O817">
        <v>0</v>
      </c>
      <c r="P817" t="str">
        <f>VLOOKUP(PlanGrid[[#This Row],[Title]],'Spec Wattages'!$A$1:$C$973,3,FALSE)</f>
        <v>Plug Load</v>
      </c>
      <c r="Q817" t="s">
        <v>911</v>
      </c>
      <c r="R817" t="s">
        <v>911</v>
      </c>
      <c r="S817" t="s">
        <v>51</v>
      </c>
    </row>
    <row r="818" spans="1:19" x14ac:dyDescent="0.25">
      <c r="A818">
        <v>584</v>
      </c>
      <c r="B818" t="s">
        <v>637</v>
      </c>
      <c r="C818" t="s">
        <v>14</v>
      </c>
      <c r="D818" t="s">
        <v>42</v>
      </c>
      <c r="E818" s="50">
        <f>VLOOKUP(PlanGrid[[#This Row],[Title]],'Spec Wattages'!$A$1:$C$973,2,FALSE)</f>
        <v>100</v>
      </c>
      <c r="F818" s="38">
        <v>1</v>
      </c>
      <c r="G818" s="39">
        <v>0.1</v>
      </c>
      <c r="H818" s="58">
        <f>PlanGrid[[#This Row],[Spec Wattage]]*PlanGrid[[#This Row],[Equipment Count]]</f>
        <v>100</v>
      </c>
      <c r="I818" s="50">
        <f>((PlanGrid[[#This Row],[Demand Watt]]*PlanGrid[[#This Row],[Utilization %]]*'Schedule-Building Info'!$N$16)/1000)</f>
        <v>54.75</v>
      </c>
      <c r="J818" s="57">
        <f>PlanGrid[[#This Row],[kWh/yr]]*' Elec Utility (kWh)'!$M$7</f>
        <v>5.8370803724469411</v>
      </c>
      <c r="K818" s="38">
        <f>PlanGrid[[#This Row],[kWh/yr]]/'Schedule-Building Info'!$B$6</f>
        <v>9.0036014405762304E-4</v>
      </c>
      <c r="L818" s="50">
        <f>CONVERT(PlanGrid[[#This Row],[kWh/yr]],"Wh","BTU")</f>
        <v>186.8147544137548</v>
      </c>
      <c r="M818" s="38">
        <f>PlanGrid[[#This Row],[kBtu/yr]]/'Schedule-Building Info'!$B$6</f>
        <v>3.0721563323480865E-3</v>
      </c>
      <c r="N818" t="s">
        <v>1092</v>
      </c>
      <c r="O818">
        <v>0</v>
      </c>
      <c r="P818" t="str">
        <f>VLOOKUP(PlanGrid[[#This Row],[Title]],'Spec Wattages'!$A$1:$C$973,3,FALSE)</f>
        <v>Plug Load</v>
      </c>
      <c r="Q818" t="s">
        <v>913</v>
      </c>
      <c r="R818" t="s">
        <v>774</v>
      </c>
      <c r="S818" t="s">
        <v>11</v>
      </c>
    </row>
    <row r="819" spans="1:19" x14ac:dyDescent="0.25">
      <c r="A819">
        <v>596</v>
      </c>
      <c r="B819" t="s">
        <v>637</v>
      </c>
      <c r="C819" t="s">
        <v>14</v>
      </c>
      <c r="D819" t="s">
        <v>42</v>
      </c>
      <c r="E819" s="50">
        <f>VLOOKUP(PlanGrid[[#This Row],[Title]],'Spec Wattages'!$A$1:$C$973,2,FALSE)</f>
        <v>100</v>
      </c>
      <c r="F819" s="38">
        <v>1</v>
      </c>
      <c r="G819" s="39">
        <v>0.1</v>
      </c>
      <c r="H819" s="58">
        <f>PlanGrid[[#This Row],[Spec Wattage]]*PlanGrid[[#This Row],[Equipment Count]]</f>
        <v>100</v>
      </c>
      <c r="I819" s="50">
        <f>((PlanGrid[[#This Row],[Demand Watt]]*PlanGrid[[#This Row],[Utilization %]]*'Schedule-Building Info'!$N$16)/1000)</f>
        <v>54.75</v>
      </c>
      <c r="J819" s="57">
        <f>PlanGrid[[#This Row],[kWh/yr]]*' Elec Utility (kWh)'!$M$7</f>
        <v>5.8370803724469411</v>
      </c>
      <c r="K819" s="38">
        <f>PlanGrid[[#This Row],[kWh/yr]]/'Schedule-Building Info'!$B$6</f>
        <v>9.0036014405762304E-4</v>
      </c>
      <c r="L819" s="50">
        <f>CONVERT(PlanGrid[[#This Row],[kWh/yr]],"Wh","BTU")</f>
        <v>186.8147544137548</v>
      </c>
      <c r="M819" s="38">
        <f>PlanGrid[[#This Row],[kBtu/yr]]/'Schedule-Building Info'!$B$6</f>
        <v>3.0721563323480865E-3</v>
      </c>
      <c r="N819" t="s">
        <v>1092</v>
      </c>
      <c r="O819">
        <v>0</v>
      </c>
      <c r="P819" t="str">
        <f>VLOOKUP(PlanGrid[[#This Row],[Title]],'Spec Wattages'!$A$1:$C$973,3,FALSE)</f>
        <v>Plug Load</v>
      </c>
      <c r="Q819" t="s">
        <v>914</v>
      </c>
      <c r="R819" t="s">
        <v>1018</v>
      </c>
      <c r="S819" t="s">
        <v>11</v>
      </c>
    </row>
    <row r="820" spans="1:19" x14ac:dyDescent="0.25">
      <c r="A820">
        <v>605</v>
      </c>
      <c r="B820" t="s">
        <v>637</v>
      </c>
      <c r="C820" t="s">
        <v>14</v>
      </c>
      <c r="D820" t="s">
        <v>42</v>
      </c>
      <c r="E820" s="50">
        <f>VLOOKUP(PlanGrid[[#This Row],[Title]],'Spec Wattages'!$A$1:$C$973,2,FALSE)</f>
        <v>100</v>
      </c>
      <c r="F820" s="38">
        <v>1</v>
      </c>
      <c r="G820" s="39">
        <v>0.1</v>
      </c>
      <c r="H820" s="58">
        <f>PlanGrid[[#This Row],[Spec Wattage]]*PlanGrid[[#This Row],[Equipment Count]]</f>
        <v>100</v>
      </c>
      <c r="I820" s="50">
        <f>((PlanGrid[[#This Row],[Demand Watt]]*PlanGrid[[#This Row],[Utilization %]]*'Schedule-Building Info'!$N$16)/1000)</f>
        <v>54.75</v>
      </c>
      <c r="J820" s="57">
        <f>PlanGrid[[#This Row],[kWh/yr]]*' Elec Utility (kWh)'!$M$7</f>
        <v>5.8370803724469411</v>
      </c>
      <c r="K820" s="38">
        <f>PlanGrid[[#This Row],[kWh/yr]]/'Schedule-Building Info'!$B$6</f>
        <v>9.0036014405762304E-4</v>
      </c>
      <c r="L820" s="50">
        <f>CONVERT(PlanGrid[[#This Row],[kWh/yr]],"Wh","BTU")</f>
        <v>186.8147544137548</v>
      </c>
      <c r="M820" s="38">
        <f>PlanGrid[[#This Row],[kBtu/yr]]/'Schedule-Building Info'!$B$6</f>
        <v>3.0721563323480865E-3</v>
      </c>
      <c r="N820" t="s">
        <v>1092</v>
      </c>
      <c r="O820">
        <v>0</v>
      </c>
      <c r="P820" t="str">
        <f>VLOOKUP(PlanGrid[[#This Row],[Title]],'Spec Wattages'!$A$1:$C$973,3,FALSE)</f>
        <v>Plug Load</v>
      </c>
      <c r="Q820" t="s">
        <v>775</v>
      </c>
      <c r="R820" t="s">
        <v>910</v>
      </c>
      <c r="S820" t="s">
        <v>11</v>
      </c>
    </row>
    <row r="821" spans="1:19" x14ac:dyDescent="0.25">
      <c r="A821">
        <v>613</v>
      </c>
      <c r="B821" t="s">
        <v>637</v>
      </c>
      <c r="C821" t="s">
        <v>14</v>
      </c>
      <c r="E821" s="50">
        <f>VLOOKUP(PlanGrid[[#This Row],[Title]],'Spec Wattages'!$A$1:$C$973,2,FALSE)</f>
        <v>100</v>
      </c>
      <c r="F821" s="38">
        <v>1</v>
      </c>
      <c r="G821" s="39">
        <v>0.1</v>
      </c>
      <c r="H821" s="58">
        <f>PlanGrid[[#This Row],[Spec Wattage]]*PlanGrid[[#This Row],[Equipment Count]]</f>
        <v>100</v>
      </c>
      <c r="I821" s="50">
        <f>((PlanGrid[[#This Row],[Demand Watt]]*PlanGrid[[#This Row],[Utilization %]]*'Schedule-Building Info'!$N$16)/1000)</f>
        <v>54.75</v>
      </c>
      <c r="J821" s="57">
        <f>PlanGrid[[#This Row],[kWh/yr]]*' Elec Utility (kWh)'!$M$7</f>
        <v>5.8370803724469411</v>
      </c>
      <c r="K821" s="38">
        <f>PlanGrid[[#This Row],[kWh/yr]]/'Schedule-Building Info'!$B$6</f>
        <v>9.0036014405762304E-4</v>
      </c>
      <c r="L821" s="50">
        <f>CONVERT(PlanGrid[[#This Row],[kWh/yr]],"Wh","BTU")</f>
        <v>186.8147544137548</v>
      </c>
      <c r="M821" s="38">
        <f>PlanGrid[[#This Row],[kBtu/yr]]/'Schedule-Building Info'!$B$6</f>
        <v>3.0721563323480865E-3</v>
      </c>
      <c r="N821" t="s">
        <v>1092</v>
      </c>
      <c r="O821">
        <v>0</v>
      </c>
      <c r="P821" t="str">
        <f>VLOOKUP(PlanGrid[[#This Row],[Title]],'Spec Wattages'!$A$1:$C$973,3,FALSE)</f>
        <v>Plug Load</v>
      </c>
      <c r="Q821" t="s">
        <v>988</v>
      </c>
      <c r="R821" t="s">
        <v>988</v>
      </c>
      <c r="S821" t="s">
        <v>51</v>
      </c>
    </row>
    <row r="822" spans="1:19" x14ac:dyDescent="0.25">
      <c r="A822">
        <v>625</v>
      </c>
      <c r="B822" t="s">
        <v>637</v>
      </c>
      <c r="C822" t="s">
        <v>14</v>
      </c>
      <c r="E822" s="50">
        <f>VLOOKUP(PlanGrid[[#This Row],[Title]],'Spec Wattages'!$A$1:$C$973,2,FALSE)</f>
        <v>100</v>
      </c>
      <c r="F822" s="38">
        <v>1</v>
      </c>
      <c r="G822" s="39">
        <v>0.1</v>
      </c>
      <c r="H822" s="58">
        <f>PlanGrid[[#This Row],[Spec Wattage]]*PlanGrid[[#This Row],[Equipment Count]]</f>
        <v>100</v>
      </c>
      <c r="I822" s="50">
        <f>((PlanGrid[[#This Row],[Demand Watt]]*PlanGrid[[#This Row],[Utilization %]]*'Schedule-Building Info'!$N$16)/1000)</f>
        <v>54.75</v>
      </c>
      <c r="J822" s="57">
        <f>PlanGrid[[#This Row],[kWh/yr]]*' Elec Utility (kWh)'!$M$7</f>
        <v>5.8370803724469411</v>
      </c>
      <c r="K822" s="38">
        <f>PlanGrid[[#This Row],[kWh/yr]]/'Schedule-Building Info'!$B$6</f>
        <v>9.0036014405762304E-4</v>
      </c>
      <c r="L822" s="50">
        <f>CONVERT(PlanGrid[[#This Row],[kWh/yr]],"Wh","BTU")</f>
        <v>186.8147544137548</v>
      </c>
      <c r="M822" s="38">
        <f>PlanGrid[[#This Row],[kBtu/yr]]/'Schedule-Building Info'!$B$6</f>
        <v>3.0721563323480865E-3</v>
      </c>
      <c r="N822" t="s">
        <v>1092</v>
      </c>
      <c r="O822">
        <v>0</v>
      </c>
      <c r="P822" t="str">
        <f>VLOOKUP(PlanGrid[[#This Row],[Title]],'Spec Wattages'!$A$1:$C$973,3,FALSE)</f>
        <v>Plug Load</v>
      </c>
      <c r="Q822" t="s">
        <v>1020</v>
      </c>
      <c r="R822" t="s">
        <v>775</v>
      </c>
      <c r="S822" t="s">
        <v>11</v>
      </c>
    </row>
    <row r="823" spans="1:19" x14ac:dyDescent="0.25">
      <c r="A823">
        <v>1096</v>
      </c>
      <c r="B823" t="s">
        <v>633</v>
      </c>
      <c r="C823" t="s">
        <v>48</v>
      </c>
      <c r="D823" t="s">
        <v>647</v>
      </c>
      <c r="E823" s="50">
        <v>11185.5</v>
      </c>
      <c r="F823" s="38">
        <v>1</v>
      </c>
      <c r="G823" s="39">
        <v>0.5</v>
      </c>
      <c r="H823" s="58">
        <f>PlanGrid[[#This Row],[Spec Wattage]]*PlanGrid[[#This Row],[Equipment Count]]</f>
        <v>11185.5</v>
      </c>
      <c r="I823" s="50">
        <f>((PlanGrid[[#This Row],[Demand Watt]]*PlanGrid[[#This Row],[Utilization %]]*'Schedule-Building Info'!$N$16)/1000)</f>
        <v>30620.306250000001</v>
      </c>
      <c r="J823" s="57">
        <f>PlanGrid[[#This Row],[kWh/yr]]*' Elec Utility (kWh)'!$M$7</f>
        <v>3264.5331253002628</v>
      </c>
      <c r="K823" s="38">
        <f>PlanGrid[[#This Row],[kWh/yr]]/'Schedule-Building Info'!$B$6</f>
        <v>0.5035489195678271</v>
      </c>
      <c r="L823" s="50">
        <f>CONVERT(PlanGrid[[#This Row],[kWh/yr]],"Wh","BTU")</f>
        <v>104480.82177475272</v>
      </c>
      <c r="M823" s="38">
        <f>PlanGrid[[#This Row],[kBtu/yr]]/'Schedule-Building Info'!$B$6</f>
        <v>1.7181802327739764</v>
      </c>
      <c r="N823" t="s">
        <v>1089</v>
      </c>
      <c r="O823">
        <v>2</v>
      </c>
      <c r="P823" t="s">
        <v>48</v>
      </c>
      <c r="Q823" t="s">
        <v>1021</v>
      </c>
      <c r="R823" t="s">
        <v>1086</v>
      </c>
      <c r="S823" t="s">
        <v>11</v>
      </c>
    </row>
    <row r="824" spans="1:19" x14ac:dyDescent="0.25">
      <c r="A824">
        <v>1097</v>
      </c>
      <c r="B824" t="s">
        <v>633</v>
      </c>
      <c r="C824" t="s">
        <v>48</v>
      </c>
      <c r="E824" s="50">
        <v>11185.5</v>
      </c>
      <c r="F824" s="38">
        <v>1</v>
      </c>
      <c r="G824" s="39">
        <v>0.5</v>
      </c>
      <c r="H824" s="58">
        <f>PlanGrid[[#This Row],[Spec Wattage]]*PlanGrid[[#This Row],[Equipment Count]]</f>
        <v>11185.5</v>
      </c>
      <c r="I824" s="50">
        <f>((PlanGrid[[#This Row],[Demand Watt]]*PlanGrid[[#This Row],[Utilization %]]*'Schedule-Building Info'!$N$16)/1000)</f>
        <v>30620.306250000001</v>
      </c>
      <c r="J824" s="57">
        <f>PlanGrid[[#This Row],[kWh/yr]]*' Elec Utility (kWh)'!$M$7</f>
        <v>3264.5331253002628</v>
      </c>
      <c r="K824" s="38">
        <f>PlanGrid[[#This Row],[kWh/yr]]/'Schedule-Building Info'!$B$6</f>
        <v>0.5035489195678271</v>
      </c>
      <c r="L824" s="50">
        <f>CONVERT(PlanGrid[[#This Row],[kWh/yr]],"Wh","BTU")</f>
        <v>104480.82177475272</v>
      </c>
      <c r="M824" s="38">
        <f>PlanGrid[[#This Row],[kBtu/yr]]/'Schedule-Building Info'!$B$6</f>
        <v>1.7181802327739764</v>
      </c>
      <c r="N824" t="s">
        <v>1089</v>
      </c>
      <c r="O824">
        <v>1</v>
      </c>
      <c r="P824" t="s">
        <v>48</v>
      </c>
      <c r="Q824" t="s">
        <v>1022</v>
      </c>
      <c r="R824" t="s">
        <v>1087</v>
      </c>
      <c r="S824" t="s">
        <v>11</v>
      </c>
    </row>
    <row r="825" spans="1:19" x14ac:dyDescent="0.25">
      <c r="A825">
        <v>935</v>
      </c>
      <c r="B825" t="s">
        <v>438</v>
      </c>
      <c r="C825" t="s">
        <v>17</v>
      </c>
      <c r="E825" s="50">
        <f>VLOOKUP(PlanGrid[[#This Row],[Title]],'Spec Wattages'!$A$1:$C$973,2,FALSE)</f>
        <v>408</v>
      </c>
      <c r="F825" s="38">
        <v>1</v>
      </c>
      <c r="G825" s="39">
        <v>0.75</v>
      </c>
      <c r="H825" s="50">
        <f>PlanGrid[[#This Row],[Spec Wattage]]*PlanGrid[[#This Row],[Equipment Count]]</f>
        <v>408</v>
      </c>
      <c r="I825" s="50">
        <f>((PlanGrid[[#This Row],[Demand Watt]]*PlanGrid[[#This Row],[Utilization %]]*'Schedule-Building Info'!$N$16)/1000)</f>
        <v>1675.35</v>
      </c>
      <c r="J825" s="57">
        <f>PlanGrid[[#This Row],[kWh/yr]]*' Elec Utility (kWh)'!$M$7</f>
        <v>178.61465939687639</v>
      </c>
      <c r="K825" s="49">
        <f>PlanGrid[[#This Row],[kWh/yr]]/'Schedule-Building Info'!$B$6</f>
        <v>2.7551020408163263E-2</v>
      </c>
      <c r="L825" s="50">
        <f>CONVERT(PlanGrid[[#This Row],[kWh/yr]],"Wh","BTU")</f>
        <v>5716.5314850608975</v>
      </c>
      <c r="M825" s="38">
        <f>PlanGrid[[#This Row],[kBtu/yr]]/'Schedule-Building Info'!$B$6</f>
        <v>9.4007983769851464E-2</v>
      </c>
      <c r="N825" t="s">
        <v>1089</v>
      </c>
      <c r="O825">
        <v>0</v>
      </c>
      <c r="P825" t="str">
        <f>VLOOKUP(PlanGrid[[#This Row],[Title]],'Spec Wattages'!$A$1:$C$973,3,FALSE)</f>
        <v>Plug Load</v>
      </c>
      <c r="Q825" t="s">
        <v>722</v>
      </c>
      <c r="R825" t="s">
        <v>722</v>
      </c>
      <c r="S825" t="s">
        <v>11</v>
      </c>
    </row>
    <row r="826" spans="1:19" x14ac:dyDescent="0.25">
      <c r="A826">
        <v>945</v>
      </c>
      <c r="B826" t="s">
        <v>438</v>
      </c>
      <c r="C826" t="s">
        <v>17</v>
      </c>
      <c r="D826" t="s">
        <v>35</v>
      </c>
      <c r="E826" s="50">
        <v>100</v>
      </c>
      <c r="F826" s="38">
        <v>1</v>
      </c>
      <c r="G826" s="39">
        <v>0.75</v>
      </c>
      <c r="H826" s="50">
        <f>PlanGrid[[#This Row],[Spec Wattage]]*PlanGrid[[#This Row],[Equipment Count]]</f>
        <v>100</v>
      </c>
      <c r="I826" s="50">
        <f>((PlanGrid[[#This Row],[Demand Watt]]*PlanGrid[[#This Row],[Utilization %]]*'Schedule-Building Info'!$N$16)/1000)</f>
        <v>410.625</v>
      </c>
      <c r="J826" s="57">
        <f>PlanGrid[[#This Row],[kWh/yr]]*' Elec Utility (kWh)'!$M$7</f>
        <v>43.778102793352055</v>
      </c>
      <c r="K826" s="49">
        <f>PlanGrid[[#This Row],[kWh/yr]]/'Schedule-Building Info'!$B$6</f>
        <v>6.7527010804321729E-3</v>
      </c>
      <c r="L826" s="50">
        <f>CONVERT(PlanGrid[[#This Row],[kWh/yr]],"Wh","BTU")</f>
        <v>1401.1106581031611</v>
      </c>
      <c r="M826" s="38">
        <f>PlanGrid[[#This Row],[kBtu/yr]]/'Schedule-Building Info'!$B$6</f>
        <v>2.3041172492610652E-2</v>
      </c>
      <c r="N826" t="s">
        <v>1089</v>
      </c>
      <c r="O826">
        <v>0</v>
      </c>
      <c r="P826" t="str">
        <f>VLOOKUP(PlanGrid[[#This Row],[Title]],'Spec Wattages'!$A$1:$C$973,3,FALSE)</f>
        <v>Plug Load</v>
      </c>
      <c r="Q826" t="s">
        <v>730</v>
      </c>
      <c r="R826" t="s">
        <v>733</v>
      </c>
      <c r="S826" t="s">
        <v>11</v>
      </c>
    </row>
    <row r="827" spans="1:19" x14ac:dyDescent="0.25">
      <c r="A827">
        <v>1089</v>
      </c>
      <c r="B827" t="s">
        <v>438</v>
      </c>
      <c r="C827" t="s">
        <v>17</v>
      </c>
      <c r="E827" s="50">
        <f>VLOOKUP(PlanGrid[[#This Row],[Title]],'Spec Wattages'!$A$1:$C$973,2,FALSE)</f>
        <v>408</v>
      </c>
      <c r="F827" s="38">
        <v>1</v>
      </c>
      <c r="G827" s="39">
        <v>0.75</v>
      </c>
      <c r="H827" s="38">
        <f>PlanGrid[[#This Row],[Spec Wattage]]*PlanGrid[[#This Row],[Equipment Count]]</f>
        <v>408</v>
      </c>
      <c r="I827" s="38">
        <f>((PlanGrid[[#This Row],[Demand Watt]]*PlanGrid[[#This Row],[Utilization %]]*'Schedule-Building Info'!$N$16)/1000)</f>
        <v>1675.35</v>
      </c>
      <c r="J827" s="57">
        <f>PlanGrid[[#This Row],[kWh/yr]]*' Elec Utility (kWh)'!$M$7</f>
        <v>178.61465939687639</v>
      </c>
      <c r="K827" s="38">
        <f>PlanGrid[[#This Row],[kWh/yr]]/'Schedule-Building Info'!$B$6</f>
        <v>2.7551020408163263E-2</v>
      </c>
      <c r="L827" s="50">
        <f>CONVERT(PlanGrid[[#This Row],[kWh/yr]],"Wh","BTU")</f>
        <v>5716.5314850608975</v>
      </c>
      <c r="M827" s="38">
        <f>PlanGrid[[#This Row],[kBtu/yr]]/'Schedule-Building Info'!$B$6</f>
        <v>9.4007983769851464E-2</v>
      </c>
      <c r="N827" t="s">
        <v>1089</v>
      </c>
      <c r="O827">
        <v>1</v>
      </c>
      <c r="P827" t="str">
        <f>VLOOKUP(PlanGrid[[#This Row],[Title]],'Spec Wattages'!$A$1:$C$973,3,FALSE)</f>
        <v>Plug Load</v>
      </c>
      <c r="Q827" t="s">
        <v>799</v>
      </c>
      <c r="R827" t="s">
        <v>800</v>
      </c>
      <c r="S827" t="s">
        <v>11</v>
      </c>
    </row>
    <row r="828" spans="1:19" x14ac:dyDescent="0.25">
      <c r="A828">
        <v>692</v>
      </c>
      <c r="B828" t="s">
        <v>438</v>
      </c>
      <c r="C828" t="s">
        <v>17</v>
      </c>
      <c r="D828" t="s">
        <v>35</v>
      </c>
      <c r="E828" s="50">
        <v>100</v>
      </c>
      <c r="F828" s="38">
        <v>1</v>
      </c>
      <c r="G828" s="39">
        <v>0.75</v>
      </c>
      <c r="H828" s="50">
        <f>PlanGrid[[#This Row],[Spec Wattage]]*PlanGrid[[#This Row],[Equipment Count]]</f>
        <v>100</v>
      </c>
      <c r="I828" s="50">
        <f>((PlanGrid[[#This Row],[Demand Watt]]*PlanGrid[[#This Row],[Utilization %]]*'Schedule-Building Info'!$N$16)/1000)</f>
        <v>410.625</v>
      </c>
      <c r="J828" s="57">
        <f>PlanGrid[[#This Row],[kWh/yr]]*' Elec Utility (kWh)'!$M$7</f>
        <v>43.778102793352055</v>
      </c>
      <c r="K828" s="49">
        <f>PlanGrid[[#This Row],[kWh/yr]]/'Schedule-Building Info'!$B$6</f>
        <v>6.7527010804321729E-3</v>
      </c>
      <c r="L828" s="50">
        <f>CONVERT(PlanGrid[[#This Row],[kWh/yr]],"Wh","BTU")</f>
        <v>1401.1106581031611</v>
      </c>
      <c r="M828" s="38">
        <f>PlanGrid[[#This Row],[kBtu/yr]]/'Schedule-Building Info'!$B$6</f>
        <v>2.3041172492610652E-2</v>
      </c>
      <c r="N828" t="s">
        <v>1090</v>
      </c>
      <c r="O828">
        <v>0</v>
      </c>
      <c r="P828" t="str">
        <f>VLOOKUP(PlanGrid[[#This Row],[Title]],'Spec Wattages'!$A$1:$C$973,3,FALSE)</f>
        <v>Plug Load</v>
      </c>
      <c r="Q828" t="s">
        <v>720</v>
      </c>
      <c r="R828" t="s">
        <v>720</v>
      </c>
      <c r="S828" t="s">
        <v>11</v>
      </c>
    </row>
    <row r="829" spans="1:19" x14ac:dyDescent="0.25">
      <c r="A829">
        <v>711</v>
      </c>
      <c r="B829" t="s">
        <v>438</v>
      </c>
      <c r="C829" t="s">
        <v>17</v>
      </c>
      <c r="E829" s="50">
        <f>VLOOKUP(PlanGrid[[#This Row],[Title]],'Spec Wattages'!$A$1:$C$973,2,FALSE)</f>
        <v>408</v>
      </c>
      <c r="F829" s="38">
        <v>1</v>
      </c>
      <c r="G829" s="39">
        <v>0.75</v>
      </c>
      <c r="H829" s="58">
        <f>PlanGrid[[#This Row],[Spec Wattage]]*PlanGrid[[#This Row],[Equipment Count]]</f>
        <v>408</v>
      </c>
      <c r="I829" s="50">
        <f>((PlanGrid[[#This Row],[Demand Watt]]*PlanGrid[[#This Row],[Utilization %]]*'Schedule-Building Info'!$N$16)/1000)</f>
        <v>1675.35</v>
      </c>
      <c r="J829" s="57">
        <f>PlanGrid[[#This Row],[kWh/yr]]*' Elec Utility (kWh)'!$M$7</f>
        <v>178.61465939687639</v>
      </c>
      <c r="K829" s="38">
        <f>PlanGrid[[#This Row],[kWh/yr]]/'Schedule-Building Info'!$B$6</f>
        <v>2.7551020408163263E-2</v>
      </c>
      <c r="L829" s="50">
        <f>CONVERT(PlanGrid[[#This Row],[kWh/yr]],"Wh","BTU")</f>
        <v>5716.5314850608975</v>
      </c>
      <c r="M829" s="38">
        <f>PlanGrid[[#This Row],[kBtu/yr]]/'Schedule-Building Info'!$B$6</f>
        <v>9.4007983769851464E-2</v>
      </c>
      <c r="N829" t="s">
        <v>1090</v>
      </c>
      <c r="O829">
        <v>0</v>
      </c>
      <c r="P829" t="str">
        <f>VLOOKUP(PlanGrid[[#This Row],[Title]],'Spec Wattages'!$A$1:$C$973,3,FALSE)</f>
        <v>Plug Load</v>
      </c>
      <c r="Q829" t="s">
        <v>778</v>
      </c>
      <c r="R829" t="s">
        <v>778</v>
      </c>
      <c r="S829" t="s">
        <v>51</v>
      </c>
    </row>
    <row r="830" spans="1:19" x14ac:dyDescent="0.25">
      <c r="A830">
        <v>870</v>
      </c>
      <c r="B830" t="s">
        <v>438</v>
      </c>
      <c r="C830" t="s">
        <v>17</v>
      </c>
      <c r="E830" s="50">
        <f>VLOOKUP(PlanGrid[[#This Row],[Title]],'Spec Wattages'!$A$1:$C$973,2,FALSE)</f>
        <v>408</v>
      </c>
      <c r="F830" s="38">
        <v>1</v>
      </c>
      <c r="G830" s="39">
        <v>0.75</v>
      </c>
      <c r="H830" s="58">
        <f>PlanGrid[[#This Row],[Spec Wattage]]*PlanGrid[[#This Row],[Equipment Count]]</f>
        <v>408</v>
      </c>
      <c r="I830" s="50">
        <f>((PlanGrid[[#This Row],[Demand Watt]]*PlanGrid[[#This Row],[Utilization %]]*'Schedule-Building Info'!$N$16)/1000)</f>
        <v>1675.35</v>
      </c>
      <c r="J830" s="57">
        <f>PlanGrid[[#This Row],[kWh/yr]]*' Elec Utility (kWh)'!$M$7</f>
        <v>178.61465939687639</v>
      </c>
      <c r="K830" s="38">
        <f>PlanGrid[[#This Row],[kWh/yr]]/'Schedule-Building Info'!$B$6</f>
        <v>2.7551020408163263E-2</v>
      </c>
      <c r="L830" s="50">
        <f>CONVERT(PlanGrid[[#This Row],[kWh/yr]],"Wh","BTU")</f>
        <v>5716.5314850608975</v>
      </c>
      <c r="M830" s="38">
        <f>PlanGrid[[#This Row],[kBtu/yr]]/'Schedule-Building Info'!$B$6</f>
        <v>9.4007983769851464E-2</v>
      </c>
      <c r="N830" t="s">
        <v>1090</v>
      </c>
      <c r="O830">
        <v>1</v>
      </c>
      <c r="P830" t="str">
        <f>VLOOKUP(PlanGrid[[#This Row],[Title]],'Spec Wattages'!$A$1:$C$973,3,FALSE)</f>
        <v>Plug Load</v>
      </c>
      <c r="Q830" t="s">
        <v>924</v>
      </c>
      <c r="R830" t="s">
        <v>732</v>
      </c>
      <c r="S830" t="s">
        <v>11</v>
      </c>
    </row>
    <row r="831" spans="1:19" x14ac:dyDescent="0.25">
      <c r="A831">
        <v>82</v>
      </c>
      <c r="B831" t="s">
        <v>438</v>
      </c>
      <c r="C831" t="s">
        <v>17</v>
      </c>
      <c r="D831" t="s">
        <v>35</v>
      </c>
      <c r="E831" s="50">
        <v>100</v>
      </c>
      <c r="F831" s="38">
        <v>1</v>
      </c>
      <c r="G831" s="39">
        <v>0.75</v>
      </c>
      <c r="H831" s="58">
        <f>PlanGrid[[#This Row],[Spec Wattage]]*PlanGrid[[#This Row],[Equipment Count]]</f>
        <v>100</v>
      </c>
      <c r="I831" s="50">
        <f>((PlanGrid[[#This Row],[Demand Watt]]*PlanGrid[[#This Row],[Utilization %]]*'Schedule-Building Info'!$N$16)/1000)</f>
        <v>410.625</v>
      </c>
      <c r="J831" s="57">
        <f>PlanGrid[[#This Row],[kWh/yr]]*' Elec Utility (kWh)'!$M$7</f>
        <v>43.778102793352055</v>
      </c>
      <c r="K831" s="38">
        <f>PlanGrid[[#This Row],[kWh/yr]]/'Schedule-Building Info'!$B$6</f>
        <v>6.7527010804321729E-3</v>
      </c>
      <c r="L831" s="50">
        <f>CONVERT(PlanGrid[[#This Row],[kWh/yr]],"Wh","BTU")</f>
        <v>1401.1106581031611</v>
      </c>
      <c r="M831" s="38">
        <f>PlanGrid[[#This Row],[kBtu/yr]]/'Schedule-Building Info'!$B$6</f>
        <v>2.3041172492610652E-2</v>
      </c>
      <c r="N831" t="s">
        <v>1092</v>
      </c>
      <c r="O831">
        <v>0</v>
      </c>
      <c r="P831" t="str">
        <f>VLOOKUP(PlanGrid[[#This Row],[Title]],'Spec Wattages'!$A$1:$C$973,3,FALSE)</f>
        <v>Plug Load</v>
      </c>
      <c r="Q831" t="s">
        <v>747</v>
      </c>
      <c r="R831" t="s">
        <v>942</v>
      </c>
      <c r="S831" t="s">
        <v>11</v>
      </c>
    </row>
    <row r="832" spans="1:19" x14ac:dyDescent="0.25">
      <c r="A832">
        <v>101</v>
      </c>
      <c r="B832" t="s">
        <v>438</v>
      </c>
      <c r="C832" t="s">
        <v>17</v>
      </c>
      <c r="D832" t="s">
        <v>35</v>
      </c>
      <c r="E832" s="50">
        <v>100</v>
      </c>
      <c r="F832" s="38">
        <v>1</v>
      </c>
      <c r="G832" s="39">
        <v>0.75</v>
      </c>
      <c r="H832" s="58">
        <f>PlanGrid[[#This Row],[Spec Wattage]]*PlanGrid[[#This Row],[Equipment Count]]</f>
        <v>100</v>
      </c>
      <c r="I832" s="50">
        <f>((PlanGrid[[#This Row],[Demand Watt]]*PlanGrid[[#This Row],[Utilization %]]*'Schedule-Building Info'!$N$16)/1000)</f>
        <v>410.625</v>
      </c>
      <c r="J832" s="57">
        <f>PlanGrid[[#This Row],[kWh/yr]]*' Elec Utility (kWh)'!$M$7</f>
        <v>43.778102793352055</v>
      </c>
      <c r="K832" s="38">
        <f>PlanGrid[[#This Row],[kWh/yr]]/'Schedule-Building Info'!$B$6</f>
        <v>6.7527010804321729E-3</v>
      </c>
      <c r="L832" s="50">
        <f>CONVERT(PlanGrid[[#This Row],[kWh/yr]],"Wh","BTU")</f>
        <v>1401.1106581031611</v>
      </c>
      <c r="M832" s="38">
        <f>PlanGrid[[#This Row],[kBtu/yr]]/'Schedule-Building Info'!$B$6</f>
        <v>2.3041172492610652E-2</v>
      </c>
      <c r="N832" t="s">
        <v>1092</v>
      </c>
      <c r="O832">
        <v>0</v>
      </c>
      <c r="P832" t="str">
        <f>VLOOKUP(PlanGrid[[#This Row],[Title]],'Spec Wattages'!$A$1:$C$973,3,FALSE)</f>
        <v>Plug Load</v>
      </c>
      <c r="Q832" t="s">
        <v>855</v>
      </c>
      <c r="R832" t="s">
        <v>935</v>
      </c>
      <c r="S832" t="s">
        <v>11</v>
      </c>
    </row>
    <row r="833" spans="1:19" x14ac:dyDescent="0.25">
      <c r="A833">
        <v>305</v>
      </c>
      <c r="B833" t="s">
        <v>438</v>
      </c>
      <c r="C833" t="s">
        <v>17</v>
      </c>
      <c r="D833" t="s">
        <v>37</v>
      </c>
      <c r="E833" s="50">
        <f>VLOOKUP(PlanGrid[[#This Row],[Title]],'Spec Wattages'!$A$1:$C$973,2,FALSE)</f>
        <v>408</v>
      </c>
      <c r="F833" s="38">
        <v>1</v>
      </c>
      <c r="G833" s="39">
        <v>0.75</v>
      </c>
      <c r="H833" s="58">
        <f>PlanGrid[[#This Row],[Spec Wattage]]*PlanGrid[[#This Row],[Equipment Count]]</f>
        <v>408</v>
      </c>
      <c r="I833" s="50">
        <f>((PlanGrid[[#This Row],[Demand Watt]]*PlanGrid[[#This Row],[Utilization %]]*'Schedule-Building Info'!$N$16)/1000)</f>
        <v>1675.35</v>
      </c>
      <c r="J833" s="57">
        <f>PlanGrid[[#This Row],[kWh/yr]]*' Elec Utility (kWh)'!$M$7</f>
        <v>178.61465939687639</v>
      </c>
      <c r="K833" s="38">
        <f>PlanGrid[[#This Row],[kWh/yr]]/'Schedule-Building Info'!$B$6</f>
        <v>2.7551020408163263E-2</v>
      </c>
      <c r="L833" s="50">
        <f>CONVERT(PlanGrid[[#This Row],[kWh/yr]],"Wh","BTU")</f>
        <v>5716.5314850608975</v>
      </c>
      <c r="M833" s="38">
        <f>PlanGrid[[#This Row],[kBtu/yr]]/'Schedule-Building Info'!$B$6</f>
        <v>9.4007983769851464E-2</v>
      </c>
      <c r="N833" t="s">
        <v>1092</v>
      </c>
      <c r="O833">
        <v>0</v>
      </c>
      <c r="P833" t="str">
        <f>VLOOKUP(PlanGrid[[#This Row],[Title]],'Spec Wattages'!$A$1:$C$973,3,FALSE)</f>
        <v>Plug Load</v>
      </c>
      <c r="Q833" t="s">
        <v>990</v>
      </c>
      <c r="R833" t="s">
        <v>1042</v>
      </c>
      <c r="S833" t="s">
        <v>11</v>
      </c>
    </row>
    <row r="834" spans="1:19" x14ac:dyDescent="0.25">
      <c r="A834">
        <v>381</v>
      </c>
      <c r="B834" t="s">
        <v>438</v>
      </c>
      <c r="C834" t="s">
        <v>17</v>
      </c>
      <c r="D834" t="s">
        <v>35</v>
      </c>
      <c r="E834" s="50">
        <v>100</v>
      </c>
      <c r="F834" s="38">
        <v>1</v>
      </c>
      <c r="G834" s="39">
        <v>0.75</v>
      </c>
      <c r="H834" s="58">
        <f>PlanGrid[[#This Row],[Spec Wattage]]*PlanGrid[[#This Row],[Equipment Count]]</f>
        <v>100</v>
      </c>
      <c r="I834" s="50">
        <f>((PlanGrid[[#This Row],[Demand Watt]]*PlanGrid[[#This Row],[Utilization %]]*'Schedule-Building Info'!$N$16)/1000)</f>
        <v>410.625</v>
      </c>
      <c r="J834" s="57">
        <f>PlanGrid[[#This Row],[kWh/yr]]*' Elec Utility (kWh)'!$M$7</f>
        <v>43.778102793352055</v>
      </c>
      <c r="K834" s="38">
        <f>PlanGrid[[#This Row],[kWh/yr]]/'Schedule-Building Info'!$B$6</f>
        <v>6.7527010804321729E-3</v>
      </c>
      <c r="L834" s="50">
        <f>CONVERT(PlanGrid[[#This Row],[kWh/yr]],"Wh","BTU")</f>
        <v>1401.1106581031611</v>
      </c>
      <c r="M834" s="38">
        <f>PlanGrid[[#This Row],[kBtu/yr]]/'Schedule-Building Info'!$B$6</f>
        <v>2.3041172492610652E-2</v>
      </c>
      <c r="N834" t="s">
        <v>1092</v>
      </c>
      <c r="O834">
        <v>0</v>
      </c>
      <c r="P834" t="str">
        <f>VLOOKUP(PlanGrid[[#This Row],[Title]],'Spec Wattages'!$A$1:$C$973,3,FALSE)</f>
        <v>Plug Load</v>
      </c>
      <c r="Q834" t="s">
        <v>1013</v>
      </c>
      <c r="R834" t="s">
        <v>1057</v>
      </c>
      <c r="S834" t="s">
        <v>11</v>
      </c>
    </row>
    <row r="835" spans="1:19" x14ac:dyDescent="0.25">
      <c r="A835">
        <v>400</v>
      </c>
      <c r="B835" t="s">
        <v>438</v>
      </c>
      <c r="C835" t="s">
        <v>17</v>
      </c>
      <c r="E835" s="50">
        <f>VLOOKUP(PlanGrid[[#This Row],[Title]],'Spec Wattages'!$A$1:$C$973,2,FALSE)</f>
        <v>408</v>
      </c>
      <c r="F835" s="38">
        <v>1</v>
      </c>
      <c r="G835" s="39">
        <v>0.75</v>
      </c>
      <c r="H835" s="58">
        <f>PlanGrid[[#This Row],[Spec Wattage]]*PlanGrid[[#This Row],[Equipment Count]]</f>
        <v>408</v>
      </c>
      <c r="I835" s="50">
        <f>((PlanGrid[[#This Row],[Demand Watt]]*PlanGrid[[#This Row],[Utilization %]]*'Schedule-Building Info'!$N$16)/1000)</f>
        <v>1675.35</v>
      </c>
      <c r="J835" s="57">
        <f>PlanGrid[[#This Row],[kWh/yr]]*' Elec Utility (kWh)'!$M$7</f>
        <v>178.61465939687639</v>
      </c>
      <c r="K835" s="38">
        <f>PlanGrid[[#This Row],[kWh/yr]]/'Schedule-Building Info'!$B$6</f>
        <v>2.7551020408163263E-2</v>
      </c>
      <c r="L835" s="50">
        <f>CONVERT(PlanGrid[[#This Row],[kWh/yr]],"Wh","BTU")</f>
        <v>5716.5314850608975</v>
      </c>
      <c r="M835" s="38">
        <f>PlanGrid[[#This Row],[kBtu/yr]]/'Schedule-Building Info'!$B$6</f>
        <v>9.4007983769851464E-2</v>
      </c>
      <c r="N835" t="s">
        <v>1092</v>
      </c>
      <c r="O835">
        <v>0</v>
      </c>
      <c r="P835" t="str">
        <f>VLOOKUP(PlanGrid[[#This Row],[Title]],'Spec Wattages'!$A$1:$C$973,3,FALSE)</f>
        <v>Plug Load</v>
      </c>
      <c r="Q835" t="s">
        <v>900</v>
      </c>
      <c r="R835" t="s">
        <v>900</v>
      </c>
      <c r="S835" t="s">
        <v>51</v>
      </c>
    </row>
    <row r="836" spans="1:19" x14ac:dyDescent="0.25">
      <c r="A836">
        <v>426</v>
      </c>
      <c r="B836" t="s">
        <v>438</v>
      </c>
      <c r="C836" t="s">
        <v>17</v>
      </c>
      <c r="D836" t="s">
        <v>35</v>
      </c>
      <c r="E836" s="50">
        <v>100</v>
      </c>
      <c r="F836" s="38">
        <v>1</v>
      </c>
      <c r="G836" s="39">
        <v>0.75</v>
      </c>
      <c r="H836" s="58">
        <f>PlanGrid[[#This Row],[Spec Wattage]]*PlanGrid[[#This Row],[Equipment Count]]</f>
        <v>100</v>
      </c>
      <c r="I836" s="50">
        <f>((PlanGrid[[#This Row],[Demand Watt]]*PlanGrid[[#This Row],[Utilization %]]*'Schedule-Building Info'!$N$16)/1000)</f>
        <v>410.625</v>
      </c>
      <c r="J836" s="57">
        <f>PlanGrid[[#This Row],[kWh/yr]]*' Elec Utility (kWh)'!$M$7</f>
        <v>43.778102793352055</v>
      </c>
      <c r="K836" s="38">
        <f>PlanGrid[[#This Row],[kWh/yr]]/'Schedule-Building Info'!$B$6</f>
        <v>6.7527010804321729E-3</v>
      </c>
      <c r="L836" s="50">
        <f>CONVERT(PlanGrid[[#This Row],[kWh/yr]],"Wh","BTU")</f>
        <v>1401.1106581031611</v>
      </c>
      <c r="M836" s="38">
        <f>PlanGrid[[#This Row],[kBtu/yr]]/'Schedule-Building Info'!$B$6</f>
        <v>2.3041172492610652E-2</v>
      </c>
      <c r="N836" t="s">
        <v>1092</v>
      </c>
      <c r="O836">
        <v>0</v>
      </c>
      <c r="P836" t="str">
        <f>VLOOKUP(PlanGrid[[#This Row],[Title]],'Spec Wattages'!$A$1:$C$973,3,FALSE)</f>
        <v>Plug Load</v>
      </c>
      <c r="Q836" t="s">
        <v>765</v>
      </c>
      <c r="R836" t="s">
        <v>899</v>
      </c>
      <c r="S836" t="s">
        <v>11</v>
      </c>
    </row>
    <row r="837" spans="1:19" x14ac:dyDescent="0.25">
      <c r="A837">
        <v>444</v>
      </c>
      <c r="B837" t="s">
        <v>438</v>
      </c>
      <c r="C837" t="s">
        <v>17</v>
      </c>
      <c r="D837" t="s">
        <v>35</v>
      </c>
      <c r="E837" s="50">
        <v>100</v>
      </c>
      <c r="F837" s="38">
        <v>1</v>
      </c>
      <c r="G837" s="39">
        <v>0.75</v>
      </c>
      <c r="H837" s="58">
        <f>PlanGrid[[#This Row],[Spec Wattage]]*PlanGrid[[#This Row],[Equipment Count]]</f>
        <v>100</v>
      </c>
      <c r="I837" s="50">
        <f>((PlanGrid[[#This Row],[Demand Watt]]*PlanGrid[[#This Row],[Utilization %]]*'Schedule-Building Info'!$N$16)/1000)</f>
        <v>410.625</v>
      </c>
      <c r="J837" s="57">
        <f>PlanGrid[[#This Row],[kWh/yr]]*' Elec Utility (kWh)'!$M$7</f>
        <v>43.778102793352055</v>
      </c>
      <c r="K837" s="38">
        <f>PlanGrid[[#This Row],[kWh/yr]]/'Schedule-Building Info'!$B$6</f>
        <v>6.7527010804321729E-3</v>
      </c>
      <c r="L837" s="50">
        <f>CONVERT(PlanGrid[[#This Row],[kWh/yr]],"Wh","BTU")</f>
        <v>1401.1106581031611</v>
      </c>
      <c r="M837" s="38">
        <f>PlanGrid[[#This Row],[kBtu/yr]]/'Schedule-Building Info'!$B$6</f>
        <v>2.3041172492610652E-2</v>
      </c>
      <c r="N837" t="s">
        <v>1092</v>
      </c>
      <c r="O837">
        <v>0</v>
      </c>
      <c r="P837" t="str">
        <f>VLOOKUP(PlanGrid[[#This Row],[Title]],'Spec Wattages'!$A$1:$C$973,3,FALSE)</f>
        <v>Plug Load</v>
      </c>
      <c r="Q837" t="s">
        <v>951</v>
      </c>
      <c r="R837" t="s">
        <v>1014</v>
      </c>
      <c r="S837" t="s">
        <v>11</v>
      </c>
    </row>
    <row r="838" spans="1:19" x14ac:dyDescent="0.25">
      <c r="A838">
        <v>518</v>
      </c>
      <c r="B838" t="s">
        <v>438</v>
      </c>
      <c r="C838" t="s">
        <v>17</v>
      </c>
      <c r="E838" s="50">
        <f>VLOOKUP(PlanGrid[[#This Row],[Title]],'Spec Wattages'!$A$1:$C$973,2,FALSE)</f>
        <v>408</v>
      </c>
      <c r="F838" s="38">
        <v>1</v>
      </c>
      <c r="G838" s="39">
        <v>0.75</v>
      </c>
      <c r="H838" s="58">
        <f>PlanGrid[[#This Row],[Spec Wattage]]*PlanGrid[[#This Row],[Equipment Count]]</f>
        <v>408</v>
      </c>
      <c r="I838" s="50">
        <f>((PlanGrid[[#This Row],[Demand Watt]]*PlanGrid[[#This Row],[Utilization %]]*'Schedule-Building Info'!$N$16)/1000)</f>
        <v>1675.35</v>
      </c>
      <c r="J838" s="57">
        <f>PlanGrid[[#This Row],[kWh/yr]]*' Elec Utility (kWh)'!$M$7</f>
        <v>178.61465939687639</v>
      </c>
      <c r="K838" s="38">
        <f>PlanGrid[[#This Row],[kWh/yr]]/'Schedule-Building Info'!$B$6</f>
        <v>2.7551020408163263E-2</v>
      </c>
      <c r="L838" s="50">
        <f>CONVERT(PlanGrid[[#This Row],[kWh/yr]],"Wh","BTU")</f>
        <v>5716.5314850608975</v>
      </c>
      <c r="M838" s="38">
        <f>PlanGrid[[#This Row],[kBtu/yr]]/'Schedule-Building Info'!$B$6</f>
        <v>9.4007983769851464E-2</v>
      </c>
      <c r="N838" t="s">
        <v>1092</v>
      </c>
      <c r="O838">
        <v>0</v>
      </c>
      <c r="P838" t="str">
        <f>VLOOKUP(PlanGrid[[#This Row],[Title]],'Spec Wattages'!$A$1:$C$973,3,FALSE)</f>
        <v>Plug Load</v>
      </c>
      <c r="Q838" t="s">
        <v>911</v>
      </c>
      <c r="R838" t="s">
        <v>906</v>
      </c>
      <c r="S838" t="s">
        <v>11</v>
      </c>
    </row>
    <row r="839" spans="1:19" x14ac:dyDescent="0.25">
      <c r="A839">
        <v>521</v>
      </c>
      <c r="B839" t="s">
        <v>438</v>
      </c>
      <c r="C839" t="s">
        <v>17</v>
      </c>
      <c r="E839" s="50">
        <f>VLOOKUP(PlanGrid[[#This Row],[Title]],'Spec Wattages'!$A$1:$C$973,2,FALSE)</f>
        <v>408</v>
      </c>
      <c r="F839" s="38">
        <v>1</v>
      </c>
      <c r="G839" s="39">
        <v>0.75</v>
      </c>
      <c r="H839" s="58">
        <f>PlanGrid[[#This Row],[Spec Wattage]]*PlanGrid[[#This Row],[Equipment Count]]</f>
        <v>408</v>
      </c>
      <c r="I839" s="50">
        <f>((PlanGrid[[#This Row],[Demand Watt]]*PlanGrid[[#This Row],[Utilization %]]*'Schedule-Building Info'!$N$16)/1000)</f>
        <v>1675.35</v>
      </c>
      <c r="J839" s="57">
        <f>PlanGrid[[#This Row],[kWh/yr]]*' Elec Utility (kWh)'!$M$7</f>
        <v>178.61465939687639</v>
      </c>
      <c r="K839" s="38">
        <f>PlanGrid[[#This Row],[kWh/yr]]/'Schedule-Building Info'!$B$6</f>
        <v>2.7551020408163263E-2</v>
      </c>
      <c r="L839" s="50">
        <f>CONVERT(PlanGrid[[#This Row],[kWh/yr]],"Wh","BTU")</f>
        <v>5716.5314850608975</v>
      </c>
      <c r="M839" s="38">
        <f>PlanGrid[[#This Row],[kBtu/yr]]/'Schedule-Building Info'!$B$6</f>
        <v>9.4007983769851464E-2</v>
      </c>
      <c r="N839" t="s">
        <v>1092</v>
      </c>
      <c r="O839">
        <v>0</v>
      </c>
      <c r="P839" t="str">
        <f>VLOOKUP(PlanGrid[[#This Row],[Title]],'Spec Wattages'!$A$1:$C$973,3,FALSE)</f>
        <v>Plug Load</v>
      </c>
      <c r="Q839" t="s">
        <v>772</v>
      </c>
      <c r="R839" t="s">
        <v>909</v>
      </c>
      <c r="S839" t="s">
        <v>11</v>
      </c>
    </row>
    <row r="840" spans="1:19" x14ac:dyDescent="0.25">
      <c r="A840">
        <v>558</v>
      </c>
      <c r="B840" t="s">
        <v>438</v>
      </c>
      <c r="C840" t="s">
        <v>17</v>
      </c>
      <c r="E840" s="50">
        <f>VLOOKUP(PlanGrid[[#This Row],[Title]],'Spec Wattages'!$A$1:$C$973,2,FALSE)</f>
        <v>408</v>
      </c>
      <c r="F840" s="38">
        <v>1</v>
      </c>
      <c r="G840" s="39">
        <v>0.75</v>
      </c>
      <c r="H840" s="58">
        <f>PlanGrid[[#This Row],[Spec Wattage]]*PlanGrid[[#This Row],[Equipment Count]]</f>
        <v>408</v>
      </c>
      <c r="I840" s="50">
        <f>((PlanGrid[[#This Row],[Demand Watt]]*PlanGrid[[#This Row],[Utilization %]]*'Schedule-Building Info'!$N$16)/1000)</f>
        <v>1675.35</v>
      </c>
      <c r="J840" s="57">
        <f>PlanGrid[[#This Row],[kWh/yr]]*' Elec Utility (kWh)'!$M$7</f>
        <v>178.61465939687639</v>
      </c>
      <c r="K840" s="38">
        <f>PlanGrid[[#This Row],[kWh/yr]]/'Schedule-Building Info'!$B$6</f>
        <v>2.7551020408163263E-2</v>
      </c>
      <c r="L840" s="50">
        <f>CONVERT(PlanGrid[[#This Row],[kWh/yr]],"Wh","BTU")</f>
        <v>5716.5314850608975</v>
      </c>
      <c r="M840" s="38">
        <f>PlanGrid[[#This Row],[kBtu/yr]]/'Schedule-Building Info'!$B$6</f>
        <v>9.4007983769851464E-2</v>
      </c>
      <c r="N840" t="s">
        <v>1092</v>
      </c>
      <c r="O840">
        <v>0</v>
      </c>
      <c r="P840" t="str">
        <f>VLOOKUP(PlanGrid[[#This Row],[Title]],'Spec Wattages'!$A$1:$C$973,3,FALSE)</f>
        <v>Plug Load</v>
      </c>
      <c r="Q840" t="s">
        <v>988</v>
      </c>
      <c r="R840" t="s">
        <v>908</v>
      </c>
      <c r="S840" t="s">
        <v>11</v>
      </c>
    </row>
    <row r="841" spans="1:19" x14ac:dyDescent="0.25">
      <c r="A841">
        <v>594</v>
      </c>
      <c r="B841" t="s">
        <v>438</v>
      </c>
      <c r="C841" t="s">
        <v>17</v>
      </c>
      <c r="E841" s="50">
        <f>VLOOKUP(PlanGrid[[#This Row],[Title]],'Spec Wattages'!$A$1:$C$973,2,FALSE)</f>
        <v>408</v>
      </c>
      <c r="F841" s="38">
        <v>1</v>
      </c>
      <c r="G841" s="39">
        <v>0.75</v>
      </c>
      <c r="H841" s="58">
        <f>PlanGrid[[#This Row],[Spec Wattage]]*PlanGrid[[#This Row],[Equipment Count]]</f>
        <v>408</v>
      </c>
      <c r="I841" s="50">
        <f>((PlanGrid[[#This Row],[Demand Watt]]*PlanGrid[[#This Row],[Utilization %]]*'Schedule-Building Info'!$N$16)/1000)</f>
        <v>1675.35</v>
      </c>
      <c r="J841" s="57">
        <f>PlanGrid[[#This Row],[kWh/yr]]*' Elec Utility (kWh)'!$M$7</f>
        <v>178.61465939687639</v>
      </c>
      <c r="K841" s="38">
        <f>PlanGrid[[#This Row],[kWh/yr]]/'Schedule-Building Info'!$B$6</f>
        <v>2.7551020408163263E-2</v>
      </c>
      <c r="L841" s="50">
        <f>CONVERT(PlanGrid[[#This Row],[kWh/yr]],"Wh","BTU")</f>
        <v>5716.5314850608975</v>
      </c>
      <c r="M841" s="38">
        <f>PlanGrid[[#This Row],[kBtu/yr]]/'Schedule-Building Info'!$B$6</f>
        <v>9.4007983769851464E-2</v>
      </c>
      <c r="N841" t="s">
        <v>1092</v>
      </c>
      <c r="O841">
        <v>0</v>
      </c>
      <c r="P841" t="str">
        <f>VLOOKUP(PlanGrid[[#This Row],[Title]],'Spec Wattages'!$A$1:$C$973,3,FALSE)</f>
        <v>Plug Load</v>
      </c>
      <c r="Q841" t="s">
        <v>914</v>
      </c>
      <c r="R841" t="s">
        <v>1018</v>
      </c>
      <c r="S841" t="s">
        <v>11</v>
      </c>
    </row>
    <row r="842" spans="1:19" x14ac:dyDescent="0.25">
      <c r="A842">
        <v>950</v>
      </c>
      <c r="B842" t="s">
        <v>441</v>
      </c>
      <c r="C842" t="s">
        <v>40</v>
      </c>
      <c r="E842" s="50">
        <f>VLOOKUP(PlanGrid[[#This Row],[Title]],'Spec Wattages'!$A$1:$C$973,2,FALSE)</f>
        <v>265</v>
      </c>
      <c r="F842" s="38">
        <v>1</v>
      </c>
      <c r="G842" s="39">
        <v>0.1</v>
      </c>
      <c r="H842" s="50">
        <f>PlanGrid[[#This Row],[Spec Wattage]]*PlanGrid[[#This Row],[Equipment Count]]</f>
        <v>265</v>
      </c>
      <c r="I842" s="50">
        <f>((PlanGrid[[#This Row],[Demand Watt]]*PlanGrid[[#This Row],[Utilization %]]*'Schedule-Building Info'!$N$16)/1000)</f>
        <v>145.08750000000001</v>
      </c>
      <c r="J842" s="57">
        <f>PlanGrid[[#This Row],[kWh/yr]]*' Elec Utility (kWh)'!$M$7</f>
        <v>15.468262986984394</v>
      </c>
      <c r="K842" s="49">
        <f>PlanGrid[[#This Row],[kWh/yr]]/'Schedule-Building Info'!$B$6</f>
        <v>2.3859543817527011E-3</v>
      </c>
      <c r="L842" s="50">
        <f>CONVERT(PlanGrid[[#This Row],[kWh/yr]],"Wh","BTU")</f>
        <v>495.05909919645023</v>
      </c>
      <c r="M842" s="38">
        <f>PlanGrid[[#This Row],[kBtu/yr]]/'Schedule-Building Info'!$B$6</f>
        <v>8.1412142807224305E-3</v>
      </c>
      <c r="N842" t="s">
        <v>1089</v>
      </c>
      <c r="O842">
        <v>1</v>
      </c>
      <c r="P842" t="str">
        <f>VLOOKUP(PlanGrid[[#This Row],[Title]],'Spec Wattages'!$A$1:$C$973,3,FALSE)</f>
        <v>Plug Load</v>
      </c>
      <c r="Q842" t="s">
        <v>733</v>
      </c>
      <c r="R842" t="s">
        <v>733</v>
      </c>
      <c r="S842" t="s">
        <v>11</v>
      </c>
    </row>
    <row r="843" spans="1:19" x14ac:dyDescent="0.25">
      <c r="A843">
        <v>1056</v>
      </c>
      <c r="B843" t="s">
        <v>441</v>
      </c>
      <c r="C843" t="s">
        <v>40</v>
      </c>
      <c r="E843" s="50">
        <f>VLOOKUP(PlanGrid[[#This Row],[Title]],'Spec Wattages'!$A$1:$C$973,2,FALSE)</f>
        <v>265</v>
      </c>
      <c r="F843" s="38">
        <v>1</v>
      </c>
      <c r="G843" s="39">
        <v>0.1</v>
      </c>
      <c r="H843" s="50">
        <f>PlanGrid[[#This Row],[Spec Wattage]]*PlanGrid[[#This Row],[Equipment Count]]</f>
        <v>265</v>
      </c>
      <c r="I843" s="50">
        <f>((PlanGrid[[#This Row],[Demand Watt]]*PlanGrid[[#This Row],[Utilization %]]*'Schedule-Building Info'!$N$16)/1000)</f>
        <v>145.08750000000001</v>
      </c>
      <c r="J843" s="57">
        <f>PlanGrid[[#This Row],[kWh/yr]]*' Elec Utility (kWh)'!$M$7</f>
        <v>15.468262986984394</v>
      </c>
      <c r="K843" s="49">
        <f>PlanGrid[[#This Row],[kWh/yr]]/'Schedule-Building Info'!$B$6</f>
        <v>2.3859543817527011E-3</v>
      </c>
      <c r="L843" s="50">
        <f>CONVERT(PlanGrid[[#This Row],[kWh/yr]],"Wh","BTU")</f>
        <v>495.05909919645023</v>
      </c>
      <c r="M843" s="38">
        <f>PlanGrid[[#This Row],[kBtu/yr]]/'Schedule-Building Info'!$B$6</f>
        <v>8.1412142807224305E-3</v>
      </c>
      <c r="N843" t="s">
        <v>1089</v>
      </c>
      <c r="O843">
        <v>0</v>
      </c>
      <c r="P843" t="str">
        <f>VLOOKUP(PlanGrid[[#This Row],[Title]],'Spec Wattages'!$A$1:$C$973,3,FALSE)</f>
        <v>Plug Load</v>
      </c>
      <c r="Q843" t="s">
        <v>777</v>
      </c>
      <c r="R843" t="s">
        <v>1046</v>
      </c>
      <c r="S843" t="s">
        <v>11</v>
      </c>
    </row>
    <row r="844" spans="1:19" x14ac:dyDescent="0.25">
      <c r="A844">
        <v>1071</v>
      </c>
      <c r="B844" t="s">
        <v>441</v>
      </c>
      <c r="C844" t="s">
        <v>40</v>
      </c>
      <c r="E844" s="50">
        <f>VLOOKUP(PlanGrid[[#This Row],[Title]],'Spec Wattages'!$A$1:$C$973,2,FALSE)</f>
        <v>265</v>
      </c>
      <c r="F844" s="38">
        <v>1</v>
      </c>
      <c r="G844" s="39">
        <v>0.1</v>
      </c>
      <c r="H844" s="50">
        <f>PlanGrid[[#This Row],[Spec Wattage]]*PlanGrid[[#This Row],[Equipment Count]]</f>
        <v>265</v>
      </c>
      <c r="I844" s="50">
        <f>((PlanGrid[[#This Row],[Demand Watt]]*PlanGrid[[#This Row],[Utilization %]]*'Schedule-Building Info'!$N$16)/1000)</f>
        <v>145.08750000000001</v>
      </c>
      <c r="J844" s="57">
        <f>PlanGrid[[#This Row],[kWh/yr]]*' Elec Utility (kWh)'!$M$7</f>
        <v>15.468262986984394</v>
      </c>
      <c r="K844" s="49">
        <f>PlanGrid[[#This Row],[kWh/yr]]/'Schedule-Building Info'!$B$6</f>
        <v>2.3859543817527011E-3</v>
      </c>
      <c r="L844" s="50">
        <f>CONVERT(PlanGrid[[#This Row],[kWh/yr]],"Wh","BTU")</f>
        <v>495.05909919645023</v>
      </c>
      <c r="M844" s="38">
        <f>PlanGrid[[#This Row],[kBtu/yr]]/'Schedule-Building Info'!$B$6</f>
        <v>8.1412142807224305E-3</v>
      </c>
      <c r="N844" t="s">
        <v>1089</v>
      </c>
      <c r="O844">
        <v>0</v>
      </c>
      <c r="P844" t="str">
        <f>VLOOKUP(PlanGrid[[#This Row],[Title]],'Spec Wattages'!$A$1:$C$973,3,FALSE)</f>
        <v>Plug Load</v>
      </c>
      <c r="Q844" t="s">
        <v>797</v>
      </c>
      <c r="R844" t="s">
        <v>797</v>
      </c>
      <c r="S844" t="s">
        <v>11</v>
      </c>
    </row>
    <row r="845" spans="1:19" x14ac:dyDescent="0.25">
      <c r="A845">
        <v>712</v>
      </c>
      <c r="B845" t="s">
        <v>441</v>
      </c>
      <c r="C845" t="s">
        <v>40</v>
      </c>
      <c r="E845" s="50">
        <f>VLOOKUP(PlanGrid[[#This Row],[Title]],'Spec Wattages'!$A$1:$C$973,2,FALSE)</f>
        <v>265</v>
      </c>
      <c r="F845" s="38">
        <v>1</v>
      </c>
      <c r="G845" s="39">
        <v>0.1</v>
      </c>
      <c r="H845" s="58">
        <f>PlanGrid[[#This Row],[Spec Wattage]]*PlanGrid[[#This Row],[Equipment Count]]</f>
        <v>265</v>
      </c>
      <c r="I845" s="50">
        <f>((PlanGrid[[#This Row],[Demand Watt]]*PlanGrid[[#This Row],[Utilization %]]*'Schedule-Building Info'!$N$16)/1000)</f>
        <v>145.08750000000001</v>
      </c>
      <c r="J845" s="57">
        <f>PlanGrid[[#This Row],[kWh/yr]]*' Elec Utility (kWh)'!$M$7</f>
        <v>15.468262986984394</v>
      </c>
      <c r="K845" s="38">
        <f>PlanGrid[[#This Row],[kWh/yr]]/'Schedule-Building Info'!$B$6</f>
        <v>2.3859543817527011E-3</v>
      </c>
      <c r="L845" s="50">
        <f>CONVERT(PlanGrid[[#This Row],[kWh/yr]],"Wh","BTU")</f>
        <v>495.05909919645023</v>
      </c>
      <c r="M845" s="38">
        <f>PlanGrid[[#This Row],[kBtu/yr]]/'Schedule-Building Info'!$B$6</f>
        <v>8.1412142807224305E-3</v>
      </c>
      <c r="N845" t="s">
        <v>1090</v>
      </c>
      <c r="O845">
        <v>0</v>
      </c>
      <c r="P845" t="str">
        <f>VLOOKUP(PlanGrid[[#This Row],[Title]],'Spec Wattages'!$A$1:$C$973,3,FALSE)</f>
        <v>Plug Load</v>
      </c>
      <c r="Q845" t="s">
        <v>778</v>
      </c>
      <c r="R845" t="s">
        <v>778</v>
      </c>
      <c r="S845" t="s">
        <v>51</v>
      </c>
    </row>
    <row r="846" spans="1:19" x14ac:dyDescent="0.25">
      <c r="A846">
        <v>771</v>
      </c>
      <c r="B846" t="s">
        <v>441</v>
      </c>
      <c r="C846" t="s">
        <v>40</v>
      </c>
      <c r="E846" s="50">
        <f>VLOOKUP(PlanGrid[[#This Row],[Title]],'Spec Wattages'!$A$1:$C$973,2,FALSE)</f>
        <v>265</v>
      </c>
      <c r="F846" s="38">
        <v>1</v>
      </c>
      <c r="G846" s="39">
        <v>0.1</v>
      </c>
      <c r="H846" s="58">
        <f>PlanGrid[[#This Row],[Spec Wattage]]*PlanGrid[[#This Row],[Equipment Count]]</f>
        <v>265</v>
      </c>
      <c r="I846" s="50">
        <f>((PlanGrid[[#This Row],[Demand Watt]]*PlanGrid[[#This Row],[Utilization %]]*'Schedule-Building Info'!$N$16)/1000)</f>
        <v>145.08750000000001</v>
      </c>
      <c r="J846" s="57">
        <f>PlanGrid[[#This Row],[kWh/yr]]*' Elec Utility (kWh)'!$M$7</f>
        <v>15.468262986984394</v>
      </c>
      <c r="K846" s="38">
        <f>PlanGrid[[#This Row],[kWh/yr]]/'Schedule-Building Info'!$B$6</f>
        <v>2.3859543817527011E-3</v>
      </c>
      <c r="L846" s="50">
        <f>CONVERT(PlanGrid[[#This Row],[kWh/yr]],"Wh","BTU")</f>
        <v>495.05909919645023</v>
      </c>
      <c r="M846" s="38">
        <f>PlanGrid[[#This Row],[kBtu/yr]]/'Schedule-Building Info'!$B$6</f>
        <v>8.1412142807224305E-3</v>
      </c>
      <c r="N846" t="s">
        <v>1090</v>
      </c>
      <c r="O846">
        <v>0</v>
      </c>
      <c r="P846" t="str">
        <f>VLOOKUP(PlanGrid[[#This Row],[Title]],'Spec Wattages'!$A$1:$C$973,3,FALSE)</f>
        <v>Plug Load</v>
      </c>
      <c r="Q846" t="s">
        <v>877</v>
      </c>
      <c r="R846" t="s">
        <v>878</v>
      </c>
      <c r="S846" t="s">
        <v>11</v>
      </c>
    </row>
    <row r="847" spans="1:19" x14ac:dyDescent="0.25">
      <c r="A847">
        <v>876</v>
      </c>
      <c r="B847" t="s">
        <v>441</v>
      </c>
      <c r="C847" t="s">
        <v>40</v>
      </c>
      <c r="E847" s="50">
        <f>VLOOKUP(PlanGrid[[#This Row],[Title]],'Spec Wattages'!$A$1:$C$973,2,FALSE)</f>
        <v>265</v>
      </c>
      <c r="F847" s="38">
        <v>1</v>
      </c>
      <c r="G847" s="39">
        <v>0.1</v>
      </c>
      <c r="H847" s="58">
        <f>PlanGrid[[#This Row],[Spec Wattage]]*PlanGrid[[#This Row],[Equipment Count]]</f>
        <v>265</v>
      </c>
      <c r="I847" s="50">
        <f>((PlanGrid[[#This Row],[Demand Watt]]*PlanGrid[[#This Row],[Utilization %]]*'Schedule-Building Info'!$N$16)/1000)</f>
        <v>145.08750000000001</v>
      </c>
      <c r="J847" s="57">
        <f>PlanGrid[[#This Row],[kWh/yr]]*' Elec Utility (kWh)'!$M$7</f>
        <v>15.468262986984394</v>
      </c>
      <c r="K847" s="38">
        <f>PlanGrid[[#This Row],[kWh/yr]]/'Schedule-Building Info'!$B$6</f>
        <v>2.3859543817527011E-3</v>
      </c>
      <c r="L847" s="50">
        <f>CONVERT(PlanGrid[[#This Row],[kWh/yr]],"Wh","BTU")</f>
        <v>495.05909919645023</v>
      </c>
      <c r="M847" s="38">
        <f>PlanGrid[[#This Row],[kBtu/yr]]/'Schedule-Building Info'!$B$6</f>
        <v>8.1412142807224305E-3</v>
      </c>
      <c r="N847" t="s">
        <v>1090</v>
      </c>
      <c r="O847">
        <v>0</v>
      </c>
      <c r="P847" t="str">
        <f>VLOOKUP(PlanGrid[[#This Row],[Title]],'Spec Wattages'!$A$1:$C$973,3,FALSE)</f>
        <v>Plug Load</v>
      </c>
      <c r="Q847" t="s">
        <v>838</v>
      </c>
      <c r="R847" t="s">
        <v>838</v>
      </c>
      <c r="S847" t="s">
        <v>51</v>
      </c>
    </row>
    <row r="848" spans="1:19" x14ac:dyDescent="0.25">
      <c r="A848">
        <v>80</v>
      </c>
      <c r="B848" t="s">
        <v>441</v>
      </c>
      <c r="C848" t="s">
        <v>40</v>
      </c>
      <c r="E848" s="50">
        <f>VLOOKUP(PlanGrid[[#This Row],[Title]],'Spec Wattages'!$A$1:$C$973,2,FALSE)</f>
        <v>265</v>
      </c>
      <c r="F848" s="38">
        <v>1</v>
      </c>
      <c r="G848" s="39">
        <v>0.1</v>
      </c>
      <c r="H848" s="58">
        <f>PlanGrid[[#This Row],[Spec Wattage]]*PlanGrid[[#This Row],[Equipment Count]]</f>
        <v>265</v>
      </c>
      <c r="I848" s="50">
        <f>((PlanGrid[[#This Row],[Demand Watt]]*PlanGrid[[#This Row],[Utilization %]]*'Schedule-Building Info'!$N$16)/1000)</f>
        <v>145.08750000000001</v>
      </c>
      <c r="J848" s="57">
        <f>PlanGrid[[#This Row],[kWh/yr]]*' Elec Utility (kWh)'!$M$7</f>
        <v>15.468262986984394</v>
      </c>
      <c r="K848" s="38">
        <f>PlanGrid[[#This Row],[kWh/yr]]/'Schedule-Building Info'!$B$6</f>
        <v>2.3859543817527011E-3</v>
      </c>
      <c r="L848" s="50">
        <f>CONVERT(PlanGrid[[#This Row],[kWh/yr]],"Wh","BTU")</f>
        <v>495.05909919645023</v>
      </c>
      <c r="M848" s="38">
        <f>PlanGrid[[#This Row],[kBtu/yr]]/'Schedule-Building Info'!$B$6</f>
        <v>8.1412142807224305E-3</v>
      </c>
      <c r="N848" t="s">
        <v>1092</v>
      </c>
      <c r="O848">
        <v>0</v>
      </c>
      <c r="P848" t="str">
        <f>VLOOKUP(PlanGrid[[#This Row],[Title]],'Spec Wattages'!$A$1:$C$973,3,FALSE)</f>
        <v>Plug Load</v>
      </c>
      <c r="Q848" t="s">
        <v>853</v>
      </c>
      <c r="R848" t="s">
        <v>942</v>
      </c>
      <c r="S848" t="s">
        <v>11</v>
      </c>
    </row>
    <row r="849" spans="1:19" x14ac:dyDescent="0.25">
      <c r="A849">
        <v>302</v>
      </c>
      <c r="B849" t="s">
        <v>441</v>
      </c>
      <c r="C849" t="s">
        <v>40</v>
      </c>
      <c r="D849" t="s">
        <v>37</v>
      </c>
      <c r="E849" s="50">
        <f>VLOOKUP(PlanGrid[[#This Row],[Title]],'Spec Wattages'!$A$1:$C$973,2,FALSE)</f>
        <v>265</v>
      </c>
      <c r="F849" s="38">
        <v>1</v>
      </c>
      <c r="G849" s="39">
        <v>0.1</v>
      </c>
      <c r="H849" s="58">
        <f>PlanGrid[[#This Row],[Spec Wattage]]*PlanGrid[[#This Row],[Equipment Count]]</f>
        <v>265</v>
      </c>
      <c r="I849" s="50">
        <f>((PlanGrid[[#This Row],[Demand Watt]]*PlanGrid[[#This Row],[Utilization %]]*'Schedule-Building Info'!$N$16)/1000)</f>
        <v>145.08750000000001</v>
      </c>
      <c r="J849" s="57">
        <f>PlanGrid[[#This Row],[kWh/yr]]*' Elec Utility (kWh)'!$M$7</f>
        <v>15.468262986984394</v>
      </c>
      <c r="K849" s="38">
        <f>PlanGrid[[#This Row],[kWh/yr]]/'Schedule-Building Info'!$B$6</f>
        <v>2.3859543817527011E-3</v>
      </c>
      <c r="L849" s="50">
        <f>CONVERT(PlanGrid[[#This Row],[kWh/yr]],"Wh","BTU")</f>
        <v>495.05909919645023</v>
      </c>
      <c r="M849" s="38">
        <f>PlanGrid[[#This Row],[kBtu/yr]]/'Schedule-Building Info'!$B$6</f>
        <v>8.1412142807224305E-3</v>
      </c>
      <c r="N849" t="s">
        <v>1092</v>
      </c>
      <c r="O849">
        <v>1</v>
      </c>
      <c r="P849" t="str">
        <f>VLOOKUP(PlanGrid[[#This Row],[Title]],'Spec Wattages'!$A$1:$C$973,3,FALSE)</f>
        <v>Plug Load</v>
      </c>
      <c r="Q849" t="s">
        <v>984</v>
      </c>
      <c r="R849" t="s">
        <v>1042</v>
      </c>
      <c r="S849" t="s">
        <v>11</v>
      </c>
    </row>
    <row r="850" spans="1:19" x14ac:dyDescent="0.25">
      <c r="A850">
        <v>379</v>
      </c>
      <c r="B850" t="s">
        <v>441</v>
      </c>
      <c r="C850" t="s">
        <v>40</v>
      </c>
      <c r="D850" t="s">
        <v>37</v>
      </c>
      <c r="E850" s="50">
        <f>VLOOKUP(PlanGrid[[#This Row],[Title]],'Spec Wattages'!$A$1:$C$973,2,FALSE)</f>
        <v>265</v>
      </c>
      <c r="F850" s="38">
        <v>1</v>
      </c>
      <c r="G850" s="39">
        <v>0.1</v>
      </c>
      <c r="H850" s="58">
        <f>PlanGrid[[#This Row],[Spec Wattage]]*PlanGrid[[#This Row],[Equipment Count]]</f>
        <v>265</v>
      </c>
      <c r="I850" s="50">
        <f>((PlanGrid[[#This Row],[Demand Watt]]*PlanGrid[[#This Row],[Utilization %]]*'Schedule-Building Info'!$N$16)/1000)</f>
        <v>145.08750000000001</v>
      </c>
      <c r="J850" s="57">
        <f>PlanGrid[[#This Row],[kWh/yr]]*' Elec Utility (kWh)'!$M$7</f>
        <v>15.468262986984394</v>
      </c>
      <c r="K850" s="38">
        <f>PlanGrid[[#This Row],[kWh/yr]]/'Schedule-Building Info'!$B$6</f>
        <v>2.3859543817527011E-3</v>
      </c>
      <c r="L850" s="50">
        <f>CONVERT(PlanGrid[[#This Row],[kWh/yr]],"Wh","BTU")</f>
        <v>495.05909919645023</v>
      </c>
      <c r="M850" s="38">
        <f>PlanGrid[[#This Row],[kBtu/yr]]/'Schedule-Building Info'!$B$6</f>
        <v>8.1412142807224305E-3</v>
      </c>
      <c r="N850" t="s">
        <v>1092</v>
      </c>
      <c r="O850">
        <v>1</v>
      </c>
      <c r="P850" t="str">
        <f>VLOOKUP(PlanGrid[[#This Row],[Title]],'Spec Wattages'!$A$1:$C$973,3,FALSE)</f>
        <v>Plug Load</v>
      </c>
      <c r="Q850" t="s">
        <v>1012</v>
      </c>
      <c r="R850" t="s">
        <v>1057</v>
      </c>
      <c r="S850" t="s">
        <v>11</v>
      </c>
    </row>
    <row r="851" spans="1:19" x14ac:dyDescent="0.25">
      <c r="A851">
        <v>411</v>
      </c>
      <c r="B851" t="s">
        <v>441</v>
      </c>
      <c r="C851" t="s">
        <v>40</v>
      </c>
      <c r="E851" s="50">
        <f>VLOOKUP(PlanGrid[[#This Row],[Title]],'Spec Wattages'!$A$1:$C$973,2,FALSE)</f>
        <v>265</v>
      </c>
      <c r="F851" s="38">
        <v>1</v>
      </c>
      <c r="G851" s="39">
        <v>0.1</v>
      </c>
      <c r="H851" s="58">
        <f>PlanGrid[[#This Row],[Spec Wattage]]*PlanGrid[[#This Row],[Equipment Count]]</f>
        <v>265</v>
      </c>
      <c r="I851" s="50">
        <f>((PlanGrid[[#This Row],[Demand Watt]]*PlanGrid[[#This Row],[Utilization %]]*'Schedule-Building Info'!$N$16)/1000)</f>
        <v>145.08750000000001</v>
      </c>
      <c r="J851" s="57">
        <f>PlanGrid[[#This Row],[kWh/yr]]*' Elec Utility (kWh)'!$M$7</f>
        <v>15.468262986984394</v>
      </c>
      <c r="K851" s="38">
        <f>PlanGrid[[#This Row],[kWh/yr]]/'Schedule-Building Info'!$B$6</f>
        <v>2.3859543817527011E-3</v>
      </c>
      <c r="L851" s="50">
        <f>CONVERT(PlanGrid[[#This Row],[kWh/yr]],"Wh","BTU")</f>
        <v>495.05909919645023</v>
      </c>
      <c r="M851" s="38">
        <f>PlanGrid[[#This Row],[kBtu/yr]]/'Schedule-Building Info'!$B$6</f>
        <v>8.1412142807224305E-3</v>
      </c>
      <c r="N851" t="s">
        <v>1092</v>
      </c>
      <c r="O851">
        <v>0</v>
      </c>
      <c r="P851" t="str">
        <f>VLOOKUP(PlanGrid[[#This Row],[Title]],'Spec Wattages'!$A$1:$C$973,3,FALSE)</f>
        <v>Plug Load</v>
      </c>
      <c r="Q851" t="s">
        <v>761</v>
      </c>
      <c r="R851" t="s">
        <v>761</v>
      </c>
      <c r="S851" t="s">
        <v>51</v>
      </c>
    </row>
    <row r="852" spans="1:19" x14ac:dyDescent="0.25">
      <c r="A852">
        <v>647</v>
      </c>
      <c r="B852" t="s">
        <v>29</v>
      </c>
      <c r="C852" t="s">
        <v>30</v>
      </c>
      <c r="D852" t="s">
        <v>415</v>
      </c>
      <c r="E852" s="50">
        <f>VLOOKUP(PlanGrid[[#This Row],[Title]],'Spec Wattages'!$A$1:$C$973,2,FALSE)</f>
        <v>175</v>
      </c>
      <c r="F852" s="38">
        <v>1</v>
      </c>
      <c r="G852" s="39">
        <v>0.25</v>
      </c>
      <c r="H852" s="58">
        <f>PlanGrid[[#This Row],[Spec Wattage]]*PlanGrid[[#This Row],[Equipment Count]]</f>
        <v>175</v>
      </c>
      <c r="I852" s="50">
        <f>((PlanGrid[[#This Row],[Demand Watt]]*PlanGrid[[#This Row],[Utilization %]]*'Schedule-Building Info'!$N$16)/1000)</f>
        <v>239.53125</v>
      </c>
      <c r="J852" s="57">
        <f>PlanGrid[[#This Row],[kWh/yr]]*' Elec Utility (kWh)'!$M$7</f>
        <v>25.537226629455365</v>
      </c>
      <c r="K852" s="38">
        <f>PlanGrid[[#This Row],[kWh/yr]]/'Schedule-Building Info'!$B$6</f>
        <v>3.9390756302521007E-3</v>
      </c>
      <c r="L852" s="50">
        <f>CONVERT(PlanGrid[[#This Row],[kWh/yr]],"Wh","BTU")</f>
        <v>817.31455056017728</v>
      </c>
      <c r="M852" s="38">
        <f>PlanGrid[[#This Row],[kBtu/yr]]/'Schedule-Building Info'!$B$6</f>
        <v>1.344068395402288E-2</v>
      </c>
      <c r="N852" t="s">
        <v>1089</v>
      </c>
      <c r="O852">
        <v>1</v>
      </c>
      <c r="P852" t="str">
        <f>VLOOKUP(PlanGrid[[#This Row],[Title]],'Spec Wattages'!$A$1:$C$973,3,FALSE)</f>
        <v>Plug Load</v>
      </c>
      <c r="Q852" t="s">
        <v>31</v>
      </c>
      <c r="R852" t="s">
        <v>38</v>
      </c>
      <c r="S852" t="s">
        <v>11</v>
      </c>
    </row>
    <row r="853" spans="1:19" x14ac:dyDescent="0.25">
      <c r="A853">
        <v>837</v>
      </c>
      <c r="B853" t="s">
        <v>29</v>
      </c>
      <c r="C853" t="s">
        <v>30</v>
      </c>
      <c r="E853" s="50">
        <f>VLOOKUP(PlanGrid[[#This Row],[Title]],'Spec Wattages'!$A$1:$C$973,2,FALSE)</f>
        <v>175</v>
      </c>
      <c r="F853" s="38">
        <v>1</v>
      </c>
      <c r="G853" s="39">
        <v>0.25</v>
      </c>
      <c r="H853" s="58">
        <f>PlanGrid[[#This Row],[Spec Wattage]]*PlanGrid[[#This Row],[Equipment Count]]</f>
        <v>175</v>
      </c>
      <c r="I853" s="50">
        <f>((PlanGrid[[#This Row],[Demand Watt]]*PlanGrid[[#This Row],[Utilization %]]*'Schedule-Building Info'!$N$16)/1000)</f>
        <v>239.53125</v>
      </c>
      <c r="J853" s="57">
        <f>PlanGrid[[#This Row],[kWh/yr]]*' Elec Utility (kWh)'!$M$7</f>
        <v>25.537226629455365</v>
      </c>
      <c r="K853" s="38">
        <f>PlanGrid[[#This Row],[kWh/yr]]/'Schedule-Building Info'!$B$6</f>
        <v>3.9390756302521007E-3</v>
      </c>
      <c r="L853" s="50">
        <f>CONVERT(PlanGrid[[#This Row],[kWh/yr]],"Wh","BTU")</f>
        <v>817.31455056017728</v>
      </c>
      <c r="M853" s="38">
        <f>PlanGrid[[#This Row],[kBtu/yr]]/'Schedule-Building Info'!$B$6</f>
        <v>1.344068395402288E-2</v>
      </c>
      <c r="N853" t="s">
        <v>1090</v>
      </c>
      <c r="O853">
        <v>1</v>
      </c>
      <c r="P853" t="str">
        <f>VLOOKUP(PlanGrid[[#This Row],[Title]],'Spec Wattages'!$A$1:$C$973,3,FALSE)</f>
        <v>Plug Load</v>
      </c>
      <c r="Q853" t="s">
        <v>838</v>
      </c>
      <c r="R853" t="s">
        <v>835</v>
      </c>
      <c r="S853" t="s">
        <v>11</v>
      </c>
    </row>
    <row r="854" spans="1:19" x14ac:dyDescent="0.25">
      <c r="A854">
        <v>784</v>
      </c>
      <c r="B854" t="s">
        <v>512</v>
      </c>
      <c r="C854" t="s">
        <v>513</v>
      </c>
      <c r="E854" s="50">
        <f>VLOOKUP(PlanGrid[[#This Row],[Title]],'Spec Wattages'!$A$1:$C$973,2,FALSE)</f>
        <v>237</v>
      </c>
      <c r="F854" s="38">
        <v>1</v>
      </c>
      <c r="G854" s="39">
        <v>1</v>
      </c>
      <c r="H854" s="58">
        <f>PlanGrid[[#This Row],[Spec Wattage]]*PlanGrid[[#This Row],[Equipment Count]]</f>
        <v>237</v>
      </c>
      <c r="I854" s="50">
        <f>((PlanGrid[[#This Row],[Demand Watt]]*PlanGrid[[#This Row],[Utilization %]]*'Schedule-Building Info'!$N$16)/1000)</f>
        <v>1297.575</v>
      </c>
      <c r="J854" s="57">
        <f>PlanGrid[[#This Row],[kWh/yr]]*' Elec Utility (kWh)'!$M$7</f>
        <v>138.33880482699252</v>
      </c>
      <c r="K854" s="38">
        <f>PlanGrid[[#This Row],[kWh/yr]]/'Schedule-Building Info'!$B$6</f>
        <v>2.1338535414165666E-2</v>
      </c>
      <c r="L854" s="50">
        <f>CONVERT(PlanGrid[[#This Row],[kWh/yr]],"Wh","BTU")</f>
        <v>4427.5096796059888</v>
      </c>
      <c r="M854" s="38">
        <f>PlanGrid[[#This Row],[kBtu/yr]]/'Schedule-Building Info'!$B$6</f>
        <v>7.2810105076649659E-2</v>
      </c>
      <c r="N854" t="s">
        <v>1090</v>
      </c>
      <c r="O854">
        <v>0</v>
      </c>
      <c r="P854" t="str">
        <f>VLOOKUP(PlanGrid[[#This Row],[Title]],'Spec Wattages'!$A$1:$C$973,3,FALSE)</f>
        <v>Plug Load</v>
      </c>
      <c r="Q854" t="s">
        <v>886</v>
      </c>
      <c r="R854" t="s">
        <v>827</v>
      </c>
      <c r="S854" t="s">
        <v>11</v>
      </c>
    </row>
    <row r="855" spans="1:19" x14ac:dyDescent="0.25">
      <c r="A855">
        <v>785</v>
      </c>
      <c r="B855" t="s">
        <v>512</v>
      </c>
      <c r="C855" t="s">
        <v>513</v>
      </c>
      <c r="E855" s="50">
        <f>VLOOKUP(PlanGrid[[#This Row],[Title]],'Spec Wattages'!$A$1:$C$973,2,FALSE)</f>
        <v>237</v>
      </c>
      <c r="F855" s="38">
        <v>1</v>
      </c>
      <c r="G855" s="39">
        <v>1</v>
      </c>
      <c r="H855" s="58">
        <f>PlanGrid[[#This Row],[Spec Wattage]]*PlanGrid[[#This Row],[Equipment Count]]</f>
        <v>237</v>
      </c>
      <c r="I855" s="50">
        <f>((PlanGrid[[#This Row],[Demand Watt]]*PlanGrid[[#This Row],[Utilization %]]*'Schedule-Building Info'!$N$16)/1000)</f>
        <v>1297.575</v>
      </c>
      <c r="J855" s="57">
        <f>PlanGrid[[#This Row],[kWh/yr]]*' Elec Utility (kWh)'!$M$7</f>
        <v>138.33880482699252</v>
      </c>
      <c r="K855" s="38">
        <f>PlanGrid[[#This Row],[kWh/yr]]/'Schedule-Building Info'!$B$6</f>
        <v>2.1338535414165666E-2</v>
      </c>
      <c r="L855" s="50">
        <f>CONVERT(PlanGrid[[#This Row],[kWh/yr]],"Wh","BTU")</f>
        <v>4427.5096796059888</v>
      </c>
      <c r="M855" s="38">
        <f>PlanGrid[[#This Row],[kBtu/yr]]/'Schedule-Building Info'!$B$6</f>
        <v>7.2810105076649659E-2</v>
      </c>
      <c r="N855" t="s">
        <v>1090</v>
      </c>
      <c r="O855">
        <v>0</v>
      </c>
      <c r="P855" t="str">
        <f>VLOOKUP(PlanGrid[[#This Row],[Title]],'Spec Wattages'!$A$1:$C$973,3,FALSE)</f>
        <v>Plug Load</v>
      </c>
      <c r="Q855" t="s">
        <v>886</v>
      </c>
      <c r="R855" t="s">
        <v>827</v>
      </c>
      <c r="S855" t="s">
        <v>11</v>
      </c>
    </row>
    <row r="856" spans="1:19" x14ac:dyDescent="0.25">
      <c r="A856">
        <v>786</v>
      </c>
      <c r="B856" t="s">
        <v>512</v>
      </c>
      <c r="C856" t="s">
        <v>513</v>
      </c>
      <c r="E856" s="50">
        <f>VLOOKUP(PlanGrid[[#This Row],[Title]],'Spec Wattages'!$A$1:$C$973,2,FALSE)</f>
        <v>237</v>
      </c>
      <c r="F856" s="38">
        <v>1</v>
      </c>
      <c r="G856" s="39">
        <v>1</v>
      </c>
      <c r="H856" s="58">
        <f>PlanGrid[[#This Row],[Spec Wattage]]*PlanGrid[[#This Row],[Equipment Count]]</f>
        <v>237</v>
      </c>
      <c r="I856" s="50">
        <f>((PlanGrid[[#This Row],[Demand Watt]]*PlanGrid[[#This Row],[Utilization %]]*'Schedule-Building Info'!$N$16)/1000)</f>
        <v>1297.575</v>
      </c>
      <c r="J856" s="57">
        <f>PlanGrid[[#This Row],[kWh/yr]]*' Elec Utility (kWh)'!$M$7</f>
        <v>138.33880482699252</v>
      </c>
      <c r="K856" s="38">
        <f>PlanGrid[[#This Row],[kWh/yr]]/'Schedule-Building Info'!$B$6</f>
        <v>2.1338535414165666E-2</v>
      </c>
      <c r="L856" s="50">
        <f>CONVERT(PlanGrid[[#This Row],[kWh/yr]],"Wh","BTU")</f>
        <v>4427.5096796059888</v>
      </c>
      <c r="M856" s="38">
        <f>PlanGrid[[#This Row],[kBtu/yr]]/'Schedule-Building Info'!$B$6</f>
        <v>7.2810105076649659E-2</v>
      </c>
      <c r="N856" t="s">
        <v>1090</v>
      </c>
      <c r="O856">
        <v>0</v>
      </c>
      <c r="P856" t="str">
        <f>VLOOKUP(PlanGrid[[#This Row],[Title]],'Spec Wattages'!$A$1:$C$973,3,FALSE)</f>
        <v>Plug Load</v>
      </c>
      <c r="Q856" t="s">
        <v>886</v>
      </c>
      <c r="R856" t="s">
        <v>827</v>
      </c>
      <c r="S856" t="s">
        <v>11</v>
      </c>
    </row>
    <row r="857" spans="1:19" x14ac:dyDescent="0.25">
      <c r="A857">
        <v>1090</v>
      </c>
      <c r="B857" t="s">
        <v>658</v>
      </c>
      <c r="C857" t="s">
        <v>659</v>
      </c>
      <c r="D857" t="s">
        <v>660</v>
      </c>
      <c r="E857" s="50">
        <v>370</v>
      </c>
      <c r="F857" s="38">
        <v>1</v>
      </c>
      <c r="G857" s="39">
        <v>0.75</v>
      </c>
      <c r="H857" s="58">
        <f>PlanGrid[[#This Row],[Spec Wattage]]*PlanGrid[[#This Row],[Equipment Count]]</f>
        <v>370</v>
      </c>
      <c r="I857" s="50">
        <f>((PlanGrid[[#This Row],[Demand Watt]]*PlanGrid[[#This Row],[Utilization %]]*'Schedule-Building Info'!$N$16)/1000)</f>
        <v>1519.3125</v>
      </c>
      <c r="J857" s="57">
        <f>PlanGrid[[#This Row],[kWh/yr]]*' Elec Utility (kWh)'!$M$7</f>
        <v>161.97898033540261</v>
      </c>
      <c r="K857" s="38">
        <f>PlanGrid[[#This Row],[kWh/yr]]/'Schedule-Building Info'!$B$6</f>
        <v>2.4984993997599039E-2</v>
      </c>
      <c r="L857" s="50">
        <f>CONVERT(PlanGrid[[#This Row],[kWh/yr]],"Wh","BTU")</f>
        <v>5184.1094349816958</v>
      </c>
      <c r="M857" s="38">
        <f>PlanGrid[[#This Row],[kBtu/yr]]/'Schedule-Building Info'!$B$6</f>
        <v>8.5252338222659402E-2</v>
      </c>
      <c r="N857" t="s">
        <v>1089</v>
      </c>
      <c r="O857">
        <v>1</v>
      </c>
      <c r="P857" t="s">
        <v>87</v>
      </c>
      <c r="Q857" t="s">
        <v>1026</v>
      </c>
      <c r="R857" t="s">
        <v>800</v>
      </c>
      <c r="S857" t="s">
        <v>11</v>
      </c>
    </row>
    <row r="858" spans="1:19" x14ac:dyDescent="0.25">
      <c r="A858">
        <v>761</v>
      </c>
      <c r="B858" t="s">
        <v>658</v>
      </c>
      <c r="C858" t="s">
        <v>659</v>
      </c>
      <c r="D858" t="s">
        <v>661</v>
      </c>
      <c r="E858" s="50">
        <v>370</v>
      </c>
      <c r="F858" s="38">
        <v>1</v>
      </c>
      <c r="G858" s="39">
        <v>0.75</v>
      </c>
      <c r="H858" s="58">
        <f>PlanGrid[[#This Row],[Spec Wattage]]*PlanGrid[[#This Row],[Equipment Count]]</f>
        <v>370</v>
      </c>
      <c r="I858" s="50">
        <f>((PlanGrid[[#This Row],[Demand Watt]]*PlanGrid[[#This Row],[Utilization %]]*'Schedule-Building Info'!$N$16)/1000)</f>
        <v>1519.3125</v>
      </c>
      <c r="J858" s="57">
        <f>PlanGrid[[#This Row],[kWh/yr]]*' Elec Utility (kWh)'!$M$7</f>
        <v>161.97898033540261</v>
      </c>
      <c r="K858" s="38">
        <f>PlanGrid[[#This Row],[kWh/yr]]/'Schedule-Building Info'!$B$6</f>
        <v>2.4984993997599039E-2</v>
      </c>
      <c r="L858" s="50">
        <f>CONVERT(PlanGrid[[#This Row],[kWh/yr]],"Wh","BTU")</f>
        <v>5184.1094349816958</v>
      </c>
      <c r="M858" s="38">
        <f>PlanGrid[[#This Row],[kBtu/yr]]/'Schedule-Building Info'!$B$6</f>
        <v>8.5252338222659402E-2</v>
      </c>
      <c r="N858" t="s">
        <v>1090</v>
      </c>
      <c r="O858">
        <v>1</v>
      </c>
      <c r="P858" t="s">
        <v>87</v>
      </c>
      <c r="Q858" t="s">
        <v>726</v>
      </c>
      <c r="R858" t="s">
        <v>779</v>
      </c>
      <c r="S858" t="s">
        <v>51</v>
      </c>
    </row>
    <row r="859" spans="1:19" x14ac:dyDescent="0.25">
      <c r="B859" t="s">
        <v>116</v>
      </c>
      <c r="E859" s="58">
        <v>5000</v>
      </c>
      <c r="F859" s="38">
        <v>1</v>
      </c>
      <c r="G859" s="39">
        <v>0.02</v>
      </c>
      <c r="H859" s="58">
        <f>PlanGrid[[#This Row],[Spec Wattage]]*PlanGrid[[#This Row],[Equipment Count]]</f>
        <v>5000</v>
      </c>
      <c r="I859" s="50">
        <f>((PlanGrid[[#This Row],[Demand Watt]]*PlanGrid[[#This Row],[Utilization %]]*'Schedule-Building Info'!$N$16)/1000)</f>
        <v>547.5</v>
      </c>
      <c r="J859" s="410">
        <f>PlanGrid[[#This Row],[kWh/yr]]*' Elec Utility (kWh)'!$M$7</f>
        <v>58.370803724469411</v>
      </c>
      <c r="K859" s="38">
        <f>PlanGrid[[#This Row],[kWh/yr]]/'Schedule-Building Info'!$B$6</f>
        <v>9.00360144057623E-3</v>
      </c>
      <c r="L859" s="50">
        <f>CONVERT(PlanGrid[[#This Row],[kWh/yr]],"Wh","BTU")</f>
        <v>1868.147544137548</v>
      </c>
      <c r="M859" s="38">
        <f>PlanGrid[[#This Row],[kBtu/yr]]/'Schedule-Building Info'!$B$6</f>
        <v>3.0721563323480867E-2</v>
      </c>
      <c r="P859" s="1" t="s">
        <v>1238</v>
      </c>
    </row>
    <row r="860" spans="1:19" x14ac:dyDescent="0.25">
      <c r="B860" t="s">
        <v>116</v>
      </c>
      <c r="E860" s="58">
        <v>1000</v>
      </c>
      <c r="F860" s="38">
        <v>1</v>
      </c>
      <c r="G860" s="39">
        <v>0.02</v>
      </c>
      <c r="H860" s="58">
        <f>PlanGrid[[#This Row],[Spec Wattage]]*PlanGrid[[#This Row],[Equipment Count]]</f>
        <v>1000</v>
      </c>
      <c r="I860" s="50">
        <f>((PlanGrid[[#This Row],[Demand Watt]]*PlanGrid[[#This Row],[Utilization %]]*'Schedule-Building Info'!$N$16)/1000)</f>
        <v>109.5</v>
      </c>
      <c r="J860" s="410">
        <f>PlanGrid[[#This Row],[kWh/yr]]*' Elec Utility (kWh)'!$M$7</f>
        <v>11.674160744893882</v>
      </c>
      <c r="K860" s="38">
        <f>PlanGrid[[#This Row],[kWh/yr]]/'Schedule-Building Info'!$B$6</f>
        <v>1.8007202881152461E-3</v>
      </c>
      <c r="L860" s="50">
        <f>CONVERT(PlanGrid[[#This Row],[kWh/yr]],"Wh","BTU")</f>
        <v>373.6295088275096</v>
      </c>
      <c r="M860" s="38">
        <f>PlanGrid[[#This Row],[kBtu/yr]]/'Schedule-Building Info'!$B$6</f>
        <v>6.144312664696173E-3</v>
      </c>
      <c r="P860" s="1" t="s">
        <v>1238</v>
      </c>
    </row>
    <row r="861" spans="1:19" x14ac:dyDescent="0.25">
      <c r="B861" t="s">
        <v>116</v>
      </c>
      <c r="E861" s="58">
        <v>6000</v>
      </c>
      <c r="F861" s="38">
        <v>1</v>
      </c>
      <c r="G861" s="39">
        <v>0.02</v>
      </c>
      <c r="H861" s="58">
        <f>PlanGrid[[#This Row],[Spec Wattage]]*PlanGrid[[#This Row],[Equipment Count]]</f>
        <v>6000</v>
      </c>
      <c r="I861" s="50">
        <f>((PlanGrid[[#This Row],[Demand Watt]]*PlanGrid[[#This Row],[Utilization %]]*'Schedule-Building Info'!$N$16)/1000)</f>
        <v>657</v>
      </c>
      <c r="J861" s="410">
        <f>PlanGrid[[#This Row],[kWh/yr]]*' Elec Utility (kWh)'!$M$7</f>
        <v>70.044964469363293</v>
      </c>
      <c r="K861" s="38">
        <f>PlanGrid[[#This Row],[kWh/yr]]/'Schedule-Building Info'!$B$6</f>
        <v>1.0804321728691477E-2</v>
      </c>
      <c r="L861" s="50">
        <f>CONVERT(PlanGrid[[#This Row],[kWh/yr]],"Wh","BTU")</f>
        <v>2241.7770529650575</v>
      </c>
      <c r="M861" s="38">
        <f>PlanGrid[[#This Row],[kBtu/yr]]/'Schedule-Building Info'!$B$6</f>
        <v>3.686587598817704E-2</v>
      </c>
      <c r="P861" s="1" t="s">
        <v>1238</v>
      </c>
    </row>
    <row r="862" spans="1:19" x14ac:dyDescent="0.25">
      <c r="B862" t="s">
        <v>116</v>
      </c>
      <c r="E862" s="58">
        <v>19000</v>
      </c>
      <c r="F862" s="38">
        <v>1</v>
      </c>
      <c r="G862" s="39">
        <v>0.02</v>
      </c>
      <c r="H862" s="58">
        <f>PlanGrid[[#This Row],[Spec Wattage]]*PlanGrid[[#This Row],[Equipment Count]]</f>
        <v>19000</v>
      </c>
      <c r="I862" s="50">
        <f>((PlanGrid[[#This Row],[Demand Watt]]*PlanGrid[[#This Row],[Utilization %]]*'Schedule-Building Info'!$N$16)/1000)</f>
        <v>2080.5</v>
      </c>
      <c r="J862" s="410">
        <f>PlanGrid[[#This Row],[kWh/yr]]*' Elec Utility (kWh)'!$M$7</f>
        <v>221.80905415298375</v>
      </c>
      <c r="K862" s="38">
        <f>PlanGrid[[#This Row],[kWh/yr]]/'Schedule-Building Info'!$B$6</f>
        <v>3.4213685474189674E-2</v>
      </c>
      <c r="L862" s="50">
        <f>CONVERT(PlanGrid[[#This Row],[kWh/yr]],"Wh","BTU")</f>
        <v>7098.960667722683</v>
      </c>
      <c r="M862" s="38">
        <f>PlanGrid[[#This Row],[kBtu/yr]]/'Schedule-Building Info'!$B$6</f>
        <v>0.1167419406292273</v>
      </c>
      <c r="P862" s="1" t="s">
        <v>1238</v>
      </c>
    </row>
    <row r="863" spans="1:19" x14ac:dyDescent="0.25">
      <c r="B863" t="s">
        <v>116</v>
      </c>
      <c r="E863" s="58">
        <v>11000</v>
      </c>
      <c r="F863" s="38">
        <v>1</v>
      </c>
      <c r="G863" s="39">
        <v>0.02</v>
      </c>
      <c r="H863" s="58">
        <f>PlanGrid[[#This Row],[Spec Wattage]]*PlanGrid[[#This Row],[Equipment Count]]</f>
        <v>11000</v>
      </c>
      <c r="I863" s="50">
        <f>((PlanGrid[[#This Row],[Demand Watt]]*PlanGrid[[#This Row],[Utilization %]]*'Schedule-Building Info'!$N$16)/1000)</f>
        <v>1204.5</v>
      </c>
      <c r="J863" s="410">
        <f>PlanGrid[[#This Row],[kWh/yr]]*' Elec Utility (kWh)'!$M$7</f>
        <v>128.41576819383269</v>
      </c>
      <c r="K863" s="38">
        <f>PlanGrid[[#This Row],[kWh/yr]]/'Schedule-Building Info'!$B$6</f>
        <v>1.9807923169267706E-2</v>
      </c>
      <c r="L863" s="50">
        <f>CONVERT(PlanGrid[[#This Row],[kWh/yr]],"Wh","BTU")</f>
        <v>4109.9245971026057</v>
      </c>
      <c r="M863" s="38">
        <f>PlanGrid[[#This Row],[kBtu/yr]]/'Schedule-Building Info'!$B$6</f>
        <v>6.7587439311657907E-2</v>
      </c>
      <c r="P863" s="1" t="s">
        <v>1238</v>
      </c>
    </row>
    <row r="864" spans="1:19" x14ac:dyDescent="0.25">
      <c r="B864" t="s">
        <v>116</v>
      </c>
      <c r="E864" s="58">
        <v>11000</v>
      </c>
      <c r="F864" s="38">
        <v>1</v>
      </c>
      <c r="G864" s="39">
        <v>0.02</v>
      </c>
      <c r="H864" s="58">
        <f>PlanGrid[[#This Row],[Spec Wattage]]*PlanGrid[[#This Row],[Equipment Count]]</f>
        <v>11000</v>
      </c>
      <c r="I864" s="50">
        <f>((PlanGrid[[#This Row],[Demand Watt]]*PlanGrid[[#This Row],[Utilization %]]*'Schedule-Building Info'!$N$16)/1000)</f>
        <v>1204.5</v>
      </c>
      <c r="J864" s="410">
        <f>PlanGrid[[#This Row],[kWh/yr]]*' Elec Utility (kWh)'!$M$7</f>
        <v>128.41576819383269</v>
      </c>
      <c r="K864" s="38">
        <f>PlanGrid[[#This Row],[kWh/yr]]/'Schedule-Building Info'!$B$6</f>
        <v>1.9807923169267706E-2</v>
      </c>
      <c r="L864" s="50">
        <f>CONVERT(PlanGrid[[#This Row],[kWh/yr]],"Wh","BTU")</f>
        <v>4109.9245971026057</v>
      </c>
      <c r="M864" s="38">
        <f>PlanGrid[[#This Row],[kBtu/yr]]/'Schedule-Building Info'!$B$6</f>
        <v>6.7587439311657907E-2</v>
      </c>
      <c r="P864" s="1" t="s">
        <v>1238</v>
      </c>
    </row>
    <row r="865" spans="2:16" x14ac:dyDescent="0.25">
      <c r="B865" t="s">
        <v>116</v>
      </c>
      <c r="E865" s="58">
        <v>3000</v>
      </c>
      <c r="F865" s="38">
        <v>1</v>
      </c>
      <c r="G865" s="39">
        <v>0.02</v>
      </c>
      <c r="H865" s="58">
        <f>PlanGrid[[#This Row],[Spec Wattage]]*PlanGrid[[#This Row],[Equipment Count]]</f>
        <v>3000</v>
      </c>
      <c r="I865" s="50">
        <f>((PlanGrid[[#This Row],[Demand Watt]]*PlanGrid[[#This Row],[Utilization %]]*'Schedule-Building Info'!$N$16)/1000)</f>
        <v>328.5</v>
      </c>
      <c r="J865" s="410">
        <f>PlanGrid[[#This Row],[kWh/yr]]*' Elec Utility (kWh)'!$M$7</f>
        <v>35.022482234681647</v>
      </c>
      <c r="K865" s="38">
        <f>PlanGrid[[#This Row],[kWh/yr]]/'Schedule-Building Info'!$B$6</f>
        <v>5.4021608643457387E-3</v>
      </c>
      <c r="L865" s="50">
        <f>CONVERT(PlanGrid[[#This Row],[kWh/yr]],"Wh","BTU")</f>
        <v>1120.8885264825287</v>
      </c>
      <c r="M865" s="38">
        <f>PlanGrid[[#This Row],[kBtu/yr]]/'Schedule-Building Info'!$B$6</f>
        <v>1.843293799408852E-2</v>
      </c>
      <c r="P865" s="1" t="s">
        <v>1238</v>
      </c>
    </row>
    <row r="866" spans="2:16" x14ac:dyDescent="0.25">
      <c r="B866" t="s">
        <v>116</v>
      </c>
      <c r="E866" s="58">
        <v>1000</v>
      </c>
      <c r="F866" s="38">
        <v>1</v>
      </c>
      <c r="G866" s="39">
        <v>0.02</v>
      </c>
      <c r="H866" s="58">
        <f>PlanGrid[[#This Row],[Spec Wattage]]*PlanGrid[[#This Row],[Equipment Count]]</f>
        <v>1000</v>
      </c>
      <c r="I866" s="50">
        <f>((PlanGrid[[#This Row],[Demand Watt]]*PlanGrid[[#This Row],[Utilization %]]*'Schedule-Building Info'!$N$16)/1000)</f>
        <v>109.5</v>
      </c>
      <c r="J866" s="410">
        <f>PlanGrid[[#This Row],[kWh/yr]]*' Elec Utility (kWh)'!$M$7</f>
        <v>11.674160744893882</v>
      </c>
      <c r="K866" s="38">
        <f>PlanGrid[[#This Row],[kWh/yr]]/'Schedule-Building Info'!$B$6</f>
        <v>1.8007202881152461E-3</v>
      </c>
      <c r="L866" s="50">
        <f>CONVERT(PlanGrid[[#This Row],[kWh/yr]],"Wh","BTU")</f>
        <v>373.6295088275096</v>
      </c>
      <c r="M866" s="38">
        <f>PlanGrid[[#This Row],[kBtu/yr]]/'Schedule-Building Info'!$B$6</f>
        <v>6.144312664696173E-3</v>
      </c>
      <c r="P866" s="1" t="s">
        <v>1238</v>
      </c>
    </row>
    <row r="867" spans="2:16" x14ac:dyDescent="0.25">
      <c r="B867" t="s">
        <v>116</v>
      </c>
      <c r="E867" s="58">
        <v>2000</v>
      </c>
      <c r="F867" s="38">
        <v>1</v>
      </c>
      <c r="G867" s="39">
        <v>0.02</v>
      </c>
      <c r="H867" s="58">
        <f>PlanGrid[[#This Row],[Spec Wattage]]*PlanGrid[[#This Row],[Equipment Count]]</f>
        <v>2000</v>
      </c>
      <c r="I867" s="50">
        <f>((PlanGrid[[#This Row],[Demand Watt]]*PlanGrid[[#This Row],[Utilization %]]*'Schedule-Building Info'!$N$16)/1000)</f>
        <v>219</v>
      </c>
      <c r="J867" s="410">
        <f>PlanGrid[[#This Row],[kWh/yr]]*' Elec Utility (kWh)'!$M$7</f>
        <v>23.348321489787764</v>
      </c>
      <c r="K867" s="38">
        <f>PlanGrid[[#This Row],[kWh/yr]]/'Schedule-Building Info'!$B$6</f>
        <v>3.6014405762304922E-3</v>
      </c>
      <c r="L867" s="50">
        <f>CONVERT(PlanGrid[[#This Row],[kWh/yr]],"Wh","BTU")</f>
        <v>747.25901765501919</v>
      </c>
      <c r="M867" s="38">
        <f>PlanGrid[[#This Row],[kBtu/yr]]/'Schedule-Building Info'!$B$6</f>
        <v>1.2288625329392346E-2</v>
      </c>
      <c r="P867" s="1" t="s">
        <v>1238</v>
      </c>
    </row>
    <row r="868" spans="2:16" x14ac:dyDescent="0.25">
      <c r="B868" t="s">
        <v>116</v>
      </c>
      <c r="E868" s="58">
        <v>1000</v>
      </c>
      <c r="F868" s="38">
        <v>1</v>
      </c>
      <c r="G868" s="39">
        <v>0.02</v>
      </c>
      <c r="H868" s="58">
        <f>PlanGrid[[#This Row],[Spec Wattage]]*PlanGrid[[#This Row],[Equipment Count]]</f>
        <v>1000</v>
      </c>
      <c r="I868" s="50">
        <f>((PlanGrid[[#This Row],[Demand Watt]]*PlanGrid[[#This Row],[Utilization %]]*'Schedule-Building Info'!$N$16)/1000)</f>
        <v>109.5</v>
      </c>
      <c r="J868" s="410">
        <f>PlanGrid[[#This Row],[kWh/yr]]*' Elec Utility (kWh)'!$M$7</f>
        <v>11.674160744893882</v>
      </c>
      <c r="K868" s="38">
        <f>PlanGrid[[#This Row],[kWh/yr]]/'Schedule-Building Info'!$B$6</f>
        <v>1.8007202881152461E-3</v>
      </c>
      <c r="L868" s="50">
        <f>CONVERT(PlanGrid[[#This Row],[kWh/yr]],"Wh","BTU")</f>
        <v>373.6295088275096</v>
      </c>
      <c r="M868" s="38">
        <f>PlanGrid[[#This Row],[kBtu/yr]]/'Schedule-Building Info'!$B$6</f>
        <v>6.144312664696173E-3</v>
      </c>
      <c r="P868" s="1" t="s">
        <v>1238</v>
      </c>
    </row>
    <row r="869" spans="2:16" x14ac:dyDescent="0.25">
      <c r="B869" t="s">
        <v>116</v>
      </c>
      <c r="E869" s="58">
        <v>7000</v>
      </c>
      <c r="F869" s="38">
        <v>1</v>
      </c>
      <c r="G869" s="39">
        <v>0.02</v>
      </c>
      <c r="H869" s="58">
        <f>PlanGrid[[#This Row],[Spec Wattage]]*PlanGrid[[#This Row],[Equipment Count]]</f>
        <v>7000</v>
      </c>
      <c r="I869" s="50">
        <f>((PlanGrid[[#This Row],[Demand Watt]]*PlanGrid[[#This Row],[Utilization %]]*'Schedule-Building Info'!$N$16)/1000)</f>
        <v>766.5</v>
      </c>
      <c r="J869" s="410">
        <f>PlanGrid[[#This Row],[kWh/yr]]*' Elec Utility (kWh)'!$M$7</f>
        <v>81.719125214257176</v>
      </c>
      <c r="K869" s="38">
        <f>PlanGrid[[#This Row],[kWh/yr]]/'Schedule-Building Info'!$B$6</f>
        <v>1.2605042016806723E-2</v>
      </c>
      <c r="L869" s="50">
        <f>CONVERT(PlanGrid[[#This Row],[kWh/yr]],"Wh","BTU")</f>
        <v>2615.4065617925671</v>
      </c>
      <c r="M869" s="38">
        <f>PlanGrid[[#This Row],[kBtu/yr]]/'Schedule-Building Info'!$B$6</f>
        <v>4.3010188652873212E-2</v>
      </c>
      <c r="P869" s="1" t="s">
        <v>1238</v>
      </c>
    </row>
    <row r="870" spans="2:16" x14ac:dyDescent="0.25">
      <c r="B870" t="s">
        <v>116</v>
      </c>
      <c r="E870" s="58">
        <v>4000</v>
      </c>
      <c r="F870" s="38">
        <v>1</v>
      </c>
      <c r="G870" s="39">
        <v>0.02</v>
      </c>
      <c r="H870" s="58">
        <f>PlanGrid[[#This Row],[Spec Wattage]]*PlanGrid[[#This Row],[Equipment Count]]</f>
        <v>4000</v>
      </c>
      <c r="I870" s="50">
        <f>((PlanGrid[[#This Row],[Demand Watt]]*PlanGrid[[#This Row],[Utilization %]]*'Schedule-Building Info'!$N$16)/1000)</f>
        <v>438</v>
      </c>
      <c r="J870" s="410">
        <f>PlanGrid[[#This Row],[kWh/yr]]*' Elec Utility (kWh)'!$M$7</f>
        <v>46.696642979575529</v>
      </c>
      <c r="K870" s="38">
        <f>PlanGrid[[#This Row],[kWh/yr]]/'Schedule-Building Info'!$B$6</f>
        <v>7.2028811524609843E-3</v>
      </c>
      <c r="L870" s="50">
        <f>CONVERT(PlanGrid[[#This Row],[kWh/yr]],"Wh","BTU")</f>
        <v>1494.5180353100384</v>
      </c>
      <c r="M870" s="38">
        <f>PlanGrid[[#This Row],[kBtu/yr]]/'Schedule-Building Info'!$B$6</f>
        <v>2.4577250658784692E-2</v>
      </c>
      <c r="P870" s="1" t="s">
        <v>1238</v>
      </c>
    </row>
    <row r="871" spans="2:16" x14ac:dyDescent="0.25">
      <c r="B871" t="s">
        <v>116</v>
      </c>
      <c r="E871" s="58">
        <v>3000</v>
      </c>
      <c r="F871" s="38">
        <v>1</v>
      </c>
      <c r="G871" s="39">
        <v>0.02</v>
      </c>
      <c r="H871" s="58">
        <f>PlanGrid[[#This Row],[Spec Wattage]]*PlanGrid[[#This Row],[Equipment Count]]</f>
        <v>3000</v>
      </c>
      <c r="I871" s="50">
        <f>((PlanGrid[[#This Row],[Demand Watt]]*PlanGrid[[#This Row],[Utilization %]]*'Schedule-Building Info'!$N$16)/1000)</f>
        <v>328.5</v>
      </c>
      <c r="J871" s="410">
        <f>PlanGrid[[#This Row],[kWh/yr]]*' Elec Utility (kWh)'!$M$7</f>
        <v>35.022482234681647</v>
      </c>
      <c r="K871" s="38">
        <f>PlanGrid[[#This Row],[kWh/yr]]/'Schedule-Building Info'!$B$6</f>
        <v>5.4021608643457387E-3</v>
      </c>
      <c r="L871" s="50">
        <f>CONVERT(PlanGrid[[#This Row],[kWh/yr]],"Wh","BTU")</f>
        <v>1120.8885264825287</v>
      </c>
      <c r="M871" s="38">
        <f>PlanGrid[[#This Row],[kBtu/yr]]/'Schedule-Building Info'!$B$6</f>
        <v>1.843293799408852E-2</v>
      </c>
      <c r="P871" s="1" t="s">
        <v>1238</v>
      </c>
    </row>
    <row r="872" spans="2:16" x14ac:dyDescent="0.25">
      <c r="B872" t="s">
        <v>116</v>
      </c>
      <c r="E872" s="58">
        <v>2000</v>
      </c>
      <c r="F872" s="38">
        <v>1</v>
      </c>
      <c r="G872" s="39">
        <v>0.02</v>
      </c>
      <c r="H872" s="58">
        <f>PlanGrid[[#This Row],[Spec Wattage]]*PlanGrid[[#This Row],[Equipment Count]]</f>
        <v>2000</v>
      </c>
      <c r="I872" s="50">
        <f>((PlanGrid[[#This Row],[Demand Watt]]*PlanGrid[[#This Row],[Utilization %]]*'Schedule-Building Info'!$N$16)/1000)</f>
        <v>219</v>
      </c>
      <c r="J872" s="410">
        <f>PlanGrid[[#This Row],[kWh/yr]]*' Elec Utility (kWh)'!$M$7</f>
        <v>23.348321489787764</v>
      </c>
      <c r="K872" s="38">
        <f>PlanGrid[[#This Row],[kWh/yr]]/'Schedule-Building Info'!$B$6</f>
        <v>3.6014405762304922E-3</v>
      </c>
      <c r="L872" s="50">
        <f>CONVERT(PlanGrid[[#This Row],[kWh/yr]],"Wh","BTU")</f>
        <v>747.25901765501919</v>
      </c>
      <c r="M872" s="38">
        <f>PlanGrid[[#This Row],[kBtu/yr]]/'Schedule-Building Info'!$B$6</f>
        <v>1.2288625329392346E-2</v>
      </c>
      <c r="P872" s="1" t="s">
        <v>1238</v>
      </c>
    </row>
    <row r="873" spans="2:16" x14ac:dyDescent="0.25">
      <c r="B873" t="s">
        <v>116</v>
      </c>
      <c r="E873" s="58">
        <v>2000</v>
      </c>
      <c r="F873" s="38">
        <v>1</v>
      </c>
      <c r="G873" s="39">
        <v>0.02</v>
      </c>
      <c r="H873" s="58">
        <f>PlanGrid[[#This Row],[Spec Wattage]]*PlanGrid[[#This Row],[Equipment Count]]</f>
        <v>2000</v>
      </c>
      <c r="I873" s="50">
        <f>((PlanGrid[[#This Row],[Demand Watt]]*PlanGrid[[#This Row],[Utilization %]]*'Schedule-Building Info'!$N$16)/1000)</f>
        <v>219</v>
      </c>
      <c r="J873" s="410">
        <f>PlanGrid[[#This Row],[kWh/yr]]*' Elec Utility (kWh)'!$M$7</f>
        <v>23.348321489787764</v>
      </c>
      <c r="K873" s="38">
        <f>PlanGrid[[#This Row],[kWh/yr]]/'Schedule-Building Info'!$B$6</f>
        <v>3.6014405762304922E-3</v>
      </c>
      <c r="L873" s="50">
        <f>CONVERT(PlanGrid[[#This Row],[kWh/yr]],"Wh","BTU")</f>
        <v>747.25901765501919</v>
      </c>
      <c r="M873" s="38">
        <f>PlanGrid[[#This Row],[kBtu/yr]]/'Schedule-Building Info'!$B$6</f>
        <v>1.2288625329392346E-2</v>
      </c>
      <c r="P873" s="1" t="s">
        <v>1238</v>
      </c>
    </row>
    <row r="874" spans="2:16" x14ac:dyDescent="0.25">
      <c r="B874" t="s">
        <v>116</v>
      </c>
      <c r="E874" s="58">
        <v>5000</v>
      </c>
      <c r="F874" s="38">
        <v>1</v>
      </c>
      <c r="G874" s="39">
        <v>0.02</v>
      </c>
      <c r="H874" s="58">
        <f>PlanGrid[[#This Row],[Spec Wattage]]*PlanGrid[[#This Row],[Equipment Count]]</f>
        <v>5000</v>
      </c>
      <c r="I874" s="50">
        <f>((PlanGrid[[#This Row],[Demand Watt]]*PlanGrid[[#This Row],[Utilization %]]*'Schedule-Building Info'!$N$16)/1000)</f>
        <v>547.5</v>
      </c>
      <c r="J874" s="410">
        <f>PlanGrid[[#This Row],[kWh/yr]]*' Elec Utility (kWh)'!$M$7</f>
        <v>58.370803724469411</v>
      </c>
      <c r="K874" s="38">
        <f>PlanGrid[[#This Row],[kWh/yr]]/'Schedule-Building Info'!$B$6</f>
        <v>9.00360144057623E-3</v>
      </c>
      <c r="L874" s="50">
        <f>CONVERT(PlanGrid[[#This Row],[kWh/yr]],"Wh","BTU")</f>
        <v>1868.147544137548</v>
      </c>
      <c r="M874" s="38">
        <f>PlanGrid[[#This Row],[kBtu/yr]]/'Schedule-Building Info'!$B$6</f>
        <v>3.0721563323480867E-2</v>
      </c>
      <c r="P874" s="1" t="s">
        <v>1238</v>
      </c>
    </row>
    <row r="875" spans="2:16" x14ac:dyDescent="0.25">
      <c r="B875" t="s">
        <v>116</v>
      </c>
      <c r="E875" s="58">
        <v>2500</v>
      </c>
      <c r="F875" s="38">
        <v>1</v>
      </c>
      <c r="G875" s="39">
        <v>0.02</v>
      </c>
      <c r="H875" s="58">
        <f>PlanGrid[[#This Row],[Spec Wattage]]*PlanGrid[[#This Row],[Equipment Count]]</f>
        <v>2500</v>
      </c>
      <c r="I875" s="50">
        <f>((PlanGrid[[#This Row],[Demand Watt]]*PlanGrid[[#This Row],[Utilization %]]*'Schedule-Building Info'!$N$16)/1000)</f>
        <v>273.75</v>
      </c>
      <c r="J875" s="410">
        <f>PlanGrid[[#This Row],[kWh/yr]]*' Elec Utility (kWh)'!$M$7</f>
        <v>29.185401862234706</v>
      </c>
      <c r="K875" s="38">
        <f>PlanGrid[[#This Row],[kWh/yr]]/'Schedule-Building Info'!$B$6</f>
        <v>4.501800720288115E-3</v>
      </c>
      <c r="L875" s="50">
        <f>CONVERT(PlanGrid[[#This Row],[kWh/yr]],"Wh","BTU")</f>
        <v>934.07377206877402</v>
      </c>
      <c r="M875" s="38">
        <f>PlanGrid[[#This Row],[kBtu/yr]]/'Schedule-Building Info'!$B$6</f>
        <v>1.5360781661740434E-2</v>
      </c>
      <c r="P875" s="1" t="s">
        <v>1238</v>
      </c>
    </row>
    <row r="876" spans="2:16" x14ac:dyDescent="0.25">
      <c r="B876" t="s">
        <v>116</v>
      </c>
      <c r="E876" s="58">
        <v>6000</v>
      </c>
      <c r="F876" s="38">
        <v>1</v>
      </c>
      <c r="G876" s="39">
        <v>0.02</v>
      </c>
      <c r="H876" s="58">
        <f>PlanGrid[[#This Row],[Spec Wattage]]*PlanGrid[[#This Row],[Equipment Count]]</f>
        <v>6000</v>
      </c>
      <c r="I876" s="50">
        <f>((PlanGrid[[#This Row],[Demand Watt]]*PlanGrid[[#This Row],[Utilization %]]*'Schedule-Building Info'!$N$16)/1000)</f>
        <v>657</v>
      </c>
      <c r="J876" s="410">
        <f>PlanGrid[[#This Row],[kWh/yr]]*' Elec Utility (kWh)'!$M$7</f>
        <v>70.044964469363293</v>
      </c>
      <c r="K876" s="38">
        <f>PlanGrid[[#This Row],[kWh/yr]]/'Schedule-Building Info'!$B$6</f>
        <v>1.0804321728691477E-2</v>
      </c>
      <c r="L876" s="50">
        <f>CONVERT(PlanGrid[[#This Row],[kWh/yr]],"Wh","BTU")</f>
        <v>2241.7770529650575</v>
      </c>
      <c r="M876" s="38">
        <f>PlanGrid[[#This Row],[kBtu/yr]]/'Schedule-Building Info'!$B$6</f>
        <v>3.686587598817704E-2</v>
      </c>
      <c r="P876" s="1" t="s">
        <v>1238</v>
      </c>
    </row>
    <row r="877" spans="2:16" x14ac:dyDescent="0.25">
      <c r="B877" t="s">
        <v>116</v>
      </c>
      <c r="E877" s="58">
        <v>6000</v>
      </c>
      <c r="F877" s="38">
        <v>1</v>
      </c>
      <c r="G877" s="39">
        <v>0.02</v>
      </c>
      <c r="H877" s="58">
        <f>PlanGrid[[#This Row],[Spec Wattage]]*PlanGrid[[#This Row],[Equipment Count]]</f>
        <v>6000</v>
      </c>
      <c r="I877" s="50">
        <f>((PlanGrid[[#This Row],[Demand Watt]]*PlanGrid[[#This Row],[Utilization %]]*'Schedule-Building Info'!$N$16)/1000)</f>
        <v>657</v>
      </c>
      <c r="J877" s="410">
        <f>PlanGrid[[#This Row],[kWh/yr]]*' Elec Utility (kWh)'!$M$7</f>
        <v>70.044964469363293</v>
      </c>
      <c r="K877" s="38">
        <f>PlanGrid[[#This Row],[kWh/yr]]/'Schedule-Building Info'!$B$6</f>
        <v>1.0804321728691477E-2</v>
      </c>
      <c r="L877" s="50">
        <f>CONVERT(PlanGrid[[#This Row],[kWh/yr]],"Wh","BTU")</f>
        <v>2241.7770529650575</v>
      </c>
      <c r="M877" s="38">
        <f>PlanGrid[[#This Row],[kBtu/yr]]/'Schedule-Building Info'!$B$6</f>
        <v>3.686587598817704E-2</v>
      </c>
      <c r="P877" s="1" t="s">
        <v>1238</v>
      </c>
    </row>
    <row r="878" spans="2:16" x14ac:dyDescent="0.25">
      <c r="B878" t="s">
        <v>116</v>
      </c>
      <c r="E878" s="58">
        <v>5000</v>
      </c>
      <c r="F878" s="38">
        <v>1</v>
      </c>
      <c r="G878" s="39">
        <v>0.02</v>
      </c>
      <c r="H878" s="58">
        <f>PlanGrid[[#This Row],[Spec Wattage]]*PlanGrid[[#This Row],[Equipment Count]]</f>
        <v>5000</v>
      </c>
      <c r="I878" s="50">
        <f>((PlanGrid[[#This Row],[Demand Watt]]*PlanGrid[[#This Row],[Utilization %]]*'Schedule-Building Info'!$N$16)/1000)</f>
        <v>547.5</v>
      </c>
      <c r="J878" s="410">
        <f>PlanGrid[[#This Row],[kWh/yr]]*' Elec Utility (kWh)'!$M$7</f>
        <v>58.370803724469411</v>
      </c>
      <c r="K878" s="38">
        <f>PlanGrid[[#This Row],[kWh/yr]]/'Schedule-Building Info'!$B$6</f>
        <v>9.00360144057623E-3</v>
      </c>
      <c r="L878" s="50">
        <f>CONVERT(PlanGrid[[#This Row],[kWh/yr]],"Wh","BTU")</f>
        <v>1868.147544137548</v>
      </c>
      <c r="M878" s="38">
        <f>PlanGrid[[#This Row],[kBtu/yr]]/'Schedule-Building Info'!$B$6</f>
        <v>3.0721563323480867E-2</v>
      </c>
      <c r="P878" s="1" t="s">
        <v>1238</v>
      </c>
    </row>
    <row r="879" spans="2:16" x14ac:dyDescent="0.25">
      <c r="B879" t="s">
        <v>116</v>
      </c>
      <c r="E879" s="58">
        <v>2500</v>
      </c>
      <c r="F879" s="38">
        <v>1</v>
      </c>
      <c r="G879" s="39">
        <v>0.02</v>
      </c>
      <c r="H879" s="58">
        <f>PlanGrid[[#This Row],[Spec Wattage]]*PlanGrid[[#This Row],[Equipment Count]]</f>
        <v>2500</v>
      </c>
      <c r="I879" s="50">
        <f>((PlanGrid[[#This Row],[Demand Watt]]*PlanGrid[[#This Row],[Utilization %]]*'Schedule-Building Info'!$N$16)/1000)</f>
        <v>273.75</v>
      </c>
      <c r="J879" s="410">
        <f>PlanGrid[[#This Row],[kWh/yr]]*' Elec Utility (kWh)'!$M$7</f>
        <v>29.185401862234706</v>
      </c>
      <c r="K879" s="38">
        <f>PlanGrid[[#This Row],[kWh/yr]]/'Schedule-Building Info'!$B$6</f>
        <v>4.501800720288115E-3</v>
      </c>
      <c r="L879" s="50">
        <f>CONVERT(PlanGrid[[#This Row],[kWh/yr]],"Wh","BTU")</f>
        <v>934.07377206877402</v>
      </c>
      <c r="M879" s="38">
        <f>PlanGrid[[#This Row],[kBtu/yr]]/'Schedule-Building Info'!$B$6</f>
        <v>1.5360781661740434E-2</v>
      </c>
      <c r="P879" s="1" t="s">
        <v>1238</v>
      </c>
    </row>
    <row r="880" spans="2:16" x14ac:dyDescent="0.25">
      <c r="B880" t="s">
        <v>116</v>
      </c>
      <c r="E880" s="58">
        <v>7000</v>
      </c>
      <c r="F880" s="38">
        <v>1</v>
      </c>
      <c r="G880" s="39">
        <v>0.02</v>
      </c>
      <c r="H880" s="58">
        <f>PlanGrid[[#This Row],[Spec Wattage]]*PlanGrid[[#This Row],[Equipment Count]]</f>
        <v>7000</v>
      </c>
      <c r="I880" s="50">
        <f>((PlanGrid[[#This Row],[Demand Watt]]*PlanGrid[[#This Row],[Utilization %]]*'Schedule-Building Info'!$N$16)/1000)</f>
        <v>766.5</v>
      </c>
      <c r="J880" s="410">
        <f>PlanGrid[[#This Row],[kWh/yr]]*' Elec Utility (kWh)'!$M$7</f>
        <v>81.719125214257176</v>
      </c>
      <c r="K880" s="38">
        <f>PlanGrid[[#This Row],[kWh/yr]]/'Schedule-Building Info'!$B$6</f>
        <v>1.2605042016806723E-2</v>
      </c>
      <c r="L880" s="50">
        <f>CONVERT(PlanGrid[[#This Row],[kWh/yr]],"Wh","BTU")</f>
        <v>2615.4065617925671</v>
      </c>
      <c r="M880" s="38">
        <f>PlanGrid[[#This Row],[kBtu/yr]]/'Schedule-Building Info'!$B$6</f>
        <v>4.3010188652873212E-2</v>
      </c>
      <c r="P880" s="1" t="s">
        <v>1238</v>
      </c>
    </row>
    <row r="881" spans="2:16" x14ac:dyDescent="0.25">
      <c r="B881" t="s">
        <v>116</v>
      </c>
      <c r="E881" s="58">
        <v>1500</v>
      </c>
      <c r="F881" s="38">
        <v>1</v>
      </c>
      <c r="G881" s="39">
        <v>0.02</v>
      </c>
      <c r="H881" s="58">
        <f>PlanGrid[[#This Row],[Spec Wattage]]*PlanGrid[[#This Row],[Equipment Count]]</f>
        <v>1500</v>
      </c>
      <c r="I881" s="50">
        <f>((PlanGrid[[#This Row],[Demand Watt]]*PlanGrid[[#This Row],[Utilization %]]*'Schedule-Building Info'!$N$16)/1000)</f>
        <v>164.25</v>
      </c>
      <c r="J881" s="410">
        <f>PlanGrid[[#This Row],[kWh/yr]]*' Elec Utility (kWh)'!$M$7</f>
        <v>17.511241117340823</v>
      </c>
      <c r="K881" s="38">
        <f>PlanGrid[[#This Row],[kWh/yr]]/'Schedule-Building Info'!$B$6</f>
        <v>2.7010804321728693E-3</v>
      </c>
      <c r="L881" s="50">
        <f>CONVERT(PlanGrid[[#This Row],[kWh/yr]],"Wh","BTU")</f>
        <v>560.44426324126437</v>
      </c>
      <c r="M881" s="38">
        <f>PlanGrid[[#This Row],[kBtu/yr]]/'Schedule-Building Info'!$B$6</f>
        <v>9.2164689970442599E-3</v>
      </c>
      <c r="P881" s="1" t="s">
        <v>1238</v>
      </c>
    </row>
    <row r="882" spans="2:16" x14ac:dyDescent="0.25">
      <c r="B882" t="s">
        <v>116</v>
      </c>
      <c r="E882" s="58">
        <v>4000</v>
      </c>
      <c r="F882" s="38">
        <v>1</v>
      </c>
      <c r="G882" s="39">
        <v>0.02</v>
      </c>
      <c r="H882" s="58">
        <f>PlanGrid[[#This Row],[Spec Wattage]]*PlanGrid[[#This Row],[Equipment Count]]</f>
        <v>4000</v>
      </c>
      <c r="I882" s="50">
        <f>((PlanGrid[[#This Row],[Demand Watt]]*PlanGrid[[#This Row],[Utilization %]]*'Schedule-Building Info'!$N$16)/1000)</f>
        <v>438</v>
      </c>
      <c r="J882" s="410">
        <f>PlanGrid[[#This Row],[kWh/yr]]*' Elec Utility (kWh)'!$M$7</f>
        <v>46.696642979575529</v>
      </c>
      <c r="K882" s="38">
        <f>PlanGrid[[#This Row],[kWh/yr]]/'Schedule-Building Info'!$B$6</f>
        <v>7.2028811524609843E-3</v>
      </c>
      <c r="L882" s="50">
        <f>CONVERT(PlanGrid[[#This Row],[kWh/yr]],"Wh","BTU")</f>
        <v>1494.5180353100384</v>
      </c>
      <c r="M882" s="38">
        <f>PlanGrid[[#This Row],[kBtu/yr]]/'Schedule-Building Info'!$B$6</f>
        <v>2.4577250658784692E-2</v>
      </c>
      <c r="P882" s="1" t="s">
        <v>1238</v>
      </c>
    </row>
    <row r="883" spans="2:16" x14ac:dyDescent="0.25">
      <c r="B883" t="s">
        <v>116</v>
      </c>
      <c r="E883" s="58">
        <v>1500</v>
      </c>
      <c r="F883" s="38">
        <v>1</v>
      </c>
      <c r="G883" s="39">
        <v>0.02</v>
      </c>
      <c r="H883" s="58">
        <f>PlanGrid[[#This Row],[Spec Wattage]]*PlanGrid[[#This Row],[Equipment Count]]</f>
        <v>1500</v>
      </c>
      <c r="I883" s="50">
        <f>((PlanGrid[[#This Row],[Demand Watt]]*PlanGrid[[#This Row],[Utilization %]]*'Schedule-Building Info'!$N$16)/1000)</f>
        <v>164.25</v>
      </c>
      <c r="J883" s="410">
        <f>PlanGrid[[#This Row],[kWh/yr]]*' Elec Utility (kWh)'!$M$7</f>
        <v>17.511241117340823</v>
      </c>
      <c r="K883" s="38">
        <f>PlanGrid[[#This Row],[kWh/yr]]/'Schedule-Building Info'!$B$6</f>
        <v>2.7010804321728693E-3</v>
      </c>
      <c r="L883" s="50">
        <f>CONVERT(PlanGrid[[#This Row],[kWh/yr]],"Wh","BTU")</f>
        <v>560.44426324126437</v>
      </c>
      <c r="M883" s="38">
        <f>PlanGrid[[#This Row],[kBtu/yr]]/'Schedule-Building Info'!$B$6</f>
        <v>9.2164689970442599E-3</v>
      </c>
      <c r="P883" s="1" t="s">
        <v>1238</v>
      </c>
    </row>
    <row r="884" spans="2:16" x14ac:dyDescent="0.25">
      <c r="B884" t="s">
        <v>116</v>
      </c>
      <c r="E884" s="58">
        <v>1500</v>
      </c>
      <c r="F884" s="38">
        <v>1</v>
      </c>
      <c r="G884" s="39">
        <v>0.02</v>
      </c>
      <c r="H884" s="58">
        <f>PlanGrid[[#This Row],[Spec Wattage]]*PlanGrid[[#This Row],[Equipment Count]]</f>
        <v>1500</v>
      </c>
      <c r="I884" s="50">
        <f>((PlanGrid[[#This Row],[Demand Watt]]*PlanGrid[[#This Row],[Utilization %]]*'Schedule-Building Info'!$N$16)/1000)</f>
        <v>164.25</v>
      </c>
      <c r="J884" s="410">
        <f>PlanGrid[[#This Row],[kWh/yr]]*' Elec Utility (kWh)'!$M$7</f>
        <v>17.511241117340823</v>
      </c>
      <c r="K884" s="38">
        <f>PlanGrid[[#This Row],[kWh/yr]]/'Schedule-Building Info'!$B$6</f>
        <v>2.7010804321728693E-3</v>
      </c>
      <c r="L884" s="50">
        <f>CONVERT(PlanGrid[[#This Row],[kWh/yr]],"Wh","BTU")</f>
        <v>560.44426324126437</v>
      </c>
      <c r="M884" s="38">
        <f>PlanGrid[[#This Row],[kBtu/yr]]/'Schedule-Building Info'!$B$6</f>
        <v>9.2164689970442599E-3</v>
      </c>
      <c r="P884" s="1" t="s">
        <v>1238</v>
      </c>
    </row>
    <row r="885" spans="2:16" x14ac:dyDescent="0.25">
      <c r="B885" t="s">
        <v>116</v>
      </c>
      <c r="E885" s="58">
        <v>2500</v>
      </c>
      <c r="F885" s="38">
        <v>1</v>
      </c>
      <c r="G885" s="39">
        <v>0.02</v>
      </c>
      <c r="H885" s="58">
        <f>PlanGrid[[#This Row],[Spec Wattage]]*PlanGrid[[#This Row],[Equipment Count]]</f>
        <v>2500</v>
      </c>
      <c r="I885" s="50">
        <f>((PlanGrid[[#This Row],[Demand Watt]]*PlanGrid[[#This Row],[Utilization %]]*'Schedule-Building Info'!$N$16)/1000)</f>
        <v>273.75</v>
      </c>
      <c r="J885" s="410">
        <f>PlanGrid[[#This Row],[kWh/yr]]*' Elec Utility (kWh)'!$M$7</f>
        <v>29.185401862234706</v>
      </c>
      <c r="K885" s="38">
        <f>PlanGrid[[#This Row],[kWh/yr]]/'Schedule-Building Info'!$B$6</f>
        <v>4.501800720288115E-3</v>
      </c>
      <c r="L885" s="50">
        <f>CONVERT(PlanGrid[[#This Row],[kWh/yr]],"Wh","BTU")</f>
        <v>934.07377206877402</v>
      </c>
      <c r="M885" s="38">
        <f>PlanGrid[[#This Row],[kBtu/yr]]/'Schedule-Building Info'!$B$6</f>
        <v>1.5360781661740434E-2</v>
      </c>
      <c r="P885" s="1" t="s">
        <v>1238</v>
      </c>
    </row>
    <row r="886" spans="2:16" x14ac:dyDescent="0.25">
      <c r="B886" t="s">
        <v>116</v>
      </c>
      <c r="E886" s="58">
        <v>1000</v>
      </c>
      <c r="F886" s="38">
        <v>1</v>
      </c>
      <c r="G886" s="39">
        <v>0.02</v>
      </c>
      <c r="H886" s="58">
        <f>PlanGrid[[#This Row],[Spec Wattage]]*PlanGrid[[#This Row],[Equipment Count]]</f>
        <v>1000</v>
      </c>
      <c r="I886" s="50">
        <f>((PlanGrid[[#This Row],[Demand Watt]]*PlanGrid[[#This Row],[Utilization %]]*'Schedule-Building Info'!$N$16)/1000)</f>
        <v>109.5</v>
      </c>
      <c r="J886" s="410">
        <f>PlanGrid[[#This Row],[kWh/yr]]*' Elec Utility (kWh)'!$M$7</f>
        <v>11.674160744893882</v>
      </c>
      <c r="K886" s="38">
        <f>PlanGrid[[#This Row],[kWh/yr]]/'Schedule-Building Info'!$B$6</f>
        <v>1.8007202881152461E-3</v>
      </c>
      <c r="L886" s="50">
        <f>CONVERT(PlanGrid[[#This Row],[kWh/yr]],"Wh","BTU")</f>
        <v>373.6295088275096</v>
      </c>
      <c r="M886" s="38">
        <f>PlanGrid[[#This Row],[kBtu/yr]]/'Schedule-Building Info'!$B$6</f>
        <v>6.144312664696173E-3</v>
      </c>
      <c r="P886" s="1" t="s">
        <v>1238</v>
      </c>
    </row>
    <row r="887" spans="2:16" x14ac:dyDescent="0.25">
      <c r="B887" t="s">
        <v>116</v>
      </c>
      <c r="E887" s="58">
        <v>1000</v>
      </c>
      <c r="F887" s="38">
        <v>1</v>
      </c>
      <c r="G887" s="39">
        <v>0.02</v>
      </c>
      <c r="H887" s="58">
        <f>PlanGrid[[#This Row],[Spec Wattage]]*PlanGrid[[#This Row],[Equipment Count]]</f>
        <v>1000</v>
      </c>
      <c r="I887" s="50">
        <f>((PlanGrid[[#This Row],[Demand Watt]]*PlanGrid[[#This Row],[Utilization %]]*'Schedule-Building Info'!$N$16)/1000)</f>
        <v>109.5</v>
      </c>
      <c r="J887" s="410">
        <f>PlanGrid[[#This Row],[kWh/yr]]*' Elec Utility (kWh)'!$M$7</f>
        <v>11.674160744893882</v>
      </c>
      <c r="K887" s="38">
        <f>PlanGrid[[#This Row],[kWh/yr]]/'Schedule-Building Info'!$B$6</f>
        <v>1.8007202881152461E-3</v>
      </c>
      <c r="L887" s="50">
        <f>CONVERT(PlanGrid[[#This Row],[kWh/yr]],"Wh","BTU")</f>
        <v>373.6295088275096</v>
      </c>
      <c r="M887" s="38">
        <f>PlanGrid[[#This Row],[kBtu/yr]]/'Schedule-Building Info'!$B$6</f>
        <v>6.144312664696173E-3</v>
      </c>
      <c r="P887" s="1" t="s">
        <v>1238</v>
      </c>
    </row>
    <row r="888" spans="2:16" x14ac:dyDescent="0.25">
      <c r="B888" t="s">
        <v>116</v>
      </c>
      <c r="E888" s="58">
        <v>2000</v>
      </c>
      <c r="F888" s="38">
        <v>1</v>
      </c>
      <c r="G888" s="39">
        <v>0.02</v>
      </c>
      <c r="H888" s="58">
        <f>PlanGrid[[#This Row],[Spec Wattage]]*PlanGrid[[#This Row],[Equipment Count]]</f>
        <v>2000</v>
      </c>
      <c r="I888" s="50">
        <f>((PlanGrid[[#This Row],[Demand Watt]]*PlanGrid[[#This Row],[Utilization %]]*'Schedule-Building Info'!$N$16)/1000)</f>
        <v>219</v>
      </c>
      <c r="J888" s="410">
        <f>PlanGrid[[#This Row],[kWh/yr]]*' Elec Utility (kWh)'!$M$7</f>
        <v>23.348321489787764</v>
      </c>
      <c r="K888" s="38">
        <f>PlanGrid[[#This Row],[kWh/yr]]/'Schedule-Building Info'!$B$6</f>
        <v>3.6014405762304922E-3</v>
      </c>
      <c r="L888" s="50">
        <f>CONVERT(PlanGrid[[#This Row],[kWh/yr]],"Wh","BTU")</f>
        <v>747.25901765501919</v>
      </c>
      <c r="M888" s="38">
        <f>PlanGrid[[#This Row],[kBtu/yr]]/'Schedule-Building Info'!$B$6</f>
        <v>1.2288625329392346E-2</v>
      </c>
      <c r="P888" s="1" t="s">
        <v>1238</v>
      </c>
    </row>
    <row r="889" spans="2:16" x14ac:dyDescent="0.25">
      <c r="B889" t="s">
        <v>116</v>
      </c>
      <c r="E889" s="58">
        <v>1000</v>
      </c>
      <c r="F889" s="38">
        <v>1</v>
      </c>
      <c r="G889" s="39">
        <v>0.02</v>
      </c>
      <c r="H889" s="58">
        <f>PlanGrid[[#This Row],[Spec Wattage]]*PlanGrid[[#This Row],[Equipment Count]]</f>
        <v>1000</v>
      </c>
      <c r="I889" s="50">
        <f>((PlanGrid[[#This Row],[Demand Watt]]*PlanGrid[[#This Row],[Utilization %]]*'Schedule-Building Info'!$N$16)/1000)</f>
        <v>109.5</v>
      </c>
      <c r="J889" s="410">
        <f>PlanGrid[[#This Row],[kWh/yr]]*' Elec Utility (kWh)'!$M$7</f>
        <v>11.674160744893882</v>
      </c>
      <c r="K889" s="38">
        <f>PlanGrid[[#This Row],[kWh/yr]]/'Schedule-Building Info'!$B$6</f>
        <v>1.8007202881152461E-3</v>
      </c>
      <c r="L889" s="50">
        <f>CONVERT(PlanGrid[[#This Row],[kWh/yr]],"Wh","BTU")</f>
        <v>373.6295088275096</v>
      </c>
      <c r="M889" s="38">
        <f>PlanGrid[[#This Row],[kBtu/yr]]/'Schedule-Building Info'!$B$6</f>
        <v>6.144312664696173E-3</v>
      </c>
      <c r="P889" s="1" t="s">
        <v>1238</v>
      </c>
    </row>
    <row r="890" spans="2:16" x14ac:dyDescent="0.25">
      <c r="B890" t="s">
        <v>116</v>
      </c>
      <c r="E890" s="58">
        <v>2000</v>
      </c>
      <c r="F890" s="38">
        <v>1</v>
      </c>
      <c r="G890" s="39">
        <v>0.02</v>
      </c>
      <c r="H890" s="58">
        <f>PlanGrid[[#This Row],[Spec Wattage]]*PlanGrid[[#This Row],[Equipment Count]]</f>
        <v>2000</v>
      </c>
      <c r="I890" s="50">
        <f>((PlanGrid[[#This Row],[Demand Watt]]*PlanGrid[[#This Row],[Utilization %]]*'Schedule-Building Info'!$N$16)/1000)</f>
        <v>219</v>
      </c>
      <c r="J890" s="410">
        <f>PlanGrid[[#This Row],[kWh/yr]]*' Elec Utility (kWh)'!$M$7</f>
        <v>23.348321489787764</v>
      </c>
      <c r="K890" s="38">
        <f>PlanGrid[[#This Row],[kWh/yr]]/'Schedule-Building Info'!$B$6</f>
        <v>3.6014405762304922E-3</v>
      </c>
      <c r="L890" s="50">
        <f>CONVERT(PlanGrid[[#This Row],[kWh/yr]],"Wh","BTU")</f>
        <v>747.25901765501919</v>
      </c>
      <c r="M890" s="38">
        <f>PlanGrid[[#This Row],[kBtu/yr]]/'Schedule-Building Info'!$B$6</f>
        <v>1.2288625329392346E-2</v>
      </c>
      <c r="P890" s="1" t="s">
        <v>1238</v>
      </c>
    </row>
    <row r="891" spans="2:16" x14ac:dyDescent="0.25">
      <c r="B891" t="s">
        <v>116</v>
      </c>
      <c r="E891" s="58">
        <v>2000</v>
      </c>
      <c r="F891" s="38">
        <v>1</v>
      </c>
      <c r="G891" s="39">
        <v>0.02</v>
      </c>
      <c r="H891" s="58">
        <f>PlanGrid[[#This Row],[Spec Wattage]]*PlanGrid[[#This Row],[Equipment Count]]</f>
        <v>2000</v>
      </c>
      <c r="I891" s="50">
        <f>((PlanGrid[[#This Row],[Demand Watt]]*PlanGrid[[#This Row],[Utilization %]]*'Schedule-Building Info'!$N$16)/1000)</f>
        <v>219</v>
      </c>
      <c r="J891" s="410">
        <f>PlanGrid[[#This Row],[kWh/yr]]*' Elec Utility (kWh)'!$M$7</f>
        <v>23.348321489787764</v>
      </c>
      <c r="K891" s="38">
        <f>PlanGrid[[#This Row],[kWh/yr]]/'Schedule-Building Info'!$B$6</f>
        <v>3.6014405762304922E-3</v>
      </c>
      <c r="L891" s="50">
        <f>CONVERT(PlanGrid[[#This Row],[kWh/yr]],"Wh","BTU")</f>
        <v>747.25901765501919</v>
      </c>
      <c r="M891" s="38">
        <f>PlanGrid[[#This Row],[kBtu/yr]]/'Schedule-Building Info'!$B$6</f>
        <v>1.2288625329392346E-2</v>
      </c>
      <c r="P891" s="1" t="s">
        <v>1238</v>
      </c>
    </row>
    <row r="892" spans="2:16" x14ac:dyDescent="0.25">
      <c r="B892" t="s">
        <v>116</v>
      </c>
      <c r="E892" s="58">
        <v>3000</v>
      </c>
      <c r="F892" s="38">
        <v>1</v>
      </c>
      <c r="G892" s="39">
        <v>0.02</v>
      </c>
      <c r="H892" s="58">
        <f>PlanGrid[[#This Row],[Spec Wattage]]*PlanGrid[[#This Row],[Equipment Count]]</f>
        <v>3000</v>
      </c>
      <c r="I892" s="50">
        <f>((PlanGrid[[#This Row],[Demand Watt]]*PlanGrid[[#This Row],[Utilization %]]*'Schedule-Building Info'!$N$16)/1000)</f>
        <v>328.5</v>
      </c>
      <c r="J892" s="410">
        <f>PlanGrid[[#This Row],[kWh/yr]]*' Elec Utility (kWh)'!$M$7</f>
        <v>35.022482234681647</v>
      </c>
      <c r="K892" s="38">
        <f>PlanGrid[[#This Row],[kWh/yr]]/'Schedule-Building Info'!$B$6</f>
        <v>5.4021608643457387E-3</v>
      </c>
      <c r="L892" s="50">
        <f>CONVERT(PlanGrid[[#This Row],[kWh/yr]],"Wh","BTU")</f>
        <v>1120.8885264825287</v>
      </c>
      <c r="M892" s="38">
        <f>PlanGrid[[#This Row],[kBtu/yr]]/'Schedule-Building Info'!$B$6</f>
        <v>1.843293799408852E-2</v>
      </c>
      <c r="P892" s="1" t="s">
        <v>1238</v>
      </c>
    </row>
    <row r="893" spans="2:16" x14ac:dyDescent="0.25">
      <c r="B893" t="s">
        <v>116</v>
      </c>
      <c r="E893" s="58">
        <v>7000</v>
      </c>
      <c r="F893" s="38">
        <v>1</v>
      </c>
      <c r="G893" s="39">
        <v>0.02</v>
      </c>
      <c r="H893" s="58">
        <f>PlanGrid[[#This Row],[Spec Wattage]]*PlanGrid[[#This Row],[Equipment Count]]</f>
        <v>7000</v>
      </c>
      <c r="I893" s="50">
        <f>((PlanGrid[[#This Row],[Demand Watt]]*PlanGrid[[#This Row],[Utilization %]]*'Schedule-Building Info'!$N$16)/1000)</f>
        <v>766.5</v>
      </c>
      <c r="J893" s="410">
        <f>PlanGrid[[#This Row],[kWh/yr]]*' Elec Utility (kWh)'!$M$7</f>
        <v>81.719125214257176</v>
      </c>
      <c r="K893" s="38">
        <f>PlanGrid[[#This Row],[kWh/yr]]/'Schedule-Building Info'!$B$6</f>
        <v>1.2605042016806723E-2</v>
      </c>
      <c r="L893" s="50">
        <f>CONVERT(PlanGrid[[#This Row],[kWh/yr]],"Wh","BTU")</f>
        <v>2615.4065617925671</v>
      </c>
      <c r="M893" s="38">
        <f>PlanGrid[[#This Row],[kBtu/yr]]/'Schedule-Building Info'!$B$6</f>
        <v>4.3010188652873212E-2</v>
      </c>
      <c r="P893" s="1" t="s">
        <v>1238</v>
      </c>
    </row>
    <row r="894" spans="2:16" x14ac:dyDescent="0.25">
      <c r="B894" t="s">
        <v>116</v>
      </c>
      <c r="E894" s="58">
        <v>3000</v>
      </c>
      <c r="F894" s="38">
        <v>1</v>
      </c>
      <c r="G894" s="39">
        <v>0.02</v>
      </c>
      <c r="H894" s="58">
        <f>PlanGrid[[#This Row],[Spec Wattage]]*PlanGrid[[#This Row],[Equipment Count]]</f>
        <v>3000</v>
      </c>
      <c r="I894" s="50">
        <f>((PlanGrid[[#This Row],[Demand Watt]]*PlanGrid[[#This Row],[Utilization %]]*'Schedule-Building Info'!$N$16)/1000)</f>
        <v>328.5</v>
      </c>
      <c r="J894" s="410">
        <f>PlanGrid[[#This Row],[kWh/yr]]*' Elec Utility (kWh)'!$M$7</f>
        <v>35.022482234681647</v>
      </c>
      <c r="K894" s="38">
        <f>PlanGrid[[#This Row],[kWh/yr]]/'Schedule-Building Info'!$B$6</f>
        <v>5.4021608643457387E-3</v>
      </c>
      <c r="L894" s="50">
        <f>CONVERT(PlanGrid[[#This Row],[kWh/yr]],"Wh","BTU")</f>
        <v>1120.8885264825287</v>
      </c>
      <c r="M894" s="38">
        <f>PlanGrid[[#This Row],[kBtu/yr]]/'Schedule-Building Info'!$B$6</f>
        <v>1.843293799408852E-2</v>
      </c>
      <c r="P894" s="1" t="s">
        <v>1238</v>
      </c>
    </row>
    <row r="895" spans="2:16" x14ac:dyDescent="0.25">
      <c r="B895" t="s">
        <v>116</v>
      </c>
      <c r="E895" s="58">
        <v>2000</v>
      </c>
      <c r="F895" s="38">
        <v>1</v>
      </c>
      <c r="G895" s="39">
        <v>0.02</v>
      </c>
      <c r="H895" s="58">
        <f>PlanGrid[[#This Row],[Spec Wattage]]*PlanGrid[[#This Row],[Equipment Count]]</f>
        <v>2000</v>
      </c>
      <c r="I895" s="50">
        <f>((PlanGrid[[#This Row],[Demand Watt]]*PlanGrid[[#This Row],[Utilization %]]*'Schedule-Building Info'!$N$16)/1000)</f>
        <v>219</v>
      </c>
      <c r="J895" s="410">
        <f>PlanGrid[[#This Row],[kWh/yr]]*' Elec Utility (kWh)'!$M$7</f>
        <v>23.348321489787764</v>
      </c>
      <c r="K895" s="38">
        <f>PlanGrid[[#This Row],[kWh/yr]]/'Schedule-Building Info'!$B$6</f>
        <v>3.6014405762304922E-3</v>
      </c>
      <c r="L895" s="50">
        <f>CONVERT(PlanGrid[[#This Row],[kWh/yr]],"Wh","BTU")</f>
        <v>747.25901765501919</v>
      </c>
      <c r="M895" s="38">
        <f>PlanGrid[[#This Row],[kBtu/yr]]/'Schedule-Building Info'!$B$6</f>
        <v>1.2288625329392346E-2</v>
      </c>
      <c r="P895" s="1" t="s">
        <v>1238</v>
      </c>
    </row>
    <row r="896" spans="2:16" x14ac:dyDescent="0.25">
      <c r="B896" t="s">
        <v>116</v>
      </c>
      <c r="E896" s="58">
        <v>4000</v>
      </c>
      <c r="F896" s="38">
        <v>1</v>
      </c>
      <c r="G896" s="39">
        <v>0.02</v>
      </c>
      <c r="H896" s="58">
        <f>PlanGrid[[#This Row],[Spec Wattage]]*PlanGrid[[#This Row],[Equipment Count]]</f>
        <v>4000</v>
      </c>
      <c r="I896" s="50">
        <f>((PlanGrid[[#This Row],[Demand Watt]]*PlanGrid[[#This Row],[Utilization %]]*'Schedule-Building Info'!$N$16)/1000)</f>
        <v>438</v>
      </c>
      <c r="J896" s="410">
        <f>PlanGrid[[#This Row],[kWh/yr]]*' Elec Utility (kWh)'!$M$7</f>
        <v>46.696642979575529</v>
      </c>
      <c r="K896" s="38">
        <f>PlanGrid[[#This Row],[kWh/yr]]/'Schedule-Building Info'!$B$6</f>
        <v>7.2028811524609843E-3</v>
      </c>
      <c r="L896" s="50">
        <f>CONVERT(PlanGrid[[#This Row],[kWh/yr]],"Wh","BTU")</f>
        <v>1494.5180353100384</v>
      </c>
      <c r="M896" s="38">
        <f>PlanGrid[[#This Row],[kBtu/yr]]/'Schedule-Building Info'!$B$6</f>
        <v>2.4577250658784692E-2</v>
      </c>
      <c r="P896" s="1" t="s">
        <v>1238</v>
      </c>
    </row>
    <row r="897" spans="2:16" x14ac:dyDescent="0.25">
      <c r="B897" t="s">
        <v>116</v>
      </c>
      <c r="E897" s="58">
        <v>1500</v>
      </c>
      <c r="F897" s="38">
        <v>1</v>
      </c>
      <c r="G897" s="39">
        <v>0.02</v>
      </c>
      <c r="H897" s="58">
        <f>PlanGrid[[#This Row],[Spec Wattage]]*PlanGrid[[#This Row],[Equipment Count]]</f>
        <v>1500</v>
      </c>
      <c r="I897" s="50">
        <f>((PlanGrid[[#This Row],[Demand Watt]]*PlanGrid[[#This Row],[Utilization %]]*'Schedule-Building Info'!$N$16)/1000)</f>
        <v>164.25</v>
      </c>
      <c r="J897" s="410">
        <f>PlanGrid[[#This Row],[kWh/yr]]*' Elec Utility (kWh)'!$M$7</f>
        <v>17.511241117340823</v>
      </c>
      <c r="K897" s="38">
        <f>PlanGrid[[#This Row],[kWh/yr]]/'Schedule-Building Info'!$B$6</f>
        <v>2.7010804321728693E-3</v>
      </c>
      <c r="L897" s="50">
        <f>CONVERT(PlanGrid[[#This Row],[kWh/yr]],"Wh","BTU")</f>
        <v>560.44426324126437</v>
      </c>
      <c r="M897" s="38">
        <f>PlanGrid[[#This Row],[kBtu/yr]]/'Schedule-Building Info'!$B$6</f>
        <v>9.2164689970442599E-3</v>
      </c>
      <c r="P897" s="1" t="s">
        <v>1238</v>
      </c>
    </row>
    <row r="898" spans="2:16" x14ac:dyDescent="0.25">
      <c r="B898" t="s">
        <v>116</v>
      </c>
      <c r="E898" s="58">
        <v>3000</v>
      </c>
      <c r="F898" s="38">
        <v>1</v>
      </c>
      <c r="G898" s="39">
        <v>0.02</v>
      </c>
      <c r="H898" s="58">
        <f>PlanGrid[[#This Row],[Spec Wattage]]*PlanGrid[[#This Row],[Equipment Count]]</f>
        <v>3000</v>
      </c>
      <c r="I898" s="50">
        <f>((PlanGrid[[#This Row],[Demand Watt]]*PlanGrid[[#This Row],[Utilization %]]*'Schedule-Building Info'!$N$16)/1000)</f>
        <v>328.5</v>
      </c>
      <c r="J898" s="410">
        <f>PlanGrid[[#This Row],[kWh/yr]]*' Elec Utility (kWh)'!$M$7</f>
        <v>35.022482234681647</v>
      </c>
      <c r="K898" s="38">
        <f>PlanGrid[[#This Row],[kWh/yr]]/'Schedule-Building Info'!$B$6</f>
        <v>5.4021608643457387E-3</v>
      </c>
      <c r="L898" s="50">
        <f>CONVERT(PlanGrid[[#This Row],[kWh/yr]],"Wh","BTU")</f>
        <v>1120.8885264825287</v>
      </c>
      <c r="M898" s="38">
        <f>PlanGrid[[#This Row],[kBtu/yr]]/'Schedule-Building Info'!$B$6</f>
        <v>1.843293799408852E-2</v>
      </c>
      <c r="P898" s="1" t="s">
        <v>1238</v>
      </c>
    </row>
    <row r="899" spans="2:16" x14ac:dyDescent="0.25">
      <c r="B899" t="s">
        <v>116</v>
      </c>
      <c r="E899" s="58">
        <v>2000</v>
      </c>
      <c r="F899" s="38">
        <v>1</v>
      </c>
      <c r="G899" s="39">
        <v>0.02</v>
      </c>
      <c r="H899" s="58">
        <f>PlanGrid[[#This Row],[Spec Wattage]]*PlanGrid[[#This Row],[Equipment Count]]</f>
        <v>2000</v>
      </c>
      <c r="I899" s="50">
        <f>((PlanGrid[[#This Row],[Demand Watt]]*PlanGrid[[#This Row],[Utilization %]]*'Schedule-Building Info'!$N$16)/1000)</f>
        <v>219</v>
      </c>
      <c r="J899" s="410">
        <f>PlanGrid[[#This Row],[kWh/yr]]*' Elec Utility (kWh)'!$M$7</f>
        <v>23.348321489787764</v>
      </c>
      <c r="K899" s="38">
        <f>PlanGrid[[#This Row],[kWh/yr]]/'Schedule-Building Info'!$B$6</f>
        <v>3.6014405762304922E-3</v>
      </c>
      <c r="L899" s="50">
        <f>CONVERT(PlanGrid[[#This Row],[kWh/yr]],"Wh","BTU")</f>
        <v>747.25901765501919</v>
      </c>
      <c r="M899" s="38">
        <f>PlanGrid[[#This Row],[kBtu/yr]]/'Schedule-Building Info'!$B$6</f>
        <v>1.2288625329392346E-2</v>
      </c>
      <c r="P899" s="1" t="s">
        <v>1238</v>
      </c>
    </row>
    <row r="900" spans="2:16" x14ac:dyDescent="0.25">
      <c r="B900" t="s">
        <v>116</v>
      </c>
      <c r="E900" s="58">
        <v>2000</v>
      </c>
      <c r="F900" s="38">
        <v>1</v>
      </c>
      <c r="G900" s="39">
        <v>0.02</v>
      </c>
      <c r="H900" s="58">
        <f>PlanGrid[[#This Row],[Spec Wattage]]*PlanGrid[[#This Row],[Equipment Count]]</f>
        <v>2000</v>
      </c>
      <c r="I900" s="50">
        <f>((PlanGrid[[#This Row],[Demand Watt]]*PlanGrid[[#This Row],[Utilization %]]*'Schedule-Building Info'!$N$16)/1000)</f>
        <v>219</v>
      </c>
      <c r="J900" s="410">
        <f>PlanGrid[[#This Row],[kWh/yr]]*' Elec Utility (kWh)'!$M$7</f>
        <v>23.348321489787764</v>
      </c>
      <c r="K900" s="38">
        <f>PlanGrid[[#This Row],[kWh/yr]]/'Schedule-Building Info'!$B$6</f>
        <v>3.6014405762304922E-3</v>
      </c>
      <c r="L900" s="50">
        <f>CONVERT(PlanGrid[[#This Row],[kWh/yr]],"Wh","BTU")</f>
        <v>747.25901765501919</v>
      </c>
      <c r="M900" s="38">
        <f>PlanGrid[[#This Row],[kBtu/yr]]/'Schedule-Building Info'!$B$6</f>
        <v>1.2288625329392346E-2</v>
      </c>
      <c r="P900" s="1" t="s">
        <v>1238</v>
      </c>
    </row>
    <row r="901" spans="2:16" x14ac:dyDescent="0.25">
      <c r="B901" t="s">
        <v>116</v>
      </c>
      <c r="E901" s="58">
        <v>3000</v>
      </c>
      <c r="F901" s="38">
        <v>1</v>
      </c>
      <c r="G901" s="39">
        <v>0.02</v>
      </c>
      <c r="H901" s="58">
        <f>PlanGrid[[#This Row],[Spec Wattage]]*PlanGrid[[#This Row],[Equipment Count]]</f>
        <v>3000</v>
      </c>
      <c r="I901" s="50">
        <f>((PlanGrid[[#This Row],[Demand Watt]]*PlanGrid[[#This Row],[Utilization %]]*'Schedule-Building Info'!$N$16)/1000)</f>
        <v>328.5</v>
      </c>
      <c r="J901" s="410">
        <f>PlanGrid[[#This Row],[kWh/yr]]*' Elec Utility (kWh)'!$M$7</f>
        <v>35.022482234681647</v>
      </c>
      <c r="K901" s="38">
        <f>PlanGrid[[#This Row],[kWh/yr]]/'Schedule-Building Info'!$B$6</f>
        <v>5.4021608643457387E-3</v>
      </c>
      <c r="L901" s="50">
        <f>CONVERT(PlanGrid[[#This Row],[kWh/yr]],"Wh","BTU")</f>
        <v>1120.8885264825287</v>
      </c>
      <c r="M901" s="38">
        <f>PlanGrid[[#This Row],[kBtu/yr]]/'Schedule-Building Info'!$B$6</f>
        <v>1.843293799408852E-2</v>
      </c>
      <c r="P901" s="1" t="s">
        <v>1238</v>
      </c>
    </row>
    <row r="902" spans="2:16" x14ac:dyDescent="0.25">
      <c r="B902" t="s">
        <v>116</v>
      </c>
      <c r="E902" s="58">
        <v>1000</v>
      </c>
      <c r="F902" s="38">
        <v>1</v>
      </c>
      <c r="G902" s="39">
        <v>0.02</v>
      </c>
      <c r="H902" s="58">
        <f>PlanGrid[[#This Row],[Spec Wattage]]*PlanGrid[[#This Row],[Equipment Count]]</f>
        <v>1000</v>
      </c>
      <c r="I902" s="50">
        <f>((PlanGrid[[#This Row],[Demand Watt]]*PlanGrid[[#This Row],[Utilization %]]*'Schedule-Building Info'!$N$16)/1000)</f>
        <v>109.5</v>
      </c>
      <c r="J902" s="410">
        <f>PlanGrid[[#This Row],[kWh/yr]]*' Elec Utility (kWh)'!$M$7</f>
        <v>11.674160744893882</v>
      </c>
      <c r="K902" s="38">
        <f>PlanGrid[[#This Row],[kWh/yr]]/'Schedule-Building Info'!$B$6</f>
        <v>1.8007202881152461E-3</v>
      </c>
      <c r="L902" s="50">
        <f>CONVERT(PlanGrid[[#This Row],[kWh/yr]],"Wh","BTU")</f>
        <v>373.6295088275096</v>
      </c>
      <c r="M902" s="38">
        <f>PlanGrid[[#This Row],[kBtu/yr]]/'Schedule-Building Info'!$B$6</f>
        <v>6.144312664696173E-3</v>
      </c>
      <c r="P902" s="1" t="s">
        <v>1238</v>
      </c>
    </row>
    <row r="903" spans="2:16" x14ac:dyDescent="0.25">
      <c r="B903" t="s">
        <v>116</v>
      </c>
      <c r="E903" s="58">
        <v>3000</v>
      </c>
      <c r="F903" s="38">
        <v>1</v>
      </c>
      <c r="G903" s="39">
        <v>0.02</v>
      </c>
      <c r="H903" s="58">
        <f>PlanGrid[[#This Row],[Spec Wattage]]*PlanGrid[[#This Row],[Equipment Count]]</f>
        <v>3000</v>
      </c>
      <c r="I903" s="50">
        <f>((PlanGrid[[#This Row],[Demand Watt]]*PlanGrid[[#This Row],[Utilization %]]*'Schedule-Building Info'!$N$16)/1000)</f>
        <v>328.5</v>
      </c>
      <c r="J903" s="410">
        <f>PlanGrid[[#This Row],[kWh/yr]]*' Elec Utility (kWh)'!$M$7</f>
        <v>35.022482234681647</v>
      </c>
      <c r="K903" s="38">
        <f>PlanGrid[[#This Row],[kWh/yr]]/'Schedule-Building Info'!$B$6</f>
        <v>5.4021608643457387E-3</v>
      </c>
      <c r="L903" s="50">
        <f>CONVERT(PlanGrid[[#This Row],[kWh/yr]],"Wh","BTU")</f>
        <v>1120.8885264825287</v>
      </c>
      <c r="M903" s="38">
        <f>PlanGrid[[#This Row],[kBtu/yr]]/'Schedule-Building Info'!$B$6</f>
        <v>1.843293799408852E-2</v>
      </c>
      <c r="P903" s="1" t="s">
        <v>1238</v>
      </c>
    </row>
    <row r="904" spans="2:16" x14ac:dyDescent="0.25">
      <c r="B904" t="s">
        <v>116</v>
      </c>
      <c r="E904" s="58">
        <v>5000</v>
      </c>
      <c r="F904" s="38">
        <v>1</v>
      </c>
      <c r="G904" s="39">
        <v>0.02</v>
      </c>
      <c r="H904" s="58">
        <f>PlanGrid[[#This Row],[Spec Wattage]]*PlanGrid[[#This Row],[Equipment Count]]</f>
        <v>5000</v>
      </c>
      <c r="I904" s="50">
        <f>((PlanGrid[[#This Row],[Demand Watt]]*PlanGrid[[#This Row],[Utilization %]]*'Schedule-Building Info'!$N$16)/1000)</f>
        <v>547.5</v>
      </c>
      <c r="J904" s="410">
        <f>PlanGrid[[#This Row],[kWh/yr]]*' Elec Utility (kWh)'!$M$7</f>
        <v>58.370803724469411</v>
      </c>
      <c r="K904" s="38">
        <f>PlanGrid[[#This Row],[kWh/yr]]/'Schedule-Building Info'!$B$6</f>
        <v>9.00360144057623E-3</v>
      </c>
      <c r="L904" s="50">
        <f>CONVERT(PlanGrid[[#This Row],[kWh/yr]],"Wh","BTU")</f>
        <v>1868.147544137548</v>
      </c>
      <c r="M904" s="38">
        <f>PlanGrid[[#This Row],[kBtu/yr]]/'Schedule-Building Info'!$B$6</f>
        <v>3.0721563323480867E-2</v>
      </c>
      <c r="P904" s="1" t="s">
        <v>1238</v>
      </c>
    </row>
    <row r="905" spans="2:16" x14ac:dyDescent="0.25">
      <c r="B905" t="s">
        <v>116</v>
      </c>
      <c r="E905" s="58">
        <v>3000</v>
      </c>
      <c r="F905" s="38">
        <v>1</v>
      </c>
      <c r="G905" s="39">
        <v>0.02</v>
      </c>
      <c r="H905" s="58">
        <f>PlanGrid[[#This Row],[Spec Wattage]]*PlanGrid[[#This Row],[Equipment Count]]</f>
        <v>3000</v>
      </c>
      <c r="I905" s="50">
        <f>((PlanGrid[[#This Row],[Demand Watt]]*PlanGrid[[#This Row],[Utilization %]]*'Schedule-Building Info'!$N$16)/1000)</f>
        <v>328.5</v>
      </c>
      <c r="J905" s="410">
        <f>PlanGrid[[#This Row],[kWh/yr]]*' Elec Utility (kWh)'!$M$7</f>
        <v>35.022482234681647</v>
      </c>
      <c r="K905" s="38">
        <f>PlanGrid[[#This Row],[kWh/yr]]/'Schedule-Building Info'!$B$6</f>
        <v>5.4021608643457387E-3</v>
      </c>
      <c r="L905" s="50">
        <f>CONVERT(PlanGrid[[#This Row],[kWh/yr]],"Wh","BTU")</f>
        <v>1120.8885264825287</v>
      </c>
      <c r="M905" s="38">
        <f>PlanGrid[[#This Row],[kBtu/yr]]/'Schedule-Building Info'!$B$6</f>
        <v>1.843293799408852E-2</v>
      </c>
      <c r="P905" s="1" t="s">
        <v>1238</v>
      </c>
    </row>
    <row r="906" spans="2:16" x14ac:dyDescent="0.25">
      <c r="B906" t="s">
        <v>116</v>
      </c>
      <c r="E906" s="58">
        <v>0</v>
      </c>
      <c r="F906" s="38">
        <v>1</v>
      </c>
      <c r="G906" s="39">
        <v>0.02</v>
      </c>
      <c r="H906" s="58">
        <f>PlanGrid[[#This Row],[Spec Wattage]]*PlanGrid[[#This Row],[Equipment Count]]</f>
        <v>0</v>
      </c>
      <c r="I906" s="50">
        <f>((PlanGrid[[#This Row],[Demand Watt]]*PlanGrid[[#This Row],[Utilization %]]*'Schedule-Building Info'!$N$16)/1000)</f>
        <v>0</v>
      </c>
      <c r="J906" s="410">
        <f>PlanGrid[[#This Row],[kWh/yr]]*' Elec Utility (kWh)'!$M$7</f>
        <v>0</v>
      </c>
      <c r="K906" s="38">
        <f>PlanGrid[[#This Row],[kWh/yr]]/'Schedule-Building Info'!$B$6</f>
        <v>0</v>
      </c>
      <c r="L906" s="50">
        <f>CONVERT(PlanGrid[[#This Row],[kWh/yr]],"Wh","BTU")</f>
        <v>0</v>
      </c>
      <c r="M906" s="38">
        <f>PlanGrid[[#This Row],[kBtu/yr]]/'Schedule-Building Info'!$B$6</f>
        <v>0</v>
      </c>
      <c r="P906" s="1" t="s">
        <v>1238</v>
      </c>
    </row>
    <row r="907" spans="2:16" x14ac:dyDescent="0.25">
      <c r="B907" t="s">
        <v>116</v>
      </c>
      <c r="E907" s="58">
        <v>3000</v>
      </c>
      <c r="F907" s="38">
        <v>1</v>
      </c>
      <c r="G907" s="39">
        <v>0.02</v>
      </c>
      <c r="H907" s="58">
        <f>PlanGrid[[#This Row],[Spec Wattage]]*PlanGrid[[#This Row],[Equipment Count]]</f>
        <v>3000</v>
      </c>
      <c r="I907" s="50">
        <f>((PlanGrid[[#This Row],[Demand Watt]]*PlanGrid[[#This Row],[Utilization %]]*'Schedule-Building Info'!$N$16)/1000)</f>
        <v>328.5</v>
      </c>
      <c r="J907" s="410">
        <f>PlanGrid[[#This Row],[kWh/yr]]*' Elec Utility (kWh)'!$M$7</f>
        <v>35.022482234681647</v>
      </c>
      <c r="K907" s="38">
        <f>PlanGrid[[#This Row],[kWh/yr]]/'Schedule-Building Info'!$B$6</f>
        <v>5.4021608643457387E-3</v>
      </c>
      <c r="L907" s="50">
        <f>CONVERT(PlanGrid[[#This Row],[kWh/yr]],"Wh","BTU")</f>
        <v>1120.8885264825287</v>
      </c>
      <c r="M907" s="38">
        <f>PlanGrid[[#This Row],[kBtu/yr]]/'Schedule-Building Info'!$B$6</f>
        <v>1.843293799408852E-2</v>
      </c>
      <c r="P907" s="1" t="s">
        <v>1238</v>
      </c>
    </row>
    <row r="908" spans="2:16" x14ac:dyDescent="0.25">
      <c r="B908" t="s">
        <v>116</v>
      </c>
      <c r="E908" s="58">
        <v>4000</v>
      </c>
      <c r="F908" s="38">
        <v>1</v>
      </c>
      <c r="G908" s="39">
        <v>0.02</v>
      </c>
      <c r="H908" s="58">
        <f>PlanGrid[[#This Row],[Spec Wattage]]*PlanGrid[[#This Row],[Equipment Count]]</f>
        <v>4000</v>
      </c>
      <c r="I908" s="50">
        <f>((PlanGrid[[#This Row],[Demand Watt]]*PlanGrid[[#This Row],[Utilization %]]*'Schedule-Building Info'!$N$16)/1000)</f>
        <v>438</v>
      </c>
      <c r="J908" s="410">
        <f>PlanGrid[[#This Row],[kWh/yr]]*' Elec Utility (kWh)'!$M$7</f>
        <v>46.696642979575529</v>
      </c>
      <c r="K908" s="38">
        <f>PlanGrid[[#This Row],[kWh/yr]]/'Schedule-Building Info'!$B$6</f>
        <v>7.2028811524609843E-3</v>
      </c>
      <c r="L908" s="50">
        <f>CONVERT(PlanGrid[[#This Row],[kWh/yr]],"Wh","BTU")</f>
        <v>1494.5180353100384</v>
      </c>
      <c r="M908" s="38">
        <f>PlanGrid[[#This Row],[kBtu/yr]]/'Schedule-Building Info'!$B$6</f>
        <v>2.4577250658784692E-2</v>
      </c>
      <c r="P908" s="1" t="s">
        <v>1238</v>
      </c>
    </row>
    <row r="909" spans="2:16" x14ac:dyDescent="0.25">
      <c r="B909" t="s">
        <v>116</v>
      </c>
      <c r="E909" s="58">
        <v>1500</v>
      </c>
      <c r="F909" s="38">
        <v>1</v>
      </c>
      <c r="G909" s="39">
        <v>0.02</v>
      </c>
      <c r="H909" s="58">
        <f>PlanGrid[[#This Row],[Spec Wattage]]*PlanGrid[[#This Row],[Equipment Count]]</f>
        <v>1500</v>
      </c>
      <c r="I909" s="50">
        <f>((PlanGrid[[#This Row],[Demand Watt]]*PlanGrid[[#This Row],[Utilization %]]*'Schedule-Building Info'!$N$16)/1000)</f>
        <v>164.25</v>
      </c>
      <c r="J909" s="410">
        <f>PlanGrid[[#This Row],[kWh/yr]]*' Elec Utility (kWh)'!$M$7</f>
        <v>17.511241117340823</v>
      </c>
      <c r="K909" s="38">
        <f>PlanGrid[[#This Row],[kWh/yr]]/'Schedule-Building Info'!$B$6</f>
        <v>2.7010804321728693E-3</v>
      </c>
      <c r="L909" s="50">
        <f>CONVERT(PlanGrid[[#This Row],[kWh/yr]],"Wh","BTU")</f>
        <v>560.44426324126437</v>
      </c>
      <c r="M909" s="38">
        <f>PlanGrid[[#This Row],[kBtu/yr]]/'Schedule-Building Info'!$B$6</f>
        <v>9.2164689970442599E-3</v>
      </c>
      <c r="P909" s="1" t="s">
        <v>1238</v>
      </c>
    </row>
    <row r="910" spans="2:16" x14ac:dyDescent="0.25">
      <c r="B910" t="s">
        <v>116</v>
      </c>
      <c r="E910" s="58">
        <v>2000</v>
      </c>
      <c r="F910" s="38">
        <v>1</v>
      </c>
      <c r="G910" s="39">
        <v>0.02</v>
      </c>
      <c r="H910" s="58">
        <f>PlanGrid[[#This Row],[Spec Wattage]]*PlanGrid[[#This Row],[Equipment Count]]</f>
        <v>2000</v>
      </c>
      <c r="I910" s="50">
        <f>((PlanGrid[[#This Row],[Demand Watt]]*PlanGrid[[#This Row],[Utilization %]]*'Schedule-Building Info'!$N$16)/1000)</f>
        <v>219</v>
      </c>
      <c r="J910" s="410">
        <f>PlanGrid[[#This Row],[kWh/yr]]*' Elec Utility (kWh)'!$M$7</f>
        <v>23.348321489787764</v>
      </c>
      <c r="K910" s="38">
        <f>PlanGrid[[#This Row],[kWh/yr]]/'Schedule-Building Info'!$B$6</f>
        <v>3.6014405762304922E-3</v>
      </c>
      <c r="L910" s="50">
        <f>CONVERT(PlanGrid[[#This Row],[kWh/yr]],"Wh","BTU")</f>
        <v>747.25901765501919</v>
      </c>
      <c r="M910" s="38">
        <f>PlanGrid[[#This Row],[kBtu/yr]]/'Schedule-Building Info'!$B$6</f>
        <v>1.2288625329392346E-2</v>
      </c>
      <c r="P910" s="1" t="s">
        <v>1238</v>
      </c>
    </row>
    <row r="911" spans="2:16" x14ac:dyDescent="0.25">
      <c r="B911" t="s">
        <v>116</v>
      </c>
      <c r="E911" s="58">
        <v>1500</v>
      </c>
      <c r="F911" s="38">
        <v>1</v>
      </c>
      <c r="G911" s="39">
        <v>0.02</v>
      </c>
      <c r="H911" s="58">
        <f>PlanGrid[[#This Row],[Spec Wattage]]*PlanGrid[[#This Row],[Equipment Count]]</f>
        <v>1500</v>
      </c>
      <c r="I911" s="50">
        <f>((PlanGrid[[#This Row],[Demand Watt]]*PlanGrid[[#This Row],[Utilization %]]*'Schedule-Building Info'!$N$16)/1000)</f>
        <v>164.25</v>
      </c>
      <c r="J911" s="410">
        <f>PlanGrid[[#This Row],[kWh/yr]]*' Elec Utility (kWh)'!$M$7</f>
        <v>17.511241117340823</v>
      </c>
      <c r="K911" s="38">
        <f>PlanGrid[[#This Row],[kWh/yr]]/'Schedule-Building Info'!$B$6</f>
        <v>2.7010804321728693E-3</v>
      </c>
      <c r="L911" s="50">
        <f>CONVERT(PlanGrid[[#This Row],[kWh/yr]],"Wh","BTU")</f>
        <v>560.44426324126437</v>
      </c>
      <c r="M911" s="38">
        <f>PlanGrid[[#This Row],[kBtu/yr]]/'Schedule-Building Info'!$B$6</f>
        <v>9.2164689970442599E-3</v>
      </c>
      <c r="P911" s="1" t="s">
        <v>1238</v>
      </c>
    </row>
    <row r="912" spans="2:16" x14ac:dyDescent="0.25">
      <c r="B912" t="s">
        <v>116</v>
      </c>
      <c r="E912" s="58">
        <v>4000</v>
      </c>
      <c r="F912" s="38">
        <v>1</v>
      </c>
      <c r="G912" s="39">
        <v>0.02</v>
      </c>
      <c r="H912" s="58">
        <f>PlanGrid[[#This Row],[Spec Wattage]]*PlanGrid[[#This Row],[Equipment Count]]</f>
        <v>4000</v>
      </c>
      <c r="I912" s="50">
        <f>((PlanGrid[[#This Row],[Demand Watt]]*PlanGrid[[#This Row],[Utilization %]]*'Schedule-Building Info'!$N$16)/1000)</f>
        <v>438</v>
      </c>
      <c r="J912" s="410">
        <f>PlanGrid[[#This Row],[kWh/yr]]*' Elec Utility (kWh)'!$M$7</f>
        <v>46.696642979575529</v>
      </c>
      <c r="K912" s="38">
        <f>PlanGrid[[#This Row],[kWh/yr]]/'Schedule-Building Info'!$B$6</f>
        <v>7.2028811524609843E-3</v>
      </c>
      <c r="L912" s="50">
        <f>CONVERT(PlanGrid[[#This Row],[kWh/yr]],"Wh","BTU")</f>
        <v>1494.5180353100384</v>
      </c>
      <c r="M912" s="38">
        <f>PlanGrid[[#This Row],[kBtu/yr]]/'Schedule-Building Info'!$B$6</f>
        <v>2.4577250658784692E-2</v>
      </c>
      <c r="P912" s="1" t="s">
        <v>1238</v>
      </c>
    </row>
    <row r="913" spans="2:16" x14ac:dyDescent="0.25">
      <c r="B913" t="s">
        <v>116</v>
      </c>
      <c r="E913" s="58">
        <v>4000</v>
      </c>
      <c r="F913" s="38">
        <v>1</v>
      </c>
      <c r="G913" s="39">
        <v>0.02</v>
      </c>
      <c r="H913" s="58">
        <f>PlanGrid[[#This Row],[Spec Wattage]]*PlanGrid[[#This Row],[Equipment Count]]</f>
        <v>4000</v>
      </c>
      <c r="I913" s="50">
        <f>((PlanGrid[[#This Row],[Demand Watt]]*PlanGrid[[#This Row],[Utilization %]]*'Schedule-Building Info'!$N$16)/1000)</f>
        <v>438</v>
      </c>
      <c r="J913" s="410">
        <f>PlanGrid[[#This Row],[kWh/yr]]*' Elec Utility (kWh)'!$M$7</f>
        <v>46.696642979575529</v>
      </c>
      <c r="K913" s="38">
        <f>PlanGrid[[#This Row],[kWh/yr]]/'Schedule-Building Info'!$B$6</f>
        <v>7.2028811524609843E-3</v>
      </c>
      <c r="L913" s="50">
        <f>CONVERT(PlanGrid[[#This Row],[kWh/yr]],"Wh","BTU")</f>
        <v>1494.5180353100384</v>
      </c>
      <c r="M913" s="38">
        <f>PlanGrid[[#This Row],[kBtu/yr]]/'Schedule-Building Info'!$B$6</f>
        <v>2.4577250658784692E-2</v>
      </c>
      <c r="P913" s="1" t="s">
        <v>1238</v>
      </c>
    </row>
    <row r="914" spans="2:16" x14ac:dyDescent="0.25">
      <c r="B914" t="s">
        <v>116</v>
      </c>
      <c r="E914" s="58">
        <v>2000</v>
      </c>
      <c r="F914" s="38">
        <v>1</v>
      </c>
      <c r="G914" s="39">
        <v>0.02</v>
      </c>
      <c r="H914" s="58">
        <f>PlanGrid[[#This Row],[Spec Wattage]]*PlanGrid[[#This Row],[Equipment Count]]</f>
        <v>2000</v>
      </c>
      <c r="I914" s="50">
        <f>((PlanGrid[[#This Row],[Demand Watt]]*PlanGrid[[#This Row],[Utilization %]]*'Schedule-Building Info'!$N$16)/1000)</f>
        <v>219</v>
      </c>
      <c r="J914" s="410">
        <f>PlanGrid[[#This Row],[kWh/yr]]*' Elec Utility (kWh)'!$M$7</f>
        <v>23.348321489787764</v>
      </c>
      <c r="K914" s="38">
        <f>PlanGrid[[#This Row],[kWh/yr]]/'Schedule-Building Info'!$B$6</f>
        <v>3.6014405762304922E-3</v>
      </c>
      <c r="L914" s="50">
        <f>CONVERT(PlanGrid[[#This Row],[kWh/yr]],"Wh","BTU")</f>
        <v>747.25901765501919</v>
      </c>
      <c r="M914" s="38">
        <f>PlanGrid[[#This Row],[kBtu/yr]]/'Schedule-Building Info'!$B$6</f>
        <v>1.2288625329392346E-2</v>
      </c>
      <c r="P914" s="1" t="s">
        <v>1238</v>
      </c>
    </row>
    <row r="915" spans="2:16" x14ac:dyDescent="0.25">
      <c r="B915" t="s">
        <v>116</v>
      </c>
      <c r="E915" s="58">
        <v>1500</v>
      </c>
      <c r="F915" s="38">
        <v>1</v>
      </c>
      <c r="G915" s="39">
        <v>0.02</v>
      </c>
      <c r="H915" s="58">
        <f>PlanGrid[[#This Row],[Spec Wattage]]*PlanGrid[[#This Row],[Equipment Count]]</f>
        <v>1500</v>
      </c>
      <c r="I915" s="50">
        <f>((PlanGrid[[#This Row],[Demand Watt]]*PlanGrid[[#This Row],[Utilization %]]*'Schedule-Building Info'!$N$16)/1000)</f>
        <v>164.25</v>
      </c>
      <c r="J915" s="410">
        <f>PlanGrid[[#This Row],[kWh/yr]]*' Elec Utility (kWh)'!$M$7</f>
        <v>17.511241117340823</v>
      </c>
      <c r="K915" s="38">
        <f>PlanGrid[[#This Row],[kWh/yr]]/'Schedule-Building Info'!$B$6</f>
        <v>2.7010804321728693E-3</v>
      </c>
      <c r="L915" s="50">
        <f>CONVERT(PlanGrid[[#This Row],[kWh/yr]],"Wh","BTU")</f>
        <v>560.44426324126437</v>
      </c>
      <c r="M915" s="38">
        <f>PlanGrid[[#This Row],[kBtu/yr]]/'Schedule-Building Info'!$B$6</f>
        <v>9.2164689970442599E-3</v>
      </c>
      <c r="P915" s="1" t="s">
        <v>1238</v>
      </c>
    </row>
    <row r="916" spans="2:16" x14ac:dyDescent="0.25">
      <c r="B916" t="s">
        <v>116</v>
      </c>
      <c r="E916" s="58">
        <v>1500</v>
      </c>
      <c r="F916" s="38">
        <v>1</v>
      </c>
      <c r="G916" s="39">
        <v>0.02</v>
      </c>
      <c r="H916" s="58">
        <f>PlanGrid[[#This Row],[Spec Wattage]]*PlanGrid[[#This Row],[Equipment Count]]</f>
        <v>1500</v>
      </c>
      <c r="I916" s="50">
        <f>((PlanGrid[[#This Row],[Demand Watt]]*PlanGrid[[#This Row],[Utilization %]]*'Schedule-Building Info'!$N$16)/1000)</f>
        <v>164.25</v>
      </c>
      <c r="J916" s="410">
        <f>PlanGrid[[#This Row],[kWh/yr]]*' Elec Utility (kWh)'!$M$7</f>
        <v>17.511241117340823</v>
      </c>
      <c r="K916" s="38">
        <f>PlanGrid[[#This Row],[kWh/yr]]/'Schedule-Building Info'!$B$6</f>
        <v>2.7010804321728693E-3</v>
      </c>
      <c r="L916" s="50">
        <f>CONVERT(PlanGrid[[#This Row],[kWh/yr]],"Wh","BTU")</f>
        <v>560.44426324126437</v>
      </c>
      <c r="M916" s="38">
        <f>PlanGrid[[#This Row],[kBtu/yr]]/'Schedule-Building Info'!$B$6</f>
        <v>9.2164689970442599E-3</v>
      </c>
      <c r="P916" s="1" t="s">
        <v>1238</v>
      </c>
    </row>
    <row r="917" spans="2:16" x14ac:dyDescent="0.25">
      <c r="B917" t="s">
        <v>116</v>
      </c>
      <c r="E917" s="58">
        <v>4000</v>
      </c>
      <c r="F917" s="38">
        <v>1</v>
      </c>
      <c r="G917" s="39">
        <v>0.02</v>
      </c>
      <c r="H917" s="58">
        <f>PlanGrid[[#This Row],[Spec Wattage]]*PlanGrid[[#This Row],[Equipment Count]]</f>
        <v>4000</v>
      </c>
      <c r="I917" s="50">
        <f>((PlanGrid[[#This Row],[Demand Watt]]*PlanGrid[[#This Row],[Utilization %]]*'Schedule-Building Info'!$N$16)/1000)</f>
        <v>438</v>
      </c>
      <c r="J917" s="410">
        <f>PlanGrid[[#This Row],[kWh/yr]]*' Elec Utility (kWh)'!$M$7</f>
        <v>46.696642979575529</v>
      </c>
      <c r="K917" s="38">
        <f>PlanGrid[[#This Row],[kWh/yr]]/'Schedule-Building Info'!$B$6</f>
        <v>7.2028811524609843E-3</v>
      </c>
      <c r="L917" s="50">
        <f>CONVERT(PlanGrid[[#This Row],[kWh/yr]],"Wh","BTU")</f>
        <v>1494.5180353100384</v>
      </c>
      <c r="M917" s="38">
        <f>PlanGrid[[#This Row],[kBtu/yr]]/'Schedule-Building Info'!$B$6</f>
        <v>2.4577250658784692E-2</v>
      </c>
      <c r="P917" s="1" t="s">
        <v>1238</v>
      </c>
    </row>
    <row r="918" spans="2:16" x14ac:dyDescent="0.25">
      <c r="B918" t="s">
        <v>116</v>
      </c>
      <c r="E918" s="58">
        <v>3000</v>
      </c>
      <c r="F918" s="38">
        <v>1</v>
      </c>
      <c r="G918" s="39">
        <v>0.02</v>
      </c>
      <c r="H918" s="58">
        <f>PlanGrid[[#This Row],[Spec Wattage]]*PlanGrid[[#This Row],[Equipment Count]]</f>
        <v>3000</v>
      </c>
      <c r="I918" s="50">
        <f>((PlanGrid[[#This Row],[Demand Watt]]*PlanGrid[[#This Row],[Utilization %]]*'Schedule-Building Info'!$N$16)/1000)</f>
        <v>328.5</v>
      </c>
      <c r="J918" s="410">
        <f>PlanGrid[[#This Row],[kWh/yr]]*' Elec Utility (kWh)'!$M$7</f>
        <v>35.022482234681647</v>
      </c>
      <c r="K918" s="38">
        <f>PlanGrid[[#This Row],[kWh/yr]]/'Schedule-Building Info'!$B$6</f>
        <v>5.4021608643457387E-3</v>
      </c>
      <c r="L918" s="50">
        <f>CONVERT(PlanGrid[[#This Row],[kWh/yr]],"Wh","BTU")</f>
        <v>1120.8885264825287</v>
      </c>
      <c r="M918" s="38">
        <f>PlanGrid[[#This Row],[kBtu/yr]]/'Schedule-Building Info'!$B$6</f>
        <v>1.843293799408852E-2</v>
      </c>
      <c r="P918" s="1" t="s">
        <v>1238</v>
      </c>
    </row>
    <row r="919" spans="2:16" x14ac:dyDescent="0.25">
      <c r="B919" t="s">
        <v>116</v>
      </c>
      <c r="E919" s="58">
        <v>1000</v>
      </c>
      <c r="F919" s="38">
        <v>1</v>
      </c>
      <c r="G919" s="39">
        <v>0.02</v>
      </c>
      <c r="H919" s="58">
        <f>PlanGrid[[#This Row],[Spec Wattage]]*PlanGrid[[#This Row],[Equipment Count]]</f>
        <v>1000</v>
      </c>
      <c r="I919" s="50">
        <f>((PlanGrid[[#This Row],[Demand Watt]]*PlanGrid[[#This Row],[Utilization %]]*'Schedule-Building Info'!$N$16)/1000)</f>
        <v>109.5</v>
      </c>
      <c r="J919" s="410">
        <f>PlanGrid[[#This Row],[kWh/yr]]*' Elec Utility (kWh)'!$M$7</f>
        <v>11.674160744893882</v>
      </c>
      <c r="K919" s="38">
        <f>PlanGrid[[#This Row],[kWh/yr]]/'Schedule-Building Info'!$B$6</f>
        <v>1.8007202881152461E-3</v>
      </c>
      <c r="L919" s="50">
        <f>CONVERT(PlanGrid[[#This Row],[kWh/yr]],"Wh","BTU")</f>
        <v>373.6295088275096</v>
      </c>
      <c r="M919" s="38">
        <f>PlanGrid[[#This Row],[kBtu/yr]]/'Schedule-Building Info'!$B$6</f>
        <v>6.144312664696173E-3</v>
      </c>
      <c r="P919" s="1" t="s">
        <v>1238</v>
      </c>
    </row>
    <row r="920" spans="2:16" x14ac:dyDescent="0.25">
      <c r="B920" t="s">
        <v>116</v>
      </c>
      <c r="E920" s="58">
        <v>1500</v>
      </c>
      <c r="F920" s="38">
        <v>1</v>
      </c>
      <c r="G920" s="39">
        <v>0.02</v>
      </c>
      <c r="H920" s="58">
        <f>PlanGrid[[#This Row],[Spec Wattage]]*PlanGrid[[#This Row],[Equipment Count]]</f>
        <v>1500</v>
      </c>
      <c r="I920" s="50">
        <f>((PlanGrid[[#This Row],[Demand Watt]]*PlanGrid[[#This Row],[Utilization %]]*'Schedule-Building Info'!$N$16)/1000)</f>
        <v>164.25</v>
      </c>
      <c r="J920" s="410">
        <f>PlanGrid[[#This Row],[kWh/yr]]*' Elec Utility (kWh)'!$M$7</f>
        <v>17.511241117340823</v>
      </c>
      <c r="K920" s="38">
        <f>PlanGrid[[#This Row],[kWh/yr]]/'Schedule-Building Info'!$B$6</f>
        <v>2.7010804321728693E-3</v>
      </c>
      <c r="L920" s="50">
        <f>CONVERT(PlanGrid[[#This Row],[kWh/yr]],"Wh","BTU")</f>
        <v>560.44426324126437</v>
      </c>
      <c r="M920" s="38">
        <f>PlanGrid[[#This Row],[kBtu/yr]]/'Schedule-Building Info'!$B$6</f>
        <v>9.2164689970442599E-3</v>
      </c>
      <c r="P920" s="1" t="s">
        <v>1238</v>
      </c>
    </row>
    <row r="921" spans="2:16" x14ac:dyDescent="0.25">
      <c r="B921" t="s">
        <v>116</v>
      </c>
      <c r="E921" s="58">
        <v>4000</v>
      </c>
      <c r="F921" s="38">
        <v>1</v>
      </c>
      <c r="G921" s="39">
        <v>0.02</v>
      </c>
      <c r="H921" s="58">
        <f>PlanGrid[[#This Row],[Spec Wattage]]*PlanGrid[[#This Row],[Equipment Count]]</f>
        <v>4000</v>
      </c>
      <c r="I921" s="50">
        <f>((PlanGrid[[#This Row],[Demand Watt]]*PlanGrid[[#This Row],[Utilization %]]*'Schedule-Building Info'!$N$16)/1000)</f>
        <v>438</v>
      </c>
      <c r="J921" s="410">
        <f>PlanGrid[[#This Row],[kWh/yr]]*' Elec Utility (kWh)'!$M$7</f>
        <v>46.696642979575529</v>
      </c>
      <c r="K921" s="38">
        <f>PlanGrid[[#This Row],[kWh/yr]]/'Schedule-Building Info'!$B$6</f>
        <v>7.2028811524609843E-3</v>
      </c>
      <c r="L921" s="50">
        <f>CONVERT(PlanGrid[[#This Row],[kWh/yr]],"Wh","BTU")</f>
        <v>1494.5180353100384</v>
      </c>
      <c r="M921" s="38">
        <f>PlanGrid[[#This Row],[kBtu/yr]]/'Schedule-Building Info'!$B$6</f>
        <v>2.4577250658784692E-2</v>
      </c>
      <c r="P921" s="1" t="s">
        <v>1238</v>
      </c>
    </row>
    <row r="922" spans="2:16" x14ac:dyDescent="0.25">
      <c r="B922" t="s">
        <v>116</v>
      </c>
      <c r="E922" s="58">
        <v>1500</v>
      </c>
      <c r="F922" s="38">
        <v>1</v>
      </c>
      <c r="G922" s="39">
        <v>0.02</v>
      </c>
      <c r="H922" s="58">
        <f>PlanGrid[[#This Row],[Spec Wattage]]*PlanGrid[[#This Row],[Equipment Count]]</f>
        <v>1500</v>
      </c>
      <c r="I922" s="50">
        <f>((PlanGrid[[#This Row],[Demand Watt]]*PlanGrid[[#This Row],[Utilization %]]*'Schedule-Building Info'!$N$16)/1000)</f>
        <v>164.25</v>
      </c>
      <c r="J922" s="410">
        <f>PlanGrid[[#This Row],[kWh/yr]]*' Elec Utility (kWh)'!$M$7</f>
        <v>17.511241117340823</v>
      </c>
      <c r="K922" s="38">
        <f>PlanGrid[[#This Row],[kWh/yr]]/'Schedule-Building Info'!$B$6</f>
        <v>2.7010804321728693E-3</v>
      </c>
      <c r="L922" s="50">
        <f>CONVERT(PlanGrid[[#This Row],[kWh/yr]],"Wh","BTU")</f>
        <v>560.44426324126437</v>
      </c>
      <c r="M922" s="38">
        <f>PlanGrid[[#This Row],[kBtu/yr]]/'Schedule-Building Info'!$B$6</f>
        <v>9.2164689970442599E-3</v>
      </c>
      <c r="P922" s="1" t="s">
        <v>1238</v>
      </c>
    </row>
    <row r="923" spans="2:16" x14ac:dyDescent="0.25">
      <c r="B923" t="s">
        <v>116</v>
      </c>
      <c r="E923" s="58">
        <v>5000</v>
      </c>
      <c r="F923" s="38">
        <v>1</v>
      </c>
      <c r="G923" s="39">
        <v>0.02</v>
      </c>
      <c r="H923" s="58">
        <f>PlanGrid[[#This Row],[Spec Wattage]]*PlanGrid[[#This Row],[Equipment Count]]</f>
        <v>5000</v>
      </c>
      <c r="I923" s="50">
        <f>((PlanGrid[[#This Row],[Demand Watt]]*PlanGrid[[#This Row],[Utilization %]]*'Schedule-Building Info'!$N$16)/1000)</f>
        <v>547.5</v>
      </c>
      <c r="J923" s="410">
        <f>PlanGrid[[#This Row],[kWh/yr]]*' Elec Utility (kWh)'!$M$7</f>
        <v>58.370803724469411</v>
      </c>
      <c r="K923" s="38">
        <f>PlanGrid[[#This Row],[kWh/yr]]/'Schedule-Building Info'!$B$6</f>
        <v>9.00360144057623E-3</v>
      </c>
      <c r="L923" s="50">
        <f>CONVERT(PlanGrid[[#This Row],[kWh/yr]],"Wh","BTU")</f>
        <v>1868.147544137548</v>
      </c>
      <c r="M923" s="38">
        <f>PlanGrid[[#This Row],[kBtu/yr]]/'Schedule-Building Info'!$B$6</f>
        <v>3.0721563323480867E-2</v>
      </c>
      <c r="P923" s="1" t="s">
        <v>1238</v>
      </c>
    </row>
    <row r="924" spans="2:16" x14ac:dyDescent="0.25">
      <c r="B924" t="s">
        <v>116</v>
      </c>
      <c r="E924" s="58">
        <v>4000</v>
      </c>
      <c r="F924" s="38">
        <v>1</v>
      </c>
      <c r="G924" s="39">
        <v>0.02</v>
      </c>
      <c r="H924" s="58">
        <f>PlanGrid[[#This Row],[Spec Wattage]]*PlanGrid[[#This Row],[Equipment Count]]</f>
        <v>4000</v>
      </c>
      <c r="I924" s="50">
        <f>((PlanGrid[[#This Row],[Demand Watt]]*PlanGrid[[#This Row],[Utilization %]]*'Schedule-Building Info'!$N$16)/1000)</f>
        <v>438</v>
      </c>
      <c r="J924" s="410">
        <f>PlanGrid[[#This Row],[kWh/yr]]*' Elec Utility (kWh)'!$M$7</f>
        <v>46.696642979575529</v>
      </c>
      <c r="K924" s="38">
        <f>PlanGrid[[#This Row],[kWh/yr]]/'Schedule-Building Info'!$B$6</f>
        <v>7.2028811524609843E-3</v>
      </c>
      <c r="L924" s="50">
        <f>CONVERT(PlanGrid[[#This Row],[kWh/yr]],"Wh","BTU")</f>
        <v>1494.5180353100384</v>
      </c>
      <c r="M924" s="38">
        <f>PlanGrid[[#This Row],[kBtu/yr]]/'Schedule-Building Info'!$B$6</f>
        <v>2.4577250658784692E-2</v>
      </c>
      <c r="P924" s="1" t="s">
        <v>1238</v>
      </c>
    </row>
    <row r="925" spans="2:16" x14ac:dyDescent="0.25">
      <c r="B925" t="s">
        <v>116</v>
      </c>
      <c r="E925" s="58">
        <v>4000</v>
      </c>
      <c r="F925" s="38">
        <v>1</v>
      </c>
      <c r="G925" s="39">
        <v>0.02</v>
      </c>
      <c r="H925" s="58">
        <f>PlanGrid[[#This Row],[Spec Wattage]]*PlanGrid[[#This Row],[Equipment Count]]</f>
        <v>4000</v>
      </c>
      <c r="I925" s="50">
        <f>((PlanGrid[[#This Row],[Demand Watt]]*PlanGrid[[#This Row],[Utilization %]]*'Schedule-Building Info'!$N$16)/1000)</f>
        <v>438</v>
      </c>
      <c r="J925" s="410">
        <f>PlanGrid[[#This Row],[kWh/yr]]*' Elec Utility (kWh)'!$M$7</f>
        <v>46.696642979575529</v>
      </c>
      <c r="K925" s="38">
        <f>PlanGrid[[#This Row],[kWh/yr]]/'Schedule-Building Info'!$B$6</f>
        <v>7.2028811524609843E-3</v>
      </c>
      <c r="L925" s="50">
        <f>CONVERT(PlanGrid[[#This Row],[kWh/yr]],"Wh","BTU")</f>
        <v>1494.5180353100384</v>
      </c>
      <c r="M925" s="38">
        <f>PlanGrid[[#This Row],[kBtu/yr]]/'Schedule-Building Info'!$B$6</f>
        <v>2.4577250658784692E-2</v>
      </c>
      <c r="P925" s="1" t="s">
        <v>1238</v>
      </c>
    </row>
    <row r="926" spans="2:16" x14ac:dyDescent="0.25">
      <c r="B926" t="s">
        <v>116</v>
      </c>
      <c r="E926" s="58">
        <v>2000</v>
      </c>
      <c r="F926" s="38">
        <v>1</v>
      </c>
      <c r="G926" s="39">
        <v>0.02</v>
      </c>
      <c r="H926" s="58">
        <f>PlanGrid[[#This Row],[Spec Wattage]]*PlanGrid[[#This Row],[Equipment Count]]</f>
        <v>2000</v>
      </c>
      <c r="I926" s="50">
        <f>((PlanGrid[[#This Row],[Demand Watt]]*PlanGrid[[#This Row],[Utilization %]]*'Schedule-Building Info'!$N$16)/1000)</f>
        <v>219</v>
      </c>
      <c r="J926" s="410">
        <f>PlanGrid[[#This Row],[kWh/yr]]*' Elec Utility (kWh)'!$M$7</f>
        <v>23.348321489787764</v>
      </c>
      <c r="K926" s="38">
        <f>PlanGrid[[#This Row],[kWh/yr]]/'Schedule-Building Info'!$B$6</f>
        <v>3.6014405762304922E-3</v>
      </c>
      <c r="L926" s="50">
        <f>CONVERT(PlanGrid[[#This Row],[kWh/yr]],"Wh","BTU")</f>
        <v>747.25901765501919</v>
      </c>
      <c r="M926" s="38">
        <f>PlanGrid[[#This Row],[kBtu/yr]]/'Schedule-Building Info'!$B$6</f>
        <v>1.2288625329392346E-2</v>
      </c>
      <c r="P926" s="1" t="s">
        <v>1238</v>
      </c>
    </row>
    <row r="927" spans="2:16" x14ac:dyDescent="0.25">
      <c r="B927" t="s">
        <v>116</v>
      </c>
      <c r="E927" s="58">
        <v>6000</v>
      </c>
      <c r="F927" s="38">
        <v>1</v>
      </c>
      <c r="G927" s="39">
        <v>0.02</v>
      </c>
      <c r="H927" s="58">
        <f>PlanGrid[[#This Row],[Spec Wattage]]*PlanGrid[[#This Row],[Equipment Count]]</f>
        <v>6000</v>
      </c>
      <c r="I927" s="50">
        <f>((PlanGrid[[#This Row],[Demand Watt]]*PlanGrid[[#This Row],[Utilization %]]*'Schedule-Building Info'!$N$16)/1000)</f>
        <v>657</v>
      </c>
      <c r="J927" s="410">
        <f>PlanGrid[[#This Row],[kWh/yr]]*' Elec Utility (kWh)'!$M$7</f>
        <v>70.044964469363293</v>
      </c>
      <c r="K927" s="38">
        <f>PlanGrid[[#This Row],[kWh/yr]]/'Schedule-Building Info'!$B$6</f>
        <v>1.0804321728691477E-2</v>
      </c>
      <c r="L927" s="50">
        <f>CONVERT(PlanGrid[[#This Row],[kWh/yr]],"Wh","BTU")</f>
        <v>2241.7770529650575</v>
      </c>
      <c r="M927" s="38">
        <f>PlanGrid[[#This Row],[kBtu/yr]]/'Schedule-Building Info'!$B$6</f>
        <v>3.686587598817704E-2</v>
      </c>
      <c r="P927" s="1" t="s">
        <v>1238</v>
      </c>
    </row>
    <row r="928" spans="2:16" x14ac:dyDescent="0.25">
      <c r="B928" t="s">
        <v>116</v>
      </c>
      <c r="E928" s="58">
        <v>3000</v>
      </c>
      <c r="F928" s="38">
        <v>1</v>
      </c>
      <c r="G928" s="39">
        <v>0.02</v>
      </c>
      <c r="H928" s="58">
        <f>PlanGrid[[#This Row],[Spec Wattage]]*PlanGrid[[#This Row],[Equipment Count]]</f>
        <v>3000</v>
      </c>
      <c r="I928" s="50">
        <f>((PlanGrid[[#This Row],[Demand Watt]]*PlanGrid[[#This Row],[Utilization %]]*'Schedule-Building Info'!$N$16)/1000)</f>
        <v>328.5</v>
      </c>
      <c r="J928" s="410">
        <f>PlanGrid[[#This Row],[kWh/yr]]*' Elec Utility (kWh)'!$M$7</f>
        <v>35.022482234681647</v>
      </c>
      <c r="K928" s="38">
        <f>PlanGrid[[#This Row],[kWh/yr]]/'Schedule-Building Info'!$B$6</f>
        <v>5.4021608643457387E-3</v>
      </c>
      <c r="L928" s="50">
        <f>CONVERT(PlanGrid[[#This Row],[kWh/yr]],"Wh","BTU")</f>
        <v>1120.8885264825287</v>
      </c>
      <c r="M928" s="38">
        <f>PlanGrid[[#This Row],[kBtu/yr]]/'Schedule-Building Info'!$B$6</f>
        <v>1.843293799408852E-2</v>
      </c>
      <c r="P928" s="1" t="s">
        <v>1238</v>
      </c>
    </row>
    <row r="929" spans="2:16" x14ac:dyDescent="0.25">
      <c r="B929" t="s">
        <v>116</v>
      </c>
      <c r="E929" s="58">
        <v>2000</v>
      </c>
      <c r="F929" s="38">
        <v>1</v>
      </c>
      <c r="G929" s="39">
        <v>0.02</v>
      </c>
      <c r="H929" s="58">
        <f>PlanGrid[[#This Row],[Spec Wattage]]*PlanGrid[[#This Row],[Equipment Count]]</f>
        <v>2000</v>
      </c>
      <c r="I929" s="50">
        <f>((PlanGrid[[#This Row],[Demand Watt]]*PlanGrid[[#This Row],[Utilization %]]*'Schedule-Building Info'!$N$16)/1000)</f>
        <v>219</v>
      </c>
      <c r="J929" s="410">
        <f>PlanGrid[[#This Row],[kWh/yr]]*' Elec Utility (kWh)'!$M$7</f>
        <v>23.348321489787764</v>
      </c>
      <c r="K929" s="38">
        <f>PlanGrid[[#This Row],[kWh/yr]]/'Schedule-Building Info'!$B$6</f>
        <v>3.6014405762304922E-3</v>
      </c>
      <c r="L929" s="50">
        <f>CONVERT(PlanGrid[[#This Row],[kWh/yr]],"Wh","BTU")</f>
        <v>747.25901765501919</v>
      </c>
      <c r="M929" s="38">
        <f>PlanGrid[[#This Row],[kBtu/yr]]/'Schedule-Building Info'!$B$6</f>
        <v>1.2288625329392346E-2</v>
      </c>
      <c r="P929" s="1" t="s">
        <v>1238</v>
      </c>
    </row>
    <row r="930" spans="2:16" x14ac:dyDescent="0.25">
      <c r="B930" t="s">
        <v>116</v>
      </c>
      <c r="E930" s="58">
        <v>2000</v>
      </c>
      <c r="F930" s="38">
        <v>1</v>
      </c>
      <c r="G930" s="39">
        <v>0.02</v>
      </c>
      <c r="H930" s="58">
        <f>PlanGrid[[#This Row],[Spec Wattage]]*PlanGrid[[#This Row],[Equipment Count]]</f>
        <v>2000</v>
      </c>
      <c r="I930" s="50">
        <f>((PlanGrid[[#This Row],[Demand Watt]]*PlanGrid[[#This Row],[Utilization %]]*'Schedule-Building Info'!$N$16)/1000)</f>
        <v>219</v>
      </c>
      <c r="J930" s="410">
        <f>PlanGrid[[#This Row],[kWh/yr]]*' Elec Utility (kWh)'!$M$7</f>
        <v>23.348321489787764</v>
      </c>
      <c r="K930" s="38">
        <f>PlanGrid[[#This Row],[kWh/yr]]/'Schedule-Building Info'!$B$6</f>
        <v>3.6014405762304922E-3</v>
      </c>
      <c r="L930" s="50">
        <f>CONVERT(PlanGrid[[#This Row],[kWh/yr]],"Wh","BTU")</f>
        <v>747.25901765501919</v>
      </c>
      <c r="M930" s="38">
        <f>PlanGrid[[#This Row],[kBtu/yr]]/'Schedule-Building Info'!$B$6</f>
        <v>1.2288625329392346E-2</v>
      </c>
      <c r="P930" s="1" t="s">
        <v>1238</v>
      </c>
    </row>
    <row r="931" spans="2:16" x14ac:dyDescent="0.25">
      <c r="B931" t="s">
        <v>116</v>
      </c>
      <c r="E931" s="58">
        <v>4000</v>
      </c>
      <c r="F931" s="38">
        <v>1</v>
      </c>
      <c r="G931" s="39">
        <v>0.02</v>
      </c>
      <c r="H931" s="58">
        <f>PlanGrid[[#This Row],[Spec Wattage]]*PlanGrid[[#This Row],[Equipment Count]]</f>
        <v>4000</v>
      </c>
      <c r="I931" s="50">
        <f>((PlanGrid[[#This Row],[Demand Watt]]*PlanGrid[[#This Row],[Utilization %]]*'Schedule-Building Info'!$N$16)/1000)</f>
        <v>438</v>
      </c>
      <c r="J931" s="410">
        <f>PlanGrid[[#This Row],[kWh/yr]]*' Elec Utility (kWh)'!$M$7</f>
        <v>46.696642979575529</v>
      </c>
      <c r="K931" s="38">
        <f>PlanGrid[[#This Row],[kWh/yr]]/'Schedule-Building Info'!$B$6</f>
        <v>7.2028811524609843E-3</v>
      </c>
      <c r="L931" s="50">
        <f>CONVERT(PlanGrid[[#This Row],[kWh/yr]],"Wh","BTU")</f>
        <v>1494.5180353100384</v>
      </c>
      <c r="M931" s="38">
        <f>PlanGrid[[#This Row],[kBtu/yr]]/'Schedule-Building Info'!$B$6</f>
        <v>2.4577250658784692E-2</v>
      </c>
      <c r="P931" s="1" t="s">
        <v>1238</v>
      </c>
    </row>
    <row r="932" spans="2:16" x14ac:dyDescent="0.25">
      <c r="B932" t="s">
        <v>116</v>
      </c>
      <c r="E932" s="58">
        <v>3000</v>
      </c>
      <c r="F932" s="38">
        <v>1</v>
      </c>
      <c r="G932" s="39">
        <v>0.02</v>
      </c>
      <c r="H932" s="58">
        <f>PlanGrid[[#This Row],[Spec Wattage]]*PlanGrid[[#This Row],[Equipment Count]]</f>
        <v>3000</v>
      </c>
      <c r="I932" s="50">
        <f>((PlanGrid[[#This Row],[Demand Watt]]*PlanGrid[[#This Row],[Utilization %]]*'Schedule-Building Info'!$N$16)/1000)</f>
        <v>328.5</v>
      </c>
      <c r="J932" s="410">
        <f>PlanGrid[[#This Row],[kWh/yr]]*' Elec Utility (kWh)'!$M$7</f>
        <v>35.022482234681647</v>
      </c>
      <c r="K932" s="38">
        <f>PlanGrid[[#This Row],[kWh/yr]]/'Schedule-Building Info'!$B$6</f>
        <v>5.4021608643457387E-3</v>
      </c>
      <c r="L932" s="50">
        <f>CONVERT(PlanGrid[[#This Row],[kWh/yr]],"Wh","BTU")</f>
        <v>1120.8885264825287</v>
      </c>
      <c r="M932" s="38">
        <f>PlanGrid[[#This Row],[kBtu/yr]]/'Schedule-Building Info'!$B$6</f>
        <v>1.843293799408852E-2</v>
      </c>
      <c r="P932" s="1" t="s">
        <v>1238</v>
      </c>
    </row>
    <row r="933" spans="2:16" x14ac:dyDescent="0.25">
      <c r="B933" t="s">
        <v>116</v>
      </c>
      <c r="E933" s="58">
        <v>2500</v>
      </c>
      <c r="F933" s="38">
        <v>1</v>
      </c>
      <c r="G933" s="39">
        <v>0.02</v>
      </c>
      <c r="H933" s="58">
        <f>PlanGrid[[#This Row],[Spec Wattage]]*PlanGrid[[#This Row],[Equipment Count]]</f>
        <v>2500</v>
      </c>
      <c r="I933" s="50">
        <f>((PlanGrid[[#This Row],[Demand Watt]]*PlanGrid[[#This Row],[Utilization %]]*'Schedule-Building Info'!$N$16)/1000)</f>
        <v>273.75</v>
      </c>
      <c r="J933" s="410">
        <f>PlanGrid[[#This Row],[kWh/yr]]*' Elec Utility (kWh)'!$M$7</f>
        <v>29.185401862234706</v>
      </c>
      <c r="K933" s="38">
        <f>PlanGrid[[#This Row],[kWh/yr]]/'Schedule-Building Info'!$B$6</f>
        <v>4.501800720288115E-3</v>
      </c>
      <c r="L933" s="50">
        <f>CONVERT(PlanGrid[[#This Row],[kWh/yr]],"Wh","BTU")</f>
        <v>934.07377206877402</v>
      </c>
      <c r="M933" s="38">
        <f>PlanGrid[[#This Row],[kBtu/yr]]/'Schedule-Building Info'!$B$6</f>
        <v>1.5360781661740434E-2</v>
      </c>
      <c r="P933" s="1" t="s">
        <v>1238</v>
      </c>
    </row>
    <row r="934" spans="2:16" x14ac:dyDescent="0.25">
      <c r="B934" t="s">
        <v>116</v>
      </c>
      <c r="E934" s="58">
        <v>2500</v>
      </c>
      <c r="F934" s="38">
        <v>1</v>
      </c>
      <c r="G934" s="39">
        <v>0.02</v>
      </c>
      <c r="H934" s="58">
        <f>PlanGrid[[#This Row],[Spec Wattage]]*PlanGrid[[#This Row],[Equipment Count]]</f>
        <v>2500</v>
      </c>
      <c r="I934" s="50">
        <f>((PlanGrid[[#This Row],[Demand Watt]]*PlanGrid[[#This Row],[Utilization %]]*'Schedule-Building Info'!$N$16)/1000)</f>
        <v>273.75</v>
      </c>
      <c r="J934" s="410">
        <f>PlanGrid[[#This Row],[kWh/yr]]*' Elec Utility (kWh)'!$M$7</f>
        <v>29.185401862234706</v>
      </c>
      <c r="K934" s="38">
        <f>PlanGrid[[#This Row],[kWh/yr]]/'Schedule-Building Info'!$B$6</f>
        <v>4.501800720288115E-3</v>
      </c>
      <c r="L934" s="50">
        <f>CONVERT(PlanGrid[[#This Row],[kWh/yr]],"Wh","BTU")</f>
        <v>934.07377206877402</v>
      </c>
      <c r="M934" s="38">
        <f>PlanGrid[[#This Row],[kBtu/yr]]/'Schedule-Building Info'!$B$6</f>
        <v>1.5360781661740434E-2</v>
      </c>
      <c r="P934" s="1" t="s">
        <v>1238</v>
      </c>
    </row>
    <row r="935" spans="2:16" x14ac:dyDescent="0.25">
      <c r="B935" t="s">
        <v>116</v>
      </c>
      <c r="E935" s="58">
        <v>2000</v>
      </c>
      <c r="F935" s="38">
        <v>1</v>
      </c>
      <c r="G935" s="39">
        <v>0.02</v>
      </c>
      <c r="H935" s="58">
        <f>PlanGrid[[#This Row],[Spec Wattage]]*PlanGrid[[#This Row],[Equipment Count]]</f>
        <v>2000</v>
      </c>
      <c r="I935" s="50">
        <f>((PlanGrid[[#This Row],[Demand Watt]]*PlanGrid[[#This Row],[Utilization %]]*'Schedule-Building Info'!$N$16)/1000)</f>
        <v>219</v>
      </c>
      <c r="J935" s="410">
        <f>PlanGrid[[#This Row],[kWh/yr]]*' Elec Utility (kWh)'!$M$7</f>
        <v>23.348321489787764</v>
      </c>
      <c r="K935" s="38">
        <f>PlanGrid[[#This Row],[kWh/yr]]/'Schedule-Building Info'!$B$6</f>
        <v>3.6014405762304922E-3</v>
      </c>
      <c r="L935" s="50">
        <f>CONVERT(PlanGrid[[#This Row],[kWh/yr]],"Wh","BTU")</f>
        <v>747.25901765501919</v>
      </c>
      <c r="M935" s="38">
        <f>PlanGrid[[#This Row],[kBtu/yr]]/'Schedule-Building Info'!$B$6</f>
        <v>1.2288625329392346E-2</v>
      </c>
      <c r="P935" s="1" t="s">
        <v>1238</v>
      </c>
    </row>
    <row r="936" spans="2:16" x14ac:dyDescent="0.25">
      <c r="B936" t="s">
        <v>116</v>
      </c>
      <c r="E936" s="58">
        <v>2000</v>
      </c>
      <c r="F936" s="38">
        <v>1</v>
      </c>
      <c r="G936" s="39">
        <v>0.02</v>
      </c>
      <c r="H936" s="58">
        <f>PlanGrid[[#This Row],[Spec Wattage]]*PlanGrid[[#This Row],[Equipment Count]]</f>
        <v>2000</v>
      </c>
      <c r="I936" s="50">
        <f>((PlanGrid[[#This Row],[Demand Watt]]*PlanGrid[[#This Row],[Utilization %]]*'Schedule-Building Info'!$N$16)/1000)</f>
        <v>219</v>
      </c>
      <c r="J936" s="410">
        <f>PlanGrid[[#This Row],[kWh/yr]]*' Elec Utility (kWh)'!$M$7</f>
        <v>23.348321489787764</v>
      </c>
      <c r="K936" s="38">
        <f>PlanGrid[[#This Row],[kWh/yr]]/'Schedule-Building Info'!$B$6</f>
        <v>3.6014405762304922E-3</v>
      </c>
      <c r="L936" s="50">
        <f>CONVERT(PlanGrid[[#This Row],[kWh/yr]],"Wh","BTU")</f>
        <v>747.25901765501919</v>
      </c>
      <c r="M936" s="38">
        <f>PlanGrid[[#This Row],[kBtu/yr]]/'Schedule-Building Info'!$B$6</f>
        <v>1.2288625329392346E-2</v>
      </c>
      <c r="P936" s="1" t="s">
        <v>1238</v>
      </c>
    </row>
    <row r="937" spans="2:16" x14ac:dyDescent="0.25">
      <c r="B937" t="s">
        <v>116</v>
      </c>
      <c r="E937" s="58">
        <v>3000</v>
      </c>
      <c r="F937" s="38">
        <v>1</v>
      </c>
      <c r="G937" s="39">
        <v>0.02</v>
      </c>
      <c r="H937" s="58">
        <f>PlanGrid[[#This Row],[Spec Wattage]]*PlanGrid[[#This Row],[Equipment Count]]</f>
        <v>3000</v>
      </c>
      <c r="I937" s="50">
        <f>((PlanGrid[[#This Row],[Demand Watt]]*PlanGrid[[#This Row],[Utilization %]]*'Schedule-Building Info'!$N$16)/1000)</f>
        <v>328.5</v>
      </c>
      <c r="J937" s="410">
        <f>PlanGrid[[#This Row],[kWh/yr]]*' Elec Utility (kWh)'!$M$7</f>
        <v>35.022482234681647</v>
      </c>
      <c r="K937" s="38">
        <f>PlanGrid[[#This Row],[kWh/yr]]/'Schedule-Building Info'!$B$6</f>
        <v>5.4021608643457387E-3</v>
      </c>
      <c r="L937" s="50">
        <f>CONVERT(PlanGrid[[#This Row],[kWh/yr]],"Wh","BTU")</f>
        <v>1120.8885264825287</v>
      </c>
      <c r="M937" s="38">
        <f>PlanGrid[[#This Row],[kBtu/yr]]/'Schedule-Building Info'!$B$6</f>
        <v>1.843293799408852E-2</v>
      </c>
      <c r="P937" s="1" t="s">
        <v>1238</v>
      </c>
    </row>
    <row r="938" spans="2:16" x14ac:dyDescent="0.25">
      <c r="B938" t="s">
        <v>116</v>
      </c>
      <c r="E938" s="58">
        <v>2000</v>
      </c>
      <c r="F938" s="38">
        <v>1</v>
      </c>
      <c r="G938" s="39">
        <v>0.02</v>
      </c>
      <c r="H938" s="58">
        <f>PlanGrid[[#This Row],[Spec Wattage]]*PlanGrid[[#This Row],[Equipment Count]]</f>
        <v>2000</v>
      </c>
      <c r="I938" s="50">
        <f>((PlanGrid[[#This Row],[Demand Watt]]*PlanGrid[[#This Row],[Utilization %]]*'Schedule-Building Info'!$N$16)/1000)</f>
        <v>219</v>
      </c>
      <c r="J938" s="410">
        <f>PlanGrid[[#This Row],[kWh/yr]]*' Elec Utility (kWh)'!$M$7</f>
        <v>23.348321489787764</v>
      </c>
      <c r="K938" s="38">
        <f>PlanGrid[[#This Row],[kWh/yr]]/'Schedule-Building Info'!$B$6</f>
        <v>3.6014405762304922E-3</v>
      </c>
      <c r="L938" s="50">
        <f>CONVERT(PlanGrid[[#This Row],[kWh/yr]],"Wh","BTU")</f>
        <v>747.25901765501919</v>
      </c>
      <c r="M938" s="38">
        <f>PlanGrid[[#This Row],[kBtu/yr]]/'Schedule-Building Info'!$B$6</f>
        <v>1.2288625329392346E-2</v>
      </c>
      <c r="P938" s="1" t="s">
        <v>1238</v>
      </c>
    </row>
    <row r="939" spans="2:16" x14ac:dyDescent="0.25">
      <c r="B939" t="s">
        <v>116</v>
      </c>
      <c r="E939" s="58">
        <v>2000</v>
      </c>
      <c r="F939" s="38">
        <v>1</v>
      </c>
      <c r="G939" s="39">
        <v>0.02</v>
      </c>
      <c r="H939" s="58">
        <f>PlanGrid[[#This Row],[Spec Wattage]]*PlanGrid[[#This Row],[Equipment Count]]</f>
        <v>2000</v>
      </c>
      <c r="I939" s="50">
        <f>((PlanGrid[[#This Row],[Demand Watt]]*PlanGrid[[#This Row],[Utilization %]]*'Schedule-Building Info'!$N$16)/1000)</f>
        <v>219</v>
      </c>
      <c r="J939" s="410">
        <f>PlanGrid[[#This Row],[kWh/yr]]*' Elec Utility (kWh)'!$M$7</f>
        <v>23.348321489787764</v>
      </c>
      <c r="K939" s="38">
        <f>PlanGrid[[#This Row],[kWh/yr]]/'Schedule-Building Info'!$B$6</f>
        <v>3.6014405762304922E-3</v>
      </c>
      <c r="L939" s="50">
        <f>CONVERT(PlanGrid[[#This Row],[kWh/yr]],"Wh","BTU")</f>
        <v>747.25901765501919</v>
      </c>
      <c r="M939" s="38">
        <f>PlanGrid[[#This Row],[kBtu/yr]]/'Schedule-Building Info'!$B$6</f>
        <v>1.2288625329392346E-2</v>
      </c>
      <c r="P939" s="1" t="s">
        <v>1238</v>
      </c>
    </row>
    <row r="940" spans="2:16" x14ac:dyDescent="0.25">
      <c r="B940" t="s">
        <v>116</v>
      </c>
      <c r="E940" s="58">
        <v>2000</v>
      </c>
      <c r="F940" s="38">
        <v>1</v>
      </c>
      <c r="G940" s="39">
        <v>0.02</v>
      </c>
      <c r="H940" s="58">
        <f>PlanGrid[[#This Row],[Spec Wattage]]*PlanGrid[[#This Row],[Equipment Count]]</f>
        <v>2000</v>
      </c>
      <c r="I940" s="50">
        <f>((PlanGrid[[#This Row],[Demand Watt]]*PlanGrid[[#This Row],[Utilization %]]*'Schedule-Building Info'!$N$16)/1000)</f>
        <v>219</v>
      </c>
      <c r="J940" s="410">
        <f>PlanGrid[[#This Row],[kWh/yr]]*' Elec Utility (kWh)'!$M$7</f>
        <v>23.348321489787764</v>
      </c>
      <c r="K940" s="38">
        <f>PlanGrid[[#This Row],[kWh/yr]]/'Schedule-Building Info'!$B$6</f>
        <v>3.6014405762304922E-3</v>
      </c>
      <c r="L940" s="50">
        <f>CONVERT(PlanGrid[[#This Row],[kWh/yr]],"Wh","BTU")</f>
        <v>747.25901765501919</v>
      </c>
      <c r="M940" s="38">
        <f>PlanGrid[[#This Row],[kBtu/yr]]/'Schedule-Building Info'!$B$6</f>
        <v>1.2288625329392346E-2</v>
      </c>
      <c r="P940" s="1" t="s">
        <v>1238</v>
      </c>
    </row>
    <row r="941" spans="2:16" x14ac:dyDescent="0.25">
      <c r="B941" t="s">
        <v>116</v>
      </c>
      <c r="E941" s="58">
        <v>2000</v>
      </c>
      <c r="F941" s="38">
        <v>1</v>
      </c>
      <c r="G941" s="39">
        <v>0.02</v>
      </c>
      <c r="H941" s="58">
        <f>PlanGrid[[#This Row],[Spec Wattage]]*PlanGrid[[#This Row],[Equipment Count]]</f>
        <v>2000</v>
      </c>
      <c r="I941" s="50">
        <f>((PlanGrid[[#This Row],[Demand Watt]]*PlanGrid[[#This Row],[Utilization %]]*'Schedule-Building Info'!$N$16)/1000)</f>
        <v>219</v>
      </c>
      <c r="J941" s="410">
        <f>PlanGrid[[#This Row],[kWh/yr]]*' Elec Utility (kWh)'!$M$7</f>
        <v>23.348321489787764</v>
      </c>
      <c r="K941" s="38">
        <f>PlanGrid[[#This Row],[kWh/yr]]/'Schedule-Building Info'!$B$6</f>
        <v>3.6014405762304922E-3</v>
      </c>
      <c r="L941" s="50">
        <f>CONVERT(PlanGrid[[#This Row],[kWh/yr]],"Wh","BTU")</f>
        <v>747.25901765501919</v>
      </c>
      <c r="M941" s="38">
        <f>PlanGrid[[#This Row],[kBtu/yr]]/'Schedule-Building Info'!$B$6</f>
        <v>1.2288625329392346E-2</v>
      </c>
      <c r="P941" s="1" t="s">
        <v>1238</v>
      </c>
    </row>
    <row r="942" spans="2:16" x14ac:dyDescent="0.25">
      <c r="B942" t="s">
        <v>116</v>
      </c>
      <c r="E942" s="58">
        <v>2000</v>
      </c>
      <c r="F942" s="38">
        <v>1</v>
      </c>
      <c r="G942" s="39">
        <v>0.02</v>
      </c>
      <c r="H942" s="58">
        <f>PlanGrid[[#This Row],[Spec Wattage]]*PlanGrid[[#This Row],[Equipment Count]]</f>
        <v>2000</v>
      </c>
      <c r="I942" s="50">
        <f>((PlanGrid[[#This Row],[Demand Watt]]*PlanGrid[[#This Row],[Utilization %]]*'Schedule-Building Info'!$N$16)/1000)</f>
        <v>219</v>
      </c>
      <c r="J942" s="410">
        <f>PlanGrid[[#This Row],[kWh/yr]]*' Elec Utility (kWh)'!$M$7</f>
        <v>23.348321489787764</v>
      </c>
      <c r="K942" s="38">
        <f>PlanGrid[[#This Row],[kWh/yr]]/'Schedule-Building Info'!$B$6</f>
        <v>3.6014405762304922E-3</v>
      </c>
      <c r="L942" s="50">
        <f>CONVERT(PlanGrid[[#This Row],[kWh/yr]],"Wh","BTU")</f>
        <v>747.25901765501919</v>
      </c>
      <c r="M942" s="38">
        <f>PlanGrid[[#This Row],[kBtu/yr]]/'Schedule-Building Info'!$B$6</f>
        <v>1.2288625329392346E-2</v>
      </c>
      <c r="P942" s="1" t="s">
        <v>1238</v>
      </c>
    </row>
    <row r="943" spans="2:16" x14ac:dyDescent="0.25">
      <c r="B943" t="s">
        <v>116</v>
      </c>
      <c r="E943" s="58">
        <v>2500</v>
      </c>
      <c r="F943" s="38">
        <v>1</v>
      </c>
      <c r="G943" s="39">
        <v>0.02</v>
      </c>
      <c r="H943" s="58">
        <f>PlanGrid[[#This Row],[Spec Wattage]]*PlanGrid[[#This Row],[Equipment Count]]</f>
        <v>2500</v>
      </c>
      <c r="I943" s="50">
        <f>((PlanGrid[[#This Row],[Demand Watt]]*PlanGrid[[#This Row],[Utilization %]]*'Schedule-Building Info'!$N$16)/1000)</f>
        <v>273.75</v>
      </c>
      <c r="J943" s="410">
        <f>PlanGrid[[#This Row],[kWh/yr]]*' Elec Utility (kWh)'!$M$7</f>
        <v>29.185401862234706</v>
      </c>
      <c r="K943" s="38">
        <f>PlanGrid[[#This Row],[kWh/yr]]/'Schedule-Building Info'!$B$6</f>
        <v>4.501800720288115E-3</v>
      </c>
      <c r="L943" s="50">
        <f>CONVERT(PlanGrid[[#This Row],[kWh/yr]],"Wh","BTU")</f>
        <v>934.07377206877402</v>
      </c>
      <c r="M943" s="38">
        <f>PlanGrid[[#This Row],[kBtu/yr]]/'Schedule-Building Info'!$B$6</f>
        <v>1.5360781661740434E-2</v>
      </c>
      <c r="P943" s="1" t="s">
        <v>1238</v>
      </c>
    </row>
    <row r="944" spans="2:16" x14ac:dyDescent="0.25">
      <c r="B944" t="s">
        <v>116</v>
      </c>
      <c r="E944" s="58">
        <v>4000</v>
      </c>
      <c r="F944" s="38">
        <v>1</v>
      </c>
      <c r="G944" s="39">
        <v>0.02</v>
      </c>
      <c r="H944" s="58">
        <f>PlanGrid[[#This Row],[Spec Wattage]]*PlanGrid[[#This Row],[Equipment Count]]</f>
        <v>4000</v>
      </c>
      <c r="I944" s="50">
        <f>((PlanGrid[[#This Row],[Demand Watt]]*PlanGrid[[#This Row],[Utilization %]]*'Schedule-Building Info'!$N$16)/1000)</f>
        <v>438</v>
      </c>
      <c r="J944" s="410">
        <f>PlanGrid[[#This Row],[kWh/yr]]*' Elec Utility (kWh)'!$M$7</f>
        <v>46.696642979575529</v>
      </c>
      <c r="K944" s="38">
        <f>PlanGrid[[#This Row],[kWh/yr]]/'Schedule-Building Info'!$B$6</f>
        <v>7.2028811524609843E-3</v>
      </c>
      <c r="L944" s="50">
        <f>CONVERT(PlanGrid[[#This Row],[kWh/yr]],"Wh","BTU")</f>
        <v>1494.5180353100384</v>
      </c>
      <c r="M944" s="38">
        <f>PlanGrid[[#This Row],[kBtu/yr]]/'Schedule-Building Info'!$B$6</f>
        <v>2.4577250658784692E-2</v>
      </c>
      <c r="P944" s="1" t="s">
        <v>1238</v>
      </c>
    </row>
    <row r="945" spans="1:19" x14ac:dyDescent="0.25">
      <c r="B945" t="s">
        <v>116</v>
      </c>
      <c r="E945" s="58">
        <v>4000</v>
      </c>
      <c r="F945" s="38">
        <v>1</v>
      </c>
      <c r="G945" s="39">
        <v>0.02</v>
      </c>
      <c r="H945" s="58">
        <f>PlanGrid[[#This Row],[Spec Wattage]]*PlanGrid[[#This Row],[Equipment Count]]</f>
        <v>4000</v>
      </c>
      <c r="I945" s="50">
        <f>((PlanGrid[[#This Row],[Demand Watt]]*PlanGrid[[#This Row],[Utilization %]]*'Schedule-Building Info'!$N$16)/1000)</f>
        <v>438</v>
      </c>
      <c r="J945" s="410">
        <f>PlanGrid[[#This Row],[kWh/yr]]*' Elec Utility (kWh)'!$M$7</f>
        <v>46.696642979575529</v>
      </c>
      <c r="K945" s="38">
        <f>PlanGrid[[#This Row],[kWh/yr]]/'Schedule-Building Info'!$B$6</f>
        <v>7.2028811524609843E-3</v>
      </c>
      <c r="L945" s="50">
        <f>CONVERT(PlanGrid[[#This Row],[kWh/yr]],"Wh","BTU")</f>
        <v>1494.5180353100384</v>
      </c>
      <c r="M945" s="38">
        <f>PlanGrid[[#This Row],[kBtu/yr]]/'Schedule-Building Info'!$B$6</f>
        <v>2.4577250658784692E-2</v>
      </c>
      <c r="P945" s="1" t="s">
        <v>1238</v>
      </c>
    </row>
    <row r="946" spans="1:19" x14ac:dyDescent="0.25">
      <c r="A946">
        <v>313</v>
      </c>
      <c r="B946" t="s">
        <v>658</v>
      </c>
      <c r="C946" t="s">
        <v>659</v>
      </c>
      <c r="D946" t="s">
        <v>662</v>
      </c>
      <c r="E946" s="50">
        <v>4000</v>
      </c>
      <c r="F946" s="38">
        <v>1</v>
      </c>
      <c r="G946" s="39">
        <v>0.75</v>
      </c>
      <c r="H946" s="58">
        <f>PlanGrid[[#This Row],[Spec Wattage]]*PlanGrid[[#This Row],[Equipment Count]]</f>
        <v>4000</v>
      </c>
      <c r="I946" s="50">
        <f>((PlanGrid[[#This Row],[Demand Watt]]*PlanGrid[[#This Row],[Utilization %]]*'Schedule-Building Info'!$N$16)/1000)</f>
        <v>16425</v>
      </c>
      <c r="J946" s="57">
        <f>PlanGrid[[#This Row],[kWh/yr]]*' Elec Utility (kWh)'!$M$7</f>
        <v>1751.1241117340824</v>
      </c>
      <c r="K946" s="38">
        <f>PlanGrid[[#This Row],[kWh/yr]]/'Schedule-Building Info'!$B$6</f>
        <v>0.27010804321728693</v>
      </c>
      <c r="L946" s="50">
        <f>CONVERT(PlanGrid[[#This Row],[kWh/yr]],"Wh","BTU")</f>
        <v>56044.426324126442</v>
      </c>
      <c r="M946" s="38">
        <f>PlanGrid[[#This Row],[kBtu/yr]]/'Schedule-Building Info'!$B$6</f>
        <v>0.92164689970442604</v>
      </c>
      <c r="N946" t="s">
        <v>1092</v>
      </c>
      <c r="O946">
        <v>1</v>
      </c>
      <c r="P946" t="s">
        <v>110</v>
      </c>
      <c r="Q946" t="s">
        <v>1027</v>
      </c>
      <c r="R946" t="s">
        <v>1056</v>
      </c>
      <c r="S946" t="s">
        <v>11</v>
      </c>
    </row>
    <row r="947" spans="1:19" x14ac:dyDescent="0.25">
      <c r="A947">
        <v>109</v>
      </c>
      <c r="B947" t="s">
        <v>22</v>
      </c>
      <c r="C947" t="s">
        <v>466</v>
      </c>
      <c r="D947" t="s">
        <v>502</v>
      </c>
      <c r="E947" s="50">
        <v>24</v>
      </c>
      <c r="F947" s="38">
        <v>2</v>
      </c>
      <c r="G947" s="39">
        <v>1</v>
      </c>
      <c r="H947" s="58">
        <f>PlanGrid[[#This Row],[Spec Wattage]]*PlanGrid[[#This Row],[Equipment Count]]</f>
        <v>48</v>
      </c>
      <c r="I947" s="50">
        <f>((PlanGrid[[#This Row],[Demand Watt]]*PlanGrid[[#This Row],[Utilization %]]*'Schedule-Building Info'!$N$16)/1000)</f>
        <v>262.8</v>
      </c>
      <c r="J947" s="57">
        <f>PlanGrid[[#This Row],[kWh/yr]]*' Elec Utility (kWh)'!$M$7</f>
        <v>28.017985787745317</v>
      </c>
      <c r="K947" s="38">
        <f>PlanGrid[[#This Row],[kWh/yr]]/'Schedule-Building Info'!$B$6</f>
        <v>4.3217286914765908E-3</v>
      </c>
      <c r="L947" s="50">
        <f>CONVERT(PlanGrid[[#This Row],[kWh/yr]],"Wh","BTU")</f>
        <v>896.71082118602305</v>
      </c>
      <c r="M947" s="38">
        <f>PlanGrid[[#This Row],[kBtu/yr]]/'Schedule-Building Info'!$B$6</f>
        <v>1.4746350395270816E-2</v>
      </c>
      <c r="N947" t="s">
        <v>1092</v>
      </c>
      <c r="O947">
        <v>0</v>
      </c>
      <c r="P947" t="str">
        <f>VLOOKUP(PlanGrid[[#This Row],[Title]],'Spec Wattages'!$A$1:$C$973,3,FALSE)</f>
        <v>Lighting</v>
      </c>
      <c r="Q947" t="s">
        <v>746</v>
      </c>
      <c r="R947" t="s">
        <v>747</v>
      </c>
      <c r="S947" t="s">
        <v>11</v>
      </c>
    </row>
    <row r="948" spans="1:19" x14ac:dyDescent="0.25">
      <c r="A948">
        <v>110</v>
      </c>
      <c r="B948" t="s">
        <v>22</v>
      </c>
      <c r="C948" t="s">
        <v>466</v>
      </c>
      <c r="D948" t="s">
        <v>502</v>
      </c>
      <c r="E948" s="50">
        <v>24</v>
      </c>
      <c r="F948" s="38">
        <v>2</v>
      </c>
      <c r="G948" s="39">
        <v>1</v>
      </c>
      <c r="H948" s="58">
        <f>PlanGrid[[#This Row],[Spec Wattage]]*PlanGrid[[#This Row],[Equipment Count]]</f>
        <v>48</v>
      </c>
      <c r="I948" s="50">
        <f>((PlanGrid[[#This Row],[Demand Watt]]*PlanGrid[[#This Row],[Utilization %]]*'Schedule-Building Info'!$N$16)/1000)</f>
        <v>262.8</v>
      </c>
      <c r="J948" s="57">
        <f>PlanGrid[[#This Row],[kWh/yr]]*' Elec Utility (kWh)'!$M$7</f>
        <v>28.017985787745317</v>
      </c>
      <c r="K948" s="38">
        <f>PlanGrid[[#This Row],[kWh/yr]]/'Schedule-Building Info'!$B$6</f>
        <v>4.3217286914765908E-3</v>
      </c>
      <c r="L948" s="50">
        <f>CONVERT(PlanGrid[[#This Row],[kWh/yr]],"Wh","BTU")</f>
        <v>896.71082118602305</v>
      </c>
      <c r="M948" s="38">
        <f>PlanGrid[[#This Row],[kBtu/yr]]/'Schedule-Building Info'!$B$6</f>
        <v>1.4746350395270816E-2</v>
      </c>
      <c r="N948" t="s">
        <v>1092</v>
      </c>
      <c r="O948">
        <v>0</v>
      </c>
      <c r="P948" t="str">
        <f>VLOOKUP(PlanGrid[[#This Row],[Title]],'Spec Wattages'!$A$1:$C$973,3,FALSE)</f>
        <v>Lighting</v>
      </c>
      <c r="Q948" t="s">
        <v>746</v>
      </c>
      <c r="R948" t="s">
        <v>747</v>
      </c>
      <c r="S948" t="s">
        <v>11</v>
      </c>
    </row>
    <row r="949" spans="1:19" x14ac:dyDescent="0.25">
      <c r="A949">
        <v>128</v>
      </c>
      <c r="B949" t="s">
        <v>22</v>
      </c>
      <c r="C949" t="s">
        <v>466</v>
      </c>
      <c r="D949" t="s">
        <v>502</v>
      </c>
      <c r="E949" s="50">
        <v>24</v>
      </c>
      <c r="F949" s="38">
        <v>2</v>
      </c>
      <c r="G949" s="39">
        <v>1</v>
      </c>
      <c r="H949" s="58">
        <f>PlanGrid[[#This Row],[Spec Wattage]]*PlanGrid[[#This Row],[Equipment Count]]</f>
        <v>48</v>
      </c>
      <c r="I949" s="50">
        <f>((PlanGrid[[#This Row],[Demand Watt]]*PlanGrid[[#This Row],[Utilization %]]*'Schedule-Building Info'!$N$16)/1000)</f>
        <v>262.8</v>
      </c>
      <c r="J949" s="57">
        <f>PlanGrid[[#This Row],[kWh/yr]]*' Elec Utility (kWh)'!$M$7</f>
        <v>28.017985787745317</v>
      </c>
      <c r="K949" s="38">
        <f>PlanGrid[[#This Row],[kWh/yr]]/'Schedule-Building Info'!$B$6</f>
        <v>4.3217286914765908E-3</v>
      </c>
      <c r="L949" s="50">
        <f>CONVERT(PlanGrid[[#This Row],[kWh/yr]],"Wh","BTU")</f>
        <v>896.71082118602305</v>
      </c>
      <c r="M949" s="38">
        <f>PlanGrid[[#This Row],[kBtu/yr]]/'Schedule-Building Info'!$B$6</f>
        <v>1.4746350395270816E-2</v>
      </c>
      <c r="N949" t="s">
        <v>1092</v>
      </c>
      <c r="O949">
        <v>0</v>
      </c>
      <c r="P949" t="str">
        <f>VLOOKUP(PlanGrid[[#This Row],[Title]],'Spec Wattages'!$A$1:$C$973,3,FALSE)</f>
        <v>Lighting</v>
      </c>
      <c r="Q949" t="s">
        <v>854</v>
      </c>
      <c r="R949" t="s">
        <v>937</v>
      </c>
      <c r="S949" t="s">
        <v>11</v>
      </c>
    </row>
    <row r="950" spans="1:19" x14ac:dyDescent="0.25">
      <c r="A950">
        <v>150</v>
      </c>
      <c r="B950" t="s">
        <v>22</v>
      </c>
      <c r="C950" t="s">
        <v>466</v>
      </c>
      <c r="D950" t="s">
        <v>502</v>
      </c>
      <c r="E950" s="50">
        <v>24</v>
      </c>
      <c r="F950" s="38">
        <v>2</v>
      </c>
      <c r="G950" s="39">
        <v>1</v>
      </c>
      <c r="H950" s="58">
        <f>PlanGrid[[#This Row],[Spec Wattage]]*PlanGrid[[#This Row],[Equipment Count]]</f>
        <v>48</v>
      </c>
      <c r="I950" s="50">
        <f>((PlanGrid[[#This Row],[Demand Watt]]*PlanGrid[[#This Row],[Utilization %]]*'Schedule-Building Info'!$N$16)/1000)</f>
        <v>262.8</v>
      </c>
      <c r="J950" s="57">
        <f>PlanGrid[[#This Row],[kWh/yr]]*' Elec Utility (kWh)'!$M$7</f>
        <v>28.017985787745317</v>
      </c>
      <c r="K950" s="38">
        <f>PlanGrid[[#This Row],[kWh/yr]]/'Schedule-Building Info'!$B$6</f>
        <v>4.3217286914765908E-3</v>
      </c>
      <c r="L950" s="50">
        <f>CONVERT(PlanGrid[[#This Row],[kWh/yr]],"Wh","BTU")</f>
        <v>896.71082118602305</v>
      </c>
      <c r="M950" s="38">
        <f>PlanGrid[[#This Row],[kBtu/yr]]/'Schedule-Building Info'!$B$6</f>
        <v>1.4746350395270816E-2</v>
      </c>
      <c r="N950" t="s">
        <v>1092</v>
      </c>
      <c r="O950">
        <v>0</v>
      </c>
      <c r="P950" t="str">
        <f>VLOOKUP(PlanGrid[[#This Row],[Title]],'Spec Wattages'!$A$1:$C$973,3,FALSE)</f>
        <v>Lighting</v>
      </c>
      <c r="Q950" t="s">
        <v>857</v>
      </c>
      <c r="R950" t="s">
        <v>746</v>
      </c>
      <c r="S950" t="s">
        <v>11</v>
      </c>
    </row>
    <row r="951" spans="1:19" x14ac:dyDescent="0.25">
      <c r="A951">
        <v>153</v>
      </c>
      <c r="B951" t="s">
        <v>22</v>
      </c>
      <c r="C951" t="s">
        <v>466</v>
      </c>
      <c r="D951" t="s">
        <v>502</v>
      </c>
      <c r="E951" s="50">
        <v>24</v>
      </c>
      <c r="F951" s="38">
        <v>2</v>
      </c>
      <c r="G951" s="39">
        <v>1</v>
      </c>
      <c r="H951" s="58">
        <f>PlanGrid[[#This Row],[Spec Wattage]]*PlanGrid[[#This Row],[Equipment Count]]</f>
        <v>48</v>
      </c>
      <c r="I951" s="50">
        <f>((PlanGrid[[#This Row],[Demand Watt]]*PlanGrid[[#This Row],[Utilization %]]*'Schedule-Building Info'!$N$16)/1000)</f>
        <v>262.8</v>
      </c>
      <c r="J951" s="57">
        <f>PlanGrid[[#This Row],[kWh/yr]]*' Elec Utility (kWh)'!$M$7</f>
        <v>28.017985787745317</v>
      </c>
      <c r="K951" s="38">
        <f>PlanGrid[[#This Row],[kWh/yr]]/'Schedule-Building Info'!$B$6</f>
        <v>4.3217286914765908E-3</v>
      </c>
      <c r="L951" s="50">
        <f>CONVERT(PlanGrid[[#This Row],[kWh/yr]],"Wh","BTU")</f>
        <v>896.71082118602305</v>
      </c>
      <c r="M951" s="38">
        <f>PlanGrid[[#This Row],[kBtu/yr]]/'Schedule-Building Info'!$B$6</f>
        <v>1.4746350395270816E-2</v>
      </c>
      <c r="N951" t="s">
        <v>1092</v>
      </c>
      <c r="O951">
        <v>0</v>
      </c>
      <c r="P951" t="str">
        <f>VLOOKUP(PlanGrid[[#This Row],[Title]],'Spec Wattages'!$A$1:$C$973,3,FALSE)</f>
        <v>Lighting</v>
      </c>
      <c r="Q951" t="s">
        <v>859</v>
      </c>
      <c r="R951" t="s">
        <v>746</v>
      </c>
      <c r="S951" t="s">
        <v>11</v>
      </c>
    </row>
    <row r="952" spans="1:19" x14ac:dyDescent="0.25">
      <c r="A952">
        <v>203</v>
      </c>
      <c r="B952" t="s">
        <v>22</v>
      </c>
      <c r="C952" t="s">
        <v>466</v>
      </c>
      <c r="D952" t="s">
        <v>502</v>
      </c>
      <c r="E952" s="50">
        <v>24</v>
      </c>
      <c r="F952" s="38">
        <v>2</v>
      </c>
      <c r="G952" s="39">
        <v>1</v>
      </c>
      <c r="H952" s="58">
        <f>PlanGrid[[#This Row],[Spec Wattage]]*PlanGrid[[#This Row],[Equipment Count]]</f>
        <v>48</v>
      </c>
      <c r="I952" s="50">
        <f>((PlanGrid[[#This Row],[Demand Watt]]*PlanGrid[[#This Row],[Utilization %]]*'Schedule-Building Info'!$N$16)/1000)</f>
        <v>262.8</v>
      </c>
      <c r="J952" s="57">
        <f>PlanGrid[[#This Row],[kWh/yr]]*' Elec Utility (kWh)'!$M$7</f>
        <v>28.017985787745317</v>
      </c>
      <c r="K952" s="38">
        <f>PlanGrid[[#This Row],[kWh/yr]]/'Schedule-Building Info'!$B$6</f>
        <v>4.3217286914765908E-3</v>
      </c>
      <c r="L952" s="50">
        <f>CONVERT(PlanGrid[[#This Row],[kWh/yr]],"Wh","BTU")</f>
        <v>896.71082118602305</v>
      </c>
      <c r="M952" s="38">
        <f>PlanGrid[[#This Row],[kBtu/yr]]/'Schedule-Building Info'!$B$6</f>
        <v>1.4746350395270816E-2</v>
      </c>
      <c r="N952" t="s">
        <v>1092</v>
      </c>
      <c r="O952">
        <v>0</v>
      </c>
      <c r="P952" t="str">
        <f>VLOOKUP(PlanGrid[[#This Row],[Title]],'Spec Wattages'!$A$1:$C$973,3,FALSE)</f>
        <v>Lighting</v>
      </c>
      <c r="Q952" t="s">
        <v>863</v>
      </c>
      <c r="R952" t="s">
        <v>864</v>
      </c>
      <c r="S952" t="s">
        <v>11</v>
      </c>
    </row>
    <row r="953" spans="1:19" x14ac:dyDescent="0.25">
      <c r="A953">
        <v>205</v>
      </c>
      <c r="B953" t="s">
        <v>22</v>
      </c>
      <c r="C953" t="s">
        <v>466</v>
      </c>
      <c r="D953" t="s">
        <v>502</v>
      </c>
      <c r="E953" s="50">
        <v>24</v>
      </c>
      <c r="F953" s="38">
        <v>2</v>
      </c>
      <c r="G953" s="39">
        <v>1</v>
      </c>
      <c r="H953" s="58">
        <f>PlanGrid[[#This Row],[Spec Wattage]]*PlanGrid[[#This Row],[Equipment Count]]</f>
        <v>48</v>
      </c>
      <c r="I953" s="50">
        <f>((PlanGrid[[#This Row],[Demand Watt]]*PlanGrid[[#This Row],[Utilization %]]*'Schedule-Building Info'!$N$16)/1000)</f>
        <v>262.8</v>
      </c>
      <c r="J953" s="57">
        <f>PlanGrid[[#This Row],[kWh/yr]]*' Elec Utility (kWh)'!$M$7</f>
        <v>28.017985787745317</v>
      </c>
      <c r="K953" s="38">
        <f>PlanGrid[[#This Row],[kWh/yr]]/'Schedule-Building Info'!$B$6</f>
        <v>4.3217286914765908E-3</v>
      </c>
      <c r="L953" s="50">
        <f>CONVERT(PlanGrid[[#This Row],[kWh/yr]],"Wh","BTU")</f>
        <v>896.71082118602305</v>
      </c>
      <c r="M953" s="38">
        <f>PlanGrid[[#This Row],[kBtu/yr]]/'Schedule-Building Info'!$B$6</f>
        <v>1.4746350395270816E-2</v>
      </c>
      <c r="N953" t="s">
        <v>1092</v>
      </c>
      <c r="O953">
        <v>0</v>
      </c>
      <c r="P953" t="str">
        <f>VLOOKUP(PlanGrid[[#This Row],[Title]],'Spec Wattages'!$A$1:$C$973,3,FALSE)</f>
        <v>Lighting</v>
      </c>
      <c r="Q953" t="s">
        <v>863</v>
      </c>
      <c r="R953" t="s">
        <v>864</v>
      </c>
      <c r="S953" t="s">
        <v>11</v>
      </c>
    </row>
    <row r="954" spans="1:19" x14ac:dyDescent="0.25">
      <c r="A954">
        <v>206</v>
      </c>
      <c r="B954" t="s">
        <v>22</v>
      </c>
      <c r="C954" t="s">
        <v>466</v>
      </c>
      <c r="D954" t="s">
        <v>502</v>
      </c>
      <c r="E954" s="50">
        <v>24</v>
      </c>
      <c r="F954" s="38">
        <v>2</v>
      </c>
      <c r="G954" s="39">
        <v>1</v>
      </c>
      <c r="H954" s="58">
        <f>PlanGrid[[#This Row],[Spec Wattage]]*PlanGrid[[#This Row],[Equipment Count]]</f>
        <v>48</v>
      </c>
      <c r="I954" s="50">
        <f>((PlanGrid[[#This Row],[Demand Watt]]*PlanGrid[[#This Row],[Utilization %]]*'Schedule-Building Info'!$N$16)/1000)</f>
        <v>262.8</v>
      </c>
      <c r="J954" s="57">
        <f>PlanGrid[[#This Row],[kWh/yr]]*' Elec Utility (kWh)'!$M$7</f>
        <v>28.017985787745317</v>
      </c>
      <c r="K954" s="38">
        <f>PlanGrid[[#This Row],[kWh/yr]]/'Schedule-Building Info'!$B$6</f>
        <v>4.3217286914765908E-3</v>
      </c>
      <c r="L954" s="50">
        <f>CONVERT(PlanGrid[[#This Row],[kWh/yr]],"Wh","BTU")</f>
        <v>896.71082118602305</v>
      </c>
      <c r="M954" s="38">
        <f>PlanGrid[[#This Row],[kBtu/yr]]/'Schedule-Building Info'!$B$6</f>
        <v>1.4746350395270816E-2</v>
      </c>
      <c r="N954" t="s">
        <v>1092</v>
      </c>
      <c r="O954">
        <v>0</v>
      </c>
      <c r="P954" t="str">
        <f>VLOOKUP(PlanGrid[[#This Row],[Title]],'Spec Wattages'!$A$1:$C$973,3,FALSE)</f>
        <v>Lighting</v>
      </c>
      <c r="Q954" t="s">
        <v>863</v>
      </c>
      <c r="R954" t="s">
        <v>864</v>
      </c>
      <c r="S954" t="s">
        <v>11</v>
      </c>
    </row>
    <row r="955" spans="1:19" x14ac:dyDescent="0.25">
      <c r="A955" s="3">
        <v>207</v>
      </c>
      <c r="B955" t="s">
        <v>22</v>
      </c>
      <c r="C955" t="s">
        <v>466</v>
      </c>
      <c r="D955" t="s">
        <v>502</v>
      </c>
      <c r="E955" s="50">
        <v>24</v>
      </c>
      <c r="F955" s="38">
        <v>2</v>
      </c>
      <c r="G955" s="39">
        <v>1</v>
      </c>
      <c r="H955" s="58">
        <f>PlanGrid[[#This Row],[Spec Wattage]]*PlanGrid[[#This Row],[Equipment Count]]</f>
        <v>48</v>
      </c>
      <c r="I955" s="50">
        <f>((PlanGrid[[#This Row],[Demand Watt]]*PlanGrid[[#This Row],[Utilization %]]*'Schedule-Building Info'!$N$16)/1000)</f>
        <v>262.8</v>
      </c>
      <c r="J955" s="57">
        <f>PlanGrid[[#This Row],[kWh/yr]]*' Elec Utility (kWh)'!$M$7</f>
        <v>28.017985787745317</v>
      </c>
      <c r="K955" s="38">
        <f>PlanGrid[[#This Row],[kWh/yr]]/'Schedule-Building Info'!$B$6</f>
        <v>4.3217286914765908E-3</v>
      </c>
      <c r="L955" s="50">
        <f>CONVERT(PlanGrid[[#This Row],[kWh/yr]],"Wh","BTU")</f>
        <v>896.71082118602305</v>
      </c>
      <c r="M955" s="38">
        <f>PlanGrid[[#This Row],[kBtu/yr]]/'Schedule-Building Info'!$B$6</f>
        <v>1.4746350395270816E-2</v>
      </c>
      <c r="N955" t="s">
        <v>1092</v>
      </c>
      <c r="O955">
        <v>0</v>
      </c>
      <c r="P955" t="str">
        <f>VLOOKUP(PlanGrid[[#This Row],[Title]],'Spec Wattages'!$A$1:$C$973,3,FALSE)</f>
        <v>Lighting</v>
      </c>
      <c r="Q955" t="s">
        <v>863</v>
      </c>
      <c r="R955" t="s">
        <v>864</v>
      </c>
      <c r="S955" t="s">
        <v>11</v>
      </c>
    </row>
    <row r="956" spans="1:19" x14ac:dyDescent="0.25">
      <c r="A956">
        <v>213</v>
      </c>
      <c r="B956" t="s">
        <v>22</v>
      </c>
      <c r="C956" t="s">
        <v>466</v>
      </c>
      <c r="D956" t="s">
        <v>502</v>
      </c>
      <c r="E956" s="50">
        <v>24</v>
      </c>
      <c r="F956" s="38">
        <v>2</v>
      </c>
      <c r="G956" s="39">
        <v>1</v>
      </c>
      <c r="H956" s="38">
        <f>PlanGrid[[#This Row],[Spec Wattage]]*PlanGrid[[#This Row],[Equipment Count]]</f>
        <v>48</v>
      </c>
      <c r="I956" s="38">
        <f>((PlanGrid[[#This Row],[Demand Watt]]*PlanGrid[[#This Row],[Utilization %]]*'Schedule-Building Info'!$N$16)/1000)</f>
        <v>262.8</v>
      </c>
      <c r="J956" s="57">
        <f>PlanGrid[[#This Row],[kWh/yr]]*' Elec Utility (kWh)'!$M$7</f>
        <v>28.017985787745317</v>
      </c>
      <c r="K956" s="38">
        <f>PlanGrid[[#This Row],[kWh/yr]]/'Schedule-Building Info'!$B$6</f>
        <v>4.3217286914765908E-3</v>
      </c>
      <c r="L956" s="50">
        <f>CONVERT(PlanGrid[[#This Row],[kWh/yr]],"Wh","BTU")</f>
        <v>896.71082118602305</v>
      </c>
      <c r="M956" s="38">
        <f>PlanGrid[[#This Row],[kBtu/yr]]/'Schedule-Building Info'!$B$6</f>
        <v>1.4746350395270816E-2</v>
      </c>
      <c r="N956" t="s">
        <v>1092</v>
      </c>
      <c r="O956">
        <v>0</v>
      </c>
      <c r="P956" t="str">
        <f>VLOOKUP(PlanGrid[[#This Row],[Title]],'Spec Wattages'!$A$1:$C$973,3,FALSE)</f>
        <v>Lighting</v>
      </c>
      <c r="Q956" t="s">
        <v>790</v>
      </c>
      <c r="R956" t="s">
        <v>939</v>
      </c>
      <c r="S956" t="s">
        <v>11</v>
      </c>
    </row>
    <row r="957" spans="1:19" x14ac:dyDescent="0.25">
      <c r="A957">
        <v>16</v>
      </c>
      <c r="B957" t="s">
        <v>43</v>
      </c>
      <c r="C957" t="s">
        <v>44</v>
      </c>
      <c r="D957" t="s">
        <v>577</v>
      </c>
      <c r="E957" s="50">
        <v>24</v>
      </c>
      <c r="F957" s="38">
        <v>2</v>
      </c>
      <c r="G957" s="39">
        <v>1</v>
      </c>
      <c r="H957" s="58">
        <f>PlanGrid[[#This Row],[Spec Wattage]]*PlanGrid[[#This Row],[Equipment Count]]</f>
        <v>48</v>
      </c>
      <c r="I957" s="50">
        <f>((PlanGrid[[#This Row],[Demand Watt]]*PlanGrid[[#This Row],[Utilization %]]*'Schedule-Building Info'!$N$16)/1000)</f>
        <v>262.8</v>
      </c>
      <c r="J957" s="57">
        <f>PlanGrid[[#This Row],[kWh/yr]]*' Elec Utility (kWh)'!$M$7</f>
        <v>28.017985787745317</v>
      </c>
      <c r="K957" s="38">
        <f>PlanGrid[[#This Row],[kWh/yr]]/'Schedule-Building Info'!$B$6</f>
        <v>4.3217286914765908E-3</v>
      </c>
      <c r="L957" s="50">
        <f>CONVERT(PlanGrid[[#This Row],[kWh/yr]],"Wh","BTU")</f>
        <v>896.71082118602305</v>
      </c>
      <c r="M957" s="38">
        <f>PlanGrid[[#This Row],[kBtu/yr]]/'Schedule-Building Info'!$B$6</f>
        <v>1.4746350395270816E-2</v>
      </c>
      <c r="N957" t="s">
        <v>1091</v>
      </c>
      <c r="O957">
        <v>0</v>
      </c>
      <c r="P957" t="str">
        <f>VLOOKUP(PlanGrid[[#This Row],[Title]],'Spec Wattages'!$A$1:$C$973,3,FALSE)</f>
        <v>Lighting</v>
      </c>
      <c r="Q957" t="s">
        <v>970</v>
      </c>
      <c r="R957" t="s">
        <v>1072</v>
      </c>
      <c r="S957" t="s">
        <v>51</v>
      </c>
    </row>
    <row r="958" spans="1:19" x14ac:dyDescent="0.25">
      <c r="A958">
        <v>725</v>
      </c>
      <c r="B958" t="s">
        <v>22</v>
      </c>
      <c r="C958" t="s">
        <v>466</v>
      </c>
      <c r="D958" t="s">
        <v>490</v>
      </c>
      <c r="E958" s="50">
        <v>24</v>
      </c>
      <c r="F958" s="38">
        <v>2</v>
      </c>
      <c r="G958" s="39">
        <v>1</v>
      </c>
      <c r="H958" s="50">
        <f>PlanGrid[[#This Row],[Spec Wattage]]*PlanGrid[[#This Row],[Equipment Count]]</f>
        <v>48</v>
      </c>
      <c r="I958" s="50">
        <f>((PlanGrid[[#This Row],[Demand Watt]]*PlanGrid[[#This Row],[Utilization %]]*'Schedule-Building Info'!$N$16)/1000)</f>
        <v>262.8</v>
      </c>
      <c r="J958" s="57">
        <f>PlanGrid[[#This Row],[kWh/yr]]*' Elec Utility (kWh)'!$M$7</f>
        <v>28.017985787745317</v>
      </c>
      <c r="K958" s="49">
        <f>PlanGrid[[#This Row],[kWh/yr]]/'Schedule-Building Info'!$B$6</f>
        <v>4.3217286914765908E-3</v>
      </c>
      <c r="L958" s="50">
        <f>CONVERT(PlanGrid[[#This Row],[kWh/yr]],"Wh","BTU")</f>
        <v>896.71082118602305</v>
      </c>
      <c r="M958" s="38">
        <f>PlanGrid[[#This Row],[kBtu/yr]]/'Schedule-Building Info'!$B$6</f>
        <v>1.4746350395270816E-2</v>
      </c>
      <c r="N958" t="s">
        <v>1090</v>
      </c>
      <c r="O958">
        <v>0</v>
      </c>
      <c r="P958" t="str">
        <f>VLOOKUP(PlanGrid[[#This Row],[Title]],'Spec Wattages'!$A$1:$C$973,3,FALSE)</f>
        <v>Lighting</v>
      </c>
      <c r="Q958" t="s">
        <v>819</v>
      </c>
      <c r="R958" t="s">
        <v>819</v>
      </c>
      <c r="S958" t="s">
        <v>51</v>
      </c>
    </row>
    <row r="959" spans="1:19" x14ac:dyDescent="0.25">
      <c r="A959">
        <v>243</v>
      </c>
      <c r="B959" t="s">
        <v>22</v>
      </c>
      <c r="C959" t="s">
        <v>466</v>
      </c>
      <c r="D959" t="s">
        <v>509</v>
      </c>
      <c r="E959" s="50">
        <v>12</v>
      </c>
      <c r="F959" s="38">
        <v>4</v>
      </c>
      <c r="G959" s="39">
        <v>1</v>
      </c>
      <c r="H959" s="38">
        <f>PlanGrid[[#This Row],[Spec Wattage]]*PlanGrid[[#This Row],[Equipment Count]]</f>
        <v>48</v>
      </c>
      <c r="I959" s="38">
        <f>((PlanGrid[[#This Row],[Demand Watt]]*PlanGrid[[#This Row],[Utilization %]]*'Schedule-Building Info'!$N$16)/1000)</f>
        <v>262.8</v>
      </c>
      <c r="J959" s="57">
        <f>PlanGrid[[#This Row],[kWh/yr]]*' Elec Utility (kWh)'!$M$7</f>
        <v>28.017985787745317</v>
      </c>
      <c r="K959" s="38">
        <f>PlanGrid[[#This Row],[kWh/yr]]/'Schedule-Building Info'!$B$6</f>
        <v>4.3217286914765908E-3</v>
      </c>
      <c r="L959" s="50">
        <f>CONVERT(PlanGrid[[#This Row],[kWh/yr]],"Wh","BTU")</f>
        <v>896.71082118602305</v>
      </c>
      <c r="M959" s="38">
        <f>PlanGrid[[#This Row],[kBtu/yr]]/'Schedule-Building Info'!$B$6</f>
        <v>1.4746350395270816E-2</v>
      </c>
      <c r="N959" t="s">
        <v>1092</v>
      </c>
      <c r="O959">
        <v>0</v>
      </c>
      <c r="P959" t="str">
        <f>VLOOKUP(PlanGrid[[#This Row],[Title]],'Spec Wattages'!$A$1:$C$973,3,FALSE)</f>
        <v>Lighting</v>
      </c>
      <c r="Q959" t="s">
        <v>867</v>
      </c>
      <c r="R959" t="s">
        <v>867</v>
      </c>
      <c r="S959" t="s">
        <v>51</v>
      </c>
    </row>
    <row r="960" spans="1:19" x14ac:dyDescent="0.25">
      <c r="A960">
        <v>676</v>
      </c>
      <c r="B960" t="s">
        <v>43</v>
      </c>
      <c r="C960" t="s">
        <v>44</v>
      </c>
      <c r="D960" t="s">
        <v>561</v>
      </c>
      <c r="E960" s="50">
        <v>50</v>
      </c>
      <c r="F960" s="38">
        <v>1</v>
      </c>
      <c r="G960" s="39">
        <v>1</v>
      </c>
      <c r="H960" s="58">
        <f>PlanGrid[[#This Row],[Spec Wattage]]*PlanGrid[[#This Row],[Equipment Count]]</f>
        <v>50</v>
      </c>
      <c r="I960" s="50">
        <f>((PlanGrid[[#This Row],[Demand Watt]]*PlanGrid[[#This Row],[Utilization %]]*'Schedule-Building Info'!$N$16)/1000)</f>
        <v>273.75</v>
      </c>
      <c r="J960" s="57">
        <f>PlanGrid[[#This Row],[kWh/yr]]*' Elec Utility (kWh)'!$M$7</f>
        <v>29.185401862234706</v>
      </c>
      <c r="K960" s="38">
        <f>PlanGrid[[#This Row],[kWh/yr]]/'Schedule-Building Info'!$B$6</f>
        <v>4.501800720288115E-3</v>
      </c>
      <c r="L960" s="50">
        <f>CONVERT(PlanGrid[[#This Row],[kWh/yr]],"Wh","BTU")</f>
        <v>934.07377206877402</v>
      </c>
      <c r="M960" s="38">
        <f>PlanGrid[[#This Row],[kBtu/yr]]/'Schedule-Building Info'!$B$6</f>
        <v>1.5360781661740434E-2</v>
      </c>
      <c r="N960" t="s">
        <v>1090</v>
      </c>
      <c r="O960">
        <v>0</v>
      </c>
      <c r="P960" t="str">
        <f>VLOOKUP(PlanGrid[[#This Row],[Title]],'Spec Wattages'!$A$1:$C$973,3,FALSE)</f>
        <v>Lighting</v>
      </c>
      <c r="Q960" t="s">
        <v>812</v>
      </c>
      <c r="R960" t="s">
        <v>812</v>
      </c>
      <c r="S960" t="s">
        <v>51</v>
      </c>
    </row>
    <row r="961" spans="1:19" x14ac:dyDescent="0.25">
      <c r="A961">
        <v>946</v>
      </c>
      <c r="B961" t="s">
        <v>43</v>
      </c>
      <c r="C961" t="s">
        <v>44</v>
      </c>
      <c r="D961" t="s">
        <v>545</v>
      </c>
      <c r="E961" s="50">
        <v>25</v>
      </c>
      <c r="F961" s="38">
        <v>2</v>
      </c>
      <c r="G961" s="39">
        <v>1</v>
      </c>
      <c r="H961" s="58">
        <f>PlanGrid[[#This Row],[Spec Wattage]]*PlanGrid[[#This Row],[Equipment Count]]</f>
        <v>50</v>
      </c>
      <c r="I961" s="50">
        <f>((PlanGrid[[#This Row],[Demand Watt]]*PlanGrid[[#This Row],[Utilization %]]*'Schedule-Building Info'!$N$16)/1000)</f>
        <v>273.75</v>
      </c>
      <c r="J961" s="57">
        <f>PlanGrid[[#This Row],[kWh/yr]]*' Elec Utility (kWh)'!$M$7</f>
        <v>29.185401862234706</v>
      </c>
      <c r="K961" s="38">
        <f>PlanGrid[[#This Row],[kWh/yr]]/'Schedule-Building Info'!$B$6</f>
        <v>4.501800720288115E-3</v>
      </c>
      <c r="L961" s="50">
        <f>CONVERT(PlanGrid[[#This Row],[kWh/yr]],"Wh","BTU")</f>
        <v>934.07377206877402</v>
      </c>
      <c r="M961" s="38">
        <f>PlanGrid[[#This Row],[kBtu/yr]]/'Schedule-Building Info'!$B$6</f>
        <v>1.5360781661740434E-2</v>
      </c>
      <c r="N961" t="s">
        <v>1089</v>
      </c>
      <c r="O961">
        <v>0</v>
      </c>
      <c r="P961" t="str">
        <f>VLOOKUP(PlanGrid[[#This Row],[Title]],'Spec Wattages'!$A$1:$C$973,3,FALSE)</f>
        <v>Lighting</v>
      </c>
      <c r="Q961" t="s">
        <v>733</v>
      </c>
      <c r="R961" t="s">
        <v>733</v>
      </c>
      <c r="S961" t="s">
        <v>51</v>
      </c>
    </row>
    <row r="962" spans="1:19" x14ac:dyDescent="0.25">
      <c r="A962">
        <v>614</v>
      </c>
      <c r="B962" t="s">
        <v>463</v>
      </c>
      <c r="C962" t="s">
        <v>464</v>
      </c>
      <c r="D962" t="s">
        <v>465</v>
      </c>
      <c r="E962" s="50">
        <v>60</v>
      </c>
      <c r="F962" s="38">
        <v>1</v>
      </c>
      <c r="G962" s="39">
        <v>1</v>
      </c>
      <c r="H962" s="50">
        <v>60</v>
      </c>
      <c r="I962" s="50">
        <f>((PlanGrid[[#This Row],[Demand Watt]]*PlanGrid[[#This Row],[Utilization %]]*'Schedule-Building Info'!$N$16)/1000)</f>
        <v>328.5</v>
      </c>
      <c r="J962" s="57">
        <f>PlanGrid[[#This Row],[kWh/yr]]*' Elec Utility (kWh)'!$M$7</f>
        <v>35.022482234681647</v>
      </c>
      <c r="K962" s="49">
        <f>PlanGrid[[#This Row],[kWh/yr]]/'Schedule-Building Info'!$B$6</f>
        <v>5.4021608643457387E-3</v>
      </c>
      <c r="L962" s="50">
        <f>CONVERT(PlanGrid[[#This Row],[kWh/yr]],"Wh","BTU")</f>
        <v>1120.8885264825287</v>
      </c>
      <c r="M962" s="38">
        <f>PlanGrid[[#This Row],[kBtu/yr]]/'Schedule-Building Info'!$B$6</f>
        <v>1.843293799408852E-2</v>
      </c>
      <c r="N962" t="s">
        <v>1092</v>
      </c>
      <c r="O962">
        <v>0</v>
      </c>
      <c r="P962" t="s">
        <v>88</v>
      </c>
      <c r="Q962" t="s">
        <v>794</v>
      </c>
      <c r="R962" t="s">
        <v>913</v>
      </c>
      <c r="S962" t="s">
        <v>11</v>
      </c>
    </row>
    <row r="963" spans="1:19" x14ac:dyDescent="0.25">
      <c r="A963">
        <v>1041</v>
      </c>
      <c r="B963" t="s">
        <v>43</v>
      </c>
      <c r="C963" t="s">
        <v>44</v>
      </c>
      <c r="D963" t="s">
        <v>555</v>
      </c>
      <c r="E963" s="50">
        <v>60</v>
      </c>
      <c r="F963" s="38">
        <v>1</v>
      </c>
      <c r="G963" s="39">
        <v>1</v>
      </c>
      <c r="H963" s="58">
        <f>PlanGrid[[#This Row],[Spec Wattage]]*PlanGrid[[#This Row],[Equipment Count]]</f>
        <v>60</v>
      </c>
      <c r="I963" s="50">
        <f>((PlanGrid[[#This Row],[Demand Watt]]*PlanGrid[[#This Row],[Utilization %]]*'Schedule-Building Info'!$N$16)/1000)</f>
        <v>328.5</v>
      </c>
      <c r="J963" s="57">
        <f>PlanGrid[[#This Row],[kWh/yr]]*' Elec Utility (kWh)'!$M$7</f>
        <v>35.022482234681647</v>
      </c>
      <c r="K963" s="38">
        <f>PlanGrid[[#This Row],[kWh/yr]]/'Schedule-Building Info'!$B$6</f>
        <v>5.4021608643457387E-3</v>
      </c>
      <c r="L963" s="50">
        <f>CONVERT(PlanGrid[[#This Row],[kWh/yr]],"Wh","BTU")</f>
        <v>1120.8885264825287</v>
      </c>
      <c r="M963" s="38">
        <f>PlanGrid[[#This Row],[kBtu/yr]]/'Schedule-Building Info'!$B$6</f>
        <v>1.843293799408852E-2</v>
      </c>
      <c r="N963" t="s">
        <v>1089</v>
      </c>
      <c r="O963">
        <v>0</v>
      </c>
      <c r="P963" t="str">
        <f>VLOOKUP(PlanGrid[[#This Row],[Title]],'Spec Wattages'!$A$1:$C$973,3,FALSE)</f>
        <v>Lighting</v>
      </c>
      <c r="Q963" t="s">
        <v>763</v>
      </c>
      <c r="R963" t="s">
        <v>763</v>
      </c>
      <c r="S963" t="s">
        <v>11</v>
      </c>
    </row>
    <row r="964" spans="1:19" x14ac:dyDescent="0.25">
      <c r="A964">
        <v>332</v>
      </c>
      <c r="B964" t="s">
        <v>43</v>
      </c>
      <c r="C964" t="s">
        <v>44</v>
      </c>
      <c r="D964" t="s">
        <v>586</v>
      </c>
      <c r="E964" s="50">
        <v>60</v>
      </c>
      <c r="F964" s="38">
        <v>1</v>
      </c>
      <c r="G964" s="39">
        <v>1</v>
      </c>
      <c r="H964" s="58">
        <f>PlanGrid[[#This Row],[Spec Wattage]]*PlanGrid[[#This Row],[Equipment Count]]</f>
        <v>60</v>
      </c>
      <c r="I964" s="50">
        <f>((PlanGrid[[#This Row],[Demand Watt]]*PlanGrid[[#This Row],[Utilization %]]*'Schedule-Building Info'!$N$16)/1000)</f>
        <v>328.5</v>
      </c>
      <c r="J964" s="57">
        <f>PlanGrid[[#This Row],[kWh/yr]]*' Elec Utility (kWh)'!$M$7</f>
        <v>35.022482234681647</v>
      </c>
      <c r="K964" s="38">
        <f>PlanGrid[[#This Row],[kWh/yr]]/'Schedule-Building Info'!$B$6</f>
        <v>5.4021608643457387E-3</v>
      </c>
      <c r="L964" s="50">
        <f>CONVERT(PlanGrid[[#This Row],[kWh/yr]],"Wh","BTU")</f>
        <v>1120.8885264825287</v>
      </c>
      <c r="M964" s="38">
        <f>PlanGrid[[#This Row],[kBtu/yr]]/'Schedule-Building Info'!$B$6</f>
        <v>1.843293799408852E-2</v>
      </c>
      <c r="N964" t="s">
        <v>1092</v>
      </c>
      <c r="O964">
        <v>0</v>
      </c>
      <c r="P964" t="str">
        <f>VLOOKUP(PlanGrid[[#This Row],[Title]],'Spec Wattages'!$A$1:$C$973,3,FALSE)</f>
        <v>Lighting</v>
      </c>
      <c r="Q964" t="s">
        <v>974</v>
      </c>
      <c r="R964" t="s">
        <v>1056</v>
      </c>
      <c r="S964" t="s">
        <v>11</v>
      </c>
    </row>
    <row r="965" spans="1:19" x14ac:dyDescent="0.25">
      <c r="A965">
        <v>988</v>
      </c>
      <c r="B965" t="s">
        <v>43</v>
      </c>
      <c r="C965" t="s">
        <v>44</v>
      </c>
      <c r="D965" t="s">
        <v>549</v>
      </c>
      <c r="E965" s="50">
        <v>72</v>
      </c>
      <c r="F965" s="38">
        <v>1</v>
      </c>
      <c r="G965" s="39">
        <v>1</v>
      </c>
      <c r="H965" s="58">
        <f>PlanGrid[[#This Row],[Spec Wattage]]*PlanGrid[[#This Row],[Equipment Count]]</f>
        <v>72</v>
      </c>
      <c r="I965" s="50">
        <f>((PlanGrid[[#This Row],[Demand Watt]]*PlanGrid[[#This Row],[Utilization %]]*'Schedule-Building Info'!$N$16)/1000)</f>
        <v>394.2</v>
      </c>
      <c r="J965" s="57">
        <f>PlanGrid[[#This Row],[kWh/yr]]*' Elec Utility (kWh)'!$M$7</f>
        <v>42.026978681617976</v>
      </c>
      <c r="K965" s="38">
        <f>PlanGrid[[#This Row],[kWh/yr]]/'Schedule-Building Info'!$B$6</f>
        <v>6.4825930372148857E-3</v>
      </c>
      <c r="L965" s="50">
        <f>CONVERT(PlanGrid[[#This Row],[kWh/yr]],"Wh","BTU")</f>
        <v>1345.0662317790345</v>
      </c>
      <c r="M965" s="38">
        <f>PlanGrid[[#This Row],[kBtu/yr]]/'Schedule-Building Info'!$B$6</f>
        <v>2.2119525592906222E-2</v>
      </c>
      <c r="N965" t="s">
        <v>1089</v>
      </c>
      <c r="O965">
        <v>0</v>
      </c>
      <c r="P965" t="str">
        <f>VLOOKUP(PlanGrid[[#This Row],[Title]],'Spec Wattages'!$A$1:$C$973,3,FALSE)</f>
        <v>Lighting</v>
      </c>
      <c r="Q965" t="s">
        <v>734</v>
      </c>
      <c r="R965" t="s">
        <v>734</v>
      </c>
      <c r="S965" t="s">
        <v>11</v>
      </c>
    </row>
    <row r="966" spans="1:19" x14ac:dyDescent="0.25">
      <c r="A966">
        <v>1066</v>
      </c>
      <c r="B966" t="s">
        <v>22</v>
      </c>
      <c r="C966" t="s">
        <v>466</v>
      </c>
      <c r="D966" t="s">
        <v>482</v>
      </c>
      <c r="E966" s="50">
        <v>36</v>
      </c>
      <c r="F966" s="38">
        <v>2</v>
      </c>
      <c r="G966" s="39">
        <v>1</v>
      </c>
      <c r="H966" s="50">
        <f>PlanGrid[[#This Row],[Spec Wattage]]*PlanGrid[[#This Row],[Equipment Count]]</f>
        <v>72</v>
      </c>
      <c r="I966" s="50">
        <f>((PlanGrid[[#This Row],[Demand Watt]]*PlanGrid[[#This Row],[Utilization %]]*'Schedule-Building Info'!$N$16)/1000)</f>
        <v>394.2</v>
      </c>
      <c r="J966" s="57">
        <f>PlanGrid[[#This Row],[kWh/yr]]*' Elec Utility (kWh)'!$M$7</f>
        <v>42.026978681617976</v>
      </c>
      <c r="K966" s="49">
        <f>PlanGrid[[#This Row],[kWh/yr]]/'Schedule-Building Info'!$B$6</f>
        <v>6.4825930372148857E-3</v>
      </c>
      <c r="L966" s="50">
        <f>CONVERT(PlanGrid[[#This Row],[kWh/yr]],"Wh","BTU")</f>
        <v>1345.0662317790345</v>
      </c>
      <c r="M966" s="38">
        <f>PlanGrid[[#This Row],[kBtu/yr]]/'Schedule-Building Info'!$B$6</f>
        <v>2.2119525592906222E-2</v>
      </c>
      <c r="N966" t="s">
        <v>1089</v>
      </c>
      <c r="O966">
        <v>0</v>
      </c>
      <c r="P966" t="str">
        <f>VLOOKUP(PlanGrid[[#This Row],[Title]],'Spec Wattages'!$A$1:$C$973,3,FALSE)</f>
        <v>Lighting</v>
      </c>
      <c r="Q966" t="s">
        <v>802</v>
      </c>
      <c r="R966" t="s">
        <v>802</v>
      </c>
      <c r="S966" t="s">
        <v>11</v>
      </c>
    </row>
    <row r="967" spans="1:19" x14ac:dyDescent="0.25">
      <c r="A967">
        <v>990</v>
      </c>
      <c r="B967" t="s">
        <v>22</v>
      </c>
      <c r="C967" t="s">
        <v>466</v>
      </c>
      <c r="D967" t="s">
        <v>23</v>
      </c>
      <c r="E967" s="50">
        <v>36</v>
      </c>
      <c r="F967" s="38">
        <v>2</v>
      </c>
      <c r="G967" s="39">
        <v>1</v>
      </c>
      <c r="H967" s="50">
        <f>PlanGrid[[#This Row],[Spec Wattage]]*PlanGrid[[#This Row],[Equipment Count]]</f>
        <v>72</v>
      </c>
      <c r="I967" s="50">
        <f>((PlanGrid[[#This Row],[Demand Watt]]*PlanGrid[[#This Row],[Utilization %]]*'Schedule-Building Info'!$N$16)/1000)</f>
        <v>394.2</v>
      </c>
      <c r="J967" s="57">
        <f>PlanGrid[[#This Row],[kWh/yr]]*' Elec Utility (kWh)'!$M$7</f>
        <v>42.026978681617976</v>
      </c>
      <c r="K967" s="49">
        <f>PlanGrid[[#This Row],[kWh/yr]]/'Schedule-Building Info'!$B$6</f>
        <v>6.4825930372148857E-3</v>
      </c>
      <c r="L967" s="50">
        <f>CONVERT(PlanGrid[[#This Row],[kWh/yr]],"Wh","BTU")</f>
        <v>1345.0662317790345</v>
      </c>
      <c r="M967" s="38">
        <f>PlanGrid[[#This Row],[kBtu/yr]]/'Schedule-Building Info'!$B$6</f>
        <v>2.2119525592906222E-2</v>
      </c>
      <c r="N967" t="s">
        <v>1089</v>
      </c>
      <c r="O967">
        <v>0</v>
      </c>
      <c r="P967" t="str">
        <f>VLOOKUP(PlanGrid[[#This Row],[Title]],'Spec Wattages'!$A$1:$C$973,3,FALSE)</f>
        <v>Lighting</v>
      </c>
      <c r="Q967" t="s">
        <v>734</v>
      </c>
      <c r="R967" t="s">
        <v>739</v>
      </c>
      <c r="S967" t="s">
        <v>11</v>
      </c>
    </row>
    <row r="968" spans="1:19" x14ac:dyDescent="0.25">
      <c r="A968">
        <v>999</v>
      </c>
      <c r="B968" t="s">
        <v>22</v>
      </c>
      <c r="C968" t="s">
        <v>466</v>
      </c>
      <c r="D968" t="s">
        <v>23</v>
      </c>
      <c r="E968" s="50">
        <v>36</v>
      </c>
      <c r="F968" s="38">
        <v>2</v>
      </c>
      <c r="G968" s="39">
        <v>1</v>
      </c>
      <c r="H968" s="50">
        <f>PlanGrid[[#This Row],[Spec Wattage]]*PlanGrid[[#This Row],[Equipment Count]]</f>
        <v>72</v>
      </c>
      <c r="I968" s="50">
        <f>((PlanGrid[[#This Row],[Demand Watt]]*PlanGrid[[#This Row],[Utilization %]]*'Schedule-Building Info'!$N$16)/1000)</f>
        <v>394.2</v>
      </c>
      <c r="J968" s="57">
        <f>PlanGrid[[#This Row],[kWh/yr]]*' Elec Utility (kWh)'!$M$7</f>
        <v>42.026978681617976</v>
      </c>
      <c r="K968" s="49">
        <f>PlanGrid[[#This Row],[kWh/yr]]/'Schedule-Building Info'!$B$6</f>
        <v>6.4825930372148857E-3</v>
      </c>
      <c r="L968" s="50">
        <f>CONVERT(PlanGrid[[#This Row],[kWh/yr]],"Wh","BTU")</f>
        <v>1345.0662317790345</v>
      </c>
      <c r="M968" s="38">
        <f>PlanGrid[[#This Row],[kBtu/yr]]/'Schedule-Building Info'!$B$6</f>
        <v>2.2119525592906222E-2</v>
      </c>
      <c r="N968" t="s">
        <v>1089</v>
      </c>
      <c r="O968">
        <v>0</v>
      </c>
      <c r="P968" t="str">
        <f>VLOOKUP(PlanGrid[[#This Row],[Title]],'Spec Wattages'!$A$1:$C$973,3,FALSE)</f>
        <v>Lighting</v>
      </c>
      <c r="Q968" t="s">
        <v>702</v>
      </c>
      <c r="R968" t="s">
        <v>1037</v>
      </c>
      <c r="S968" t="s">
        <v>11</v>
      </c>
    </row>
    <row r="969" spans="1:19" x14ac:dyDescent="0.25">
      <c r="A969">
        <v>1003</v>
      </c>
      <c r="B969" t="s">
        <v>22</v>
      </c>
      <c r="C969" t="s">
        <v>466</v>
      </c>
      <c r="D969" t="s">
        <v>23</v>
      </c>
      <c r="E969" s="50">
        <v>36</v>
      </c>
      <c r="F969" s="38">
        <v>2</v>
      </c>
      <c r="G969" s="39">
        <v>1</v>
      </c>
      <c r="H969" s="38">
        <f>PlanGrid[[#This Row],[Spec Wattage]]*PlanGrid[[#This Row],[Equipment Count]]</f>
        <v>72</v>
      </c>
      <c r="I969" s="38">
        <f>((PlanGrid[[#This Row],[Demand Watt]]*PlanGrid[[#This Row],[Utilization %]]*'Schedule-Building Info'!$N$16)/1000)</f>
        <v>394.2</v>
      </c>
      <c r="J969" s="57">
        <f>PlanGrid[[#This Row],[kWh/yr]]*' Elec Utility (kWh)'!$M$7</f>
        <v>42.026978681617976</v>
      </c>
      <c r="K969" s="38">
        <f>PlanGrid[[#This Row],[kWh/yr]]/'Schedule-Building Info'!$B$6</f>
        <v>6.4825930372148857E-3</v>
      </c>
      <c r="L969" s="50">
        <f>CONVERT(PlanGrid[[#This Row],[kWh/yr]],"Wh","BTU")</f>
        <v>1345.0662317790345</v>
      </c>
      <c r="M969" s="38">
        <f>PlanGrid[[#This Row],[kBtu/yr]]/'Schedule-Building Info'!$B$6</f>
        <v>2.2119525592906222E-2</v>
      </c>
      <c r="N969" t="s">
        <v>1089</v>
      </c>
      <c r="O969">
        <v>0</v>
      </c>
      <c r="P969" t="str">
        <f>VLOOKUP(PlanGrid[[#This Row],[Title]],'Spec Wattages'!$A$1:$C$973,3,FALSE)</f>
        <v>Lighting</v>
      </c>
      <c r="Q969" t="s">
        <v>704</v>
      </c>
      <c r="R969" t="s">
        <v>704</v>
      </c>
      <c r="S969" t="s">
        <v>11</v>
      </c>
    </row>
    <row r="970" spans="1:19" x14ac:dyDescent="0.25">
      <c r="A970">
        <v>1026</v>
      </c>
      <c r="B970" t="s">
        <v>22</v>
      </c>
      <c r="C970" t="s">
        <v>466</v>
      </c>
      <c r="D970" t="s">
        <v>23</v>
      </c>
      <c r="E970" s="50">
        <v>36</v>
      </c>
      <c r="F970" s="38">
        <v>2</v>
      </c>
      <c r="G970" s="39">
        <v>1</v>
      </c>
      <c r="H970" s="50">
        <f>PlanGrid[[#This Row],[Spec Wattage]]*PlanGrid[[#This Row],[Equipment Count]]</f>
        <v>72</v>
      </c>
      <c r="I970" s="50">
        <f>((PlanGrid[[#This Row],[Demand Watt]]*PlanGrid[[#This Row],[Utilization %]]*'Schedule-Building Info'!$N$16)/1000)</f>
        <v>394.2</v>
      </c>
      <c r="J970" s="57">
        <f>PlanGrid[[#This Row],[kWh/yr]]*' Elec Utility (kWh)'!$M$7</f>
        <v>42.026978681617976</v>
      </c>
      <c r="K970" s="49">
        <f>PlanGrid[[#This Row],[kWh/yr]]/'Schedule-Building Info'!$B$6</f>
        <v>6.4825930372148857E-3</v>
      </c>
      <c r="L970" s="50">
        <f>CONVERT(PlanGrid[[#This Row],[kWh/yr]],"Wh","BTU")</f>
        <v>1345.0662317790345</v>
      </c>
      <c r="M970" s="38">
        <f>PlanGrid[[#This Row],[kBtu/yr]]/'Schedule-Building Info'!$B$6</f>
        <v>2.2119525592906222E-2</v>
      </c>
      <c r="N970" t="s">
        <v>1089</v>
      </c>
      <c r="O970">
        <v>0</v>
      </c>
      <c r="P970" t="str">
        <f>VLOOKUP(PlanGrid[[#This Row],[Title]],'Spec Wattages'!$A$1:$C$973,3,FALSE)</f>
        <v>Lighting</v>
      </c>
      <c r="Q970" t="s">
        <v>702</v>
      </c>
      <c r="R970" t="s">
        <v>702</v>
      </c>
      <c r="S970" t="s">
        <v>11</v>
      </c>
    </row>
    <row r="971" spans="1:19" x14ac:dyDescent="0.25">
      <c r="A971">
        <v>1042</v>
      </c>
      <c r="B971" t="s">
        <v>22</v>
      </c>
      <c r="C971" t="s">
        <v>466</v>
      </c>
      <c r="D971" t="s">
        <v>23</v>
      </c>
      <c r="E971" s="50">
        <v>36</v>
      </c>
      <c r="F971" s="38">
        <v>2</v>
      </c>
      <c r="G971" s="39">
        <v>1</v>
      </c>
      <c r="H971" s="50">
        <f>PlanGrid[[#This Row],[Spec Wattage]]*PlanGrid[[#This Row],[Equipment Count]]</f>
        <v>72</v>
      </c>
      <c r="I971" s="50">
        <f>((PlanGrid[[#This Row],[Demand Watt]]*PlanGrid[[#This Row],[Utilization %]]*'Schedule-Building Info'!$N$16)/1000)</f>
        <v>394.2</v>
      </c>
      <c r="J971" s="57">
        <f>PlanGrid[[#This Row],[kWh/yr]]*' Elec Utility (kWh)'!$M$7</f>
        <v>42.026978681617976</v>
      </c>
      <c r="K971" s="49">
        <f>PlanGrid[[#This Row],[kWh/yr]]/'Schedule-Building Info'!$B$6</f>
        <v>6.4825930372148857E-3</v>
      </c>
      <c r="L971" s="50">
        <f>CONVERT(PlanGrid[[#This Row],[kWh/yr]],"Wh","BTU")</f>
        <v>1345.0662317790345</v>
      </c>
      <c r="M971" s="38">
        <f>PlanGrid[[#This Row],[kBtu/yr]]/'Schedule-Building Info'!$B$6</f>
        <v>2.2119525592906222E-2</v>
      </c>
      <c r="N971" t="s">
        <v>1089</v>
      </c>
      <c r="O971">
        <v>0</v>
      </c>
      <c r="P971" t="str">
        <f>VLOOKUP(PlanGrid[[#This Row],[Title]],'Spec Wattages'!$A$1:$C$973,3,FALSE)</f>
        <v>Lighting</v>
      </c>
      <c r="Q971" t="s">
        <v>703</v>
      </c>
      <c r="R971" t="s">
        <v>703</v>
      </c>
      <c r="S971" t="s">
        <v>11</v>
      </c>
    </row>
    <row r="972" spans="1:19" x14ac:dyDescent="0.25">
      <c r="A972">
        <v>1078</v>
      </c>
      <c r="B972" t="s">
        <v>22</v>
      </c>
      <c r="C972" t="s">
        <v>466</v>
      </c>
      <c r="D972" t="s">
        <v>23</v>
      </c>
      <c r="E972" s="50">
        <v>36</v>
      </c>
      <c r="F972" s="38">
        <v>2</v>
      </c>
      <c r="G972" s="39">
        <v>1</v>
      </c>
      <c r="H972" s="50">
        <f>PlanGrid[[#This Row],[Spec Wattage]]*PlanGrid[[#This Row],[Equipment Count]]</f>
        <v>72</v>
      </c>
      <c r="I972" s="50">
        <f>((PlanGrid[[#This Row],[Demand Watt]]*PlanGrid[[#This Row],[Utilization %]]*'Schedule-Building Info'!$N$16)/1000)</f>
        <v>394.2</v>
      </c>
      <c r="J972" s="57">
        <f>PlanGrid[[#This Row],[kWh/yr]]*' Elec Utility (kWh)'!$M$7</f>
        <v>42.026978681617976</v>
      </c>
      <c r="K972" s="49">
        <f>PlanGrid[[#This Row],[kWh/yr]]/'Schedule-Building Info'!$B$6</f>
        <v>6.4825930372148857E-3</v>
      </c>
      <c r="L972" s="50">
        <f>CONVERT(PlanGrid[[#This Row],[kWh/yr]],"Wh","BTU")</f>
        <v>1345.0662317790345</v>
      </c>
      <c r="M972" s="38">
        <f>PlanGrid[[#This Row],[kBtu/yr]]/'Schedule-Building Info'!$B$6</f>
        <v>2.2119525592906222E-2</v>
      </c>
      <c r="N972" t="s">
        <v>1089</v>
      </c>
      <c r="O972">
        <v>0</v>
      </c>
      <c r="P972" t="str">
        <f>VLOOKUP(PlanGrid[[#This Row],[Title]],'Spec Wattages'!$A$1:$C$973,3,FALSE)</f>
        <v>Lighting</v>
      </c>
      <c r="Q972" t="s">
        <v>707</v>
      </c>
      <c r="R972" t="s">
        <v>777</v>
      </c>
      <c r="S972" t="s">
        <v>11</v>
      </c>
    </row>
    <row r="973" spans="1:19" x14ac:dyDescent="0.25">
      <c r="A973">
        <v>639</v>
      </c>
      <c r="B973" t="s">
        <v>22</v>
      </c>
      <c r="C973" t="s">
        <v>466</v>
      </c>
      <c r="D973" t="s">
        <v>23</v>
      </c>
      <c r="E973" s="50">
        <v>36</v>
      </c>
      <c r="F973" s="38">
        <v>2</v>
      </c>
      <c r="G973" s="39">
        <v>1</v>
      </c>
      <c r="H973" s="50">
        <f>PlanGrid[[#This Row],[Spec Wattage]]*PlanGrid[[#This Row],[Equipment Count]]</f>
        <v>72</v>
      </c>
      <c r="I973" s="50">
        <f>((PlanGrid[[#This Row],[Demand Watt]]*PlanGrid[[#This Row],[Utilization %]]*'Schedule-Building Info'!$N$16)/1000)</f>
        <v>394.2</v>
      </c>
      <c r="J973" s="57">
        <f>PlanGrid[[#This Row],[kWh/yr]]*' Elec Utility (kWh)'!$M$7</f>
        <v>42.026978681617976</v>
      </c>
      <c r="K973" s="49">
        <f>PlanGrid[[#This Row],[kWh/yr]]/'Schedule-Building Info'!$B$6</f>
        <v>6.4825930372148857E-3</v>
      </c>
      <c r="L973" s="50">
        <f>CONVERT(PlanGrid[[#This Row],[kWh/yr]],"Wh","BTU")</f>
        <v>1345.0662317790345</v>
      </c>
      <c r="M973" s="38">
        <f>PlanGrid[[#This Row],[kBtu/yr]]/'Schedule-Building Info'!$B$6</f>
        <v>2.2119525592906222E-2</v>
      </c>
      <c r="N973" t="s">
        <v>1090</v>
      </c>
      <c r="O973">
        <v>0</v>
      </c>
      <c r="P973" t="str">
        <f>VLOOKUP(PlanGrid[[#This Row],[Title]],'Spec Wattages'!$A$1:$C$973,3,FALSE)</f>
        <v>Lighting</v>
      </c>
      <c r="Q973" t="s">
        <v>805</v>
      </c>
      <c r="R973" t="s">
        <v>712</v>
      </c>
      <c r="S973" t="s">
        <v>11</v>
      </c>
    </row>
    <row r="974" spans="1:19" x14ac:dyDescent="0.25">
      <c r="A974">
        <v>643</v>
      </c>
      <c r="B974" t="s">
        <v>22</v>
      </c>
      <c r="C974" t="s">
        <v>466</v>
      </c>
      <c r="D974" t="s">
        <v>23</v>
      </c>
      <c r="E974" s="50">
        <v>36</v>
      </c>
      <c r="F974" s="38">
        <v>2</v>
      </c>
      <c r="G974" s="39">
        <v>1</v>
      </c>
      <c r="H974" s="50">
        <f>PlanGrid[[#This Row],[Spec Wattage]]*PlanGrid[[#This Row],[Equipment Count]]</f>
        <v>72</v>
      </c>
      <c r="I974" s="50">
        <f>((PlanGrid[[#This Row],[Demand Watt]]*PlanGrid[[#This Row],[Utilization %]]*'Schedule-Building Info'!$N$16)/1000)</f>
        <v>394.2</v>
      </c>
      <c r="J974" s="57">
        <f>PlanGrid[[#This Row],[kWh/yr]]*' Elec Utility (kWh)'!$M$7</f>
        <v>42.026978681617976</v>
      </c>
      <c r="K974" s="49">
        <f>PlanGrid[[#This Row],[kWh/yr]]/'Schedule-Building Info'!$B$6</f>
        <v>6.4825930372148857E-3</v>
      </c>
      <c r="L974" s="50">
        <f>CONVERT(PlanGrid[[#This Row],[kWh/yr]],"Wh","BTU")</f>
        <v>1345.0662317790345</v>
      </c>
      <c r="M974" s="38">
        <f>PlanGrid[[#This Row],[kBtu/yr]]/'Schedule-Building Info'!$B$6</f>
        <v>2.2119525592906222E-2</v>
      </c>
      <c r="N974" t="s">
        <v>1090</v>
      </c>
      <c r="O974">
        <v>0</v>
      </c>
      <c r="P974" t="str">
        <f>VLOOKUP(PlanGrid[[#This Row],[Title]],'Spec Wattages'!$A$1:$C$973,3,FALSE)</f>
        <v>Lighting</v>
      </c>
      <c r="Q974" t="s">
        <v>806</v>
      </c>
      <c r="R974" t="s">
        <v>715</v>
      </c>
      <c r="S974" t="s">
        <v>11</v>
      </c>
    </row>
    <row r="975" spans="1:19" x14ac:dyDescent="0.25">
      <c r="A975">
        <v>677</v>
      </c>
      <c r="B975" t="s">
        <v>22</v>
      </c>
      <c r="C975" t="s">
        <v>466</v>
      </c>
      <c r="D975" t="s">
        <v>23</v>
      </c>
      <c r="E975" s="50">
        <v>36</v>
      </c>
      <c r="F975" s="38">
        <v>2</v>
      </c>
      <c r="G975" s="39">
        <v>1</v>
      </c>
      <c r="H975" s="50">
        <f>PlanGrid[[#This Row],[Spec Wattage]]*PlanGrid[[#This Row],[Equipment Count]]</f>
        <v>72</v>
      </c>
      <c r="I975" s="50">
        <f>((PlanGrid[[#This Row],[Demand Watt]]*PlanGrid[[#This Row],[Utilization %]]*'Schedule-Building Info'!$N$16)/1000)</f>
        <v>394.2</v>
      </c>
      <c r="J975" s="57">
        <f>PlanGrid[[#This Row],[kWh/yr]]*' Elec Utility (kWh)'!$M$7</f>
        <v>42.026978681617976</v>
      </c>
      <c r="K975" s="49">
        <f>PlanGrid[[#This Row],[kWh/yr]]/'Schedule-Building Info'!$B$6</f>
        <v>6.4825930372148857E-3</v>
      </c>
      <c r="L975" s="50">
        <f>CONVERT(PlanGrid[[#This Row],[kWh/yr]],"Wh","BTU")</f>
        <v>1345.0662317790345</v>
      </c>
      <c r="M975" s="38">
        <f>PlanGrid[[#This Row],[kBtu/yr]]/'Schedule-Building Info'!$B$6</f>
        <v>2.2119525592906222E-2</v>
      </c>
      <c r="N975" t="s">
        <v>1090</v>
      </c>
      <c r="O975">
        <v>0</v>
      </c>
      <c r="P975" t="str">
        <f>VLOOKUP(PlanGrid[[#This Row],[Title]],'Spec Wattages'!$A$1:$C$973,3,FALSE)</f>
        <v>Lighting</v>
      </c>
      <c r="Q975" t="s">
        <v>812</v>
      </c>
      <c r="R975" t="s">
        <v>812</v>
      </c>
      <c r="S975" t="s">
        <v>11</v>
      </c>
    </row>
    <row r="976" spans="1:19" x14ac:dyDescent="0.25">
      <c r="A976">
        <v>701</v>
      </c>
      <c r="B976" t="s">
        <v>22</v>
      </c>
      <c r="C976" t="s">
        <v>466</v>
      </c>
      <c r="D976" t="s">
        <v>23</v>
      </c>
      <c r="E976" s="50">
        <v>36</v>
      </c>
      <c r="F976" s="38">
        <v>2</v>
      </c>
      <c r="G976" s="39">
        <v>1</v>
      </c>
      <c r="H976" s="50">
        <f>PlanGrid[[#This Row],[Spec Wattage]]*PlanGrid[[#This Row],[Equipment Count]]</f>
        <v>72</v>
      </c>
      <c r="I976" s="50">
        <f>((PlanGrid[[#This Row],[Demand Watt]]*PlanGrid[[#This Row],[Utilization %]]*'Schedule-Building Info'!$N$16)/1000)</f>
        <v>394.2</v>
      </c>
      <c r="J976" s="57">
        <f>PlanGrid[[#This Row],[kWh/yr]]*' Elec Utility (kWh)'!$M$7</f>
        <v>42.026978681617976</v>
      </c>
      <c r="K976" s="49">
        <f>PlanGrid[[#This Row],[kWh/yr]]/'Schedule-Building Info'!$B$6</f>
        <v>6.4825930372148857E-3</v>
      </c>
      <c r="L976" s="50">
        <f>CONVERT(PlanGrid[[#This Row],[kWh/yr]],"Wh","BTU")</f>
        <v>1345.0662317790345</v>
      </c>
      <c r="M976" s="38">
        <f>PlanGrid[[#This Row],[kBtu/yr]]/'Schedule-Building Info'!$B$6</f>
        <v>2.2119525592906222E-2</v>
      </c>
      <c r="N976" t="s">
        <v>1090</v>
      </c>
      <c r="O976">
        <v>0</v>
      </c>
      <c r="P976" t="str">
        <f>VLOOKUP(PlanGrid[[#This Row],[Title]],'Spec Wattages'!$A$1:$C$973,3,FALSE)</f>
        <v>Lighting</v>
      </c>
      <c r="Q976" t="s">
        <v>815</v>
      </c>
      <c r="R976" t="s">
        <v>813</v>
      </c>
      <c r="S976" t="s">
        <v>11</v>
      </c>
    </row>
    <row r="977" spans="1:19" x14ac:dyDescent="0.25">
      <c r="A977">
        <v>746</v>
      </c>
      <c r="B977" t="s">
        <v>22</v>
      </c>
      <c r="C977" t="s">
        <v>466</v>
      </c>
      <c r="D977" t="s">
        <v>23</v>
      </c>
      <c r="E977" s="50">
        <v>36</v>
      </c>
      <c r="F977" s="38">
        <v>2</v>
      </c>
      <c r="G977" s="39">
        <v>1</v>
      </c>
      <c r="H977" s="50">
        <f>PlanGrid[[#This Row],[Spec Wattage]]*PlanGrid[[#This Row],[Equipment Count]]</f>
        <v>72</v>
      </c>
      <c r="I977" s="50">
        <f>((PlanGrid[[#This Row],[Demand Watt]]*PlanGrid[[#This Row],[Utilization %]]*'Schedule-Building Info'!$N$16)/1000)</f>
        <v>394.2</v>
      </c>
      <c r="J977" s="57">
        <f>PlanGrid[[#This Row],[kWh/yr]]*' Elec Utility (kWh)'!$M$7</f>
        <v>42.026978681617976</v>
      </c>
      <c r="K977" s="49">
        <f>PlanGrid[[#This Row],[kWh/yr]]/'Schedule-Building Info'!$B$6</f>
        <v>6.4825930372148857E-3</v>
      </c>
      <c r="L977" s="50">
        <f>CONVERT(PlanGrid[[#This Row],[kWh/yr]],"Wh","BTU")</f>
        <v>1345.0662317790345</v>
      </c>
      <c r="M977" s="38">
        <f>PlanGrid[[#This Row],[kBtu/yr]]/'Schedule-Building Info'!$B$6</f>
        <v>2.2119525592906222E-2</v>
      </c>
      <c r="N977" t="s">
        <v>1090</v>
      </c>
      <c r="O977">
        <v>0</v>
      </c>
      <c r="P977" t="str">
        <f>VLOOKUP(PlanGrid[[#This Row],[Title]],'Spec Wattages'!$A$1:$C$973,3,FALSE)</f>
        <v>Lighting</v>
      </c>
      <c r="Q977" t="s">
        <v>822</v>
      </c>
      <c r="R977" t="s">
        <v>792</v>
      </c>
      <c r="S977" t="s">
        <v>11</v>
      </c>
    </row>
    <row r="978" spans="1:19" x14ac:dyDescent="0.25">
      <c r="A978">
        <v>755</v>
      </c>
      <c r="B978" t="s">
        <v>22</v>
      </c>
      <c r="C978" t="s">
        <v>466</v>
      </c>
      <c r="D978" t="s">
        <v>23</v>
      </c>
      <c r="E978" s="50">
        <v>36</v>
      </c>
      <c r="F978" s="38">
        <v>2</v>
      </c>
      <c r="G978" s="39">
        <v>1</v>
      </c>
      <c r="H978" s="50">
        <f>PlanGrid[[#This Row],[Spec Wattage]]*PlanGrid[[#This Row],[Equipment Count]]</f>
        <v>72</v>
      </c>
      <c r="I978" s="50">
        <f>((PlanGrid[[#This Row],[Demand Watt]]*PlanGrid[[#This Row],[Utilization %]]*'Schedule-Building Info'!$N$16)/1000)</f>
        <v>394.2</v>
      </c>
      <c r="J978" s="57">
        <f>PlanGrid[[#This Row],[kWh/yr]]*' Elec Utility (kWh)'!$M$7</f>
        <v>42.026978681617976</v>
      </c>
      <c r="K978" s="49">
        <f>PlanGrid[[#This Row],[kWh/yr]]/'Schedule-Building Info'!$B$6</f>
        <v>6.4825930372148857E-3</v>
      </c>
      <c r="L978" s="50">
        <f>CONVERT(PlanGrid[[#This Row],[kWh/yr]],"Wh","BTU")</f>
        <v>1345.0662317790345</v>
      </c>
      <c r="M978" s="38">
        <f>PlanGrid[[#This Row],[kBtu/yr]]/'Schedule-Building Info'!$B$6</f>
        <v>2.2119525592906222E-2</v>
      </c>
      <c r="N978" t="s">
        <v>1090</v>
      </c>
      <c r="O978">
        <v>0</v>
      </c>
      <c r="P978" t="str">
        <f>VLOOKUP(PlanGrid[[#This Row],[Title]],'Spec Wattages'!$A$1:$C$973,3,FALSE)</f>
        <v>Lighting</v>
      </c>
      <c r="Q978" t="s">
        <v>826</v>
      </c>
      <c r="R978" t="s">
        <v>726</v>
      </c>
      <c r="S978" t="s">
        <v>11</v>
      </c>
    </row>
    <row r="979" spans="1:19" x14ac:dyDescent="0.25">
      <c r="A979">
        <v>826</v>
      </c>
      <c r="B979" t="s">
        <v>22</v>
      </c>
      <c r="C979" t="s">
        <v>466</v>
      </c>
      <c r="D979" t="s">
        <v>23</v>
      </c>
      <c r="E979" s="50">
        <v>36</v>
      </c>
      <c r="F979" s="38">
        <v>2</v>
      </c>
      <c r="G979" s="39">
        <v>1</v>
      </c>
      <c r="H979" s="50">
        <f>PlanGrid[[#This Row],[Spec Wattage]]*PlanGrid[[#This Row],[Equipment Count]]</f>
        <v>72</v>
      </c>
      <c r="I979" s="50">
        <f>((PlanGrid[[#This Row],[Demand Watt]]*PlanGrid[[#This Row],[Utilization %]]*'Schedule-Building Info'!$N$16)/1000)</f>
        <v>394.2</v>
      </c>
      <c r="J979" s="57">
        <f>PlanGrid[[#This Row],[kWh/yr]]*' Elec Utility (kWh)'!$M$7</f>
        <v>42.026978681617976</v>
      </c>
      <c r="K979" s="49">
        <f>PlanGrid[[#This Row],[kWh/yr]]/'Schedule-Building Info'!$B$6</f>
        <v>6.4825930372148857E-3</v>
      </c>
      <c r="L979" s="50">
        <f>CONVERT(PlanGrid[[#This Row],[kWh/yr]],"Wh","BTU")</f>
        <v>1345.0662317790345</v>
      </c>
      <c r="M979" s="38">
        <f>PlanGrid[[#This Row],[kBtu/yr]]/'Schedule-Building Info'!$B$6</f>
        <v>2.2119525592906222E-2</v>
      </c>
      <c r="N979" t="s">
        <v>1090</v>
      </c>
      <c r="O979">
        <v>0</v>
      </c>
      <c r="P979" t="str">
        <f>VLOOKUP(PlanGrid[[#This Row],[Title]],'Spec Wattages'!$A$1:$C$973,3,FALSE)</f>
        <v>Lighting</v>
      </c>
      <c r="Q979" t="s">
        <v>832</v>
      </c>
      <c r="R979" t="s">
        <v>834</v>
      </c>
      <c r="S979" t="s">
        <v>11</v>
      </c>
    </row>
    <row r="980" spans="1:19" x14ac:dyDescent="0.25">
      <c r="A980">
        <v>827</v>
      </c>
      <c r="B980" t="s">
        <v>22</v>
      </c>
      <c r="C980" t="s">
        <v>466</v>
      </c>
      <c r="D980" t="s">
        <v>23</v>
      </c>
      <c r="E980" s="50">
        <v>36</v>
      </c>
      <c r="F980" s="38">
        <v>2</v>
      </c>
      <c r="G980" s="39">
        <v>1</v>
      </c>
      <c r="H980" s="50">
        <f>PlanGrid[[#This Row],[Spec Wattage]]*PlanGrid[[#This Row],[Equipment Count]]</f>
        <v>72</v>
      </c>
      <c r="I980" s="50">
        <f>((PlanGrid[[#This Row],[Demand Watt]]*PlanGrid[[#This Row],[Utilization %]]*'Schedule-Building Info'!$N$16)/1000)</f>
        <v>394.2</v>
      </c>
      <c r="J980" s="57">
        <f>PlanGrid[[#This Row],[kWh/yr]]*' Elec Utility (kWh)'!$M$7</f>
        <v>42.026978681617976</v>
      </c>
      <c r="K980" s="49">
        <f>PlanGrid[[#This Row],[kWh/yr]]/'Schedule-Building Info'!$B$6</f>
        <v>6.4825930372148857E-3</v>
      </c>
      <c r="L980" s="50">
        <f>CONVERT(PlanGrid[[#This Row],[kWh/yr]],"Wh","BTU")</f>
        <v>1345.0662317790345</v>
      </c>
      <c r="M980" s="38">
        <f>PlanGrid[[#This Row],[kBtu/yr]]/'Schedule-Building Info'!$B$6</f>
        <v>2.2119525592906222E-2</v>
      </c>
      <c r="N980" t="s">
        <v>1090</v>
      </c>
      <c r="O980">
        <v>0</v>
      </c>
      <c r="P980" t="str">
        <f>VLOOKUP(PlanGrid[[#This Row],[Title]],'Spec Wattages'!$A$1:$C$973,3,FALSE)</f>
        <v>Lighting</v>
      </c>
      <c r="Q980" t="s">
        <v>832</v>
      </c>
      <c r="R980" t="s">
        <v>834</v>
      </c>
      <c r="S980" t="s">
        <v>11</v>
      </c>
    </row>
    <row r="981" spans="1:19" x14ac:dyDescent="0.25">
      <c r="A981">
        <v>828</v>
      </c>
      <c r="B981" t="s">
        <v>22</v>
      </c>
      <c r="C981" t="s">
        <v>466</v>
      </c>
      <c r="D981" t="s">
        <v>23</v>
      </c>
      <c r="E981" s="50">
        <v>36</v>
      </c>
      <c r="F981" s="38">
        <v>2</v>
      </c>
      <c r="G981" s="39">
        <v>1</v>
      </c>
      <c r="H981" s="50">
        <f>PlanGrid[[#This Row],[Spec Wattage]]*PlanGrid[[#This Row],[Equipment Count]]</f>
        <v>72</v>
      </c>
      <c r="I981" s="50">
        <f>((PlanGrid[[#This Row],[Demand Watt]]*PlanGrid[[#This Row],[Utilization %]]*'Schedule-Building Info'!$N$16)/1000)</f>
        <v>394.2</v>
      </c>
      <c r="J981" s="57">
        <f>PlanGrid[[#This Row],[kWh/yr]]*' Elec Utility (kWh)'!$M$7</f>
        <v>42.026978681617976</v>
      </c>
      <c r="K981" s="49">
        <f>PlanGrid[[#This Row],[kWh/yr]]/'Schedule-Building Info'!$B$6</f>
        <v>6.4825930372148857E-3</v>
      </c>
      <c r="L981" s="50">
        <f>CONVERT(PlanGrid[[#This Row],[kWh/yr]],"Wh","BTU")</f>
        <v>1345.0662317790345</v>
      </c>
      <c r="M981" s="38">
        <f>PlanGrid[[#This Row],[kBtu/yr]]/'Schedule-Building Info'!$B$6</f>
        <v>2.2119525592906222E-2</v>
      </c>
      <c r="N981" t="s">
        <v>1090</v>
      </c>
      <c r="O981">
        <v>0</v>
      </c>
      <c r="P981" t="str">
        <f>VLOOKUP(PlanGrid[[#This Row],[Title]],'Spec Wattages'!$A$1:$C$973,3,FALSE)</f>
        <v>Lighting</v>
      </c>
      <c r="Q981" t="s">
        <v>832</v>
      </c>
      <c r="R981" t="s">
        <v>834</v>
      </c>
      <c r="S981" t="s">
        <v>11</v>
      </c>
    </row>
    <row r="982" spans="1:19" x14ac:dyDescent="0.25">
      <c r="A982">
        <v>829</v>
      </c>
      <c r="B982" t="s">
        <v>22</v>
      </c>
      <c r="C982" t="s">
        <v>466</v>
      </c>
      <c r="D982" t="s">
        <v>23</v>
      </c>
      <c r="E982" s="50">
        <v>36</v>
      </c>
      <c r="F982" s="38">
        <v>2</v>
      </c>
      <c r="G982" s="39">
        <v>1</v>
      </c>
      <c r="H982" s="50">
        <f>PlanGrid[[#This Row],[Spec Wattage]]*PlanGrid[[#This Row],[Equipment Count]]</f>
        <v>72</v>
      </c>
      <c r="I982" s="50">
        <f>((PlanGrid[[#This Row],[Demand Watt]]*PlanGrid[[#This Row],[Utilization %]]*'Schedule-Building Info'!$N$16)/1000)</f>
        <v>394.2</v>
      </c>
      <c r="J982" s="57">
        <f>PlanGrid[[#This Row],[kWh/yr]]*' Elec Utility (kWh)'!$M$7</f>
        <v>42.026978681617976</v>
      </c>
      <c r="K982" s="49">
        <f>PlanGrid[[#This Row],[kWh/yr]]/'Schedule-Building Info'!$B$6</f>
        <v>6.4825930372148857E-3</v>
      </c>
      <c r="L982" s="50">
        <f>CONVERT(PlanGrid[[#This Row],[kWh/yr]],"Wh","BTU")</f>
        <v>1345.0662317790345</v>
      </c>
      <c r="M982" s="38">
        <f>PlanGrid[[#This Row],[kBtu/yr]]/'Schedule-Building Info'!$B$6</f>
        <v>2.2119525592906222E-2</v>
      </c>
      <c r="N982" t="s">
        <v>1090</v>
      </c>
      <c r="O982">
        <v>0</v>
      </c>
      <c r="P982" t="str">
        <f>VLOOKUP(PlanGrid[[#This Row],[Title]],'Spec Wattages'!$A$1:$C$973,3,FALSE)</f>
        <v>Lighting</v>
      </c>
      <c r="Q982" t="s">
        <v>781</v>
      </c>
      <c r="R982" t="s">
        <v>834</v>
      </c>
      <c r="S982" t="s">
        <v>11</v>
      </c>
    </row>
    <row r="983" spans="1:19" x14ac:dyDescent="0.25">
      <c r="A983">
        <v>832</v>
      </c>
      <c r="B983" t="s">
        <v>22</v>
      </c>
      <c r="C983" t="s">
        <v>466</v>
      </c>
      <c r="D983" t="s">
        <v>23</v>
      </c>
      <c r="E983" s="50">
        <v>36</v>
      </c>
      <c r="F983" s="38">
        <v>2</v>
      </c>
      <c r="G983" s="39">
        <v>1</v>
      </c>
      <c r="H983" s="50">
        <f>PlanGrid[[#This Row],[Spec Wattage]]*PlanGrid[[#This Row],[Equipment Count]]</f>
        <v>72</v>
      </c>
      <c r="I983" s="50">
        <f>((PlanGrid[[#This Row],[Demand Watt]]*PlanGrid[[#This Row],[Utilization %]]*'Schedule-Building Info'!$N$16)/1000)</f>
        <v>394.2</v>
      </c>
      <c r="J983" s="57">
        <f>PlanGrid[[#This Row],[kWh/yr]]*' Elec Utility (kWh)'!$M$7</f>
        <v>42.026978681617976</v>
      </c>
      <c r="K983" s="49">
        <f>PlanGrid[[#This Row],[kWh/yr]]/'Schedule-Building Info'!$B$6</f>
        <v>6.4825930372148857E-3</v>
      </c>
      <c r="L983" s="50">
        <f>CONVERT(PlanGrid[[#This Row],[kWh/yr]],"Wh","BTU")</f>
        <v>1345.0662317790345</v>
      </c>
      <c r="M983" s="38">
        <f>PlanGrid[[#This Row],[kBtu/yr]]/'Schedule-Building Info'!$B$6</f>
        <v>2.2119525592906222E-2</v>
      </c>
      <c r="N983" t="s">
        <v>1090</v>
      </c>
      <c r="O983">
        <v>0</v>
      </c>
      <c r="P983" t="str">
        <f>VLOOKUP(PlanGrid[[#This Row],[Title]],'Spec Wattages'!$A$1:$C$973,3,FALSE)</f>
        <v>Lighting</v>
      </c>
      <c r="Q983" t="s">
        <v>781</v>
      </c>
      <c r="R983" t="s">
        <v>904</v>
      </c>
      <c r="S983" t="s">
        <v>11</v>
      </c>
    </row>
    <row r="984" spans="1:19" x14ac:dyDescent="0.25">
      <c r="A984">
        <v>833</v>
      </c>
      <c r="B984" t="s">
        <v>22</v>
      </c>
      <c r="C984" t="s">
        <v>466</v>
      </c>
      <c r="D984" t="s">
        <v>23</v>
      </c>
      <c r="E984" s="50">
        <v>36</v>
      </c>
      <c r="F984" s="38">
        <v>2</v>
      </c>
      <c r="G984" s="39">
        <v>1</v>
      </c>
      <c r="H984" s="50">
        <f>PlanGrid[[#This Row],[Spec Wattage]]*PlanGrid[[#This Row],[Equipment Count]]</f>
        <v>72</v>
      </c>
      <c r="I984" s="50">
        <f>((PlanGrid[[#This Row],[Demand Watt]]*PlanGrid[[#This Row],[Utilization %]]*'Schedule-Building Info'!$N$16)/1000)</f>
        <v>394.2</v>
      </c>
      <c r="J984" s="57">
        <f>PlanGrid[[#This Row],[kWh/yr]]*' Elec Utility (kWh)'!$M$7</f>
        <v>42.026978681617976</v>
      </c>
      <c r="K984" s="49">
        <f>PlanGrid[[#This Row],[kWh/yr]]/'Schedule-Building Info'!$B$6</f>
        <v>6.4825930372148857E-3</v>
      </c>
      <c r="L984" s="50">
        <f>CONVERT(PlanGrid[[#This Row],[kWh/yr]],"Wh","BTU")</f>
        <v>1345.0662317790345</v>
      </c>
      <c r="M984" s="38">
        <f>PlanGrid[[#This Row],[kBtu/yr]]/'Schedule-Building Info'!$B$6</f>
        <v>2.2119525592906222E-2</v>
      </c>
      <c r="N984" t="s">
        <v>1090</v>
      </c>
      <c r="O984">
        <v>0</v>
      </c>
      <c r="P984" t="str">
        <f>VLOOKUP(PlanGrid[[#This Row],[Title]],'Spec Wattages'!$A$1:$C$973,3,FALSE)</f>
        <v>Lighting</v>
      </c>
      <c r="Q984" t="s">
        <v>781</v>
      </c>
      <c r="R984" t="s">
        <v>904</v>
      </c>
      <c r="S984" t="s">
        <v>11</v>
      </c>
    </row>
    <row r="985" spans="1:19" x14ac:dyDescent="0.25">
      <c r="A985">
        <v>834</v>
      </c>
      <c r="B985" t="s">
        <v>22</v>
      </c>
      <c r="C985" t="s">
        <v>466</v>
      </c>
      <c r="D985" t="s">
        <v>23</v>
      </c>
      <c r="E985" s="50">
        <v>36</v>
      </c>
      <c r="F985" s="38">
        <v>2</v>
      </c>
      <c r="G985" s="39">
        <v>1</v>
      </c>
      <c r="H985" s="50">
        <f>PlanGrid[[#This Row],[Spec Wattage]]*PlanGrid[[#This Row],[Equipment Count]]</f>
        <v>72</v>
      </c>
      <c r="I985" s="50">
        <f>((PlanGrid[[#This Row],[Demand Watt]]*PlanGrid[[#This Row],[Utilization %]]*'Schedule-Building Info'!$N$16)/1000)</f>
        <v>394.2</v>
      </c>
      <c r="J985" s="57">
        <f>PlanGrid[[#This Row],[kWh/yr]]*' Elec Utility (kWh)'!$M$7</f>
        <v>42.026978681617976</v>
      </c>
      <c r="K985" s="49">
        <f>PlanGrid[[#This Row],[kWh/yr]]/'Schedule-Building Info'!$B$6</f>
        <v>6.4825930372148857E-3</v>
      </c>
      <c r="L985" s="50">
        <f>CONVERT(PlanGrid[[#This Row],[kWh/yr]],"Wh","BTU")</f>
        <v>1345.0662317790345</v>
      </c>
      <c r="M985" s="38">
        <f>PlanGrid[[#This Row],[kBtu/yr]]/'Schedule-Building Info'!$B$6</f>
        <v>2.2119525592906222E-2</v>
      </c>
      <c r="N985" t="s">
        <v>1090</v>
      </c>
      <c r="O985">
        <v>0</v>
      </c>
      <c r="P985" t="str">
        <f>VLOOKUP(PlanGrid[[#This Row],[Title]],'Spec Wattages'!$A$1:$C$973,3,FALSE)</f>
        <v>Lighting</v>
      </c>
      <c r="Q985" t="s">
        <v>781</v>
      </c>
      <c r="R985" t="s">
        <v>904</v>
      </c>
      <c r="S985" t="s">
        <v>11</v>
      </c>
    </row>
    <row r="986" spans="1:19" x14ac:dyDescent="0.25">
      <c r="A986">
        <v>835</v>
      </c>
      <c r="B986" t="s">
        <v>22</v>
      </c>
      <c r="C986" t="s">
        <v>466</v>
      </c>
      <c r="D986" t="s">
        <v>23</v>
      </c>
      <c r="E986" s="50">
        <v>36</v>
      </c>
      <c r="F986" s="38">
        <v>2</v>
      </c>
      <c r="G986" s="39">
        <v>1</v>
      </c>
      <c r="H986" s="50">
        <f>PlanGrid[[#This Row],[Spec Wattage]]*PlanGrid[[#This Row],[Equipment Count]]</f>
        <v>72</v>
      </c>
      <c r="I986" s="50">
        <f>((PlanGrid[[#This Row],[Demand Watt]]*PlanGrid[[#This Row],[Utilization %]]*'Schedule-Building Info'!$N$16)/1000)</f>
        <v>394.2</v>
      </c>
      <c r="J986" s="57">
        <f>PlanGrid[[#This Row],[kWh/yr]]*' Elec Utility (kWh)'!$M$7</f>
        <v>42.026978681617976</v>
      </c>
      <c r="K986" s="49">
        <f>PlanGrid[[#This Row],[kWh/yr]]/'Schedule-Building Info'!$B$6</f>
        <v>6.4825930372148857E-3</v>
      </c>
      <c r="L986" s="50">
        <f>CONVERT(PlanGrid[[#This Row],[kWh/yr]],"Wh","BTU")</f>
        <v>1345.0662317790345</v>
      </c>
      <c r="M986" s="38">
        <f>PlanGrid[[#This Row],[kBtu/yr]]/'Schedule-Building Info'!$B$6</f>
        <v>2.2119525592906222E-2</v>
      </c>
      <c r="N986" t="s">
        <v>1090</v>
      </c>
      <c r="O986">
        <v>0</v>
      </c>
      <c r="P986" t="str">
        <f>VLOOKUP(PlanGrid[[#This Row],[Title]],'Spec Wattages'!$A$1:$C$973,3,FALSE)</f>
        <v>Lighting</v>
      </c>
      <c r="Q986" t="s">
        <v>781</v>
      </c>
      <c r="R986" t="s">
        <v>904</v>
      </c>
      <c r="S986" t="s">
        <v>11</v>
      </c>
    </row>
    <row r="987" spans="1:19" x14ac:dyDescent="0.25">
      <c r="A987">
        <v>840</v>
      </c>
      <c r="B987" t="s">
        <v>22</v>
      </c>
      <c r="C987" t="s">
        <v>466</v>
      </c>
      <c r="D987" t="s">
        <v>23</v>
      </c>
      <c r="E987" s="50">
        <v>36</v>
      </c>
      <c r="F987" s="38">
        <v>2</v>
      </c>
      <c r="G987" s="39">
        <v>1</v>
      </c>
      <c r="H987" s="50">
        <f>PlanGrid[[#This Row],[Spec Wattage]]*PlanGrid[[#This Row],[Equipment Count]]</f>
        <v>72</v>
      </c>
      <c r="I987" s="50">
        <f>((PlanGrid[[#This Row],[Demand Watt]]*PlanGrid[[#This Row],[Utilization %]]*'Schedule-Building Info'!$N$16)/1000)</f>
        <v>394.2</v>
      </c>
      <c r="J987" s="57">
        <f>PlanGrid[[#This Row],[kWh/yr]]*' Elec Utility (kWh)'!$M$7</f>
        <v>42.026978681617976</v>
      </c>
      <c r="K987" s="49">
        <f>PlanGrid[[#This Row],[kWh/yr]]/'Schedule-Building Info'!$B$6</f>
        <v>6.4825930372148857E-3</v>
      </c>
      <c r="L987" s="50">
        <f>CONVERT(PlanGrid[[#This Row],[kWh/yr]],"Wh","BTU")</f>
        <v>1345.0662317790345</v>
      </c>
      <c r="M987" s="38">
        <f>PlanGrid[[#This Row],[kBtu/yr]]/'Schedule-Building Info'!$B$6</f>
        <v>2.2119525592906222E-2</v>
      </c>
      <c r="N987" t="s">
        <v>1090</v>
      </c>
      <c r="O987">
        <v>0</v>
      </c>
      <c r="P987" t="str">
        <f>VLOOKUP(PlanGrid[[#This Row],[Title]],'Spec Wattages'!$A$1:$C$973,3,FALSE)</f>
        <v>Lighting</v>
      </c>
      <c r="Q987" t="s">
        <v>835</v>
      </c>
      <c r="R987" t="s">
        <v>835</v>
      </c>
      <c r="S987" t="s">
        <v>11</v>
      </c>
    </row>
    <row r="988" spans="1:19" x14ac:dyDescent="0.25">
      <c r="A988">
        <v>855</v>
      </c>
      <c r="B988" t="s">
        <v>22</v>
      </c>
      <c r="C988" t="s">
        <v>466</v>
      </c>
      <c r="D988" t="s">
        <v>23</v>
      </c>
      <c r="E988" s="50">
        <v>36</v>
      </c>
      <c r="F988" s="38">
        <v>2</v>
      </c>
      <c r="G988" s="39">
        <v>1</v>
      </c>
      <c r="H988" s="50">
        <f>PlanGrid[[#This Row],[Spec Wattage]]*PlanGrid[[#This Row],[Equipment Count]]</f>
        <v>72</v>
      </c>
      <c r="I988" s="50">
        <f>((PlanGrid[[#This Row],[Demand Watt]]*PlanGrid[[#This Row],[Utilization %]]*'Schedule-Building Info'!$N$16)/1000)</f>
        <v>394.2</v>
      </c>
      <c r="J988" s="57">
        <f>PlanGrid[[#This Row],[kWh/yr]]*' Elec Utility (kWh)'!$M$7</f>
        <v>42.026978681617976</v>
      </c>
      <c r="K988" s="49">
        <f>PlanGrid[[#This Row],[kWh/yr]]/'Schedule-Building Info'!$B$6</f>
        <v>6.4825930372148857E-3</v>
      </c>
      <c r="L988" s="50">
        <f>CONVERT(PlanGrid[[#This Row],[kWh/yr]],"Wh","BTU")</f>
        <v>1345.0662317790345</v>
      </c>
      <c r="M988" s="38">
        <f>PlanGrid[[#This Row],[kBtu/yr]]/'Schedule-Building Info'!$B$6</f>
        <v>2.2119525592906222E-2</v>
      </c>
      <c r="N988" t="s">
        <v>1090</v>
      </c>
      <c r="O988">
        <v>0</v>
      </c>
      <c r="P988" t="str">
        <f>VLOOKUP(PlanGrid[[#This Row],[Title]],'Spec Wattages'!$A$1:$C$973,3,FALSE)</f>
        <v>Lighting</v>
      </c>
      <c r="Q988" t="s">
        <v>837</v>
      </c>
      <c r="R988" t="s">
        <v>832</v>
      </c>
      <c r="S988" t="s">
        <v>11</v>
      </c>
    </row>
    <row r="989" spans="1:19" x14ac:dyDescent="0.25">
      <c r="A989">
        <v>865</v>
      </c>
      <c r="B989" t="s">
        <v>22</v>
      </c>
      <c r="C989" t="s">
        <v>466</v>
      </c>
      <c r="D989" t="s">
        <v>23</v>
      </c>
      <c r="E989" s="50">
        <v>36</v>
      </c>
      <c r="F989" s="38">
        <v>2</v>
      </c>
      <c r="G989" s="39">
        <v>1</v>
      </c>
      <c r="H989" s="50">
        <f>PlanGrid[[#This Row],[Spec Wattage]]*PlanGrid[[#This Row],[Equipment Count]]</f>
        <v>72</v>
      </c>
      <c r="I989" s="50">
        <f>((PlanGrid[[#This Row],[Demand Watt]]*PlanGrid[[#This Row],[Utilization %]]*'Schedule-Building Info'!$N$16)/1000)</f>
        <v>394.2</v>
      </c>
      <c r="J989" s="57">
        <f>PlanGrid[[#This Row],[kWh/yr]]*' Elec Utility (kWh)'!$M$7</f>
        <v>42.026978681617976</v>
      </c>
      <c r="K989" s="49">
        <f>PlanGrid[[#This Row],[kWh/yr]]/'Schedule-Building Info'!$B$6</f>
        <v>6.4825930372148857E-3</v>
      </c>
      <c r="L989" s="50">
        <f>CONVERT(PlanGrid[[#This Row],[kWh/yr]],"Wh","BTU")</f>
        <v>1345.0662317790345</v>
      </c>
      <c r="M989" s="38">
        <f>PlanGrid[[#This Row],[kBtu/yr]]/'Schedule-Building Info'!$B$6</f>
        <v>2.2119525592906222E-2</v>
      </c>
      <c r="N989" t="s">
        <v>1090</v>
      </c>
      <c r="O989">
        <v>0</v>
      </c>
      <c r="P989" t="str">
        <f>VLOOKUP(PlanGrid[[#This Row],[Title]],'Spec Wattages'!$A$1:$C$973,3,FALSE)</f>
        <v>Lighting</v>
      </c>
      <c r="Q989" t="s">
        <v>737</v>
      </c>
      <c r="R989" t="s">
        <v>732</v>
      </c>
      <c r="S989" t="s">
        <v>11</v>
      </c>
    </row>
    <row r="990" spans="1:19" x14ac:dyDescent="0.25">
      <c r="A990">
        <v>32</v>
      </c>
      <c r="B990" t="s">
        <v>22</v>
      </c>
      <c r="C990" t="s">
        <v>466</v>
      </c>
      <c r="D990" t="s">
        <v>23</v>
      </c>
      <c r="E990" s="50">
        <v>36</v>
      </c>
      <c r="F990" s="38">
        <v>2</v>
      </c>
      <c r="G990" s="39">
        <v>1</v>
      </c>
      <c r="H990" s="50">
        <f>PlanGrid[[#This Row],[Spec Wattage]]*PlanGrid[[#This Row],[Equipment Count]]</f>
        <v>72</v>
      </c>
      <c r="I990" s="50">
        <f>((PlanGrid[[#This Row],[Demand Watt]]*PlanGrid[[#This Row],[Utilization %]]*'Schedule-Building Info'!$N$16)/1000)</f>
        <v>394.2</v>
      </c>
      <c r="J990" s="57">
        <f>PlanGrid[[#This Row],[kWh/yr]]*' Elec Utility (kWh)'!$M$7</f>
        <v>42.026978681617976</v>
      </c>
      <c r="K990" s="49">
        <f>PlanGrid[[#This Row],[kWh/yr]]/'Schedule-Building Info'!$B$6</f>
        <v>6.4825930372148857E-3</v>
      </c>
      <c r="L990" s="50">
        <f>CONVERT(PlanGrid[[#This Row],[kWh/yr]],"Wh","BTU")</f>
        <v>1345.0662317790345</v>
      </c>
      <c r="M990" s="38">
        <f>PlanGrid[[#This Row],[kBtu/yr]]/'Schedule-Building Info'!$B$6</f>
        <v>2.2119525592906222E-2</v>
      </c>
      <c r="N990" t="s">
        <v>1092</v>
      </c>
      <c r="O990">
        <v>0</v>
      </c>
      <c r="P990" t="str">
        <f>VLOOKUP(PlanGrid[[#This Row],[Title]],'Spec Wattages'!$A$1:$C$973,3,FALSE)</f>
        <v>Lighting</v>
      </c>
      <c r="Q990" t="s">
        <v>842</v>
      </c>
      <c r="R990" t="s">
        <v>933</v>
      </c>
      <c r="S990" t="s">
        <v>11</v>
      </c>
    </row>
    <row r="991" spans="1:19" x14ac:dyDescent="0.25">
      <c r="A991" s="3">
        <v>44</v>
      </c>
      <c r="B991" s="3" t="s">
        <v>22</v>
      </c>
      <c r="C991" s="3" t="s">
        <v>466</v>
      </c>
      <c r="D991" s="36" t="s">
        <v>23</v>
      </c>
      <c r="E991" s="50">
        <v>36</v>
      </c>
      <c r="F991" s="38">
        <v>2</v>
      </c>
      <c r="G991" s="39">
        <v>1</v>
      </c>
      <c r="H991" s="37">
        <f>PlanGrid[[#This Row],[Spec Wattage]]*PlanGrid[[#This Row],[Equipment Count]]</f>
        <v>72</v>
      </c>
      <c r="I991" s="37">
        <f>((PlanGrid[[#This Row],[Demand Watt]]*PlanGrid[[#This Row],[Utilization %]]*'Schedule-Building Info'!$N$16)/1000)</f>
        <v>394.2</v>
      </c>
      <c r="J991" s="409">
        <f>PlanGrid[[#This Row],[kWh/yr]]*' Elec Utility (kWh)'!$M$7</f>
        <v>42.026978681617976</v>
      </c>
      <c r="K991" s="37">
        <f>PlanGrid[[#This Row],[kWh/yr]]/'Schedule-Building Info'!$B$6</f>
        <v>6.4825930372148857E-3</v>
      </c>
      <c r="L991" s="64">
        <f>CONVERT(PlanGrid[[#This Row],[kWh/yr]],"Wh","BTU")</f>
        <v>1345.0662317790345</v>
      </c>
      <c r="M991" s="37">
        <f>PlanGrid[[#This Row],[kBtu/yr]]/'Schedule-Building Info'!$B$6</f>
        <v>2.2119525592906222E-2</v>
      </c>
      <c r="N991" t="s">
        <v>1092</v>
      </c>
      <c r="O991" s="3">
        <v>0</v>
      </c>
      <c r="P991" s="3" t="str">
        <f>VLOOKUP(PlanGrid[[#This Row],[Title]],'Spec Wattages'!$A$1:$C$973,3,FALSE)</f>
        <v>Lighting</v>
      </c>
      <c r="Q991" t="s">
        <v>844</v>
      </c>
      <c r="R991" t="s">
        <v>783</v>
      </c>
      <c r="S991" t="s">
        <v>11</v>
      </c>
    </row>
    <row r="992" spans="1:19" x14ac:dyDescent="0.25">
      <c r="A992">
        <v>263</v>
      </c>
      <c r="B992" t="s">
        <v>22</v>
      </c>
      <c r="C992" t="s">
        <v>466</v>
      </c>
      <c r="D992" t="s">
        <v>23</v>
      </c>
      <c r="E992" s="50">
        <v>36</v>
      </c>
      <c r="F992" s="38">
        <v>2</v>
      </c>
      <c r="G992" s="39">
        <v>1</v>
      </c>
      <c r="H992" s="58">
        <f>PlanGrid[[#This Row],[Spec Wattage]]*PlanGrid[[#This Row],[Equipment Count]]</f>
        <v>72</v>
      </c>
      <c r="I992" s="50">
        <f>((PlanGrid[[#This Row],[Demand Watt]]*PlanGrid[[#This Row],[Utilization %]]*'Schedule-Building Info'!$N$16)/1000)</f>
        <v>394.2</v>
      </c>
      <c r="J992" s="57">
        <f>PlanGrid[[#This Row],[kWh/yr]]*' Elec Utility (kWh)'!$M$7</f>
        <v>42.026978681617976</v>
      </c>
      <c r="K992" s="38">
        <f>PlanGrid[[#This Row],[kWh/yr]]/'Schedule-Building Info'!$B$6</f>
        <v>6.4825930372148857E-3</v>
      </c>
      <c r="L992" s="50">
        <f>CONVERT(PlanGrid[[#This Row],[kWh/yr]],"Wh","BTU")</f>
        <v>1345.0662317790345</v>
      </c>
      <c r="M992" s="38">
        <f>PlanGrid[[#This Row],[kBtu/yr]]/'Schedule-Building Info'!$B$6</f>
        <v>2.2119525592906222E-2</v>
      </c>
      <c r="N992" t="s">
        <v>1092</v>
      </c>
      <c r="O992">
        <v>0</v>
      </c>
      <c r="P992" t="str">
        <f>VLOOKUP(PlanGrid[[#This Row],[Title]],'Spec Wattages'!$A$1:$C$973,3,FALSE)</f>
        <v>Lighting</v>
      </c>
      <c r="Q992" t="s">
        <v>871</v>
      </c>
      <c r="R992" t="s">
        <v>756</v>
      </c>
      <c r="S992" t="s">
        <v>11</v>
      </c>
    </row>
    <row r="993" spans="1:19" x14ac:dyDescent="0.25">
      <c r="A993">
        <v>276</v>
      </c>
      <c r="B993" t="s">
        <v>22</v>
      </c>
      <c r="C993" t="s">
        <v>466</v>
      </c>
      <c r="D993" t="s">
        <v>23</v>
      </c>
      <c r="E993" s="50">
        <v>36</v>
      </c>
      <c r="F993" s="38">
        <v>2</v>
      </c>
      <c r="G993" s="39">
        <v>1</v>
      </c>
      <c r="H993" s="58">
        <f>PlanGrid[[#This Row],[Spec Wattage]]*PlanGrid[[#This Row],[Equipment Count]]</f>
        <v>72</v>
      </c>
      <c r="I993" s="50">
        <f>((PlanGrid[[#This Row],[Demand Watt]]*PlanGrid[[#This Row],[Utilization %]]*'Schedule-Building Info'!$N$16)/1000)</f>
        <v>394.2</v>
      </c>
      <c r="J993" s="57">
        <f>PlanGrid[[#This Row],[kWh/yr]]*' Elec Utility (kWh)'!$M$7</f>
        <v>42.026978681617976</v>
      </c>
      <c r="K993" s="38">
        <f>PlanGrid[[#This Row],[kWh/yr]]/'Schedule-Building Info'!$B$6</f>
        <v>6.4825930372148857E-3</v>
      </c>
      <c r="L993" s="50">
        <f>CONVERT(PlanGrid[[#This Row],[kWh/yr]],"Wh","BTU")</f>
        <v>1345.0662317790345</v>
      </c>
      <c r="M993" s="38">
        <f>PlanGrid[[#This Row],[kBtu/yr]]/'Schedule-Building Info'!$B$6</f>
        <v>2.2119525592906222E-2</v>
      </c>
      <c r="N993" t="s">
        <v>1092</v>
      </c>
      <c r="O993">
        <v>0</v>
      </c>
      <c r="P993" t="str">
        <f>VLOOKUP(PlanGrid[[#This Row],[Title]],'Spec Wattages'!$A$1:$C$973,3,FALSE)</f>
        <v>Lighting</v>
      </c>
      <c r="Q993" t="s">
        <v>873</v>
      </c>
      <c r="R993" t="s">
        <v>1010</v>
      </c>
      <c r="S993" t="s">
        <v>11</v>
      </c>
    </row>
    <row r="994" spans="1:19" x14ac:dyDescent="0.25">
      <c r="A994">
        <v>288</v>
      </c>
      <c r="B994" t="s">
        <v>22</v>
      </c>
      <c r="C994" t="s">
        <v>466</v>
      </c>
      <c r="D994" t="s">
        <v>23</v>
      </c>
      <c r="E994" s="50">
        <v>36</v>
      </c>
      <c r="F994" s="38">
        <v>2</v>
      </c>
      <c r="G994" s="39">
        <v>1</v>
      </c>
      <c r="H994" s="58">
        <f>PlanGrid[[#This Row],[Spec Wattage]]*PlanGrid[[#This Row],[Equipment Count]]</f>
        <v>72</v>
      </c>
      <c r="I994" s="50">
        <f>((PlanGrid[[#This Row],[Demand Watt]]*PlanGrid[[#This Row],[Utilization %]]*'Schedule-Building Info'!$N$16)/1000)</f>
        <v>394.2</v>
      </c>
      <c r="J994" s="57">
        <f>PlanGrid[[#This Row],[kWh/yr]]*' Elec Utility (kWh)'!$M$7</f>
        <v>42.026978681617976</v>
      </c>
      <c r="K994" s="38">
        <f>PlanGrid[[#This Row],[kWh/yr]]/'Schedule-Building Info'!$B$6</f>
        <v>6.4825930372148857E-3</v>
      </c>
      <c r="L994" s="50">
        <f>CONVERT(PlanGrid[[#This Row],[kWh/yr]],"Wh","BTU")</f>
        <v>1345.0662317790345</v>
      </c>
      <c r="M994" s="38">
        <f>PlanGrid[[#This Row],[kBtu/yr]]/'Schedule-Building Info'!$B$6</f>
        <v>2.2119525592906222E-2</v>
      </c>
      <c r="N994" t="s">
        <v>1092</v>
      </c>
      <c r="O994">
        <v>0</v>
      </c>
      <c r="P994" t="str">
        <f>VLOOKUP(PlanGrid[[#This Row],[Title]],'Spec Wattages'!$A$1:$C$973,3,FALSE)</f>
        <v>Lighting</v>
      </c>
      <c r="Q994" t="s">
        <v>757</v>
      </c>
      <c r="R994" t="s">
        <v>1042</v>
      </c>
      <c r="S994" t="s">
        <v>11</v>
      </c>
    </row>
    <row r="995" spans="1:19" x14ac:dyDescent="0.25">
      <c r="A995">
        <v>1011</v>
      </c>
      <c r="B995" t="s">
        <v>22</v>
      </c>
      <c r="C995" t="s">
        <v>466</v>
      </c>
      <c r="D995" t="s">
        <v>46</v>
      </c>
      <c r="E995" s="50">
        <v>36</v>
      </c>
      <c r="F995" s="38">
        <v>2</v>
      </c>
      <c r="G995" s="39">
        <v>1</v>
      </c>
      <c r="H995" s="50">
        <f>PlanGrid[[#This Row],[Spec Wattage]]*PlanGrid[[#This Row],[Equipment Count]]</f>
        <v>72</v>
      </c>
      <c r="I995" s="50">
        <f>((PlanGrid[[#This Row],[Demand Watt]]*PlanGrid[[#This Row],[Utilization %]]*'Schedule-Building Info'!$N$16)/1000)</f>
        <v>394.2</v>
      </c>
      <c r="J995" s="57">
        <f>PlanGrid[[#This Row],[kWh/yr]]*' Elec Utility (kWh)'!$M$7</f>
        <v>42.026978681617976</v>
      </c>
      <c r="K995" s="49">
        <f>PlanGrid[[#This Row],[kWh/yr]]/'Schedule-Building Info'!$B$6</f>
        <v>6.4825930372148857E-3</v>
      </c>
      <c r="L995" s="50">
        <f>CONVERT(PlanGrid[[#This Row],[kWh/yr]],"Wh","BTU")</f>
        <v>1345.0662317790345</v>
      </c>
      <c r="M995" s="38">
        <f>PlanGrid[[#This Row],[kBtu/yr]]/'Schedule-Building Info'!$B$6</f>
        <v>2.2119525592906222E-2</v>
      </c>
      <c r="N995" t="s">
        <v>1089</v>
      </c>
      <c r="O995">
        <v>0</v>
      </c>
      <c r="P995" t="str">
        <f>VLOOKUP(PlanGrid[[#This Row],[Title]],'Spec Wattages'!$A$1:$C$973,3,FALSE)</f>
        <v>Lighting</v>
      </c>
      <c r="Q995" t="s">
        <v>798</v>
      </c>
      <c r="R995" t="s">
        <v>760</v>
      </c>
      <c r="S995" t="s">
        <v>11</v>
      </c>
    </row>
    <row r="996" spans="1:19" x14ac:dyDescent="0.25">
      <c r="A996">
        <v>1040</v>
      </c>
      <c r="B996" t="s">
        <v>22</v>
      </c>
      <c r="C996" t="s">
        <v>466</v>
      </c>
      <c r="D996" t="s">
        <v>46</v>
      </c>
      <c r="E996" s="50">
        <v>36</v>
      </c>
      <c r="F996" s="38">
        <v>2</v>
      </c>
      <c r="G996" s="39">
        <v>1</v>
      </c>
      <c r="H996" s="50">
        <f>PlanGrid[[#This Row],[Spec Wattage]]*PlanGrid[[#This Row],[Equipment Count]]</f>
        <v>72</v>
      </c>
      <c r="I996" s="50">
        <f>((PlanGrid[[#This Row],[Demand Watt]]*PlanGrid[[#This Row],[Utilization %]]*'Schedule-Building Info'!$N$16)/1000)</f>
        <v>394.2</v>
      </c>
      <c r="J996" s="57">
        <f>PlanGrid[[#This Row],[kWh/yr]]*' Elec Utility (kWh)'!$M$7</f>
        <v>42.026978681617976</v>
      </c>
      <c r="K996" s="49">
        <f>PlanGrid[[#This Row],[kWh/yr]]/'Schedule-Building Info'!$B$6</f>
        <v>6.4825930372148857E-3</v>
      </c>
      <c r="L996" s="50">
        <f>CONVERT(PlanGrid[[#This Row],[kWh/yr]],"Wh","BTU")</f>
        <v>1345.0662317790345</v>
      </c>
      <c r="M996" s="38">
        <f>PlanGrid[[#This Row],[kBtu/yr]]/'Schedule-Building Info'!$B$6</f>
        <v>2.2119525592906222E-2</v>
      </c>
      <c r="N996" t="s">
        <v>1089</v>
      </c>
      <c r="O996">
        <v>0</v>
      </c>
      <c r="P996" t="str">
        <f>VLOOKUP(PlanGrid[[#This Row],[Title]],'Spec Wattages'!$A$1:$C$973,3,FALSE)</f>
        <v>Lighting</v>
      </c>
      <c r="Q996" t="s">
        <v>782</v>
      </c>
      <c r="R996" t="s">
        <v>763</v>
      </c>
      <c r="S996" t="s">
        <v>11</v>
      </c>
    </row>
    <row r="997" spans="1:19" x14ac:dyDescent="0.25">
      <c r="A997">
        <v>315</v>
      </c>
      <c r="B997" t="s">
        <v>22</v>
      </c>
      <c r="C997" t="s">
        <v>466</v>
      </c>
      <c r="D997" t="s">
        <v>46</v>
      </c>
      <c r="E997" s="50">
        <v>36</v>
      </c>
      <c r="F997" s="38">
        <v>2</v>
      </c>
      <c r="G997" s="39">
        <v>1</v>
      </c>
      <c r="H997" s="58">
        <f>PlanGrid[[#This Row],[Spec Wattage]]*PlanGrid[[#This Row],[Equipment Count]]</f>
        <v>72</v>
      </c>
      <c r="I997" s="50">
        <f>((PlanGrid[[#This Row],[Demand Watt]]*PlanGrid[[#This Row],[Utilization %]]*'Schedule-Building Info'!$N$16)/1000)</f>
        <v>394.2</v>
      </c>
      <c r="J997" s="57">
        <f>PlanGrid[[#This Row],[kWh/yr]]*' Elec Utility (kWh)'!$M$7</f>
        <v>42.026978681617976</v>
      </c>
      <c r="K997" s="38">
        <f>PlanGrid[[#This Row],[kWh/yr]]/'Schedule-Building Info'!$B$6</f>
        <v>6.4825930372148857E-3</v>
      </c>
      <c r="L997" s="50">
        <f>CONVERT(PlanGrid[[#This Row],[kWh/yr]],"Wh","BTU")</f>
        <v>1345.0662317790345</v>
      </c>
      <c r="M997" s="38">
        <f>PlanGrid[[#This Row],[kBtu/yr]]/'Schedule-Building Info'!$B$6</f>
        <v>2.2119525592906222E-2</v>
      </c>
      <c r="N997" t="s">
        <v>1092</v>
      </c>
      <c r="O997">
        <v>0</v>
      </c>
      <c r="P997" t="str">
        <f>VLOOKUP(PlanGrid[[#This Row],[Title]],'Spec Wattages'!$A$1:$C$973,3,FALSE)</f>
        <v>Lighting</v>
      </c>
      <c r="Q997" t="s">
        <v>884</v>
      </c>
      <c r="R997" t="s">
        <v>1056</v>
      </c>
      <c r="S997" t="s">
        <v>11</v>
      </c>
    </row>
    <row r="998" spans="1:19" x14ac:dyDescent="0.25">
      <c r="A998">
        <v>318</v>
      </c>
      <c r="B998" t="s">
        <v>22</v>
      </c>
      <c r="C998" t="s">
        <v>466</v>
      </c>
      <c r="D998" t="s">
        <v>46</v>
      </c>
      <c r="E998" s="50">
        <v>36</v>
      </c>
      <c r="F998" s="38">
        <v>2</v>
      </c>
      <c r="G998" s="39">
        <v>1</v>
      </c>
      <c r="H998" s="58">
        <f>PlanGrid[[#This Row],[Spec Wattage]]*PlanGrid[[#This Row],[Equipment Count]]</f>
        <v>72</v>
      </c>
      <c r="I998" s="50">
        <f>((PlanGrid[[#This Row],[Demand Watt]]*PlanGrid[[#This Row],[Utilization %]]*'Schedule-Building Info'!$N$16)/1000)</f>
        <v>394.2</v>
      </c>
      <c r="J998" s="57">
        <f>PlanGrid[[#This Row],[kWh/yr]]*' Elec Utility (kWh)'!$M$7</f>
        <v>42.026978681617976</v>
      </c>
      <c r="K998" s="38">
        <f>PlanGrid[[#This Row],[kWh/yr]]/'Schedule-Building Info'!$B$6</f>
        <v>6.4825930372148857E-3</v>
      </c>
      <c r="L998" s="50">
        <f>CONVERT(PlanGrid[[#This Row],[kWh/yr]],"Wh","BTU")</f>
        <v>1345.0662317790345</v>
      </c>
      <c r="M998" s="38">
        <f>PlanGrid[[#This Row],[kBtu/yr]]/'Schedule-Building Info'!$B$6</f>
        <v>2.2119525592906222E-2</v>
      </c>
      <c r="N998" t="s">
        <v>1092</v>
      </c>
      <c r="O998">
        <v>0</v>
      </c>
      <c r="P998" t="str">
        <f>VLOOKUP(PlanGrid[[#This Row],[Title]],'Spec Wattages'!$A$1:$C$973,3,FALSE)</f>
        <v>Lighting</v>
      </c>
      <c r="Q998" t="s">
        <v>885</v>
      </c>
      <c r="R998" t="s">
        <v>1056</v>
      </c>
      <c r="S998" t="s">
        <v>11</v>
      </c>
    </row>
    <row r="999" spans="1:19" x14ac:dyDescent="0.25">
      <c r="A999">
        <v>321</v>
      </c>
      <c r="B999" t="s">
        <v>22</v>
      </c>
      <c r="C999" t="s">
        <v>466</v>
      </c>
      <c r="D999" t="s">
        <v>46</v>
      </c>
      <c r="E999" s="50">
        <v>36</v>
      </c>
      <c r="F999" s="38">
        <v>2</v>
      </c>
      <c r="G999" s="39">
        <v>1</v>
      </c>
      <c r="H999" s="58">
        <f>PlanGrid[[#This Row],[Spec Wattage]]*PlanGrid[[#This Row],[Equipment Count]]</f>
        <v>72</v>
      </c>
      <c r="I999" s="50">
        <f>((PlanGrid[[#This Row],[Demand Watt]]*PlanGrid[[#This Row],[Utilization %]]*'Schedule-Building Info'!$N$16)/1000)</f>
        <v>394.2</v>
      </c>
      <c r="J999" s="57">
        <f>PlanGrid[[#This Row],[kWh/yr]]*' Elec Utility (kWh)'!$M$7</f>
        <v>42.026978681617976</v>
      </c>
      <c r="K999" s="38">
        <f>PlanGrid[[#This Row],[kWh/yr]]/'Schedule-Building Info'!$B$6</f>
        <v>6.4825930372148857E-3</v>
      </c>
      <c r="L999" s="50">
        <f>CONVERT(PlanGrid[[#This Row],[kWh/yr]],"Wh","BTU")</f>
        <v>1345.0662317790345</v>
      </c>
      <c r="M999" s="38">
        <f>PlanGrid[[#This Row],[kBtu/yr]]/'Schedule-Building Info'!$B$6</f>
        <v>2.2119525592906222E-2</v>
      </c>
      <c r="N999" t="s">
        <v>1092</v>
      </c>
      <c r="O999">
        <v>0</v>
      </c>
      <c r="P999" t="str">
        <f>VLOOKUP(PlanGrid[[#This Row],[Title]],'Spec Wattages'!$A$1:$C$973,3,FALSE)</f>
        <v>Lighting</v>
      </c>
      <c r="Q999" t="s">
        <v>887</v>
      </c>
      <c r="R999" t="s">
        <v>1056</v>
      </c>
      <c r="S999" t="s">
        <v>11</v>
      </c>
    </row>
    <row r="1000" spans="1:19" x14ac:dyDescent="0.25">
      <c r="A1000">
        <v>326</v>
      </c>
      <c r="B1000" t="s">
        <v>22</v>
      </c>
      <c r="C1000" t="s">
        <v>466</v>
      </c>
      <c r="D1000" t="s">
        <v>46</v>
      </c>
      <c r="E1000" s="50">
        <v>36</v>
      </c>
      <c r="F1000" s="38">
        <v>2</v>
      </c>
      <c r="G1000" s="39">
        <v>1</v>
      </c>
      <c r="H1000" s="58">
        <f>PlanGrid[[#This Row],[Spec Wattage]]*PlanGrid[[#This Row],[Equipment Count]]</f>
        <v>72</v>
      </c>
      <c r="I1000" s="50">
        <f>((PlanGrid[[#This Row],[Demand Watt]]*PlanGrid[[#This Row],[Utilization %]]*'Schedule-Building Info'!$N$16)/1000)</f>
        <v>394.2</v>
      </c>
      <c r="J1000" s="57">
        <f>PlanGrid[[#This Row],[kWh/yr]]*' Elec Utility (kWh)'!$M$7</f>
        <v>42.026978681617976</v>
      </c>
      <c r="K1000" s="38">
        <f>PlanGrid[[#This Row],[kWh/yr]]/'Schedule-Building Info'!$B$6</f>
        <v>6.4825930372148857E-3</v>
      </c>
      <c r="L1000" s="50">
        <f>CONVERT(PlanGrid[[#This Row],[kWh/yr]],"Wh","BTU")</f>
        <v>1345.0662317790345</v>
      </c>
      <c r="M1000" s="38">
        <f>PlanGrid[[#This Row],[kBtu/yr]]/'Schedule-Building Info'!$B$6</f>
        <v>2.2119525592906222E-2</v>
      </c>
      <c r="N1000" t="s">
        <v>1092</v>
      </c>
      <c r="O1000">
        <v>0</v>
      </c>
      <c r="P1000" t="str">
        <f>VLOOKUP(PlanGrid[[#This Row],[Title]],'Spec Wattages'!$A$1:$C$973,3,FALSE)</f>
        <v>Lighting</v>
      </c>
      <c r="Q1000" t="s">
        <v>888</v>
      </c>
      <c r="R1000" t="s">
        <v>1056</v>
      </c>
      <c r="S1000" t="s">
        <v>11</v>
      </c>
    </row>
    <row r="1001" spans="1:19" x14ac:dyDescent="0.25">
      <c r="A1001">
        <v>337</v>
      </c>
      <c r="B1001" t="s">
        <v>22</v>
      </c>
      <c r="C1001" t="s">
        <v>466</v>
      </c>
      <c r="D1001" t="s">
        <v>46</v>
      </c>
      <c r="E1001" s="50">
        <v>36</v>
      </c>
      <c r="F1001" s="38">
        <v>2</v>
      </c>
      <c r="G1001" s="39">
        <v>1</v>
      </c>
      <c r="H1001" s="58">
        <f>PlanGrid[[#This Row],[Spec Wattage]]*PlanGrid[[#This Row],[Equipment Count]]</f>
        <v>72</v>
      </c>
      <c r="I1001" s="50">
        <f>((PlanGrid[[#This Row],[Demand Watt]]*PlanGrid[[#This Row],[Utilization %]]*'Schedule-Building Info'!$N$16)/1000)</f>
        <v>394.2</v>
      </c>
      <c r="J1001" s="57">
        <f>PlanGrid[[#This Row],[kWh/yr]]*' Elec Utility (kWh)'!$M$7</f>
        <v>42.026978681617976</v>
      </c>
      <c r="K1001" s="38">
        <f>PlanGrid[[#This Row],[kWh/yr]]/'Schedule-Building Info'!$B$6</f>
        <v>6.4825930372148857E-3</v>
      </c>
      <c r="L1001" s="50">
        <f>CONVERT(PlanGrid[[#This Row],[kWh/yr]],"Wh","BTU")</f>
        <v>1345.0662317790345</v>
      </c>
      <c r="M1001" s="38">
        <f>PlanGrid[[#This Row],[kBtu/yr]]/'Schedule-Building Info'!$B$6</f>
        <v>2.2119525592906222E-2</v>
      </c>
      <c r="N1001" t="s">
        <v>1092</v>
      </c>
      <c r="O1001">
        <v>0</v>
      </c>
      <c r="P1001" t="str">
        <f>VLOOKUP(PlanGrid[[#This Row],[Title]],'Spec Wattages'!$A$1:$C$973,3,FALSE)</f>
        <v>Lighting</v>
      </c>
      <c r="Q1001" t="s">
        <v>890</v>
      </c>
      <c r="R1001" t="s">
        <v>1056</v>
      </c>
      <c r="S1001" t="s">
        <v>11</v>
      </c>
    </row>
    <row r="1002" spans="1:19" x14ac:dyDescent="0.25">
      <c r="A1002">
        <v>338</v>
      </c>
      <c r="B1002" t="s">
        <v>22</v>
      </c>
      <c r="C1002" t="s">
        <v>466</v>
      </c>
      <c r="D1002" t="s">
        <v>46</v>
      </c>
      <c r="E1002" s="50">
        <v>36</v>
      </c>
      <c r="F1002" s="38">
        <v>2</v>
      </c>
      <c r="G1002" s="39">
        <v>1</v>
      </c>
      <c r="H1002" s="58">
        <f>PlanGrid[[#This Row],[Spec Wattage]]*PlanGrid[[#This Row],[Equipment Count]]</f>
        <v>72</v>
      </c>
      <c r="I1002" s="50">
        <f>((PlanGrid[[#This Row],[Demand Watt]]*PlanGrid[[#This Row],[Utilization %]]*'Schedule-Building Info'!$N$16)/1000)</f>
        <v>394.2</v>
      </c>
      <c r="J1002" s="57">
        <f>PlanGrid[[#This Row],[kWh/yr]]*' Elec Utility (kWh)'!$M$7</f>
        <v>42.026978681617976</v>
      </c>
      <c r="K1002" s="38">
        <f>PlanGrid[[#This Row],[kWh/yr]]/'Schedule-Building Info'!$B$6</f>
        <v>6.4825930372148857E-3</v>
      </c>
      <c r="L1002" s="50">
        <f>CONVERT(PlanGrid[[#This Row],[kWh/yr]],"Wh","BTU")</f>
        <v>1345.0662317790345</v>
      </c>
      <c r="M1002" s="38">
        <f>PlanGrid[[#This Row],[kBtu/yr]]/'Schedule-Building Info'!$B$6</f>
        <v>2.2119525592906222E-2</v>
      </c>
      <c r="N1002" t="s">
        <v>1092</v>
      </c>
      <c r="O1002">
        <v>0</v>
      </c>
      <c r="P1002" t="str">
        <f>VLOOKUP(PlanGrid[[#This Row],[Title]],'Spec Wattages'!$A$1:$C$973,3,FALSE)</f>
        <v>Lighting</v>
      </c>
      <c r="Q1002" t="s">
        <v>891</v>
      </c>
      <c r="R1002" t="s">
        <v>1056</v>
      </c>
      <c r="S1002" t="s">
        <v>11</v>
      </c>
    </row>
    <row r="1003" spans="1:19" x14ac:dyDescent="0.25">
      <c r="A1003">
        <v>353</v>
      </c>
      <c r="B1003" t="s">
        <v>22</v>
      </c>
      <c r="C1003" t="s">
        <v>466</v>
      </c>
      <c r="D1003" t="s">
        <v>46</v>
      </c>
      <c r="E1003" s="50">
        <v>36</v>
      </c>
      <c r="F1003" s="38">
        <v>2</v>
      </c>
      <c r="G1003" s="39">
        <v>1</v>
      </c>
      <c r="H1003" s="58">
        <f>PlanGrid[[#This Row],[Spec Wattage]]*PlanGrid[[#This Row],[Equipment Count]]</f>
        <v>72</v>
      </c>
      <c r="I1003" s="50">
        <f>((PlanGrid[[#This Row],[Demand Watt]]*PlanGrid[[#This Row],[Utilization %]]*'Schedule-Building Info'!$N$16)/1000)</f>
        <v>394.2</v>
      </c>
      <c r="J1003" s="57">
        <f>PlanGrid[[#This Row],[kWh/yr]]*' Elec Utility (kWh)'!$M$7</f>
        <v>42.026978681617976</v>
      </c>
      <c r="K1003" s="38">
        <f>PlanGrid[[#This Row],[kWh/yr]]/'Schedule-Building Info'!$B$6</f>
        <v>6.4825930372148857E-3</v>
      </c>
      <c r="L1003" s="50">
        <f>CONVERT(PlanGrid[[#This Row],[kWh/yr]],"Wh","BTU")</f>
        <v>1345.0662317790345</v>
      </c>
      <c r="M1003" s="38">
        <f>PlanGrid[[#This Row],[kBtu/yr]]/'Schedule-Building Info'!$B$6</f>
        <v>2.2119525592906222E-2</v>
      </c>
      <c r="N1003" t="s">
        <v>1092</v>
      </c>
      <c r="O1003">
        <v>0</v>
      </c>
      <c r="P1003" t="str">
        <f>VLOOKUP(PlanGrid[[#This Row],[Title]],'Spec Wattages'!$A$1:$C$973,3,FALSE)</f>
        <v>Lighting</v>
      </c>
      <c r="Q1003" t="s">
        <v>892</v>
      </c>
      <c r="R1003" t="s">
        <v>1043</v>
      </c>
      <c r="S1003" t="s">
        <v>11</v>
      </c>
    </row>
    <row r="1004" spans="1:19" x14ac:dyDescent="0.25">
      <c r="A1004">
        <v>360</v>
      </c>
      <c r="B1004" t="s">
        <v>22</v>
      </c>
      <c r="C1004" t="s">
        <v>466</v>
      </c>
      <c r="D1004" t="s">
        <v>46</v>
      </c>
      <c r="E1004" s="50">
        <v>36</v>
      </c>
      <c r="F1004" s="38">
        <v>2</v>
      </c>
      <c r="G1004" s="39">
        <v>1</v>
      </c>
      <c r="H1004" s="58">
        <f>PlanGrid[[#This Row],[Spec Wattage]]*PlanGrid[[#This Row],[Equipment Count]]</f>
        <v>72</v>
      </c>
      <c r="I1004" s="50">
        <f>((PlanGrid[[#This Row],[Demand Watt]]*PlanGrid[[#This Row],[Utilization %]]*'Schedule-Building Info'!$N$16)/1000)</f>
        <v>394.2</v>
      </c>
      <c r="J1004" s="57">
        <f>PlanGrid[[#This Row],[kWh/yr]]*' Elec Utility (kWh)'!$M$7</f>
        <v>42.026978681617976</v>
      </c>
      <c r="K1004" s="38">
        <f>PlanGrid[[#This Row],[kWh/yr]]/'Schedule-Building Info'!$B$6</f>
        <v>6.4825930372148857E-3</v>
      </c>
      <c r="L1004" s="50">
        <f>CONVERT(PlanGrid[[#This Row],[kWh/yr]],"Wh","BTU")</f>
        <v>1345.0662317790345</v>
      </c>
      <c r="M1004" s="38">
        <f>PlanGrid[[#This Row],[kBtu/yr]]/'Schedule-Building Info'!$B$6</f>
        <v>2.2119525592906222E-2</v>
      </c>
      <c r="N1004" t="s">
        <v>1092</v>
      </c>
      <c r="O1004">
        <v>0</v>
      </c>
      <c r="P1004" t="str">
        <f>VLOOKUP(PlanGrid[[#This Row],[Title]],'Spec Wattages'!$A$1:$C$973,3,FALSE)</f>
        <v>Lighting</v>
      </c>
      <c r="Q1004" t="s">
        <v>893</v>
      </c>
      <c r="R1004" t="s">
        <v>1043</v>
      </c>
      <c r="S1004" t="s">
        <v>11</v>
      </c>
    </row>
    <row r="1005" spans="1:19" x14ac:dyDescent="0.25">
      <c r="A1005">
        <v>363</v>
      </c>
      <c r="B1005" t="s">
        <v>22</v>
      </c>
      <c r="C1005" t="s">
        <v>466</v>
      </c>
      <c r="D1005" t="s">
        <v>46</v>
      </c>
      <c r="E1005" s="50">
        <v>36</v>
      </c>
      <c r="F1005" s="38">
        <v>2</v>
      </c>
      <c r="G1005" s="39">
        <v>1</v>
      </c>
      <c r="H1005" s="58">
        <f>PlanGrid[[#This Row],[Spec Wattage]]*PlanGrid[[#This Row],[Equipment Count]]</f>
        <v>72</v>
      </c>
      <c r="I1005" s="50">
        <f>((PlanGrid[[#This Row],[Demand Watt]]*PlanGrid[[#This Row],[Utilization %]]*'Schedule-Building Info'!$N$16)/1000)</f>
        <v>394.2</v>
      </c>
      <c r="J1005" s="57">
        <f>PlanGrid[[#This Row],[kWh/yr]]*' Elec Utility (kWh)'!$M$7</f>
        <v>42.026978681617976</v>
      </c>
      <c r="K1005" s="38">
        <f>PlanGrid[[#This Row],[kWh/yr]]/'Schedule-Building Info'!$B$6</f>
        <v>6.4825930372148857E-3</v>
      </c>
      <c r="L1005" s="50">
        <f>CONVERT(PlanGrid[[#This Row],[kWh/yr]],"Wh","BTU")</f>
        <v>1345.0662317790345</v>
      </c>
      <c r="M1005" s="38">
        <f>PlanGrid[[#This Row],[kBtu/yr]]/'Schedule-Building Info'!$B$6</f>
        <v>2.2119525592906222E-2</v>
      </c>
      <c r="N1005" t="s">
        <v>1092</v>
      </c>
      <c r="O1005">
        <v>0</v>
      </c>
      <c r="P1005" t="str">
        <f>VLOOKUP(PlanGrid[[#This Row],[Title]],'Spec Wattages'!$A$1:$C$973,3,FALSE)</f>
        <v>Lighting</v>
      </c>
      <c r="Q1005" t="s">
        <v>894</v>
      </c>
      <c r="R1005" t="s">
        <v>1043</v>
      </c>
      <c r="S1005" t="s">
        <v>11</v>
      </c>
    </row>
    <row r="1006" spans="1:19" x14ac:dyDescent="0.25">
      <c r="A1006">
        <v>365</v>
      </c>
      <c r="B1006" t="s">
        <v>22</v>
      </c>
      <c r="C1006" t="s">
        <v>466</v>
      </c>
      <c r="D1006" t="s">
        <v>46</v>
      </c>
      <c r="E1006" s="50">
        <v>36</v>
      </c>
      <c r="F1006" s="38">
        <v>2</v>
      </c>
      <c r="G1006" s="39">
        <v>1</v>
      </c>
      <c r="H1006" s="58">
        <f>PlanGrid[[#This Row],[Spec Wattage]]*PlanGrid[[#This Row],[Equipment Count]]</f>
        <v>72</v>
      </c>
      <c r="I1006" s="50">
        <f>((PlanGrid[[#This Row],[Demand Watt]]*PlanGrid[[#This Row],[Utilization %]]*'Schedule-Building Info'!$N$16)/1000)</f>
        <v>394.2</v>
      </c>
      <c r="J1006" s="57">
        <f>PlanGrid[[#This Row],[kWh/yr]]*' Elec Utility (kWh)'!$M$7</f>
        <v>42.026978681617976</v>
      </c>
      <c r="K1006" s="38">
        <f>PlanGrid[[#This Row],[kWh/yr]]/'Schedule-Building Info'!$B$6</f>
        <v>6.4825930372148857E-3</v>
      </c>
      <c r="L1006" s="50">
        <f>CONVERT(PlanGrid[[#This Row],[kWh/yr]],"Wh","BTU")</f>
        <v>1345.0662317790345</v>
      </c>
      <c r="M1006" s="38">
        <f>PlanGrid[[#This Row],[kBtu/yr]]/'Schedule-Building Info'!$B$6</f>
        <v>2.2119525592906222E-2</v>
      </c>
      <c r="N1006" t="s">
        <v>1092</v>
      </c>
      <c r="O1006">
        <v>0</v>
      </c>
      <c r="P1006" t="str">
        <f>VLOOKUP(PlanGrid[[#This Row],[Title]],'Spec Wattages'!$A$1:$C$973,3,FALSE)</f>
        <v>Lighting</v>
      </c>
      <c r="Q1006" t="s">
        <v>895</v>
      </c>
      <c r="R1006" t="s">
        <v>1043</v>
      </c>
      <c r="S1006" t="s">
        <v>11</v>
      </c>
    </row>
    <row r="1007" spans="1:19" x14ac:dyDescent="0.25">
      <c r="A1007">
        <v>384</v>
      </c>
      <c r="B1007" t="s">
        <v>22</v>
      </c>
      <c r="C1007" t="s">
        <v>466</v>
      </c>
      <c r="D1007" t="s">
        <v>46</v>
      </c>
      <c r="E1007" s="50">
        <v>36</v>
      </c>
      <c r="F1007" s="38">
        <v>2</v>
      </c>
      <c r="G1007" s="39">
        <v>1</v>
      </c>
      <c r="H1007" s="58">
        <f>PlanGrid[[#This Row],[Spec Wattage]]*PlanGrid[[#This Row],[Equipment Count]]</f>
        <v>72</v>
      </c>
      <c r="I1007" s="50">
        <f>((PlanGrid[[#This Row],[Demand Watt]]*PlanGrid[[#This Row],[Utilization %]]*'Schedule-Building Info'!$N$16)/1000)</f>
        <v>394.2</v>
      </c>
      <c r="J1007" s="57">
        <f>PlanGrid[[#This Row],[kWh/yr]]*' Elec Utility (kWh)'!$M$7</f>
        <v>42.026978681617976</v>
      </c>
      <c r="K1007" s="38">
        <f>PlanGrid[[#This Row],[kWh/yr]]/'Schedule-Building Info'!$B$6</f>
        <v>6.4825930372148857E-3</v>
      </c>
      <c r="L1007" s="50">
        <f>CONVERT(PlanGrid[[#This Row],[kWh/yr]],"Wh","BTU")</f>
        <v>1345.0662317790345</v>
      </c>
      <c r="M1007" s="38">
        <f>PlanGrid[[#This Row],[kBtu/yr]]/'Schedule-Building Info'!$B$6</f>
        <v>2.2119525592906222E-2</v>
      </c>
      <c r="N1007" t="s">
        <v>1092</v>
      </c>
      <c r="O1007">
        <v>0</v>
      </c>
      <c r="P1007" t="str">
        <f>VLOOKUP(PlanGrid[[#This Row],[Title]],'Spec Wattages'!$A$1:$C$973,3,FALSE)</f>
        <v>Lighting</v>
      </c>
      <c r="Q1007" t="s">
        <v>761</v>
      </c>
      <c r="R1007" t="s">
        <v>1044</v>
      </c>
      <c r="S1007" t="s">
        <v>11</v>
      </c>
    </row>
    <row r="1008" spans="1:19" x14ac:dyDescent="0.25">
      <c r="A1008">
        <v>393</v>
      </c>
      <c r="B1008" t="s">
        <v>22</v>
      </c>
      <c r="C1008" t="s">
        <v>466</v>
      </c>
      <c r="D1008" t="s">
        <v>46</v>
      </c>
      <c r="E1008" s="50">
        <v>36</v>
      </c>
      <c r="F1008" s="38">
        <v>2</v>
      </c>
      <c r="G1008" s="39">
        <v>1</v>
      </c>
      <c r="H1008" s="58">
        <f>PlanGrid[[#This Row],[Spec Wattage]]*PlanGrid[[#This Row],[Equipment Count]]</f>
        <v>72</v>
      </c>
      <c r="I1008" s="50">
        <f>((PlanGrid[[#This Row],[Demand Watt]]*PlanGrid[[#This Row],[Utilization %]]*'Schedule-Building Info'!$N$16)/1000)</f>
        <v>394.2</v>
      </c>
      <c r="J1008" s="57">
        <f>PlanGrid[[#This Row],[kWh/yr]]*' Elec Utility (kWh)'!$M$7</f>
        <v>42.026978681617976</v>
      </c>
      <c r="K1008" s="38">
        <f>PlanGrid[[#This Row],[kWh/yr]]/'Schedule-Building Info'!$B$6</f>
        <v>6.4825930372148857E-3</v>
      </c>
      <c r="L1008" s="50">
        <f>CONVERT(PlanGrid[[#This Row],[kWh/yr]],"Wh","BTU")</f>
        <v>1345.0662317790345</v>
      </c>
      <c r="M1008" s="38">
        <f>PlanGrid[[#This Row],[kBtu/yr]]/'Schedule-Building Info'!$B$6</f>
        <v>2.2119525592906222E-2</v>
      </c>
      <c r="N1008" t="s">
        <v>1092</v>
      </c>
      <c r="O1008">
        <v>0</v>
      </c>
      <c r="P1008" t="str">
        <f>VLOOKUP(PlanGrid[[#This Row],[Title]],'Spec Wattages'!$A$1:$C$973,3,FALSE)</f>
        <v>Lighting</v>
      </c>
      <c r="Q1008" t="s">
        <v>899</v>
      </c>
      <c r="R1008" t="s">
        <v>1058</v>
      </c>
      <c r="S1008" t="s">
        <v>11</v>
      </c>
    </row>
    <row r="1009" spans="1:19" x14ac:dyDescent="0.25">
      <c r="A1009">
        <v>395</v>
      </c>
      <c r="B1009" t="s">
        <v>22</v>
      </c>
      <c r="C1009" t="s">
        <v>466</v>
      </c>
      <c r="D1009" t="s">
        <v>46</v>
      </c>
      <c r="E1009" s="50">
        <v>36</v>
      </c>
      <c r="F1009" s="38">
        <v>2</v>
      </c>
      <c r="G1009" s="39">
        <v>1</v>
      </c>
      <c r="H1009" s="58">
        <f>PlanGrid[[#This Row],[Spec Wattage]]*PlanGrid[[#This Row],[Equipment Count]]</f>
        <v>72</v>
      </c>
      <c r="I1009" s="50">
        <f>((PlanGrid[[#This Row],[Demand Watt]]*PlanGrid[[#This Row],[Utilization %]]*'Schedule-Building Info'!$N$16)/1000)</f>
        <v>394.2</v>
      </c>
      <c r="J1009" s="57">
        <f>PlanGrid[[#This Row],[kWh/yr]]*' Elec Utility (kWh)'!$M$7</f>
        <v>42.026978681617976</v>
      </c>
      <c r="K1009" s="38">
        <f>PlanGrid[[#This Row],[kWh/yr]]/'Schedule-Building Info'!$B$6</f>
        <v>6.4825930372148857E-3</v>
      </c>
      <c r="L1009" s="50">
        <f>CONVERT(PlanGrid[[#This Row],[kWh/yr]],"Wh","BTU")</f>
        <v>1345.0662317790345</v>
      </c>
      <c r="M1009" s="38">
        <f>PlanGrid[[#This Row],[kBtu/yr]]/'Schedule-Building Info'!$B$6</f>
        <v>2.2119525592906222E-2</v>
      </c>
      <c r="N1009" t="s">
        <v>1092</v>
      </c>
      <c r="O1009">
        <v>0</v>
      </c>
      <c r="P1009" t="str">
        <f>VLOOKUP(PlanGrid[[#This Row],[Title]],'Spec Wattages'!$A$1:$C$973,3,FALSE)</f>
        <v>Lighting</v>
      </c>
      <c r="Q1009" t="s">
        <v>899</v>
      </c>
      <c r="R1009" t="s">
        <v>900</v>
      </c>
      <c r="S1009" t="s">
        <v>11</v>
      </c>
    </row>
    <row r="1010" spans="1:19" x14ac:dyDescent="0.25">
      <c r="A1010">
        <v>466</v>
      </c>
      <c r="B1010" t="s">
        <v>22</v>
      </c>
      <c r="C1010" t="s">
        <v>466</v>
      </c>
      <c r="D1010" t="s">
        <v>46</v>
      </c>
      <c r="E1010" s="50">
        <v>36</v>
      </c>
      <c r="F1010" s="38">
        <v>2</v>
      </c>
      <c r="G1010" s="39">
        <v>1</v>
      </c>
      <c r="H1010" s="58">
        <f>PlanGrid[[#This Row],[Spec Wattage]]*PlanGrid[[#This Row],[Equipment Count]]</f>
        <v>72</v>
      </c>
      <c r="I1010" s="50">
        <f>((PlanGrid[[#This Row],[Demand Watt]]*PlanGrid[[#This Row],[Utilization %]]*'Schedule-Building Info'!$N$16)/1000)</f>
        <v>394.2</v>
      </c>
      <c r="J1010" s="57">
        <f>PlanGrid[[#This Row],[kWh/yr]]*' Elec Utility (kWh)'!$M$7</f>
        <v>42.026978681617976</v>
      </c>
      <c r="K1010" s="38">
        <f>PlanGrid[[#This Row],[kWh/yr]]/'Schedule-Building Info'!$B$6</f>
        <v>6.4825930372148857E-3</v>
      </c>
      <c r="L1010" s="50">
        <f>CONVERT(PlanGrid[[#This Row],[kWh/yr]],"Wh","BTU")</f>
        <v>1345.0662317790345</v>
      </c>
      <c r="M1010" s="38">
        <f>PlanGrid[[#This Row],[kBtu/yr]]/'Schedule-Building Info'!$B$6</f>
        <v>2.2119525592906222E-2</v>
      </c>
      <c r="N1010" t="s">
        <v>1092</v>
      </c>
      <c r="O1010">
        <v>0</v>
      </c>
      <c r="P1010" t="str">
        <f>VLOOKUP(PlanGrid[[#This Row],[Title]],'Spec Wattages'!$A$1:$C$973,3,FALSE)</f>
        <v>Lighting</v>
      </c>
      <c r="Q1010" t="s">
        <v>906</v>
      </c>
      <c r="R1010" t="s">
        <v>766</v>
      </c>
      <c r="S1010" t="s">
        <v>11</v>
      </c>
    </row>
    <row r="1011" spans="1:19" x14ac:dyDescent="0.25">
      <c r="A1011">
        <v>471</v>
      </c>
      <c r="B1011" t="s">
        <v>22</v>
      </c>
      <c r="C1011" t="s">
        <v>466</v>
      </c>
      <c r="D1011" t="s">
        <v>46</v>
      </c>
      <c r="E1011" s="50">
        <v>36</v>
      </c>
      <c r="F1011" s="38">
        <v>2</v>
      </c>
      <c r="G1011" s="39">
        <v>1</v>
      </c>
      <c r="H1011" s="58">
        <f>PlanGrid[[#This Row],[Spec Wattage]]*PlanGrid[[#This Row],[Equipment Count]]</f>
        <v>72</v>
      </c>
      <c r="I1011" s="50">
        <f>((PlanGrid[[#This Row],[Demand Watt]]*PlanGrid[[#This Row],[Utilization %]]*'Schedule-Building Info'!$N$16)/1000)</f>
        <v>394.2</v>
      </c>
      <c r="J1011" s="57">
        <f>PlanGrid[[#This Row],[kWh/yr]]*' Elec Utility (kWh)'!$M$7</f>
        <v>42.026978681617976</v>
      </c>
      <c r="K1011" s="38">
        <f>PlanGrid[[#This Row],[kWh/yr]]/'Schedule-Building Info'!$B$6</f>
        <v>6.4825930372148857E-3</v>
      </c>
      <c r="L1011" s="50">
        <f>CONVERT(PlanGrid[[#This Row],[kWh/yr]],"Wh","BTU")</f>
        <v>1345.0662317790345</v>
      </c>
      <c r="M1011" s="38">
        <f>PlanGrid[[#This Row],[kBtu/yr]]/'Schedule-Building Info'!$B$6</f>
        <v>2.2119525592906222E-2</v>
      </c>
      <c r="N1011" t="s">
        <v>1092</v>
      </c>
      <c r="O1011">
        <v>0</v>
      </c>
      <c r="P1011" t="str">
        <f>VLOOKUP(PlanGrid[[#This Row],[Title]],'Spec Wattages'!$A$1:$C$973,3,FALSE)</f>
        <v>Lighting</v>
      </c>
      <c r="Q1011" t="s">
        <v>771</v>
      </c>
      <c r="R1011" t="s">
        <v>766</v>
      </c>
      <c r="S1011" t="s">
        <v>11</v>
      </c>
    </row>
    <row r="1012" spans="1:19" x14ac:dyDescent="0.25">
      <c r="A1012">
        <v>479</v>
      </c>
      <c r="B1012" t="s">
        <v>22</v>
      </c>
      <c r="C1012" t="s">
        <v>466</v>
      </c>
      <c r="D1012" t="s">
        <v>46</v>
      </c>
      <c r="E1012" s="50">
        <v>36</v>
      </c>
      <c r="F1012" s="38">
        <v>2</v>
      </c>
      <c r="G1012" s="39">
        <v>1</v>
      </c>
      <c r="H1012" s="58">
        <f>PlanGrid[[#This Row],[Spec Wattage]]*PlanGrid[[#This Row],[Equipment Count]]</f>
        <v>72</v>
      </c>
      <c r="I1012" s="50">
        <f>((PlanGrid[[#This Row],[Demand Watt]]*PlanGrid[[#This Row],[Utilization %]]*'Schedule-Building Info'!$N$16)/1000)</f>
        <v>394.2</v>
      </c>
      <c r="J1012" s="57">
        <f>PlanGrid[[#This Row],[kWh/yr]]*' Elec Utility (kWh)'!$M$7</f>
        <v>42.026978681617976</v>
      </c>
      <c r="K1012" s="38">
        <f>PlanGrid[[#This Row],[kWh/yr]]/'Schedule-Building Info'!$B$6</f>
        <v>6.4825930372148857E-3</v>
      </c>
      <c r="L1012" s="50">
        <f>CONVERT(PlanGrid[[#This Row],[kWh/yr]],"Wh","BTU")</f>
        <v>1345.0662317790345</v>
      </c>
      <c r="M1012" s="38">
        <f>PlanGrid[[#This Row],[kBtu/yr]]/'Schedule-Building Info'!$B$6</f>
        <v>2.2119525592906222E-2</v>
      </c>
      <c r="N1012" t="s">
        <v>1092</v>
      </c>
      <c r="O1012">
        <v>0</v>
      </c>
      <c r="P1012" t="str">
        <f>VLOOKUP(PlanGrid[[#This Row],[Title]],'Spec Wattages'!$A$1:$C$973,3,FALSE)</f>
        <v>Lighting</v>
      </c>
      <c r="Q1012" t="s">
        <v>769</v>
      </c>
      <c r="R1012" t="s">
        <v>905</v>
      </c>
      <c r="S1012" t="s">
        <v>11</v>
      </c>
    </row>
    <row r="1013" spans="1:19" x14ac:dyDescent="0.25">
      <c r="A1013">
        <v>493</v>
      </c>
      <c r="B1013" t="s">
        <v>22</v>
      </c>
      <c r="C1013" t="s">
        <v>466</v>
      </c>
      <c r="D1013" t="s">
        <v>46</v>
      </c>
      <c r="E1013" s="50">
        <v>36</v>
      </c>
      <c r="F1013" s="38">
        <v>2</v>
      </c>
      <c r="G1013" s="39">
        <v>1</v>
      </c>
      <c r="H1013" s="58">
        <f>PlanGrid[[#This Row],[Spec Wattage]]*PlanGrid[[#This Row],[Equipment Count]]</f>
        <v>72</v>
      </c>
      <c r="I1013" s="50">
        <f>((PlanGrid[[#This Row],[Demand Watt]]*PlanGrid[[#This Row],[Utilization %]]*'Schedule-Building Info'!$N$16)/1000)</f>
        <v>394.2</v>
      </c>
      <c r="J1013" s="57">
        <f>PlanGrid[[#This Row],[kWh/yr]]*' Elec Utility (kWh)'!$M$7</f>
        <v>42.026978681617976</v>
      </c>
      <c r="K1013" s="38">
        <f>PlanGrid[[#This Row],[kWh/yr]]/'Schedule-Building Info'!$B$6</f>
        <v>6.4825930372148857E-3</v>
      </c>
      <c r="L1013" s="50">
        <f>CONVERT(PlanGrid[[#This Row],[kWh/yr]],"Wh","BTU")</f>
        <v>1345.0662317790345</v>
      </c>
      <c r="M1013" s="38">
        <f>PlanGrid[[#This Row],[kBtu/yr]]/'Schedule-Building Info'!$B$6</f>
        <v>2.2119525592906222E-2</v>
      </c>
      <c r="N1013" t="s">
        <v>1092</v>
      </c>
      <c r="O1013">
        <v>0</v>
      </c>
      <c r="P1013" t="str">
        <f>VLOOKUP(PlanGrid[[#This Row],[Title]],'Spec Wattages'!$A$1:$C$973,3,FALSE)</f>
        <v>Lighting</v>
      </c>
      <c r="Q1013" t="s">
        <v>907</v>
      </c>
      <c r="R1013" t="s">
        <v>952</v>
      </c>
      <c r="S1013" t="s">
        <v>11</v>
      </c>
    </row>
    <row r="1014" spans="1:19" x14ac:dyDescent="0.25">
      <c r="A1014">
        <v>503</v>
      </c>
      <c r="B1014" t="s">
        <v>22</v>
      </c>
      <c r="C1014" t="s">
        <v>466</v>
      </c>
      <c r="D1014" t="s">
        <v>46</v>
      </c>
      <c r="E1014" s="50">
        <v>36</v>
      </c>
      <c r="F1014" s="38">
        <v>2</v>
      </c>
      <c r="G1014" s="39">
        <v>1</v>
      </c>
      <c r="H1014" s="58">
        <f>PlanGrid[[#This Row],[Spec Wattage]]*PlanGrid[[#This Row],[Equipment Count]]</f>
        <v>72</v>
      </c>
      <c r="I1014" s="50">
        <f>((PlanGrid[[#This Row],[Demand Watt]]*PlanGrid[[#This Row],[Utilization %]]*'Schedule-Building Info'!$N$16)/1000)</f>
        <v>394.2</v>
      </c>
      <c r="J1014" s="57">
        <f>PlanGrid[[#This Row],[kWh/yr]]*' Elec Utility (kWh)'!$M$7</f>
        <v>42.026978681617976</v>
      </c>
      <c r="K1014" s="38">
        <f>PlanGrid[[#This Row],[kWh/yr]]/'Schedule-Building Info'!$B$6</f>
        <v>6.4825930372148857E-3</v>
      </c>
      <c r="L1014" s="50">
        <f>CONVERT(PlanGrid[[#This Row],[kWh/yr]],"Wh","BTU")</f>
        <v>1345.0662317790345</v>
      </c>
      <c r="M1014" s="38">
        <f>PlanGrid[[#This Row],[kBtu/yr]]/'Schedule-Building Info'!$B$6</f>
        <v>2.2119525592906222E-2</v>
      </c>
      <c r="N1014" t="s">
        <v>1092</v>
      </c>
      <c r="O1014">
        <v>0</v>
      </c>
      <c r="P1014" t="str">
        <f>VLOOKUP(PlanGrid[[#This Row],[Title]],'Spec Wattages'!$A$1:$C$973,3,FALSE)</f>
        <v>Lighting</v>
      </c>
      <c r="Q1014" t="s">
        <v>770</v>
      </c>
      <c r="R1014" t="s">
        <v>767</v>
      </c>
      <c r="S1014" t="s">
        <v>11</v>
      </c>
    </row>
    <row r="1015" spans="1:19" x14ac:dyDescent="0.25">
      <c r="A1015">
        <v>515</v>
      </c>
      <c r="B1015" t="s">
        <v>22</v>
      </c>
      <c r="C1015" t="s">
        <v>466</v>
      </c>
      <c r="D1015" t="s">
        <v>46</v>
      </c>
      <c r="E1015" s="50">
        <v>36</v>
      </c>
      <c r="F1015" s="38">
        <v>2</v>
      </c>
      <c r="G1015" s="39">
        <v>1</v>
      </c>
      <c r="H1015" s="58">
        <f>PlanGrid[[#This Row],[Spec Wattage]]*PlanGrid[[#This Row],[Equipment Count]]</f>
        <v>72</v>
      </c>
      <c r="I1015" s="50">
        <f>((PlanGrid[[#This Row],[Demand Watt]]*PlanGrid[[#This Row],[Utilization %]]*'Schedule-Building Info'!$N$16)/1000)</f>
        <v>394.2</v>
      </c>
      <c r="J1015" s="57">
        <f>PlanGrid[[#This Row],[kWh/yr]]*' Elec Utility (kWh)'!$M$7</f>
        <v>42.026978681617976</v>
      </c>
      <c r="K1015" s="38">
        <f>PlanGrid[[#This Row],[kWh/yr]]/'Schedule-Building Info'!$B$6</f>
        <v>6.4825930372148857E-3</v>
      </c>
      <c r="L1015" s="50">
        <f>CONVERT(PlanGrid[[#This Row],[kWh/yr]],"Wh","BTU")</f>
        <v>1345.0662317790345</v>
      </c>
      <c r="M1015" s="38">
        <f>PlanGrid[[#This Row],[kBtu/yr]]/'Schedule-Building Info'!$B$6</f>
        <v>2.2119525592906222E-2</v>
      </c>
      <c r="N1015" t="s">
        <v>1092</v>
      </c>
      <c r="O1015">
        <v>0</v>
      </c>
      <c r="P1015" t="str">
        <f>VLOOKUP(PlanGrid[[#This Row],[Title]],'Spec Wattages'!$A$1:$C$973,3,FALSE)</f>
        <v>Lighting</v>
      </c>
      <c r="Q1015" t="s">
        <v>908</v>
      </c>
      <c r="R1015" t="s">
        <v>906</v>
      </c>
      <c r="S1015" t="s">
        <v>11</v>
      </c>
    </row>
    <row r="1016" spans="1:19" x14ac:dyDescent="0.25">
      <c r="A1016">
        <v>525</v>
      </c>
      <c r="B1016" t="s">
        <v>22</v>
      </c>
      <c r="C1016" t="s">
        <v>466</v>
      </c>
      <c r="D1016" t="s">
        <v>46</v>
      </c>
      <c r="E1016" s="50">
        <v>36</v>
      </c>
      <c r="F1016" s="38">
        <v>2</v>
      </c>
      <c r="G1016" s="39">
        <v>1</v>
      </c>
      <c r="H1016" s="58">
        <f>PlanGrid[[#This Row],[Spec Wattage]]*PlanGrid[[#This Row],[Equipment Count]]</f>
        <v>72</v>
      </c>
      <c r="I1016" s="50">
        <f>((PlanGrid[[#This Row],[Demand Watt]]*PlanGrid[[#This Row],[Utilization %]]*'Schedule-Building Info'!$N$16)/1000)</f>
        <v>394.2</v>
      </c>
      <c r="J1016" s="57">
        <f>PlanGrid[[#This Row],[kWh/yr]]*' Elec Utility (kWh)'!$M$7</f>
        <v>42.026978681617976</v>
      </c>
      <c r="K1016" s="38">
        <f>PlanGrid[[#This Row],[kWh/yr]]/'Schedule-Building Info'!$B$6</f>
        <v>6.4825930372148857E-3</v>
      </c>
      <c r="L1016" s="50">
        <f>CONVERT(PlanGrid[[#This Row],[kWh/yr]],"Wh","BTU")</f>
        <v>1345.0662317790345</v>
      </c>
      <c r="M1016" s="38">
        <f>PlanGrid[[#This Row],[kBtu/yr]]/'Schedule-Building Info'!$B$6</f>
        <v>2.2119525592906222E-2</v>
      </c>
      <c r="N1016" t="s">
        <v>1092</v>
      </c>
      <c r="O1016">
        <v>0</v>
      </c>
      <c r="P1016" t="str">
        <f>VLOOKUP(PlanGrid[[#This Row],[Title]],'Spec Wattages'!$A$1:$C$973,3,FALSE)</f>
        <v>Lighting</v>
      </c>
      <c r="Q1016" t="s">
        <v>772</v>
      </c>
      <c r="R1016" t="s">
        <v>909</v>
      </c>
      <c r="S1016" t="s">
        <v>11</v>
      </c>
    </row>
    <row r="1017" spans="1:19" x14ac:dyDescent="0.25">
      <c r="A1017">
        <v>541</v>
      </c>
      <c r="B1017" t="s">
        <v>22</v>
      </c>
      <c r="C1017" t="s">
        <v>466</v>
      </c>
      <c r="D1017" t="s">
        <v>46</v>
      </c>
      <c r="E1017" s="50">
        <v>36</v>
      </c>
      <c r="F1017" s="38">
        <v>2</v>
      </c>
      <c r="G1017" s="39">
        <v>1</v>
      </c>
      <c r="H1017" s="58">
        <f>PlanGrid[[#This Row],[Spec Wattage]]*PlanGrid[[#This Row],[Equipment Count]]</f>
        <v>72</v>
      </c>
      <c r="I1017" s="50">
        <f>((PlanGrid[[#This Row],[Demand Watt]]*PlanGrid[[#This Row],[Utilization %]]*'Schedule-Building Info'!$N$16)/1000)</f>
        <v>394.2</v>
      </c>
      <c r="J1017" s="57">
        <f>PlanGrid[[#This Row],[kWh/yr]]*' Elec Utility (kWh)'!$M$7</f>
        <v>42.026978681617976</v>
      </c>
      <c r="K1017" s="38">
        <f>PlanGrid[[#This Row],[kWh/yr]]/'Schedule-Building Info'!$B$6</f>
        <v>6.4825930372148857E-3</v>
      </c>
      <c r="L1017" s="50">
        <f>CONVERT(PlanGrid[[#This Row],[kWh/yr]],"Wh","BTU")</f>
        <v>1345.0662317790345</v>
      </c>
      <c r="M1017" s="38">
        <f>PlanGrid[[#This Row],[kBtu/yr]]/'Schedule-Building Info'!$B$6</f>
        <v>2.2119525592906222E-2</v>
      </c>
      <c r="N1017" t="s">
        <v>1092</v>
      </c>
      <c r="O1017">
        <v>0</v>
      </c>
      <c r="P1017" t="str">
        <f>VLOOKUP(PlanGrid[[#This Row],[Title]],'Spec Wattages'!$A$1:$C$973,3,FALSE)</f>
        <v>Lighting</v>
      </c>
      <c r="Q1017" t="s">
        <v>774</v>
      </c>
      <c r="R1017" t="s">
        <v>769</v>
      </c>
      <c r="S1017" t="s">
        <v>11</v>
      </c>
    </row>
    <row r="1018" spans="1:19" x14ac:dyDescent="0.25">
      <c r="A1018">
        <v>555</v>
      </c>
      <c r="B1018" t="s">
        <v>22</v>
      </c>
      <c r="C1018" t="s">
        <v>466</v>
      </c>
      <c r="D1018" t="s">
        <v>46</v>
      </c>
      <c r="E1018" s="50">
        <v>36</v>
      </c>
      <c r="F1018" s="38">
        <v>2</v>
      </c>
      <c r="G1018" s="39">
        <v>1</v>
      </c>
      <c r="H1018" s="58">
        <f>PlanGrid[[#This Row],[Spec Wattage]]*PlanGrid[[#This Row],[Equipment Count]]</f>
        <v>72</v>
      </c>
      <c r="I1018" s="50">
        <f>((PlanGrid[[#This Row],[Demand Watt]]*PlanGrid[[#This Row],[Utilization %]]*'Schedule-Building Info'!$N$16)/1000)</f>
        <v>394.2</v>
      </c>
      <c r="J1018" s="57">
        <f>PlanGrid[[#This Row],[kWh/yr]]*' Elec Utility (kWh)'!$M$7</f>
        <v>42.026978681617976</v>
      </c>
      <c r="K1018" s="38">
        <f>PlanGrid[[#This Row],[kWh/yr]]/'Schedule-Building Info'!$B$6</f>
        <v>6.4825930372148857E-3</v>
      </c>
      <c r="L1018" s="50">
        <f>CONVERT(PlanGrid[[#This Row],[kWh/yr]],"Wh","BTU")</f>
        <v>1345.0662317790345</v>
      </c>
      <c r="M1018" s="38">
        <f>PlanGrid[[#This Row],[kBtu/yr]]/'Schedule-Building Info'!$B$6</f>
        <v>2.2119525592906222E-2</v>
      </c>
      <c r="N1018" t="s">
        <v>1092</v>
      </c>
      <c r="O1018">
        <v>0</v>
      </c>
      <c r="P1018" t="str">
        <f>VLOOKUP(PlanGrid[[#This Row],[Title]],'Spec Wattages'!$A$1:$C$973,3,FALSE)</f>
        <v>Lighting</v>
      </c>
      <c r="Q1018" t="s">
        <v>910</v>
      </c>
      <c r="R1018" t="s">
        <v>770</v>
      </c>
      <c r="S1018" t="s">
        <v>11</v>
      </c>
    </row>
    <row r="1019" spans="1:19" x14ac:dyDescent="0.25">
      <c r="A1019">
        <v>568</v>
      </c>
      <c r="B1019" t="s">
        <v>22</v>
      </c>
      <c r="C1019" t="s">
        <v>466</v>
      </c>
      <c r="D1019" t="s">
        <v>46</v>
      </c>
      <c r="E1019" s="50">
        <v>36</v>
      </c>
      <c r="F1019" s="38">
        <v>2</v>
      </c>
      <c r="G1019" s="39">
        <v>1</v>
      </c>
      <c r="H1019" s="58">
        <f>PlanGrid[[#This Row],[Spec Wattage]]*PlanGrid[[#This Row],[Equipment Count]]</f>
        <v>72</v>
      </c>
      <c r="I1019" s="50">
        <f>((PlanGrid[[#This Row],[Demand Watt]]*PlanGrid[[#This Row],[Utilization %]]*'Schedule-Building Info'!$N$16)/1000)</f>
        <v>394.2</v>
      </c>
      <c r="J1019" s="57">
        <f>PlanGrid[[#This Row],[kWh/yr]]*' Elec Utility (kWh)'!$M$7</f>
        <v>42.026978681617976</v>
      </c>
      <c r="K1019" s="38">
        <f>PlanGrid[[#This Row],[kWh/yr]]/'Schedule-Building Info'!$B$6</f>
        <v>6.4825930372148857E-3</v>
      </c>
      <c r="L1019" s="50">
        <f>CONVERT(PlanGrid[[#This Row],[kWh/yr]],"Wh","BTU")</f>
        <v>1345.0662317790345</v>
      </c>
      <c r="M1019" s="38">
        <f>PlanGrid[[#This Row],[kBtu/yr]]/'Schedule-Building Info'!$B$6</f>
        <v>2.2119525592906222E-2</v>
      </c>
      <c r="N1019" t="s">
        <v>1092</v>
      </c>
      <c r="O1019">
        <v>0</v>
      </c>
      <c r="P1019" t="str">
        <f>VLOOKUP(PlanGrid[[#This Row],[Title]],'Spec Wattages'!$A$1:$C$973,3,FALSE)</f>
        <v>Lighting</v>
      </c>
      <c r="Q1019" t="s">
        <v>912</v>
      </c>
      <c r="R1019" t="s">
        <v>911</v>
      </c>
      <c r="S1019" t="s">
        <v>11</v>
      </c>
    </row>
    <row r="1020" spans="1:19" x14ac:dyDescent="0.25">
      <c r="A1020">
        <v>583</v>
      </c>
      <c r="B1020" t="s">
        <v>22</v>
      </c>
      <c r="C1020" t="s">
        <v>466</v>
      </c>
      <c r="D1020" t="s">
        <v>46</v>
      </c>
      <c r="E1020" s="50">
        <v>36</v>
      </c>
      <c r="F1020" s="38">
        <v>2</v>
      </c>
      <c r="G1020" s="39">
        <v>1</v>
      </c>
      <c r="H1020" s="58">
        <f>PlanGrid[[#This Row],[Spec Wattage]]*PlanGrid[[#This Row],[Equipment Count]]</f>
        <v>72</v>
      </c>
      <c r="I1020" s="50">
        <f>((PlanGrid[[#This Row],[Demand Watt]]*PlanGrid[[#This Row],[Utilization %]]*'Schedule-Building Info'!$N$16)/1000)</f>
        <v>394.2</v>
      </c>
      <c r="J1020" s="57">
        <f>PlanGrid[[#This Row],[kWh/yr]]*' Elec Utility (kWh)'!$M$7</f>
        <v>42.026978681617976</v>
      </c>
      <c r="K1020" s="38">
        <f>PlanGrid[[#This Row],[kWh/yr]]/'Schedule-Building Info'!$B$6</f>
        <v>6.4825930372148857E-3</v>
      </c>
      <c r="L1020" s="50">
        <f>CONVERT(PlanGrid[[#This Row],[kWh/yr]],"Wh","BTU")</f>
        <v>1345.0662317790345</v>
      </c>
      <c r="M1020" s="38">
        <f>PlanGrid[[#This Row],[kBtu/yr]]/'Schedule-Building Info'!$B$6</f>
        <v>2.2119525592906222E-2</v>
      </c>
      <c r="N1020" t="s">
        <v>1092</v>
      </c>
      <c r="O1020">
        <v>0</v>
      </c>
      <c r="P1020" t="str">
        <f>VLOOKUP(PlanGrid[[#This Row],[Title]],'Spec Wattages'!$A$1:$C$973,3,FALSE)</f>
        <v>Lighting</v>
      </c>
      <c r="Q1020" t="s">
        <v>913</v>
      </c>
      <c r="R1020" t="s">
        <v>774</v>
      </c>
      <c r="S1020" t="s">
        <v>11</v>
      </c>
    </row>
    <row r="1021" spans="1:19" x14ac:dyDescent="0.25">
      <c r="A1021">
        <v>598</v>
      </c>
      <c r="B1021" t="s">
        <v>22</v>
      </c>
      <c r="C1021" t="s">
        <v>466</v>
      </c>
      <c r="D1021" t="s">
        <v>46</v>
      </c>
      <c r="E1021" s="50">
        <v>36</v>
      </c>
      <c r="F1021" s="38">
        <v>2</v>
      </c>
      <c r="G1021" s="39">
        <v>1</v>
      </c>
      <c r="H1021" s="58">
        <f>PlanGrid[[#This Row],[Spec Wattage]]*PlanGrid[[#This Row],[Equipment Count]]</f>
        <v>72</v>
      </c>
      <c r="I1021" s="50">
        <f>((PlanGrid[[#This Row],[Demand Watt]]*PlanGrid[[#This Row],[Utilization %]]*'Schedule-Building Info'!$N$16)/1000)</f>
        <v>394.2</v>
      </c>
      <c r="J1021" s="57">
        <f>PlanGrid[[#This Row],[kWh/yr]]*' Elec Utility (kWh)'!$M$7</f>
        <v>42.026978681617976</v>
      </c>
      <c r="K1021" s="38">
        <f>PlanGrid[[#This Row],[kWh/yr]]/'Schedule-Building Info'!$B$6</f>
        <v>6.4825930372148857E-3</v>
      </c>
      <c r="L1021" s="50">
        <f>CONVERT(PlanGrid[[#This Row],[kWh/yr]],"Wh","BTU")</f>
        <v>1345.0662317790345</v>
      </c>
      <c r="M1021" s="38">
        <f>PlanGrid[[#This Row],[kBtu/yr]]/'Schedule-Building Info'!$B$6</f>
        <v>2.2119525592906222E-2</v>
      </c>
      <c r="N1021" t="s">
        <v>1092</v>
      </c>
      <c r="O1021">
        <v>0</v>
      </c>
      <c r="P1021" t="str">
        <f>VLOOKUP(PlanGrid[[#This Row],[Title]],'Spec Wattages'!$A$1:$C$973,3,FALSE)</f>
        <v>Lighting</v>
      </c>
      <c r="Q1021" t="s">
        <v>914</v>
      </c>
      <c r="R1021" t="s">
        <v>1018</v>
      </c>
      <c r="S1021" t="s">
        <v>11</v>
      </c>
    </row>
    <row r="1022" spans="1:19" x14ac:dyDescent="0.25">
      <c r="A1022">
        <v>606</v>
      </c>
      <c r="B1022" t="s">
        <v>22</v>
      </c>
      <c r="C1022" t="s">
        <v>466</v>
      </c>
      <c r="D1022" t="s">
        <v>46</v>
      </c>
      <c r="E1022" s="50">
        <v>36</v>
      </c>
      <c r="F1022" s="38">
        <v>2</v>
      </c>
      <c r="G1022" s="39">
        <v>1</v>
      </c>
      <c r="H1022" s="58">
        <f>PlanGrid[[#This Row],[Spec Wattage]]*PlanGrid[[#This Row],[Equipment Count]]</f>
        <v>72</v>
      </c>
      <c r="I1022" s="50">
        <f>((PlanGrid[[#This Row],[Demand Watt]]*PlanGrid[[#This Row],[Utilization %]]*'Schedule-Building Info'!$N$16)/1000)</f>
        <v>394.2</v>
      </c>
      <c r="J1022" s="57">
        <f>PlanGrid[[#This Row],[kWh/yr]]*' Elec Utility (kWh)'!$M$7</f>
        <v>42.026978681617976</v>
      </c>
      <c r="K1022" s="38">
        <f>PlanGrid[[#This Row],[kWh/yr]]/'Schedule-Building Info'!$B$6</f>
        <v>6.4825930372148857E-3</v>
      </c>
      <c r="L1022" s="50">
        <f>CONVERT(PlanGrid[[#This Row],[kWh/yr]],"Wh","BTU")</f>
        <v>1345.0662317790345</v>
      </c>
      <c r="M1022" s="38">
        <f>PlanGrid[[#This Row],[kBtu/yr]]/'Schedule-Building Info'!$B$6</f>
        <v>2.2119525592906222E-2</v>
      </c>
      <c r="N1022" t="s">
        <v>1092</v>
      </c>
      <c r="O1022">
        <v>0</v>
      </c>
      <c r="P1022" t="str">
        <f>VLOOKUP(PlanGrid[[#This Row],[Title]],'Spec Wattages'!$A$1:$C$973,3,FALSE)</f>
        <v>Lighting</v>
      </c>
      <c r="Q1022" t="s">
        <v>775</v>
      </c>
      <c r="R1022" t="s">
        <v>910</v>
      </c>
      <c r="S1022" t="s">
        <v>11</v>
      </c>
    </row>
    <row r="1023" spans="1:19" x14ac:dyDescent="0.25">
      <c r="A1023">
        <v>620</v>
      </c>
      <c r="B1023" t="s">
        <v>22</v>
      </c>
      <c r="C1023" t="s">
        <v>466</v>
      </c>
      <c r="D1023" t="s">
        <v>46</v>
      </c>
      <c r="E1023" s="50">
        <v>36</v>
      </c>
      <c r="F1023" s="38">
        <v>2</v>
      </c>
      <c r="G1023" s="39">
        <v>1</v>
      </c>
      <c r="H1023" s="58">
        <f>PlanGrid[[#This Row],[Spec Wattage]]*PlanGrid[[#This Row],[Equipment Count]]</f>
        <v>72</v>
      </c>
      <c r="I1023" s="50">
        <f>((PlanGrid[[#This Row],[Demand Watt]]*PlanGrid[[#This Row],[Utilization %]]*'Schedule-Building Info'!$N$16)/1000)</f>
        <v>394.2</v>
      </c>
      <c r="J1023" s="57">
        <f>PlanGrid[[#This Row],[kWh/yr]]*' Elec Utility (kWh)'!$M$7</f>
        <v>42.026978681617976</v>
      </c>
      <c r="K1023" s="38">
        <f>PlanGrid[[#This Row],[kWh/yr]]/'Schedule-Building Info'!$B$6</f>
        <v>6.4825930372148857E-3</v>
      </c>
      <c r="L1023" s="50">
        <f>CONVERT(PlanGrid[[#This Row],[kWh/yr]],"Wh","BTU")</f>
        <v>1345.0662317790345</v>
      </c>
      <c r="M1023" s="38">
        <f>PlanGrid[[#This Row],[kBtu/yr]]/'Schedule-Building Info'!$B$6</f>
        <v>2.2119525592906222E-2</v>
      </c>
      <c r="N1023" t="s">
        <v>1092</v>
      </c>
      <c r="O1023">
        <v>0</v>
      </c>
      <c r="P1023" t="str">
        <f>VLOOKUP(PlanGrid[[#This Row],[Title]],'Spec Wattages'!$A$1:$C$973,3,FALSE)</f>
        <v>Lighting</v>
      </c>
      <c r="Q1023" t="s">
        <v>916</v>
      </c>
      <c r="R1023" t="s">
        <v>913</v>
      </c>
      <c r="S1023" t="s">
        <v>11</v>
      </c>
    </row>
    <row r="1024" spans="1:19" x14ac:dyDescent="0.25">
      <c r="A1024">
        <v>943</v>
      </c>
      <c r="B1024" t="s">
        <v>22</v>
      </c>
      <c r="C1024" t="s">
        <v>466</v>
      </c>
      <c r="D1024" t="s">
        <v>476</v>
      </c>
      <c r="E1024" s="50">
        <v>36</v>
      </c>
      <c r="F1024" s="38">
        <v>2</v>
      </c>
      <c r="G1024" s="39">
        <v>1</v>
      </c>
      <c r="H1024" s="50">
        <f>PlanGrid[[#This Row],[Spec Wattage]]*PlanGrid[[#This Row],[Equipment Count]]</f>
        <v>72</v>
      </c>
      <c r="I1024" s="50">
        <f>((PlanGrid[[#This Row],[Demand Watt]]*PlanGrid[[#This Row],[Utilization %]]*'Schedule-Building Info'!$N$16)/1000)</f>
        <v>394.2</v>
      </c>
      <c r="J1024" s="57">
        <f>PlanGrid[[#This Row],[kWh/yr]]*' Elec Utility (kWh)'!$M$7</f>
        <v>42.026978681617976</v>
      </c>
      <c r="K1024" s="49">
        <f>PlanGrid[[#This Row],[kWh/yr]]/'Schedule-Building Info'!$B$6</f>
        <v>6.4825930372148857E-3</v>
      </c>
      <c r="L1024" s="50">
        <f>CONVERT(PlanGrid[[#This Row],[kWh/yr]],"Wh","BTU")</f>
        <v>1345.0662317790345</v>
      </c>
      <c r="M1024" s="38">
        <f>PlanGrid[[#This Row],[kBtu/yr]]/'Schedule-Building Info'!$B$6</f>
        <v>2.2119525592906222E-2</v>
      </c>
      <c r="N1024" t="s">
        <v>1089</v>
      </c>
      <c r="O1024">
        <v>0</v>
      </c>
      <c r="P1024" t="str">
        <f>VLOOKUP(PlanGrid[[#This Row],[Title]],'Spec Wattages'!$A$1:$C$973,3,FALSE)</f>
        <v>Lighting</v>
      </c>
      <c r="Q1024" t="s">
        <v>730</v>
      </c>
      <c r="R1024" t="s">
        <v>730</v>
      </c>
      <c r="S1024" t="s">
        <v>51</v>
      </c>
    </row>
    <row r="1025" spans="1:19" x14ac:dyDescent="0.25">
      <c r="A1025">
        <v>959</v>
      </c>
      <c r="B1025" t="s">
        <v>22</v>
      </c>
      <c r="C1025" t="s">
        <v>466</v>
      </c>
      <c r="D1025" t="s">
        <v>476</v>
      </c>
      <c r="E1025" s="50">
        <v>36</v>
      </c>
      <c r="F1025" s="38">
        <v>2</v>
      </c>
      <c r="G1025" s="39">
        <v>1</v>
      </c>
      <c r="H1025" s="50">
        <f>PlanGrid[[#This Row],[Spec Wattage]]*PlanGrid[[#This Row],[Equipment Count]]</f>
        <v>72</v>
      </c>
      <c r="I1025" s="50">
        <f>((PlanGrid[[#This Row],[Demand Watt]]*PlanGrid[[#This Row],[Utilization %]]*'Schedule-Building Info'!$N$16)/1000)</f>
        <v>394.2</v>
      </c>
      <c r="J1025" s="57">
        <f>PlanGrid[[#This Row],[kWh/yr]]*' Elec Utility (kWh)'!$M$7</f>
        <v>42.026978681617976</v>
      </c>
      <c r="K1025" s="49">
        <f>PlanGrid[[#This Row],[kWh/yr]]/'Schedule-Building Info'!$B$6</f>
        <v>6.4825930372148857E-3</v>
      </c>
      <c r="L1025" s="50">
        <f>CONVERT(PlanGrid[[#This Row],[kWh/yr]],"Wh","BTU")</f>
        <v>1345.0662317790345</v>
      </c>
      <c r="M1025" s="38">
        <f>PlanGrid[[#This Row],[kBtu/yr]]/'Schedule-Building Info'!$B$6</f>
        <v>2.2119525592906222E-2</v>
      </c>
      <c r="N1025" t="s">
        <v>1089</v>
      </c>
      <c r="O1025">
        <v>0</v>
      </c>
      <c r="P1025" t="str">
        <f>VLOOKUP(PlanGrid[[#This Row],[Title]],'Spec Wattages'!$A$1:$C$973,3,FALSE)</f>
        <v>Lighting</v>
      </c>
      <c r="Q1025" t="s">
        <v>736</v>
      </c>
      <c r="R1025" t="s">
        <v>740</v>
      </c>
      <c r="S1025" t="s">
        <v>51</v>
      </c>
    </row>
    <row r="1026" spans="1:19" x14ac:dyDescent="0.25">
      <c r="A1026">
        <v>991</v>
      </c>
      <c r="B1026" t="s">
        <v>22</v>
      </c>
      <c r="C1026" t="s">
        <v>466</v>
      </c>
      <c r="D1026" t="s">
        <v>476</v>
      </c>
      <c r="E1026" s="50">
        <v>36</v>
      </c>
      <c r="F1026" s="38">
        <v>2</v>
      </c>
      <c r="G1026" s="39">
        <v>1</v>
      </c>
      <c r="H1026" s="50">
        <f>PlanGrid[[#This Row],[Spec Wattage]]*PlanGrid[[#This Row],[Equipment Count]]</f>
        <v>72</v>
      </c>
      <c r="I1026" s="50">
        <f>((PlanGrid[[#This Row],[Demand Watt]]*PlanGrid[[#This Row],[Utilization %]]*'Schedule-Building Info'!$N$16)/1000)</f>
        <v>394.2</v>
      </c>
      <c r="J1026" s="57">
        <f>PlanGrid[[#This Row],[kWh/yr]]*' Elec Utility (kWh)'!$M$7</f>
        <v>42.026978681617976</v>
      </c>
      <c r="K1026" s="49">
        <f>PlanGrid[[#This Row],[kWh/yr]]/'Schedule-Building Info'!$B$6</f>
        <v>6.4825930372148857E-3</v>
      </c>
      <c r="L1026" s="50">
        <f>CONVERT(PlanGrid[[#This Row],[kWh/yr]],"Wh","BTU")</f>
        <v>1345.0662317790345</v>
      </c>
      <c r="M1026" s="38">
        <f>PlanGrid[[#This Row],[kBtu/yr]]/'Schedule-Building Info'!$B$6</f>
        <v>2.2119525592906222E-2</v>
      </c>
      <c r="N1026" t="s">
        <v>1089</v>
      </c>
      <c r="O1026">
        <v>0</v>
      </c>
      <c r="P1026" t="str">
        <f>VLOOKUP(PlanGrid[[#This Row],[Title]],'Spec Wattages'!$A$1:$C$973,3,FALSE)</f>
        <v>Lighting</v>
      </c>
      <c r="Q1026" t="s">
        <v>734</v>
      </c>
      <c r="R1026" t="s">
        <v>739</v>
      </c>
      <c r="S1026" t="s">
        <v>51</v>
      </c>
    </row>
    <row r="1027" spans="1:19" x14ac:dyDescent="0.25">
      <c r="A1027">
        <v>1075</v>
      </c>
      <c r="B1027" t="s">
        <v>22</v>
      </c>
      <c r="C1027" t="s">
        <v>466</v>
      </c>
      <c r="D1027" t="s">
        <v>476</v>
      </c>
      <c r="E1027" s="50">
        <v>36</v>
      </c>
      <c r="F1027" s="38">
        <v>2</v>
      </c>
      <c r="G1027" s="39">
        <v>1</v>
      </c>
      <c r="H1027" s="50">
        <f>PlanGrid[[#This Row],[Spec Wattage]]*PlanGrid[[#This Row],[Equipment Count]]</f>
        <v>72</v>
      </c>
      <c r="I1027" s="50">
        <f>((PlanGrid[[#This Row],[Demand Watt]]*PlanGrid[[#This Row],[Utilization %]]*'Schedule-Building Info'!$N$16)/1000)</f>
        <v>394.2</v>
      </c>
      <c r="J1027" s="57">
        <f>PlanGrid[[#This Row],[kWh/yr]]*' Elec Utility (kWh)'!$M$7</f>
        <v>42.026978681617976</v>
      </c>
      <c r="K1027" s="49">
        <f>PlanGrid[[#This Row],[kWh/yr]]/'Schedule-Building Info'!$B$6</f>
        <v>6.4825930372148857E-3</v>
      </c>
      <c r="L1027" s="50">
        <f>CONVERT(PlanGrid[[#This Row],[kWh/yr]],"Wh","BTU")</f>
        <v>1345.0662317790345</v>
      </c>
      <c r="M1027" s="38">
        <f>PlanGrid[[#This Row],[kBtu/yr]]/'Schedule-Building Info'!$B$6</f>
        <v>2.2119525592906222E-2</v>
      </c>
      <c r="N1027" t="s">
        <v>1089</v>
      </c>
      <c r="O1027">
        <v>0</v>
      </c>
      <c r="P1027" t="str">
        <f>VLOOKUP(PlanGrid[[#This Row],[Title]],'Spec Wattages'!$A$1:$C$973,3,FALSE)</f>
        <v>Lighting</v>
      </c>
      <c r="Q1027" t="s">
        <v>707</v>
      </c>
      <c r="R1027" t="s">
        <v>707</v>
      </c>
      <c r="S1027" t="s">
        <v>51</v>
      </c>
    </row>
    <row r="1028" spans="1:19" x14ac:dyDescent="0.25">
      <c r="A1028">
        <v>646</v>
      </c>
      <c r="B1028" t="s">
        <v>22</v>
      </c>
      <c r="C1028" t="s">
        <v>466</v>
      </c>
      <c r="D1028" t="s">
        <v>476</v>
      </c>
      <c r="E1028" s="50">
        <v>36</v>
      </c>
      <c r="F1028" s="38">
        <v>2</v>
      </c>
      <c r="G1028" s="39">
        <v>1</v>
      </c>
      <c r="H1028" s="50">
        <f>PlanGrid[[#This Row],[Spec Wattage]]*PlanGrid[[#This Row],[Equipment Count]]</f>
        <v>72</v>
      </c>
      <c r="I1028" s="50">
        <f>((PlanGrid[[#This Row],[Demand Watt]]*PlanGrid[[#This Row],[Utilization %]]*'Schedule-Building Info'!$N$16)/1000)</f>
        <v>394.2</v>
      </c>
      <c r="J1028" s="57">
        <f>PlanGrid[[#This Row],[kWh/yr]]*' Elec Utility (kWh)'!$M$7</f>
        <v>42.026978681617976</v>
      </c>
      <c r="K1028" s="49">
        <f>PlanGrid[[#This Row],[kWh/yr]]/'Schedule-Building Info'!$B$6</f>
        <v>6.4825930372148857E-3</v>
      </c>
      <c r="L1028" s="50">
        <f>CONVERT(PlanGrid[[#This Row],[kWh/yr]],"Wh","BTU")</f>
        <v>1345.0662317790345</v>
      </c>
      <c r="M1028" s="38">
        <f>PlanGrid[[#This Row],[kBtu/yr]]/'Schedule-Building Info'!$B$6</f>
        <v>2.2119525592906222E-2</v>
      </c>
      <c r="N1028" t="s">
        <v>1090</v>
      </c>
      <c r="O1028">
        <v>0</v>
      </c>
      <c r="P1028" t="str">
        <f>VLOOKUP(PlanGrid[[#This Row],[Title]],'Spec Wattages'!$A$1:$C$973,3,FALSE)</f>
        <v>Lighting</v>
      </c>
      <c r="Q1028" t="s">
        <v>715</v>
      </c>
      <c r="R1028" t="s">
        <v>715</v>
      </c>
      <c r="S1028" t="s">
        <v>51</v>
      </c>
    </row>
    <row r="1029" spans="1:19" x14ac:dyDescent="0.25">
      <c r="A1029">
        <v>659</v>
      </c>
      <c r="B1029" t="s">
        <v>22</v>
      </c>
      <c r="C1029" t="s">
        <v>466</v>
      </c>
      <c r="D1029" t="s">
        <v>476</v>
      </c>
      <c r="E1029" s="50">
        <v>36</v>
      </c>
      <c r="F1029" s="38">
        <v>2</v>
      </c>
      <c r="G1029" s="39">
        <v>1</v>
      </c>
      <c r="H1029" s="50">
        <f>PlanGrid[[#This Row],[Spec Wattage]]*PlanGrid[[#This Row],[Equipment Count]]</f>
        <v>72</v>
      </c>
      <c r="I1029" s="50">
        <f>((PlanGrid[[#This Row],[Demand Watt]]*PlanGrid[[#This Row],[Utilization %]]*'Schedule-Building Info'!$N$16)/1000)</f>
        <v>394.2</v>
      </c>
      <c r="J1029" s="57">
        <f>PlanGrid[[#This Row],[kWh/yr]]*' Elec Utility (kWh)'!$M$7</f>
        <v>42.026978681617976</v>
      </c>
      <c r="K1029" s="49">
        <f>PlanGrid[[#This Row],[kWh/yr]]/'Schedule-Building Info'!$B$6</f>
        <v>6.4825930372148857E-3</v>
      </c>
      <c r="L1029" s="50">
        <f>CONVERT(PlanGrid[[#This Row],[kWh/yr]],"Wh","BTU")</f>
        <v>1345.0662317790345</v>
      </c>
      <c r="M1029" s="38">
        <f>PlanGrid[[#This Row],[kBtu/yr]]/'Schedule-Building Info'!$B$6</f>
        <v>2.2119525592906222E-2</v>
      </c>
      <c r="N1029" t="s">
        <v>1090</v>
      </c>
      <c r="O1029">
        <v>0</v>
      </c>
      <c r="P1029" t="str">
        <f>VLOOKUP(PlanGrid[[#This Row],[Title]],'Spec Wattages'!$A$1:$C$973,3,FALSE)</f>
        <v>Lighting</v>
      </c>
      <c r="Q1029" t="s">
        <v>809</v>
      </c>
      <c r="R1029" t="s">
        <v>809</v>
      </c>
      <c r="S1029" t="s">
        <v>51</v>
      </c>
    </row>
    <row r="1030" spans="1:19" x14ac:dyDescent="0.25">
      <c r="A1030">
        <v>661</v>
      </c>
      <c r="B1030" t="s">
        <v>22</v>
      </c>
      <c r="C1030" t="s">
        <v>466</v>
      </c>
      <c r="D1030" t="s">
        <v>476</v>
      </c>
      <c r="E1030" s="50">
        <v>36</v>
      </c>
      <c r="F1030" s="38">
        <v>2</v>
      </c>
      <c r="G1030" s="39">
        <v>1</v>
      </c>
      <c r="H1030" s="50">
        <f>PlanGrid[[#This Row],[Spec Wattage]]*PlanGrid[[#This Row],[Equipment Count]]</f>
        <v>72</v>
      </c>
      <c r="I1030" s="50">
        <f>((PlanGrid[[#This Row],[Demand Watt]]*PlanGrid[[#This Row],[Utilization %]]*'Schedule-Building Info'!$N$16)/1000)</f>
        <v>394.2</v>
      </c>
      <c r="J1030" s="57">
        <f>PlanGrid[[#This Row],[kWh/yr]]*' Elec Utility (kWh)'!$M$7</f>
        <v>42.026978681617976</v>
      </c>
      <c r="K1030" s="49">
        <f>PlanGrid[[#This Row],[kWh/yr]]/'Schedule-Building Info'!$B$6</f>
        <v>6.4825930372148857E-3</v>
      </c>
      <c r="L1030" s="50">
        <f>CONVERT(PlanGrid[[#This Row],[kWh/yr]],"Wh","BTU")</f>
        <v>1345.0662317790345</v>
      </c>
      <c r="M1030" s="38">
        <f>PlanGrid[[#This Row],[kBtu/yr]]/'Schedule-Building Info'!$B$6</f>
        <v>2.2119525592906222E-2</v>
      </c>
      <c r="N1030" t="s">
        <v>1090</v>
      </c>
      <c r="O1030">
        <v>0</v>
      </c>
      <c r="P1030" t="str">
        <f>VLOOKUP(PlanGrid[[#This Row],[Title]],'Spec Wattages'!$A$1:$C$973,3,FALSE)</f>
        <v>Lighting</v>
      </c>
      <c r="Q1030" t="s">
        <v>810</v>
      </c>
      <c r="R1030" t="s">
        <v>810</v>
      </c>
      <c r="S1030" t="s">
        <v>51</v>
      </c>
    </row>
    <row r="1031" spans="1:19" x14ac:dyDescent="0.25">
      <c r="A1031">
        <v>697</v>
      </c>
      <c r="B1031" t="s">
        <v>22</v>
      </c>
      <c r="C1031" t="s">
        <v>466</v>
      </c>
      <c r="D1031" t="s">
        <v>476</v>
      </c>
      <c r="E1031" s="50">
        <v>36</v>
      </c>
      <c r="F1031" s="38">
        <v>2</v>
      </c>
      <c r="G1031" s="39">
        <v>1</v>
      </c>
      <c r="H1031" s="50">
        <f>PlanGrid[[#This Row],[Spec Wattage]]*PlanGrid[[#This Row],[Equipment Count]]</f>
        <v>72</v>
      </c>
      <c r="I1031" s="50">
        <f>((PlanGrid[[#This Row],[Demand Watt]]*PlanGrid[[#This Row],[Utilization %]]*'Schedule-Building Info'!$N$16)/1000)</f>
        <v>394.2</v>
      </c>
      <c r="J1031" s="57">
        <f>PlanGrid[[#This Row],[kWh/yr]]*' Elec Utility (kWh)'!$M$7</f>
        <v>42.026978681617976</v>
      </c>
      <c r="K1031" s="49">
        <f>PlanGrid[[#This Row],[kWh/yr]]/'Schedule-Building Info'!$B$6</f>
        <v>6.4825930372148857E-3</v>
      </c>
      <c r="L1031" s="50">
        <f>CONVERT(PlanGrid[[#This Row],[kWh/yr]],"Wh","BTU")</f>
        <v>1345.0662317790345</v>
      </c>
      <c r="M1031" s="38">
        <f>PlanGrid[[#This Row],[kBtu/yr]]/'Schedule-Building Info'!$B$6</f>
        <v>2.2119525592906222E-2</v>
      </c>
      <c r="N1031" t="s">
        <v>1090</v>
      </c>
      <c r="O1031">
        <v>0</v>
      </c>
      <c r="P1031" t="str">
        <f>VLOOKUP(PlanGrid[[#This Row],[Title]],'Spec Wattages'!$A$1:$C$973,3,FALSE)</f>
        <v>Lighting</v>
      </c>
      <c r="Q1031" t="s">
        <v>814</v>
      </c>
      <c r="R1031" t="s">
        <v>814</v>
      </c>
      <c r="S1031" t="s">
        <v>51</v>
      </c>
    </row>
    <row r="1032" spans="1:19" x14ac:dyDescent="0.25">
      <c r="A1032">
        <v>706</v>
      </c>
      <c r="B1032" t="s">
        <v>22</v>
      </c>
      <c r="C1032" t="s">
        <v>466</v>
      </c>
      <c r="D1032" t="s">
        <v>476</v>
      </c>
      <c r="E1032" s="50">
        <v>36</v>
      </c>
      <c r="F1032" s="38">
        <v>2</v>
      </c>
      <c r="G1032" s="39">
        <v>1</v>
      </c>
      <c r="H1032" s="50">
        <f>PlanGrid[[#This Row],[Spec Wattage]]*PlanGrid[[#This Row],[Equipment Count]]</f>
        <v>72</v>
      </c>
      <c r="I1032" s="50">
        <f>((PlanGrid[[#This Row],[Demand Watt]]*PlanGrid[[#This Row],[Utilization %]]*'Schedule-Building Info'!$N$16)/1000)</f>
        <v>394.2</v>
      </c>
      <c r="J1032" s="57">
        <f>PlanGrid[[#This Row],[kWh/yr]]*' Elec Utility (kWh)'!$M$7</f>
        <v>42.026978681617976</v>
      </c>
      <c r="K1032" s="49">
        <f>PlanGrid[[#This Row],[kWh/yr]]/'Schedule-Building Info'!$B$6</f>
        <v>6.4825930372148857E-3</v>
      </c>
      <c r="L1032" s="50">
        <f>CONVERT(PlanGrid[[#This Row],[kWh/yr]],"Wh","BTU")</f>
        <v>1345.0662317790345</v>
      </c>
      <c r="M1032" s="38">
        <f>PlanGrid[[#This Row],[kBtu/yr]]/'Schedule-Building Info'!$B$6</f>
        <v>2.2119525592906222E-2</v>
      </c>
      <c r="N1032" t="s">
        <v>1090</v>
      </c>
      <c r="O1032">
        <v>0</v>
      </c>
      <c r="P1032" t="str">
        <f>VLOOKUP(PlanGrid[[#This Row],[Title]],'Spec Wattages'!$A$1:$C$973,3,FALSE)</f>
        <v>Lighting</v>
      </c>
      <c r="Q1032" t="s">
        <v>816</v>
      </c>
      <c r="R1032" t="s">
        <v>816</v>
      </c>
      <c r="S1032" t="s">
        <v>51</v>
      </c>
    </row>
    <row r="1033" spans="1:19" x14ac:dyDescent="0.25">
      <c r="A1033">
        <v>787</v>
      </c>
      <c r="B1033" t="s">
        <v>22</v>
      </c>
      <c r="C1033" t="s">
        <v>466</v>
      </c>
      <c r="D1033" t="s">
        <v>476</v>
      </c>
      <c r="E1033" s="50">
        <v>36</v>
      </c>
      <c r="F1033" s="38">
        <v>2</v>
      </c>
      <c r="G1033" s="39">
        <v>1</v>
      </c>
      <c r="H1033" s="50">
        <f>PlanGrid[[#This Row],[Spec Wattage]]*PlanGrid[[#This Row],[Equipment Count]]</f>
        <v>72</v>
      </c>
      <c r="I1033" s="50">
        <f>((PlanGrid[[#This Row],[Demand Watt]]*PlanGrid[[#This Row],[Utilization %]]*'Schedule-Building Info'!$N$16)/1000)</f>
        <v>394.2</v>
      </c>
      <c r="J1033" s="57">
        <f>PlanGrid[[#This Row],[kWh/yr]]*' Elec Utility (kWh)'!$M$7</f>
        <v>42.026978681617976</v>
      </c>
      <c r="K1033" s="49">
        <f>PlanGrid[[#This Row],[kWh/yr]]/'Schedule-Building Info'!$B$6</f>
        <v>6.4825930372148857E-3</v>
      </c>
      <c r="L1033" s="50">
        <f>CONVERT(PlanGrid[[#This Row],[kWh/yr]],"Wh","BTU")</f>
        <v>1345.0662317790345</v>
      </c>
      <c r="M1033" s="38">
        <f>PlanGrid[[#This Row],[kBtu/yr]]/'Schedule-Building Info'!$B$6</f>
        <v>2.2119525592906222E-2</v>
      </c>
      <c r="N1033" t="s">
        <v>1090</v>
      </c>
      <c r="O1033">
        <v>0</v>
      </c>
      <c r="P1033" t="str">
        <f>VLOOKUP(PlanGrid[[#This Row],[Title]],'Spec Wattages'!$A$1:$C$973,3,FALSE)</f>
        <v>Lighting</v>
      </c>
      <c r="Q1033" t="s">
        <v>827</v>
      </c>
      <c r="R1033" t="s">
        <v>889</v>
      </c>
      <c r="S1033" t="s">
        <v>51</v>
      </c>
    </row>
    <row r="1034" spans="1:19" x14ac:dyDescent="0.25">
      <c r="A1034">
        <v>839</v>
      </c>
      <c r="B1034" t="s">
        <v>22</v>
      </c>
      <c r="C1034" t="s">
        <v>466</v>
      </c>
      <c r="D1034" t="s">
        <v>476</v>
      </c>
      <c r="E1034" s="50">
        <v>36</v>
      </c>
      <c r="F1034" s="38">
        <v>2</v>
      </c>
      <c r="G1034" s="39">
        <v>1</v>
      </c>
      <c r="H1034" s="50">
        <f>PlanGrid[[#This Row],[Spec Wattage]]*PlanGrid[[#This Row],[Equipment Count]]</f>
        <v>72</v>
      </c>
      <c r="I1034" s="50">
        <f>((PlanGrid[[#This Row],[Demand Watt]]*PlanGrid[[#This Row],[Utilization %]]*'Schedule-Building Info'!$N$16)/1000)</f>
        <v>394.2</v>
      </c>
      <c r="J1034" s="57">
        <f>PlanGrid[[#This Row],[kWh/yr]]*' Elec Utility (kWh)'!$M$7</f>
        <v>42.026978681617976</v>
      </c>
      <c r="K1034" s="49">
        <f>PlanGrid[[#This Row],[kWh/yr]]/'Schedule-Building Info'!$B$6</f>
        <v>6.4825930372148857E-3</v>
      </c>
      <c r="L1034" s="50">
        <f>CONVERT(PlanGrid[[#This Row],[kWh/yr]],"Wh","BTU")</f>
        <v>1345.0662317790345</v>
      </c>
      <c r="M1034" s="38">
        <f>PlanGrid[[#This Row],[kBtu/yr]]/'Schedule-Building Info'!$B$6</f>
        <v>2.2119525592906222E-2</v>
      </c>
      <c r="N1034" t="s">
        <v>1090</v>
      </c>
      <c r="O1034">
        <v>0</v>
      </c>
      <c r="P1034" t="str">
        <f>VLOOKUP(PlanGrid[[#This Row],[Title]],'Spec Wattages'!$A$1:$C$973,3,FALSE)</f>
        <v>Lighting</v>
      </c>
      <c r="Q1034" t="s">
        <v>835</v>
      </c>
      <c r="R1034" t="s">
        <v>835</v>
      </c>
      <c r="S1034" t="s">
        <v>51</v>
      </c>
    </row>
    <row r="1035" spans="1:19" x14ac:dyDescent="0.25">
      <c r="A1035">
        <v>18</v>
      </c>
      <c r="B1035" t="s">
        <v>22</v>
      </c>
      <c r="C1035" t="s">
        <v>466</v>
      </c>
      <c r="D1035" t="s">
        <v>476</v>
      </c>
      <c r="E1035" s="50">
        <v>36</v>
      </c>
      <c r="F1035" s="38">
        <v>2</v>
      </c>
      <c r="G1035" s="39">
        <v>1</v>
      </c>
      <c r="H1035" s="50">
        <f>PlanGrid[[#This Row],[Spec Wattage]]*PlanGrid[[#This Row],[Equipment Count]]</f>
        <v>72</v>
      </c>
      <c r="I1035" s="50">
        <f>((PlanGrid[[#This Row],[Demand Watt]]*PlanGrid[[#This Row],[Utilization %]]*'Schedule-Building Info'!$N$16)/1000)</f>
        <v>394.2</v>
      </c>
      <c r="J1035" s="57">
        <f>PlanGrid[[#This Row],[kWh/yr]]*' Elec Utility (kWh)'!$M$7</f>
        <v>42.026978681617976</v>
      </c>
      <c r="K1035" s="49">
        <f>PlanGrid[[#This Row],[kWh/yr]]/'Schedule-Building Info'!$B$6</f>
        <v>6.4825930372148857E-3</v>
      </c>
      <c r="L1035" s="50">
        <f>CONVERT(PlanGrid[[#This Row],[kWh/yr]],"Wh","BTU")</f>
        <v>1345.0662317790345</v>
      </c>
      <c r="M1035" s="38">
        <f>PlanGrid[[#This Row],[kBtu/yr]]/'Schedule-Building Info'!$B$6</f>
        <v>2.2119525592906222E-2</v>
      </c>
      <c r="N1035" t="s">
        <v>1092</v>
      </c>
      <c r="O1035">
        <v>0</v>
      </c>
      <c r="P1035" t="str">
        <f>VLOOKUP(PlanGrid[[#This Row],[Title]],'Spec Wattages'!$A$1:$C$973,3,FALSE)</f>
        <v>Lighting</v>
      </c>
      <c r="Q1035" t="s">
        <v>840</v>
      </c>
      <c r="R1035" t="s">
        <v>840</v>
      </c>
      <c r="S1035" t="s">
        <v>51</v>
      </c>
    </row>
    <row r="1036" spans="1:19" x14ac:dyDescent="0.25">
      <c r="A1036">
        <v>29</v>
      </c>
      <c r="B1036" t="s">
        <v>22</v>
      </c>
      <c r="C1036" t="s">
        <v>466</v>
      </c>
      <c r="D1036" t="s">
        <v>476</v>
      </c>
      <c r="E1036" s="50">
        <v>36</v>
      </c>
      <c r="F1036" s="38">
        <v>2</v>
      </c>
      <c r="G1036" s="39">
        <v>1</v>
      </c>
      <c r="H1036" s="50">
        <f>PlanGrid[[#This Row],[Spec Wattage]]*PlanGrid[[#This Row],[Equipment Count]]</f>
        <v>72</v>
      </c>
      <c r="I1036" s="50">
        <f>((PlanGrid[[#This Row],[Demand Watt]]*PlanGrid[[#This Row],[Utilization %]]*'Schedule-Building Info'!$N$16)/1000)</f>
        <v>394.2</v>
      </c>
      <c r="J1036" s="57">
        <f>PlanGrid[[#This Row],[kWh/yr]]*' Elec Utility (kWh)'!$M$7</f>
        <v>42.026978681617976</v>
      </c>
      <c r="K1036" s="49">
        <f>PlanGrid[[#This Row],[kWh/yr]]/'Schedule-Building Info'!$B$6</f>
        <v>6.4825930372148857E-3</v>
      </c>
      <c r="L1036" s="50">
        <f>CONVERT(PlanGrid[[#This Row],[kWh/yr]],"Wh","BTU")</f>
        <v>1345.0662317790345</v>
      </c>
      <c r="M1036" s="38">
        <f>PlanGrid[[#This Row],[kBtu/yr]]/'Schedule-Building Info'!$B$6</f>
        <v>2.2119525592906222E-2</v>
      </c>
      <c r="N1036" t="s">
        <v>1092</v>
      </c>
      <c r="O1036">
        <v>0</v>
      </c>
      <c r="P1036" t="str">
        <f>VLOOKUP(PlanGrid[[#This Row],[Title]],'Spec Wattages'!$A$1:$C$973,3,FALSE)</f>
        <v>Lighting</v>
      </c>
      <c r="Q1036" t="s">
        <v>841</v>
      </c>
      <c r="R1036" t="s">
        <v>841</v>
      </c>
      <c r="S1036" t="s">
        <v>51</v>
      </c>
    </row>
    <row r="1037" spans="1:19" x14ac:dyDescent="0.25">
      <c r="A1037">
        <v>41</v>
      </c>
      <c r="B1037" t="s">
        <v>22</v>
      </c>
      <c r="C1037" t="s">
        <v>466</v>
      </c>
      <c r="D1037" t="s">
        <v>476</v>
      </c>
      <c r="E1037" s="50">
        <v>36</v>
      </c>
      <c r="F1037" s="38">
        <v>2</v>
      </c>
      <c r="G1037" s="39">
        <v>1</v>
      </c>
      <c r="H1037" s="50">
        <f>PlanGrid[[#This Row],[Spec Wattage]]*PlanGrid[[#This Row],[Equipment Count]]</f>
        <v>72</v>
      </c>
      <c r="I1037" s="50">
        <f>((PlanGrid[[#This Row],[Demand Watt]]*PlanGrid[[#This Row],[Utilization %]]*'Schedule-Building Info'!$N$16)/1000)</f>
        <v>394.2</v>
      </c>
      <c r="J1037" s="57">
        <f>PlanGrid[[#This Row],[kWh/yr]]*' Elec Utility (kWh)'!$M$7</f>
        <v>42.026978681617976</v>
      </c>
      <c r="K1037" s="49">
        <f>PlanGrid[[#This Row],[kWh/yr]]/'Schedule-Building Info'!$B$6</f>
        <v>6.4825930372148857E-3</v>
      </c>
      <c r="L1037" s="50">
        <f>CONVERT(PlanGrid[[#This Row],[kWh/yr]],"Wh","BTU")</f>
        <v>1345.0662317790345</v>
      </c>
      <c r="M1037" s="38">
        <f>PlanGrid[[#This Row],[kBtu/yr]]/'Schedule-Building Info'!$B$6</f>
        <v>2.2119525592906222E-2</v>
      </c>
      <c r="N1037" t="s">
        <v>1092</v>
      </c>
      <c r="O1037">
        <v>0</v>
      </c>
      <c r="P1037" t="str">
        <f>VLOOKUP(PlanGrid[[#This Row],[Title]],'Spec Wattages'!$A$1:$C$973,3,FALSE)</f>
        <v>Lighting</v>
      </c>
      <c r="Q1037" t="s">
        <v>742</v>
      </c>
      <c r="R1037" t="s">
        <v>843</v>
      </c>
      <c r="S1037" t="s">
        <v>51</v>
      </c>
    </row>
    <row r="1038" spans="1:19" x14ac:dyDescent="0.25">
      <c r="A1038">
        <v>51</v>
      </c>
      <c r="B1038" t="s">
        <v>22</v>
      </c>
      <c r="C1038" t="s">
        <v>466</v>
      </c>
      <c r="D1038" t="s">
        <v>476</v>
      </c>
      <c r="E1038" s="50">
        <v>36</v>
      </c>
      <c r="F1038" s="38">
        <v>2</v>
      </c>
      <c r="G1038" s="39">
        <v>1</v>
      </c>
      <c r="H1038" s="58">
        <f>PlanGrid[[#This Row],[Spec Wattage]]*PlanGrid[[#This Row],[Equipment Count]]</f>
        <v>72</v>
      </c>
      <c r="I1038" s="50">
        <f>((PlanGrid[[#This Row],[Demand Watt]]*PlanGrid[[#This Row],[Utilization %]]*'Schedule-Building Info'!$N$16)/1000)</f>
        <v>394.2</v>
      </c>
      <c r="J1038" s="57">
        <f>PlanGrid[[#This Row],[kWh/yr]]*' Elec Utility (kWh)'!$M$7</f>
        <v>42.026978681617976</v>
      </c>
      <c r="K1038" s="38">
        <f>PlanGrid[[#This Row],[kWh/yr]]/'Schedule-Building Info'!$B$6</f>
        <v>6.4825930372148857E-3</v>
      </c>
      <c r="L1038" s="50">
        <f>CONVERT(PlanGrid[[#This Row],[kWh/yr]],"Wh","BTU")</f>
        <v>1345.0662317790345</v>
      </c>
      <c r="M1038" s="38">
        <f>PlanGrid[[#This Row],[kBtu/yr]]/'Schedule-Building Info'!$B$6</f>
        <v>2.2119525592906222E-2</v>
      </c>
      <c r="N1038" t="s">
        <v>1092</v>
      </c>
      <c r="O1038">
        <v>0</v>
      </c>
      <c r="P1038" t="str">
        <f>VLOOKUP(PlanGrid[[#This Row],[Title]],'Spec Wattages'!$A$1:$C$973,3,FALSE)</f>
        <v>Lighting</v>
      </c>
      <c r="Q1038" t="s">
        <v>846</v>
      </c>
      <c r="R1038" t="s">
        <v>846</v>
      </c>
      <c r="S1038" t="s">
        <v>51</v>
      </c>
    </row>
    <row r="1039" spans="1:19" x14ac:dyDescent="0.25">
      <c r="A1039">
        <v>61</v>
      </c>
      <c r="B1039" t="s">
        <v>22</v>
      </c>
      <c r="C1039" t="s">
        <v>466</v>
      </c>
      <c r="D1039" t="s">
        <v>476</v>
      </c>
      <c r="E1039" s="50">
        <v>36</v>
      </c>
      <c r="F1039" s="38">
        <v>2</v>
      </c>
      <c r="G1039" s="39">
        <v>1</v>
      </c>
      <c r="H1039" s="58">
        <f>PlanGrid[[#This Row],[Spec Wattage]]*PlanGrid[[#This Row],[Equipment Count]]</f>
        <v>72</v>
      </c>
      <c r="I1039" s="50">
        <f>((PlanGrid[[#This Row],[Demand Watt]]*PlanGrid[[#This Row],[Utilization %]]*'Schedule-Building Info'!$N$16)/1000)</f>
        <v>394.2</v>
      </c>
      <c r="J1039" s="57">
        <f>PlanGrid[[#This Row],[kWh/yr]]*' Elec Utility (kWh)'!$M$7</f>
        <v>42.026978681617976</v>
      </c>
      <c r="K1039" s="38">
        <f>PlanGrid[[#This Row],[kWh/yr]]/'Schedule-Building Info'!$B$6</f>
        <v>6.4825930372148857E-3</v>
      </c>
      <c r="L1039" s="50">
        <f>CONVERT(PlanGrid[[#This Row],[kWh/yr]],"Wh","BTU")</f>
        <v>1345.0662317790345</v>
      </c>
      <c r="M1039" s="38">
        <f>PlanGrid[[#This Row],[kBtu/yr]]/'Schedule-Building Info'!$B$6</f>
        <v>2.2119525592906222E-2</v>
      </c>
      <c r="N1039" t="s">
        <v>1092</v>
      </c>
      <c r="O1039">
        <v>0</v>
      </c>
      <c r="P1039" t="str">
        <f>VLOOKUP(PlanGrid[[#This Row],[Title]],'Spec Wattages'!$A$1:$C$973,3,FALSE)</f>
        <v>Lighting</v>
      </c>
      <c r="Q1039" t="s">
        <v>744</v>
      </c>
      <c r="R1039" t="s">
        <v>744</v>
      </c>
      <c r="S1039" t="s">
        <v>51</v>
      </c>
    </row>
    <row r="1040" spans="1:19" x14ac:dyDescent="0.25">
      <c r="A1040">
        <v>69</v>
      </c>
      <c r="B1040" t="s">
        <v>22</v>
      </c>
      <c r="C1040" t="s">
        <v>466</v>
      </c>
      <c r="D1040" t="s">
        <v>476</v>
      </c>
      <c r="E1040" s="50">
        <v>36</v>
      </c>
      <c r="F1040" s="38">
        <v>2</v>
      </c>
      <c r="G1040" s="39">
        <v>1</v>
      </c>
      <c r="H1040" s="58">
        <f>PlanGrid[[#This Row],[Spec Wattage]]*PlanGrid[[#This Row],[Equipment Count]]</f>
        <v>72</v>
      </c>
      <c r="I1040" s="50">
        <f>((PlanGrid[[#This Row],[Demand Watt]]*PlanGrid[[#This Row],[Utilization %]]*'Schedule-Building Info'!$N$16)/1000)</f>
        <v>394.2</v>
      </c>
      <c r="J1040" s="57">
        <f>PlanGrid[[#This Row],[kWh/yr]]*' Elec Utility (kWh)'!$M$7</f>
        <v>42.026978681617976</v>
      </c>
      <c r="K1040" s="38">
        <f>PlanGrid[[#This Row],[kWh/yr]]/'Schedule-Building Info'!$B$6</f>
        <v>6.4825930372148857E-3</v>
      </c>
      <c r="L1040" s="50">
        <f>CONVERT(PlanGrid[[#This Row],[kWh/yr]],"Wh","BTU")</f>
        <v>1345.0662317790345</v>
      </c>
      <c r="M1040" s="38">
        <f>PlanGrid[[#This Row],[kBtu/yr]]/'Schedule-Building Info'!$B$6</f>
        <v>2.2119525592906222E-2</v>
      </c>
      <c r="N1040" t="s">
        <v>1092</v>
      </c>
      <c r="O1040">
        <v>0</v>
      </c>
      <c r="P1040" t="str">
        <f>VLOOKUP(PlanGrid[[#This Row],[Title]],'Spec Wattages'!$A$1:$C$973,3,FALSE)</f>
        <v>Lighting</v>
      </c>
      <c r="Q1040" t="s">
        <v>849</v>
      </c>
      <c r="R1040" t="s">
        <v>849</v>
      </c>
      <c r="S1040" t="s">
        <v>51</v>
      </c>
    </row>
    <row r="1041" spans="1:19" x14ac:dyDescent="0.25">
      <c r="A1041">
        <v>75</v>
      </c>
      <c r="B1041" t="s">
        <v>22</v>
      </c>
      <c r="C1041" t="s">
        <v>466</v>
      </c>
      <c r="D1041" t="s">
        <v>476</v>
      </c>
      <c r="E1041" s="50">
        <v>36</v>
      </c>
      <c r="F1041" s="38">
        <v>2</v>
      </c>
      <c r="G1041" s="39">
        <v>1</v>
      </c>
      <c r="H1041" s="58">
        <f>PlanGrid[[#This Row],[Spec Wattage]]*PlanGrid[[#This Row],[Equipment Count]]</f>
        <v>72</v>
      </c>
      <c r="I1041" s="50">
        <f>((PlanGrid[[#This Row],[Demand Watt]]*PlanGrid[[#This Row],[Utilization %]]*'Schedule-Building Info'!$N$16)/1000)</f>
        <v>394.2</v>
      </c>
      <c r="J1041" s="57">
        <f>PlanGrid[[#This Row],[kWh/yr]]*' Elec Utility (kWh)'!$M$7</f>
        <v>42.026978681617976</v>
      </c>
      <c r="K1041" s="38">
        <f>PlanGrid[[#This Row],[kWh/yr]]/'Schedule-Building Info'!$B$6</f>
        <v>6.4825930372148857E-3</v>
      </c>
      <c r="L1041" s="50">
        <f>CONVERT(PlanGrid[[#This Row],[kWh/yr]],"Wh","BTU")</f>
        <v>1345.0662317790345</v>
      </c>
      <c r="M1041" s="38">
        <f>PlanGrid[[#This Row],[kBtu/yr]]/'Schedule-Building Info'!$B$6</f>
        <v>2.2119525592906222E-2</v>
      </c>
      <c r="N1041" t="s">
        <v>1092</v>
      </c>
      <c r="O1041">
        <v>0</v>
      </c>
      <c r="P1041" t="str">
        <f>VLOOKUP(PlanGrid[[#This Row],[Title]],'Spec Wattages'!$A$1:$C$973,3,FALSE)</f>
        <v>Lighting</v>
      </c>
      <c r="Q1041" t="s">
        <v>850</v>
      </c>
      <c r="R1041" t="s">
        <v>850</v>
      </c>
      <c r="S1041" t="s">
        <v>51</v>
      </c>
    </row>
    <row r="1042" spans="1:19" x14ac:dyDescent="0.25">
      <c r="A1042">
        <v>90</v>
      </c>
      <c r="B1042" t="s">
        <v>22</v>
      </c>
      <c r="C1042" t="s">
        <v>466</v>
      </c>
      <c r="D1042" t="s">
        <v>476</v>
      </c>
      <c r="E1042" s="50">
        <v>36</v>
      </c>
      <c r="F1042" s="38">
        <v>2</v>
      </c>
      <c r="G1042" s="39">
        <v>1</v>
      </c>
      <c r="H1042" s="58">
        <f>PlanGrid[[#This Row],[Spec Wattage]]*PlanGrid[[#This Row],[Equipment Count]]</f>
        <v>72</v>
      </c>
      <c r="I1042" s="50">
        <f>((PlanGrid[[#This Row],[Demand Watt]]*PlanGrid[[#This Row],[Utilization %]]*'Schedule-Building Info'!$N$16)/1000)</f>
        <v>394.2</v>
      </c>
      <c r="J1042" s="57">
        <f>PlanGrid[[#This Row],[kWh/yr]]*' Elec Utility (kWh)'!$M$7</f>
        <v>42.026978681617976</v>
      </c>
      <c r="K1042" s="38">
        <f>PlanGrid[[#This Row],[kWh/yr]]/'Schedule-Building Info'!$B$6</f>
        <v>6.4825930372148857E-3</v>
      </c>
      <c r="L1042" s="50">
        <f>CONVERT(PlanGrid[[#This Row],[kWh/yr]],"Wh","BTU")</f>
        <v>1345.0662317790345</v>
      </c>
      <c r="M1042" s="38">
        <f>PlanGrid[[#This Row],[kBtu/yr]]/'Schedule-Building Info'!$B$6</f>
        <v>2.2119525592906222E-2</v>
      </c>
      <c r="N1042" t="s">
        <v>1092</v>
      </c>
      <c r="O1042">
        <v>0</v>
      </c>
      <c r="P1042" t="str">
        <f>VLOOKUP(PlanGrid[[#This Row],[Title]],'Spec Wattages'!$A$1:$C$973,3,FALSE)</f>
        <v>Lighting</v>
      </c>
      <c r="Q1042" t="s">
        <v>851</v>
      </c>
      <c r="R1042" t="s">
        <v>851</v>
      </c>
      <c r="S1042" t="s">
        <v>51</v>
      </c>
    </row>
    <row r="1043" spans="1:19" x14ac:dyDescent="0.25">
      <c r="A1043">
        <v>97</v>
      </c>
      <c r="B1043" t="s">
        <v>22</v>
      </c>
      <c r="C1043" t="s">
        <v>466</v>
      </c>
      <c r="D1043" t="s">
        <v>476</v>
      </c>
      <c r="E1043" s="50">
        <v>36</v>
      </c>
      <c r="F1043" s="38">
        <v>2</v>
      </c>
      <c r="G1043" s="39">
        <v>1</v>
      </c>
      <c r="H1043" s="58">
        <f>PlanGrid[[#This Row],[Spec Wattage]]*PlanGrid[[#This Row],[Equipment Count]]</f>
        <v>72</v>
      </c>
      <c r="I1043" s="50">
        <f>((PlanGrid[[#This Row],[Demand Watt]]*PlanGrid[[#This Row],[Utilization %]]*'Schedule-Building Info'!$N$16)/1000)</f>
        <v>394.2</v>
      </c>
      <c r="J1043" s="57">
        <f>PlanGrid[[#This Row],[kWh/yr]]*' Elec Utility (kWh)'!$M$7</f>
        <v>42.026978681617976</v>
      </c>
      <c r="K1043" s="38">
        <f>PlanGrid[[#This Row],[kWh/yr]]/'Schedule-Building Info'!$B$6</f>
        <v>6.4825930372148857E-3</v>
      </c>
      <c r="L1043" s="50">
        <f>CONVERT(PlanGrid[[#This Row],[kWh/yr]],"Wh","BTU")</f>
        <v>1345.0662317790345</v>
      </c>
      <c r="M1043" s="38">
        <f>PlanGrid[[#This Row],[kBtu/yr]]/'Schedule-Building Info'!$B$6</f>
        <v>2.2119525592906222E-2</v>
      </c>
      <c r="N1043" t="s">
        <v>1092</v>
      </c>
      <c r="O1043">
        <v>0</v>
      </c>
      <c r="P1043" t="str">
        <f>VLOOKUP(PlanGrid[[#This Row],[Title]],'Spec Wattages'!$A$1:$C$973,3,FALSE)</f>
        <v>Lighting</v>
      </c>
      <c r="Q1043" t="s">
        <v>852</v>
      </c>
      <c r="R1043" t="s">
        <v>852</v>
      </c>
      <c r="S1043" t="s">
        <v>51</v>
      </c>
    </row>
    <row r="1044" spans="1:19" x14ac:dyDescent="0.25">
      <c r="A1044">
        <v>105</v>
      </c>
      <c r="B1044" t="s">
        <v>22</v>
      </c>
      <c r="C1044" t="s">
        <v>466</v>
      </c>
      <c r="D1044" t="s">
        <v>476</v>
      </c>
      <c r="E1044" s="50">
        <v>36</v>
      </c>
      <c r="F1044" s="38">
        <v>2</v>
      </c>
      <c r="G1044" s="39">
        <v>1</v>
      </c>
      <c r="H1044" s="58">
        <f>PlanGrid[[#This Row],[Spec Wattage]]*PlanGrid[[#This Row],[Equipment Count]]</f>
        <v>72</v>
      </c>
      <c r="I1044" s="50">
        <f>((PlanGrid[[#This Row],[Demand Watt]]*PlanGrid[[#This Row],[Utilization %]]*'Schedule-Building Info'!$N$16)/1000)</f>
        <v>394.2</v>
      </c>
      <c r="J1044" s="57">
        <f>PlanGrid[[#This Row],[kWh/yr]]*' Elec Utility (kWh)'!$M$7</f>
        <v>42.026978681617976</v>
      </c>
      <c r="K1044" s="38">
        <f>PlanGrid[[#This Row],[kWh/yr]]/'Schedule-Building Info'!$B$6</f>
        <v>6.4825930372148857E-3</v>
      </c>
      <c r="L1044" s="50">
        <f>CONVERT(PlanGrid[[#This Row],[kWh/yr]],"Wh","BTU")</f>
        <v>1345.0662317790345</v>
      </c>
      <c r="M1044" s="38">
        <f>PlanGrid[[#This Row],[kBtu/yr]]/'Schedule-Building Info'!$B$6</f>
        <v>2.2119525592906222E-2</v>
      </c>
      <c r="N1044" t="s">
        <v>1092</v>
      </c>
      <c r="O1044">
        <v>0</v>
      </c>
      <c r="P1044" t="str">
        <f>VLOOKUP(PlanGrid[[#This Row],[Title]],'Spec Wattages'!$A$1:$C$973,3,FALSE)</f>
        <v>Lighting</v>
      </c>
      <c r="Q1044" t="s">
        <v>853</v>
      </c>
      <c r="R1044" t="s">
        <v>853</v>
      </c>
      <c r="S1044" t="s">
        <v>51</v>
      </c>
    </row>
    <row r="1045" spans="1:19" x14ac:dyDescent="0.25">
      <c r="A1045">
        <v>117</v>
      </c>
      <c r="B1045" t="s">
        <v>22</v>
      </c>
      <c r="C1045" t="s">
        <v>466</v>
      </c>
      <c r="D1045" t="s">
        <v>476</v>
      </c>
      <c r="E1045" s="50">
        <v>36</v>
      </c>
      <c r="F1045" s="38">
        <v>2</v>
      </c>
      <c r="G1045" s="39">
        <v>1</v>
      </c>
      <c r="H1045" s="58">
        <f>PlanGrid[[#This Row],[Spec Wattage]]*PlanGrid[[#This Row],[Equipment Count]]</f>
        <v>72</v>
      </c>
      <c r="I1045" s="50">
        <f>((PlanGrid[[#This Row],[Demand Watt]]*PlanGrid[[#This Row],[Utilization %]]*'Schedule-Building Info'!$N$16)/1000)</f>
        <v>394.2</v>
      </c>
      <c r="J1045" s="57">
        <f>PlanGrid[[#This Row],[kWh/yr]]*' Elec Utility (kWh)'!$M$7</f>
        <v>42.026978681617976</v>
      </c>
      <c r="K1045" s="38">
        <f>PlanGrid[[#This Row],[kWh/yr]]/'Schedule-Building Info'!$B$6</f>
        <v>6.4825930372148857E-3</v>
      </c>
      <c r="L1045" s="50">
        <f>CONVERT(PlanGrid[[#This Row],[kWh/yr]],"Wh","BTU")</f>
        <v>1345.0662317790345</v>
      </c>
      <c r="M1045" s="38">
        <f>PlanGrid[[#This Row],[kBtu/yr]]/'Schedule-Building Info'!$B$6</f>
        <v>2.2119525592906222E-2</v>
      </c>
      <c r="N1045" t="s">
        <v>1092</v>
      </c>
      <c r="O1045">
        <v>0</v>
      </c>
      <c r="P1045" t="str">
        <f>VLOOKUP(PlanGrid[[#This Row],[Title]],'Spec Wattages'!$A$1:$C$973,3,FALSE)</f>
        <v>Lighting</v>
      </c>
      <c r="Q1045" t="s">
        <v>747</v>
      </c>
      <c r="R1045" t="s">
        <v>747</v>
      </c>
      <c r="S1045" t="s">
        <v>51</v>
      </c>
    </row>
    <row r="1046" spans="1:19" x14ac:dyDescent="0.25">
      <c r="A1046">
        <v>137</v>
      </c>
      <c r="B1046" t="s">
        <v>22</v>
      </c>
      <c r="C1046" t="s">
        <v>466</v>
      </c>
      <c r="D1046" t="s">
        <v>476</v>
      </c>
      <c r="E1046" s="50">
        <v>36</v>
      </c>
      <c r="F1046" s="38">
        <v>2</v>
      </c>
      <c r="G1046" s="39">
        <v>1</v>
      </c>
      <c r="H1046" s="58">
        <f>PlanGrid[[#This Row],[Spec Wattage]]*PlanGrid[[#This Row],[Equipment Count]]</f>
        <v>72</v>
      </c>
      <c r="I1046" s="50">
        <f>((PlanGrid[[#This Row],[Demand Watt]]*PlanGrid[[#This Row],[Utilization %]]*'Schedule-Building Info'!$N$16)/1000)</f>
        <v>394.2</v>
      </c>
      <c r="J1046" s="57">
        <f>PlanGrid[[#This Row],[kWh/yr]]*' Elec Utility (kWh)'!$M$7</f>
        <v>42.026978681617976</v>
      </c>
      <c r="K1046" s="38">
        <f>PlanGrid[[#This Row],[kWh/yr]]/'Schedule-Building Info'!$B$6</f>
        <v>6.4825930372148857E-3</v>
      </c>
      <c r="L1046" s="50">
        <f>CONVERT(PlanGrid[[#This Row],[kWh/yr]],"Wh","BTU")</f>
        <v>1345.0662317790345</v>
      </c>
      <c r="M1046" s="38">
        <f>PlanGrid[[#This Row],[kBtu/yr]]/'Schedule-Building Info'!$B$6</f>
        <v>2.2119525592906222E-2</v>
      </c>
      <c r="N1046" t="s">
        <v>1092</v>
      </c>
      <c r="O1046">
        <v>0</v>
      </c>
      <c r="P1046" t="str">
        <f>VLOOKUP(PlanGrid[[#This Row],[Title]],'Spec Wattages'!$A$1:$C$973,3,FALSE)</f>
        <v>Lighting</v>
      </c>
      <c r="Q1046" t="s">
        <v>855</v>
      </c>
      <c r="R1046" t="s">
        <v>855</v>
      </c>
      <c r="S1046" t="s">
        <v>51</v>
      </c>
    </row>
    <row r="1047" spans="1:19" x14ac:dyDescent="0.25">
      <c r="A1047">
        <v>147</v>
      </c>
      <c r="B1047" t="s">
        <v>22</v>
      </c>
      <c r="C1047" t="s">
        <v>466</v>
      </c>
      <c r="D1047" t="s">
        <v>476</v>
      </c>
      <c r="E1047" s="50">
        <v>36</v>
      </c>
      <c r="F1047" s="38">
        <v>2</v>
      </c>
      <c r="G1047" s="39">
        <v>1</v>
      </c>
      <c r="H1047" s="58">
        <f>PlanGrid[[#This Row],[Spec Wattage]]*PlanGrid[[#This Row],[Equipment Count]]</f>
        <v>72</v>
      </c>
      <c r="I1047" s="50">
        <f>((PlanGrid[[#This Row],[Demand Watt]]*PlanGrid[[#This Row],[Utilization %]]*'Schedule-Building Info'!$N$16)/1000)</f>
        <v>394.2</v>
      </c>
      <c r="J1047" s="57">
        <f>PlanGrid[[#This Row],[kWh/yr]]*' Elec Utility (kWh)'!$M$7</f>
        <v>42.026978681617976</v>
      </c>
      <c r="K1047" s="38">
        <f>PlanGrid[[#This Row],[kWh/yr]]/'Schedule-Building Info'!$B$6</f>
        <v>6.4825930372148857E-3</v>
      </c>
      <c r="L1047" s="50">
        <f>CONVERT(PlanGrid[[#This Row],[kWh/yr]],"Wh","BTU")</f>
        <v>1345.0662317790345</v>
      </c>
      <c r="M1047" s="38">
        <f>PlanGrid[[#This Row],[kBtu/yr]]/'Schedule-Building Info'!$B$6</f>
        <v>2.2119525592906222E-2</v>
      </c>
      <c r="N1047" t="s">
        <v>1092</v>
      </c>
      <c r="O1047">
        <v>0</v>
      </c>
      <c r="P1047" t="str">
        <f>VLOOKUP(PlanGrid[[#This Row],[Title]],'Spec Wattages'!$A$1:$C$973,3,FALSE)</f>
        <v>Lighting</v>
      </c>
      <c r="Q1047" t="s">
        <v>856</v>
      </c>
      <c r="R1047" t="s">
        <v>746</v>
      </c>
      <c r="S1047" t="s">
        <v>51</v>
      </c>
    </row>
    <row r="1048" spans="1:19" x14ac:dyDescent="0.25">
      <c r="A1048">
        <v>173</v>
      </c>
      <c r="B1048" t="s">
        <v>22</v>
      </c>
      <c r="C1048" t="s">
        <v>466</v>
      </c>
      <c r="D1048" t="s">
        <v>476</v>
      </c>
      <c r="E1048" s="50">
        <v>36</v>
      </c>
      <c r="F1048" s="38">
        <v>2</v>
      </c>
      <c r="G1048" s="39">
        <v>1</v>
      </c>
      <c r="H1048" s="58">
        <f>PlanGrid[[#This Row],[Spec Wattage]]*PlanGrid[[#This Row],[Equipment Count]]</f>
        <v>72</v>
      </c>
      <c r="I1048" s="50">
        <f>((PlanGrid[[#This Row],[Demand Watt]]*PlanGrid[[#This Row],[Utilization %]]*'Schedule-Building Info'!$N$16)/1000)</f>
        <v>394.2</v>
      </c>
      <c r="J1048" s="57">
        <f>PlanGrid[[#This Row],[kWh/yr]]*' Elec Utility (kWh)'!$M$7</f>
        <v>42.026978681617976</v>
      </c>
      <c r="K1048" s="38">
        <f>PlanGrid[[#This Row],[kWh/yr]]/'Schedule-Building Info'!$B$6</f>
        <v>6.4825930372148857E-3</v>
      </c>
      <c r="L1048" s="50">
        <f>CONVERT(PlanGrid[[#This Row],[kWh/yr]],"Wh","BTU")</f>
        <v>1345.0662317790345</v>
      </c>
      <c r="M1048" s="38">
        <f>PlanGrid[[#This Row],[kBtu/yr]]/'Schedule-Building Info'!$B$6</f>
        <v>2.2119525592906222E-2</v>
      </c>
      <c r="N1048" t="s">
        <v>1092</v>
      </c>
      <c r="O1048">
        <v>0</v>
      </c>
      <c r="P1048" t="str">
        <f>VLOOKUP(PlanGrid[[#This Row],[Title]],'Spec Wattages'!$A$1:$C$973,3,FALSE)</f>
        <v>Lighting</v>
      </c>
      <c r="Q1048" t="s">
        <v>861</v>
      </c>
      <c r="R1048" t="s">
        <v>861</v>
      </c>
      <c r="S1048" t="s">
        <v>51</v>
      </c>
    </row>
    <row r="1049" spans="1:19" x14ac:dyDescent="0.25">
      <c r="A1049">
        <v>192</v>
      </c>
      <c r="B1049" t="s">
        <v>22</v>
      </c>
      <c r="C1049" t="s">
        <v>466</v>
      </c>
      <c r="D1049" t="s">
        <v>476</v>
      </c>
      <c r="E1049" s="50">
        <v>36</v>
      </c>
      <c r="F1049" s="38">
        <v>2</v>
      </c>
      <c r="G1049" s="39">
        <v>1</v>
      </c>
      <c r="H1049" s="58">
        <f>PlanGrid[[#This Row],[Spec Wattage]]*PlanGrid[[#This Row],[Equipment Count]]</f>
        <v>72</v>
      </c>
      <c r="I1049" s="50">
        <f>((PlanGrid[[#This Row],[Demand Watt]]*PlanGrid[[#This Row],[Utilization %]]*'Schedule-Building Info'!$N$16)/1000)</f>
        <v>394.2</v>
      </c>
      <c r="J1049" s="57">
        <f>PlanGrid[[#This Row],[kWh/yr]]*' Elec Utility (kWh)'!$M$7</f>
        <v>42.026978681617976</v>
      </c>
      <c r="K1049" s="38">
        <f>PlanGrid[[#This Row],[kWh/yr]]/'Schedule-Building Info'!$B$6</f>
        <v>6.4825930372148857E-3</v>
      </c>
      <c r="L1049" s="50">
        <f>CONVERT(PlanGrid[[#This Row],[kWh/yr]],"Wh","BTU")</f>
        <v>1345.0662317790345</v>
      </c>
      <c r="M1049" s="38">
        <f>PlanGrid[[#This Row],[kBtu/yr]]/'Schedule-Building Info'!$B$6</f>
        <v>2.2119525592906222E-2</v>
      </c>
      <c r="N1049" t="s">
        <v>1092</v>
      </c>
      <c r="O1049">
        <v>0</v>
      </c>
      <c r="P1049" t="str">
        <f>VLOOKUP(PlanGrid[[#This Row],[Title]],'Spec Wattages'!$A$1:$C$973,3,FALSE)</f>
        <v>Lighting</v>
      </c>
      <c r="Q1049" t="s">
        <v>751</v>
      </c>
      <c r="R1049" t="s">
        <v>751</v>
      </c>
      <c r="S1049" t="s">
        <v>51</v>
      </c>
    </row>
    <row r="1050" spans="1:19" x14ac:dyDescent="0.25">
      <c r="A1050">
        <v>204</v>
      </c>
      <c r="B1050" t="s">
        <v>22</v>
      </c>
      <c r="C1050" t="s">
        <v>466</v>
      </c>
      <c r="D1050" t="s">
        <v>476</v>
      </c>
      <c r="E1050" s="50">
        <v>36</v>
      </c>
      <c r="F1050" s="38">
        <v>2</v>
      </c>
      <c r="G1050" s="39">
        <v>1</v>
      </c>
      <c r="H1050" s="58">
        <f>PlanGrid[[#This Row],[Spec Wattage]]*PlanGrid[[#This Row],[Equipment Count]]</f>
        <v>72</v>
      </c>
      <c r="I1050" s="50">
        <f>((PlanGrid[[#This Row],[Demand Watt]]*PlanGrid[[#This Row],[Utilization %]]*'Schedule-Building Info'!$N$16)/1000)</f>
        <v>394.2</v>
      </c>
      <c r="J1050" s="57">
        <f>PlanGrid[[#This Row],[kWh/yr]]*' Elec Utility (kWh)'!$M$7</f>
        <v>42.026978681617976</v>
      </c>
      <c r="K1050" s="38">
        <f>PlanGrid[[#This Row],[kWh/yr]]/'Schedule-Building Info'!$B$6</f>
        <v>6.4825930372148857E-3</v>
      </c>
      <c r="L1050" s="50">
        <f>CONVERT(PlanGrid[[#This Row],[kWh/yr]],"Wh","BTU")</f>
        <v>1345.0662317790345</v>
      </c>
      <c r="M1050" s="38">
        <f>PlanGrid[[#This Row],[kBtu/yr]]/'Schedule-Building Info'!$B$6</f>
        <v>2.2119525592906222E-2</v>
      </c>
      <c r="N1050" t="s">
        <v>1092</v>
      </c>
      <c r="O1050">
        <v>0</v>
      </c>
      <c r="P1050" t="str">
        <f>VLOOKUP(PlanGrid[[#This Row],[Title]],'Spec Wattages'!$A$1:$C$973,3,FALSE)</f>
        <v>Lighting</v>
      </c>
      <c r="Q1050" t="s">
        <v>864</v>
      </c>
      <c r="R1050" t="s">
        <v>864</v>
      </c>
      <c r="S1050" t="s">
        <v>51</v>
      </c>
    </row>
    <row r="1051" spans="1:19" x14ac:dyDescent="0.25">
      <c r="A1051">
        <v>218</v>
      </c>
      <c r="B1051" t="s">
        <v>22</v>
      </c>
      <c r="C1051" t="s">
        <v>466</v>
      </c>
      <c r="D1051" t="s">
        <v>476</v>
      </c>
      <c r="E1051" s="50">
        <v>36</v>
      </c>
      <c r="F1051" s="38">
        <v>2</v>
      </c>
      <c r="G1051" s="39">
        <v>1</v>
      </c>
      <c r="H1051" s="38">
        <f>PlanGrid[[#This Row],[Spec Wattage]]*PlanGrid[[#This Row],[Equipment Count]]</f>
        <v>72</v>
      </c>
      <c r="I1051" s="38">
        <f>((PlanGrid[[#This Row],[Demand Watt]]*PlanGrid[[#This Row],[Utilization %]]*'Schedule-Building Info'!$N$16)/1000)</f>
        <v>394.2</v>
      </c>
      <c r="J1051" s="57">
        <f>PlanGrid[[#This Row],[kWh/yr]]*' Elec Utility (kWh)'!$M$7</f>
        <v>42.026978681617976</v>
      </c>
      <c r="K1051" s="38">
        <f>PlanGrid[[#This Row],[kWh/yr]]/'Schedule-Building Info'!$B$6</f>
        <v>6.4825930372148857E-3</v>
      </c>
      <c r="L1051" s="50">
        <f>CONVERT(PlanGrid[[#This Row],[kWh/yr]],"Wh","BTU")</f>
        <v>1345.0662317790345</v>
      </c>
      <c r="M1051" s="38">
        <f>PlanGrid[[#This Row],[kBtu/yr]]/'Schedule-Building Info'!$B$6</f>
        <v>2.2119525592906222E-2</v>
      </c>
      <c r="N1051" t="s">
        <v>1092</v>
      </c>
      <c r="O1051">
        <v>0</v>
      </c>
      <c r="P1051" t="str">
        <f>VLOOKUP(PlanGrid[[#This Row],[Title]],'Spec Wattages'!$A$1:$C$973,3,FALSE)</f>
        <v>Lighting</v>
      </c>
      <c r="Q1051" t="s">
        <v>754</v>
      </c>
      <c r="R1051" t="s">
        <v>954</v>
      </c>
      <c r="S1051" t="s">
        <v>51</v>
      </c>
    </row>
    <row r="1052" spans="1:19" x14ac:dyDescent="0.25">
      <c r="A1052">
        <v>431</v>
      </c>
      <c r="B1052" t="s">
        <v>22</v>
      </c>
      <c r="C1052" t="s">
        <v>466</v>
      </c>
      <c r="D1052" t="s">
        <v>476</v>
      </c>
      <c r="E1052" s="50">
        <v>36</v>
      </c>
      <c r="F1052" s="38">
        <v>2</v>
      </c>
      <c r="G1052" s="39">
        <v>1</v>
      </c>
      <c r="H1052" s="58">
        <f>PlanGrid[[#This Row],[Spec Wattage]]*PlanGrid[[#This Row],[Equipment Count]]</f>
        <v>72</v>
      </c>
      <c r="I1052" s="50">
        <f>((PlanGrid[[#This Row],[Demand Watt]]*PlanGrid[[#This Row],[Utilization %]]*'Schedule-Building Info'!$N$16)/1000)</f>
        <v>394.2</v>
      </c>
      <c r="J1052" s="57">
        <f>PlanGrid[[#This Row],[kWh/yr]]*' Elec Utility (kWh)'!$M$7</f>
        <v>42.026978681617976</v>
      </c>
      <c r="K1052" s="38">
        <f>PlanGrid[[#This Row],[kWh/yr]]/'Schedule-Building Info'!$B$6</f>
        <v>6.4825930372148857E-3</v>
      </c>
      <c r="L1052" s="50">
        <f>CONVERT(PlanGrid[[#This Row],[kWh/yr]],"Wh","BTU")</f>
        <v>1345.0662317790345</v>
      </c>
      <c r="M1052" s="38">
        <f>PlanGrid[[#This Row],[kBtu/yr]]/'Schedule-Building Info'!$B$6</f>
        <v>2.2119525592906222E-2</v>
      </c>
      <c r="N1052" t="s">
        <v>1092</v>
      </c>
      <c r="O1052">
        <v>0</v>
      </c>
      <c r="P1052" t="str">
        <f>VLOOKUP(PlanGrid[[#This Row],[Title]],'Spec Wattages'!$A$1:$C$973,3,FALSE)</f>
        <v>Lighting</v>
      </c>
      <c r="Q1052" t="s">
        <v>762</v>
      </c>
      <c r="R1052" t="s">
        <v>762</v>
      </c>
      <c r="S1052" t="s">
        <v>51</v>
      </c>
    </row>
    <row r="1053" spans="1:19" x14ac:dyDescent="0.25">
      <c r="A1053">
        <v>443</v>
      </c>
      <c r="B1053" t="s">
        <v>22</v>
      </c>
      <c r="C1053" t="s">
        <v>466</v>
      </c>
      <c r="D1053" t="s">
        <v>476</v>
      </c>
      <c r="E1053" s="50">
        <v>36</v>
      </c>
      <c r="F1053" s="38">
        <v>2</v>
      </c>
      <c r="G1053" s="39">
        <v>1</v>
      </c>
      <c r="H1053" s="58">
        <f>PlanGrid[[#This Row],[Spec Wattage]]*PlanGrid[[#This Row],[Equipment Count]]</f>
        <v>72</v>
      </c>
      <c r="I1053" s="50">
        <f>((PlanGrid[[#This Row],[Demand Watt]]*PlanGrid[[#This Row],[Utilization %]]*'Schedule-Building Info'!$N$16)/1000)</f>
        <v>394.2</v>
      </c>
      <c r="J1053" s="57">
        <f>PlanGrid[[#This Row],[kWh/yr]]*' Elec Utility (kWh)'!$M$7</f>
        <v>42.026978681617976</v>
      </c>
      <c r="K1053" s="38">
        <f>PlanGrid[[#This Row],[kWh/yr]]/'Schedule-Building Info'!$B$6</f>
        <v>6.4825930372148857E-3</v>
      </c>
      <c r="L1053" s="50">
        <f>CONVERT(PlanGrid[[#This Row],[kWh/yr]],"Wh","BTU")</f>
        <v>1345.0662317790345</v>
      </c>
      <c r="M1053" s="38">
        <f>PlanGrid[[#This Row],[kBtu/yr]]/'Schedule-Building Info'!$B$6</f>
        <v>2.2119525592906222E-2</v>
      </c>
      <c r="N1053" t="s">
        <v>1092</v>
      </c>
      <c r="O1053">
        <v>0</v>
      </c>
      <c r="P1053" t="str">
        <f>VLOOKUP(PlanGrid[[#This Row],[Title]],'Spec Wattages'!$A$1:$C$973,3,FALSE)</f>
        <v>Lighting</v>
      </c>
      <c r="Q1053" t="s">
        <v>903</v>
      </c>
      <c r="R1053" t="s">
        <v>1014</v>
      </c>
      <c r="S1053" t="s">
        <v>51</v>
      </c>
    </row>
    <row r="1054" spans="1:19" x14ac:dyDescent="0.25">
      <c r="A1054">
        <v>467</v>
      </c>
      <c r="B1054" t="s">
        <v>22</v>
      </c>
      <c r="C1054" t="s">
        <v>466</v>
      </c>
      <c r="D1054" t="s">
        <v>476</v>
      </c>
      <c r="E1054" s="50">
        <v>36</v>
      </c>
      <c r="F1054" s="38">
        <v>2</v>
      </c>
      <c r="G1054" s="39">
        <v>1</v>
      </c>
      <c r="H1054" s="58">
        <f>PlanGrid[[#This Row],[Spec Wattage]]*PlanGrid[[#This Row],[Equipment Count]]</f>
        <v>72</v>
      </c>
      <c r="I1054" s="50">
        <f>((PlanGrid[[#This Row],[Demand Watt]]*PlanGrid[[#This Row],[Utilization %]]*'Schedule-Building Info'!$N$16)/1000)</f>
        <v>394.2</v>
      </c>
      <c r="J1054" s="57">
        <f>PlanGrid[[#This Row],[kWh/yr]]*' Elec Utility (kWh)'!$M$7</f>
        <v>42.026978681617976</v>
      </c>
      <c r="K1054" s="38">
        <f>PlanGrid[[#This Row],[kWh/yr]]/'Schedule-Building Info'!$B$6</f>
        <v>6.4825930372148857E-3</v>
      </c>
      <c r="L1054" s="50">
        <f>CONVERT(PlanGrid[[#This Row],[kWh/yr]],"Wh","BTU")</f>
        <v>1345.0662317790345</v>
      </c>
      <c r="M1054" s="38">
        <f>PlanGrid[[#This Row],[kBtu/yr]]/'Schedule-Building Info'!$B$6</f>
        <v>2.2119525592906222E-2</v>
      </c>
      <c r="N1054" t="s">
        <v>1092</v>
      </c>
      <c r="O1054">
        <v>0</v>
      </c>
      <c r="P1054" t="str">
        <f>VLOOKUP(PlanGrid[[#This Row],[Title]],'Spec Wattages'!$A$1:$C$973,3,FALSE)</f>
        <v>Lighting</v>
      </c>
      <c r="Q1054" t="s">
        <v>766</v>
      </c>
      <c r="R1054" t="s">
        <v>766</v>
      </c>
      <c r="S1054" t="s">
        <v>51</v>
      </c>
    </row>
    <row r="1055" spans="1:19" x14ac:dyDescent="0.25">
      <c r="A1055">
        <v>476</v>
      </c>
      <c r="B1055" t="s">
        <v>22</v>
      </c>
      <c r="C1055" t="s">
        <v>466</v>
      </c>
      <c r="D1055" t="s">
        <v>476</v>
      </c>
      <c r="E1055" s="50">
        <v>36</v>
      </c>
      <c r="F1055" s="38">
        <v>2</v>
      </c>
      <c r="G1055" s="39">
        <v>1</v>
      </c>
      <c r="H1055" s="58">
        <f>PlanGrid[[#This Row],[Spec Wattage]]*PlanGrid[[#This Row],[Equipment Count]]</f>
        <v>72</v>
      </c>
      <c r="I1055" s="50">
        <f>((PlanGrid[[#This Row],[Demand Watt]]*PlanGrid[[#This Row],[Utilization %]]*'Schedule-Building Info'!$N$16)/1000)</f>
        <v>394.2</v>
      </c>
      <c r="J1055" s="57">
        <f>PlanGrid[[#This Row],[kWh/yr]]*' Elec Utility (kWh)'!$M$7</f>
        <v>42.026978681617976</v>
      </c>
      <c r="K1055" s="38">
        <f>PlanGrid[[#This Row],[kWh/yr]]/'Schedule-Building Info'!$B$6</f>
        <v>6.4825930372148857E-3</v>
      </c>
      <c r="L1055" s="50">
        <f>CONVERT(PlanGrid[[#This Row],[kWh/yr]],"Wh","BTU")</f>
        <v>1345.0662317790345</v>
      </c>
      <c r="M1055" s="38">
        <f>PlanGrid[[#This Row],[kBtu/yr]]/'Schedule-Building Info'!$B$6</f>
        <v>2.2119525592906222E-2</v>
      </c>
      <c r="N1055" t="s">
        <v>1092</v>
      </c>
      <c r="O1055">
        <v>0</v>
      </c>
      <c r="P1055" t="str">
        <f>VLOOKUP(PlanGrid[[#This Row],[Title]],'Spec Wattages'!$A$1:$C$973,3,FALSE)</f>
        <v>Lighting</v>
      </c>
      <c r="Q1055" t="s">
        <v>905</v>
      </c>
      <c r="R1055" t="s">
        <v>905</v>
      </c>
      <c r="S1055" t="s">
        <v>51</v>
      </c>
    </row>
    <row r="1056" spans="1:19" x14ac:dyDescent="0.25">
      <c r="A1056">
        <v>498</v>
      </c>
      <c r="B1056" t="s">
        <v>22</v>
      </c>
      <c r="C1056" t="s">
        <v>466</v>
      </c>
      <c r="D1056" t="s">
        <v>476</v>
      </c>
      <c r="E1056" s="50">
        <v>36</v>
      </c>
      <c r="F1056" s="38">
        <v>2</v>
      </c>
      <c r="G1056" s="39">
        <v>1</v>
      </c>
      <c r="H1056" s="58">
        <f>PlanGrid[[#This Row],[Spec Wattage]]*PlanGrid[[#This Row],[Equipment Count]]</f>
        <v>72</v>
      </c>
      <c r="I1056" s="50">
        <f>((PlanGrid[[#This Row],[Demand Watt]]*PlanGrid[[#This Row],[Utilization %]]*'Schedule-Building Info'!$N$16)/1000)</f>
        <v>394.2</v>
      </c>
      <c r="J1056" s="57">
        <f>PlanGrid[[#This Row],[kWh/yr]]*' Elec Utility (kWh)'!$M$7</f>
        <v>42.026978681617976</v>
      </c>
      <c r="K1056" s="38">
        <f>PlanGrid[[#This Row],[kWh/yr]]/'Schedule-Building Info'!$B$6</f>
        <v>6.4825930372148857E-3</v>
      </c>
      <c r="L1056" s="50">
        <f>CONVERT(PlanGrid[[#This Row],[kWh/yr]],"Wh","BTU")</f>
        <v>1345.0662317790345</v>
      </c>
      <c r="M1056" s="38">
        <f>PlanGrid[[#This Row],[kBtu/yr]]/'Schedule-Building Info'!$B$6</f>
        <v>2.2119525592906222E-2</v>
      </c>
      <c r="N1056" t="s">
        <v>1092</v>
      </c>
      <c r="O1056">
        <v>0</v>
      </c>
      <c r="P1056" t="str">
        <f>VLOOKUP(PlanGrid[[#This Row],[Title]],'Spec Wattages'!$A$1:$C$973,3,FALSE)</f>
        <v>Lighting</v>
      </c>
      <c r="Q1056" t="s">
        <v>767</v>
      </c>
      <c r="R1056" t="s">
        <v>767</v>
      </c>
      <c r="S1056" t="s">
        <v>51</v>
      </c>
    </row>
    <row r="1057" spans="1:19" x14ac:dyDescent="0.25">
      <c r="A1057">
        <v>523</v>
      </c>
      <c r="B1057" t="s">
        <v>22</v>
      </c>
      <c r="C1057" t="s">
        <v>466</v>
      </c>
      <c r="D1057" t="s">
        <v>476</v>
      </c>
      <c r="E1057" s="50">
        <v>36</v>
      </c>
      <c r="F1057" s="38">
        <v>2</v>
      </c>
      <c r="G1057" s="39">
        <v>1</v>
      </c>
      <c r="H1057" s="58">
        <f>PlanGrid[[#This Row],[Spec Wattage]]*PlanGrid[[#This Row],[Equipment Count]]</f>
        <v>72</v>
      </c>
      <c r="I1057" s="50">
        <f>((PlanGrid[[#This Row],[Demand Watt]]*PlanGrid[[#This Row],[Utilization %]]*'Schedule-Building Info'!$N$16)/1000)</f>
        <v>394.2</v>
      </c>
      <c r="J1057" s="57">
        <f>PlanGrid[[#This Row],[kWh/yr]]*' Elec Utility (kWh)'!$M$7</f>
        <v>42.026978681617976</v>
      </c>
      <c r="K1057" s="38">
        <f>PlanGrid[[#This Row],[kWh/yr]]/'Schedule-Building Info'!$B$6</f>
        <v>6.4825930372148857E-3</v>
      </c>
      <c r="L1057" s="50">
        <f>CONVERT(PlanGrid[[#This Row],[kWh/yr]],"Wh","BTU")</f>
        <v>1345.0662317790345</v>
      </c>
      <c r="M1057" s="38">
        <f>PlanGrid[[#This Row],[kBtu/yr]]/'Schedule-Building Info'!$B$6</f>
        <v>2.2119525592906222E-2</v>
      </c>
      <c r="N1057" t="s">
        <v>1092</v>
      </c>
      <c r="O1057">
        <v>0</v>
      </c>
      <c r="P1057" t="str">
        <f>VLOOKUP(PlanGrid[[#This Row],[Title]],'Spec Wattages'!$A$1:$C$973,3,FALSE)</f>
        <v>Lighting</v>
      </c>
      <c r="Q1057" t="s">
        <v>909</v>
      </c>
      <c r="R1057" t="s">
        <v>909</v>
      </c>
      <c r="S1057" t="s">
        <v>51</v>
      </c>
    </row>
    <row r="1058" spans="1:19" hidden="1" x14ac:dyDescent="0.25">
      <c r="A1058">
        <v>1060</v>
      </c>
      <c r="B1058" t="s">
        <v>648</v>
      </c>
      <c r="C1058" t="s">
        <v>649</v>
      </c>
      <c r="D1058" t="s">
        <v>650</v>
      </c>
      <c r="E1058" s="50"/>
      <c r="F1058" s="38"/>
      <c r="G1058" s="38"/>
      <c r="H1058" s="58">
        <f>PlanGrid[[#This Row],[Spec Wattage]]*PlanGrid[[#This Row],[Equipment Count]]</f>
        <v>0</v>
      </c>
      <c r="I1058" s="50">
        <f>((PlanGrid[[#This Row],[Demand Watt]]*PlanGrid[[#This Row],[Utilization %]]*'Schedule-Building Info'!$N$16)/1000)</f>
        <v>0</v>
      </c>
      <c r="J1058" s="50">
        <f>PlanGrid[[#This Row],[kWh/yr]]*' Elec Utility (kWh)'!$M$7</f>
        <v>0</v>
      </c>
      <c r="K1058" s="38">
        <f>PlanGrid[[#This Row],[kWh/yr]]/'Schedule-Building Info'!$B$6</f>
        <v>0</v>
      </c>
      <c r="L1058" s="50">
        <f>CONVERT(PlanGrid[[#This Row],[kWh/yr]],"Wh","BTU")</f>
        <v>0</v>
      </c>
      <c r="M1058" s="38">
        <f>PlanGrid[[#This Row],[kBtu/yr]]/'Schedule-Building Info'!$B$6</f>
        <v>0</v>
      </c>
      <c r="N1058" t="s">
        <v>1089</v>
      </c>
      <c r="O1058">
        <v>0</v>
      </c>
      <c r="P1058" t="e">
        <f>VLOOKUP(PlanGrid[[#This Row],[Title]],'Spec Wattages'!$A$1:$C$973,3,FALSE)</f>
        <v>#N/A</v>
      </c>
      <c r="Q1058" t="s">
        <v>776</v>
      </c>
      <c r="R1058" t="s">
        <v>776</v>
      </c>
      <c r="S1058" t="s">
        <v>51</v>
      </c>
    </row>
    <row r="1059" spans="1:19" hidden="1" x14ac:dyDescent="0.25">
      <c r="A1059">
        <v>1067</v>
      </c>
      <c r="B1059" t="s">
        <v>648</v>
      </c>
      <c r="C1059" t="s">
        <v>649</v>
      </c>
      <c r="D1059" t="s">
        <v>651</v>
      </c>
      <c r="E1059" s="50"/>
      <c r="F1059" s="38"/>
      <c r="G1059" s="38"/>
      <c r="H1059" s="58">
        <f>PlanGrid[[#This Row],[Spec Wattage]]*PlanGrid[[#This Row],[Equipment Count]]</f>
        <v>0</v>
      </c>
      <c r="I1059" s="50">
        <f>((PlanGrid[[#This Row],[Demand Watt]]*PlanGrid[[#This Row],[Utilization %]]*'Schedule-Building Info'!$N$16)/1000)</f>
        <v>0</v>
      </c>
      <c r="J1059" s="50">
        <f>PlanGrid[[#This Row],[kWh/yr]]*' Elec Utility (kWh)'!$M$7</f>
        <v>0</v>
      </c>
      <c r="K1059" s="38">
        <f>PlanGrid[[#This Row],[kWh/yr]]/'Schedule-Building Info'!$B$6</f>
        <v>0</v>
      </c>
      <c r="L1059" s="50">
        <f>CONVERT(PlanGrid[[#This Row],[kWh/yr]],"Wh","BTU")</f>
        <v>0</v>
      </c>
      <c r="M1059" s="38">
        <f>PlanGrid[[#This Row],[kBtu/yr]]/'Schedule-Building Info'!$B$6</f>
        <v>0</v>
      </c>
      <c r="N1059" t="s">
        <v>1089</v>
      </c>
      <c r="O1059">
        <v>0</v>
      </c>
      <c r="P1059" t="e">
        <f>VLOOKUP(PlanGrid[[#This Row],[Title]],'Spec Wattages'!$A$1:$C$973,3,FALSE)</f>
        <v>#N/A</v>
      </c>
      <c r="Q1059" t="s">
        <v>802</v>
      </c>
      <c r="R1059" t="s">
        <v>708</v>
      </c>
      <c r="S1059" t="s">
        <v>51</v>
      </c>
    </row>
    <row r="1060" spans="1:19" x14ac:dyDescent="0.25">
      <c r="A1060">
        <v>545</v>
      </c>
      <c r="B1060" t="s">
        <v>22</v>
      </c>
      <c r="C1060" t="s">
        <v>466</v>
      </c>
      <c r="D1060" t="s">
        <v>476</v>
      </c>
      <c r="E1060" s="50">
        <v>36</v>
      </c>
      <c r="F1060" s="38">
        <v>2</v>
      </c>
      <c r="G1060" s="39">
        <v>1</v>
      </c>
      <c r="H1060" s="58">
        <f>PlanGrid[[#This Row],[Spec Wattage]]*PlanGrid[[#This Row],[Equipment Count]]</f>
        <v>72</v>
      </c>
      <c r="I1060" s="50">
        <f>((PlanGrid[[#This Row],[Demand Watt]]*PlanGrid[[#This Row],[Utilization %]]*'Schedule-Building Info'!$N$16)/1000)</f>
        <v>394.2</v>
      </c>
      <c r="J1060" s="57">
        <f>PlanGrid[[#This Row],[kWh/yr]]*' Elec Utility (kWh)'!$M$7</f>
        <v>42.026978681617976</v>
      </c>
      <c r="K1060" s="38">
        <f>PlanGrid[[#This Row],[kWh/yr]]/'Schedule-Building Info'!$B$6</f>
        <v>6.4825930372148857E-3</v>
      </c>
      <c r="L1060" s="50">
        <f>CONVERT(PlanGrid[[#This Row],[kWh/yr]],"Wh","BTU")</f>
        <v>1345.0662317790345</v>
      </c>
      <c r="M1060" s="38">
        <f>PlanGrid[[#This Row],[kBtu/yr]]/'Schedule-Building Info'!$B$6</f>
        <v>2.2119525592906222E-2</v>
      </c>
      <c r="N1060" t="s">
        <v>1092</v>
      </c>
      <c r="O1060">
        <v>0</v>
      </c>
      <c r="P1060" t="str">
        <f>VLOOKUP(PlanGrid[[#This Row],[Title]],'Spec Wattages'!$A$1:$C$973,3,FALSE)</f>
        <v>Lighting</v>
      </c>
      <c r="Q1060" t="s">
        <v>769</v>
      </c>
      <c r="R1060" t="s">
        <v>769</v>
      </c>
      <c r="S1060" t="s">
        <v>51</v>
      </c>
    </row>
    <row r="1061" spans="1:19" x14ac:dyDescent="0.25">
      <c r="A1061">
        <v>564</v>
      </c>
      <c r="B1061" t="s">
        <v>22</v>
      </c>
      <c r="C1061" t="s">
        <v>466</v>
      </c>
      <c r="D1061" t="s">
        <v>476</v>
      </c>
      <c r="E1061" s="50">
        <v>36</v>
      </c>
      <c r="F1061" s="38">
        <v>2</v>
      </c>
      <c r="G1061" s="39">
        <v>1</v>
      </c>
      <c r="H1061" s="58">
        <f>PlanGrid[[#This Row],[Spec Wattage]]*PlanGrid[[#This Row],[Equipment Count]]</f>
        <v>72</v>
      </c>
      <c r="I1061" s="50">
        <f>((PlanGrid[[#This Row],[Demand Watt]]*PlanGrid[[#This Row],[Utilization %]]*'Schedule-Building Info'!$N$16)/1000)</f>
        <v>394.2</v>
      </c>
      <c r="J1061" s="57">
        <f>PlanGrid[[#This Row],[kWh/yr]]*' Elec Utility (kWh)'!$M$7</f>
        <v>42.026978681617976</v>
      </c>
      <c r="K1061" s="38">
        <f>PlanGrid[[#This Row],[kWh/yr]]/'Schedule-Building Info'!$B$6</f>
        <v>6.4825930372148857E-3</v>
      </c>
      <c r="L1061" s="50">
        <f>CONVERT(PlanGrid[[#This Row],[kWh/yr]],"Wh","BTU")</f>
        <v>1345.0662317790345</v>
      </c>
      <c r="M1061" s="38">
        <f>PlanGrid[[#This Row],[kBtu/yr]]/'Schedule-Building Info'!$B$6</f>
        <v>2.2119525592906222E-2</v>
      </c>
      <c r="N1061" t="s">
        <v>1092</v>
      </c>
      <c r="O1061">
        <v>0</v>
      </c>
      <c r="P1061" t="str">
        <f>VLOOKUP(PlanGrid[[#This Row],[Title]],'Spec Wattages'!$A$1:$C$973,3,FALSE)</f>
        <v>Lighting</v>
      </c>
      <c r="Q1061" t="s">
        <v>911</v>
      </c>
      <c r="R1061" t="s">
        <v>911</v>
      </c>
      <c r="S1061" t="s">
        <v>51</v>
      </c>
    </row>
    <row r="1062" spans="1:19" x14ac:dyDescent="0.25">
      <c r="A1062">
        <v>612</v>
      </c>
      <c r="B1062" t="s">
        <v>22</v>
      </c>
      <c r="C1062" t="s">
        <v>466</v>
      </c>
      <c r="D1062" t="s">
        <v>476</v>
      </c>
      <c r="E1062" s="50">
        <v>36</v>
      </c>
      <c r="F1062" s="38">
        <v>2</v>
      </c>
      <c r="G1062" s="39">
        <v>1</v>
      </c>
      <c r="H1062" s="58">
        <f>PlanGrid[[#This Row],[Spec Wattage]]*PlanGrid[[#This Row],[Equipment Count]]</f>
        <v>72</v>
      </c>
      <c r="I1062" s="50">
        <f>((PlanGrid[[#This Row],[Demand Watt]]*PlanGrid[[#This Row],[Utilization %]]*'Schedule-Building Info'!$N$16)/1000)</f>
        <v>394.2</v>
      </c>
      <c r="J1062" s="57">
        <f>PlanGrid[[#This Row],[kWh/yr]]*' Elec Utility (kWh)'!$M$7</f>
        <v>42.026978681617976</v>
      </c>
      <c r="K1062" s="38">
        <f>PlanGrid[[#This Row],[kWh/yr]]/'Schedule-Building Info'!$B$6</f>
        <v>6.4825930372148857E-3</v>
      </c>
      <c r="L1062" s="50">
        <f>CONVERT(PlanGrid[[#This Row],[kWh/yr]],"Wh","BTU")</f>
        <v>1345.0662317790345</v>
      </c>
      <c r="M1062" s="38">
        <f>PlanGrid[[#This Row],[kBtu/yr]]/'Schedule-Building Info'!$B$6</f>
        <v>2.2119525592906222E-2</v>
      </c>
      <c r="N1062" t="s">
        <v>1092</v>
      </c>
      <c r="O1062">
        <v>0</v>
      </c>
      <c r="P1062" t="str">
        <f>VLOOKUP(PlanGrid[[#This Row],[Title]],'Spec Wattages'!$A$1:$C$973,3,FALSE)</f>
        <v>Lighting</v>
      </c>
      <c r="Q1062" t="s">
        <v>910</v>
      </c>
      <c r="R1062" t="s">
        <v>988</v>
      </c>
      <c r="S1062" t="s">
        <v>51</v>
      </c>
    </row>
    <row r="1063" spans="1:19" x14ac:dyDescent="0.25">
      <c r="A1063">
        <v>162</v>
      </c>
      <c r="B1063" t="s">
        <v>22</v>
      </c>
      <c r="C1063" t="s">
        <v>466</v>
      </c>
      <c r="D1063" t="s">
        <v>504</v>
      </c>
      <c r="E1063" s="50">
        <v>36</v>
      </c>
      <c r="F1063" s="38">
        <v>2</v>
      </c>
      <c r="G1063" s="39">
        <v>1</v>
      </c>
      <c r="H1063" s="58">
        <f>PlanGrid[[#This Row],[Spec Wattage]]*PlanGrid[[#This Row],[Equipment Count]]</f>
        <v>72</v>
      </c>
      <c r="I1063" s="50">
        <f>((PlanGrid[[#This Row],[Demand Watt]]*PlanGrid[[#This Row],[Utilization %]]*'Schedule-Building Info'!$N$16)/1000)</f>
        <v>394.2</v>
      </c>
      <c r="J1063" s="57">
        <f>PlanGrid[[#This Row],[kWh/yr]]*' Elec Utility (kWh)'!$M$7</f>
        <v>42.026978681617976</v>
      </c>
      <c r="K1063" s="38">
        <f>PlanGrid[[#This Row],[kWh/yr]]/'Schedule-Building Info'!$B$6</f>
        <v>6.4825930372148857E-3</v>
      </c>
      <c r="L1063" s="50">
        <f>CONVERT(PlanGrid[[#This Row],[kWh/yr]],"Wh","BTU")</f>
        <v>1345.0662317790345</v>
      </c>
      <c r="M1063" s="38">
        <f>PlanGrid[[#This Row],[kBtu/yr]]/'Schedule-Building Info'!$B$6</f>
        <v>2.2119525592906222E-2</v>
      </c>
      <c r="N1063" t="s">
        <v>1092</v>
      </c>
      <c r="O1063">
        <v>0</v>
      </c>
      <c r="P1063" t="str">
        <f>VLOOKUP(PlanGrid[[#This Row],[Title]],'Spec Wattages'!$A$1:$C$973,3,FALSE)</f>
        <v>Lighting</v>
      </c>
      <c r="Q1063" t="s">
        <v>860</v>
      </c>
      <c r="R1063" t="s">
        <v>860</v>
      </c>
      <c r="S1063" t="s">
        <v>51</v>
      </c>
    </row>
    <row r="1064" spans="1:19" x14ac:dyDescent="0.25">
      <c r="A1064">
        <v>17</v>
      </c>
      <c r="B1064" t="s">
        <v>22</v>
      </c>
      <c r="C1064" t="s">
        <v>466</v>
      </c>
      <c r="D1064" t="s">
        <v>500</v>
      </c>
      <c r="E1064" s="50">
        <v>36</v>
      </c>
      <c r="F1064" s="38">
        <v>2</v>
      </c>
      <c r="G1064" s="39">
        <v>1</v>
      </c>
      <c r="H1064" s="50">
        <f>PlanGrid[[#This Row],[Spec Wattage]]*PlanGrid[[#This Row],[Equipment Count]]</f>
        <v>72</v>
      </c>
      <c r="I1064" s="50">
        <f>((PlanGrid[[#This Row],[Demand Watt]]*PlanGrid[[#This Row],[Utilization %]]*'Schedule-Building Info'!$N$16)/1000)</f>
        <v>394.2</v>
      </c>
      <c r="J1064" s="57">
        <f>PlanGrid[[#This Row],[kWh/yr]]*' Elec Utility (kWh)'!$M$7</f>
        <v>42.026978681617976</v>
      </c>
      <c r="K1064" s="49">
        <f>PlanGrid[[#This Row],[kWh/yr]]/'Schedule-Building Info'!$B$6</f>
        <v>6.4825930372148857E-3</v>
      </c>
      <c r="L1064" s="50">
        <f>CONVERT(PlanGrid[[#This Row],[kWh/yr]],"Wh","BTU")</f>
        <v>1345.0662317790345</v>
      </c>
      <c r="M1064" s="38">
        <f>PlanGrid[[#This Row],[kBtu/yr]]/'Schedule-Building Info'!$B$6</f>
        <v>2.2119525592906222E-2</v>
      </c>
      <c r="N1064" t="s">
        <v>1092</v>
      </c>
      <c r="O1064">
        <v>0</v>
      </c>
      <c r="P1064" t="str">
        <f>VLOOKUP(PlanGrid[[#This Row],[Title]],'Spec Wattages'!$A$1:$C$973,3,FALSE)</f>
        <v>Lighting</v>
      </c>
      <c r="Q1064" t="s">
        <v>742</v>
      </c>
      <c r="R1064" t="s">
        <v>840</v>
      </c>
      <c r="S1064" t="s">
        <v>11</v>
      </c>
    </row>
    <row r="1065" spans="1:19" x14ac:dyDescent="0.25">
      <c r="A1065">
        <v>380</v>
      </c>
      <c r="B1065" t="s">
        <v>22</v>
      </c>
      <c r="C1065" t="s">
        <v>466</v>
      </c>
      <c r="D1065" t="s">
        <v>514</v>
      </c>
      <c r="E1065" s="50">
        <v>12</v>
      </c>
      <c r="F1065" s="38">
        <v>7</v>
      </c>
      <c r="G1065" s="39">
        <v>1</v>
      </c>
      <c r="H1065" s="58">
        <f>PlanGrid[[#This Row],[Spec Wattage]]*PlanGrid[[#This Row],[Equipment Count]]</f>
        <v>84</v>
      </c>
      <c r="I1065" s="50">
        <f>((PlanGrid[[#This Row],[Demand Watt]]*PlanGrid[[#This Row],[Utilization %]]*'Schedule-Building Info'!$N$16)/1000)</f>
        <v>459.9</v>
      </c>
      <c r="J1065" s="57">
        <f>PlanGrid[[#This Row],[kWh/yr]]*' Elec Utility (kWh)'!$M$7</f>
        <v>49.031475128554298</v>
      </c>
      <c r="K1065" s="38">
        <f>PlanGrid[[#This Row],[kWh/yr]]/'Schedule-Building Info'!$B$6</f>
        <v>7.5630252100840336E-3</v>
      </c>
      <c r="L1065" s="50">
        <f>CONVERT(PlanGrid[[#This Row],[kWh/yr]],"Wh","BTU")</f>
        <v>1569.2439370755403</v>
      </c>
      <c r="M1065" s="38">
        <f>PlanGrid[[#This Row],[kBtu/yr]]/'Schedule-Building Info'!$B$6</f>
        <v>2.5806113191723927E-2</v>
      </c>
      <c r="N1065" t="s">
        <v>1092</v>
      </c>
      <c r="O1065">
        <v>0</v>
      </c>
      <c r="P1065" t="str">
        <f>VLOOKUP(PlanGrid[[#This Row],[Title]],'Spec Wattages'!$A$1:$C$973,3,FALSE)</f>
        <v>Lighting</v>
      </c>
      <c r="Q1065" t="s">
        <v>898</v>
      </c>
      <c r="R1065" t="s">
        <v>1057</v>
      </c>
      <c r="S1065" t="s">
        <v>11</v>
      </c>
    </row>
    <row r="1066" spans="1:19" x14ac:dyDescent="0.25">
      <c r="A1066">
        <v>651</v>
      </c>
      <c r="B1066" t="s">
        <v>22</v>
      </c>
      <c r="C1066" t="s">
        <v>466</v>
      </c>
      <c r="D1066" t="s">
        <v>485</v>
      </c>
      <c r="E1066" s="50">
        <v>24</v>
      </c>
      <c r="F1066" s="38">
        <v>4</v>
      </c>
      <c r="G1066" s="39">
        <v>1</v>
      </c>
      <c r="H1066" s="50">
        <f>PlanGrid[[#This Row],[Spec Wattage]]*PlanGrid[[#This Row],[Equipment Count]]</f>
        <v>96</v>
      </c>
      <c r="I1066" s="50">
        <f>((PlanGrid[[#This Row],[Demand Watt]]*PlanGrid[[#This Row],[Utilization %]]*'Schedule-Building Info'!$N$16)/1000)</f>
        <v>525.6</v>
      </c>
      <c r="J1066" s="57">
        <f>PlanGrid[[#This Row],[kWh/yr]]*' Elec Utility (kWh)'!$M$7</f>
        <v>56.035971575490635</v>
      </c>
      <c r="K1066" s="49">
        <f>PlanGrid[[#This Row],[kWh/yr]]/'Schedule-Building Info'!$B$6</f>
        <v>8.6434573829531815E-3</v>
      </c>
      <c r="L1066" s="50">
        <f>CONVERT(PlanGrid[[#This Row],[kWh/yr]],"Wh","BTU")</f>
        <v>1793.4216423720461</v>
      </c>
      <c r="M1066" s="38">
        <f>PlanGrid[[#This Row],[kBtu/yr]]/'Schedule-Building Info'!$B$6</f>
        <v>2.9492700790541632E-2</v>
      </c>
      <c r="N1066" t="s">
        <v>1090</v>
      </c>
      <c r="O1066">
        <v>0</v>
      </c>
      <c r="P1066" t="str">
        <f>VLOOKUP(PlanGrid[[#This Row],[Title]],'Spec Wattages'!$A$1:$C$973,3,FALSE)</f>
        <v>Lighting</v>
      </c>
      <c r="Q1066" t="s">
        <v>807</v>
      </c>
      <c r="R1066" t="s">
        <v>1050</v>
      </c>
      <c r="S1066" t="s">
        <v>11</v>
      </c>
    </row>
    <row r="1067" spans="1:19" x14ac:dyDescent="0.25">
      <c r="A1067">
        <v>1034</v>
      </c>
      <c r="B1067" t="s">
        <v>43</v>
      </c>
      <c r="C1067" t="s">
        <v>44</v>
      </c>
      <c r="D1067" t="s">
        <v>554</v>
      </c>
      <c r="E1067" s="50">
        <v>100</v>
      </c>
      <c r="F1067" s="38">
        <v>1</v>
      </c>
      <c r="G1067" s="39">
        <v>1</v>
      </c>
      <c r="H1067" s="58">
        <f>PlanGrid[[#This Row],[Spec Wattage]]*PlanGrid[[#This Row],[Equipment Count]]</f>
        <v>100</v>
      </c>
      <c r="I1067" s="50">
        <f>((PlanGrid[[#This Row],[Demand Watt]]*PlanGrid[[#This Row],[Utilization %]]*'Schedule-Building Info'!$N$16)/1000)</f>
        <v>547.5</v>
      </c>
      <c r="J1067" s="57">
        <f>PlanGrid[[#This Row],[kWh/yr]]*' Elec Utility (kWh)'!$M$7</f>
        <v>58.370803724469411</v>
      </c>
      <c r="K1067" s="38">
        <f>PlanGrid[[#This Row],[kWh/yr]]/'Schedule-Building Info'!$B$6</f>
        <v>9.00360144057623E-3</v>
      </c>
      <c r="L1067" s="50">
        <f>CONVERT(PlanGrid[[#This Row],[kWh/yr]],"Wh","BTU")</f>
        <v>1868.147544137548</v>
      </c>
      <c r="M1067" s="38">
        <f>PlanGrid[[#This Row],[kBtu/yr]]/'Schedule-Building Info'!$B$6</f>
        <v>3.0721563323480867E-2</v>
      </c>
      <c r="N1067" t="s">
        <v>1089</v>
      </c>
      <c r="O1067">
        <v>0</v>
      </c>
      <c r="P1067" t="str">
        <f>VLOOKUP(PlanGrid[[#This Row],[Title]],'Spec Wattages'!$A$1:$C$973,3,FALSE)</f>
        <v>Lighting</v>
      </c>
      <c r="Q1067" t="s">
        <v>763</v>
      </c>
      <c r="R1067" t="s">
        <v>763</v>
      </c>
      <c r="S1067" t="s">
        <v>11</v>
      </c>
    </row>
    <row r="1068" spans="1:19" x14ac:dyDescent="0.25">
      <c r="A1068">
        <v>171</v>
      </c>
      <c r="B1068" t="s">
        <v>43</v>
      </c>
      <c r="C1068" t="s">
        <v>44</v>
      </c>
      <c r="D1068" t="s">
        <v>580</v>
      </c>
      <c r="E1068" s="50">
        <v>100</v>
      </c>
      <c r="F1068" s="38">
        <v>1</v>
      </c>
      <c r="G1068" s="39">
        <v>1</v>
      </c>
      <c r="H1068" s="58">
        <f>PlanGrid[[#This Row],[Spec Wattage]]*PlanGrid[[#This Row],[Equipment Count]]</f>
        <v>100</v>
      </c>
      <c r="I1068" s="50">
        <f>((PlanGrid[[#This Row],[Demand Watt]]*PlanGrid[[#This Row],[Utilization %]]*'Schedule-Building Info'!$N$16)/1000)</f>
        <v>547.5</v>
      </c>
      <c r="J1068" s="57">
        <f>PlanGrid[[#This Row],[kWh/yr]]*' Elec Utility (kWh)'!$M$7</f>
        <v>58.370803724469411</v>
      </c>
      <c r="K1068" s="38">
        <f>PlanGrid[[#This Row],[kWh/yr]]/'Schedule-Building Info'!$B$6</f>
        <v>9.00360144057623E-3</v>
      </c>
      <c r="L1068" s="50">
        <f>CONVERT(PlanGrid[[#This Row],[kWh/yr]],"Wh","BTU")</f>
        <v>1868.147544137548</v>
      </c>
      <c r="M1068" s="38">
        <f>PlanGrid[[#This Row],[kBtu/yr]]/'Schedule-Building Info'!$B$6</f>
        <v>3.0721563323480867E-2</v>
      </c>
      <c r="N1068" t="s">
        <v>1092</v>
      </c>
      <c r="O1068">
        <v>0</v>
      </c>
      <c r="P1068" t="str">
        <f>VLOOKUP(PlanGrid[[#This Row],[Title]],'Spec Wattages'!$A$1:$C$973,3,FALSE)</f>
        <v>Lighting</v>
      </c>
      <c r="Q1068" t="s">
        <v>864</v>
      </c>
      <c r="R1068" t="s">
        <v>936</v>
      </c>
      <c r="S1068" t="s">
        <v>11</v>
      </c>
    </row>
    <row r="1069" spans="1:19" x14ac:dyDescent="0.25">
      <c r="A1069">
        <v>699</v>
      </c>
      <c r="B1069" t="s">
        <v>22</v>
      </c>
      <c r="C1069" t="s">
        <v>466</v>
      </c>
      <c r="D1069" t="s">
        <v>487</v>
      </c>
      <c r="E1069" s="50">
        <v>36</v>
      </c>
      <c r="F1069" s="38">
        <v>3</v>
      </c>
      <c r="G1069" s="39">
        <v>1</v>
      </c>
      <c r="H1069" s="50">
        <f>PlanGrid[[#This Row],[Spec Wattage]]*PlanGrid[[#This Row],[Equipment Count]]</f>
        <v>108</v>
      </c>
      <c r="I1069" s="50">
        <f>((PlanGrid[[#This Row],[Demand Watt]]*PlanGrid[[#This Row],[Utilization %]]*'Schedule-Building Info'!$N$16)/1000)</f>
        <v>591.29999999999995</v>
      </c>
      <c r="J1069" s="57">
        <f>PlanGrid[[#This Row],[kWh/yr]]*' Elec Utility (kWh)'!$M$7</f>
        <v>63.040468022426957</v>
      </c>
      <c r="K1069" s="49">
        <f>PlanGrid[[#This Row],[kWh/yr]]/'Schedule-Building Info'!$B$6</f>
        <v>9.7238895558223286E-3</v>
      </c>
      <c r="L1069" s="50">
        <f>CONVERT(PlanGrid[[#This Row],[kWh/yr]],"Wh","BTU")</f>
        <v>2017.5993476685519</v>
      </c>
      <c r="M1069" s="38">
        <f>PlanGrid[[#This Row],[kBtu/yr]]/'Schedule-Building Info'!$B$6</f>
        <v>3.3179288389359338E-2</v>
      </c>
      <c r="N1069" t="s">
        <v>1090</v>
      </c>
      <c r="O1069">
        <v>0</v>
      </c>
      <c r="P1069" t="str">
        <f>VLOOKUP(PlanGrid[[#This Row],[Title]],'Spec Wattages'!$A$1:$C$973,3,FALSE)</f>
        <v>Lighting</v>
      </c>
      <c r="Q1069" t="s">
        <v>683</v>
      </c>
      <c r="R1069" t="s">
        <v>815</v>
      </c>
      <c r="S1069" t="s">
        <v>11</v>
      </c>
    </row>
    <row r="1070" spans="1:19" x14ac:dyDescent="0.25">
      <c r="A1070">
        <v>727</v>
      </c>
      <c r="B1070" t="s">
        <v>22</v>
      </c>
      <c r="C1070" t="s">
        <v>466</v>
      </c>
      <c r="D1070" t="s">
        <v>487</v>
      </c>
      <c r="E1070" s="50">
        <v>36</v>
      </c>
      <c r="F1070" s="38">
        <v>3</v>
      </c>
      <c r="G1070" s="39">
        <v>1</v>
      </c>
      <c r="H1070" s="50">
        <f>PlanGrid[[#This Row],[Spec Wattage]]*PlanGrid[[#This Row],[Equipment Count]]</f>
        <v>108</v>
      </c>
      <c r="I1070" s="50">
        <f>((PlanGrid[[#This Row],[Demand Watt]]*PlanGrid[[#This Row],[Utilization %]]*'Schedule-Building Info'!$N$16)/1000)</f>
        <v>591.29999999999995</v>
      </c>
      <c r="J1070" s="57">
        <f>PlanGrid[[#This Row],[kWh/yr]]*' Elec Utility (kWh)'!$M$7</f>
        <v>63.040468022426957</v>
      </c>
      <c r="K1070" s="49">
        <f>PlanGrid[[#This Row],[kWh/yr]]/'Schedule-Building Info'!$B$6</f>
        <v>9.7238895558223286E-3</v>
      </c>
      <c r="L1070" s="50">
        <f>CONVERT(PlanGrid[[#This Row],[kWh/yr]],"Wh","BTU")</f>
        <v>2017.5993476685519</v>
      </c>
      <c r="M1070" s="38">
        <f>PlanGrid[[#This Row],[kBtu/yr]]/'Schedule-Building Info'!$B$6</f>
        <v>3.3179288389359338E-2</v>
      </c>
      <c r="N1070" t="s">
        <v>1090</v>
      </c>
      <c r="O1070">
        <v>0</v>
      </c>
      <c r="P1070" t="str">
        <f>VLOOKUP(PlanGrid[[#This Row],[Title]],'Spec Wattages'!$A$1:$C$973,3,FALSE)</f>
        <v>Lighting</v>
      </c>
      <c r="Q1070" t="s">
        <v>820</v>
      </c>
      <c r="R1070" t="s">
        <v>858</v>
      </c>
      <c r="S1070" t="s">
        <v>11</v>
      </c>
    </row>
    <row r="1071" spans="1:19" x14ac:dyDescent="0.25">
      <c r="A1071">
        <v>1054</v>
      </c>
      <c r="B1071" t="s">
        <v>13</v>
      </c>
      <c r="C1071" t="s">
        <v>10</v>
      </c>
      <c r="D1071" t="s">
        <v>606</v>
      </c>
      <c r="E1071" s="50">
        <v>250</v>
      </c>
      <c r="F1071" s="38">
        <v>2</v>
      </c>
      <c r="G1071" s="39">
        <v>0.75</v>
      </c>
      <c r="H1071" s="58">
        <f>PlanGrid[[#This Row],[Spec Wattage]]*PlanGrid[[#This Row],[Equipment Count]]</f>
        <v>500</v>
      </c>
      <c r="I1071" s="50">
        <f>((PlanGrid[[#This Row],[Demand Watt]]*PlanGrid[[#This Row],[Utilization %]]*'Schedule-Building Info'!$N$16)/1000)</f>
        <v>2053.125</v>
      </c>
      <c r="J1071" s="57">
        <f>PlanGrid[[#This Row],[kWh/yr]]*' Elec Utility (kWh)'!$M$7</f>
        <v>218.8905139667603</v>
      </c>
      <c r="K1071" s="38">
        <f>PlanGrid[[#This Row],[kWh/yr]]/'Schedule-Building Info'!$B$6</f>
        <v>3.3763505402160866E-2</v>
      </c>
      <c r="L1071" s="50">
        <f>CONVERT(PlanGrid[[#This Row],[kWh/yr]],"Wh","BTU")</f>
        <v>7005.5532905158052</v>
      </c>
      <c r="M1071" s="38">
        <f>PlanGrid[[#This Row],[kBtu/yr]]/'Schedule-Building Info'!$B$6</f>
        <v>0.11520586246305325</v>
      </c>
      <c r="N1071" t="s">
        <v>1089</v>
      </c>
      <c r="O1071">
        <v>3</v>
      </c>
      <c r="P1071" t="s">
        <v>87</v>
      </c>
      <c r="Q1071" t="s">
        <v>956</v>
      </c>
      <c r="R1071" t="s">
        <v>1046</v>
      </c>
      <c r="S1071" t="s">
        <v>11</v>
      </c>
    </row>
    <row r="1072" spans="1:19" x14ac:dyDescent="0.25">
      <c r="A1072">
        <v>1001</v>
      </c>
      <c r="B1072" t="s">
        <v>15</v>
      </c>
      <c r="C1072" t="s">
        <v>16</v>
      </c>
      <c r="D1072" t="s">
        <v>447</v>
      </c>
      <c r="E1072" s="50">
        <f>VLOOKUP(PlanGrid[[#This Row],[Title]],'Spec Wattages'!$A$1:$C$973,2,FALSE)</f>
        <v>21</v>
      </c>
      <c r="F1072" s="38">
        <v>2</v>
      </c>
      <c r="G1072" s="39">
        <v>1</v>
      </c>
      <c r="H1072" s="50">
        <f>PlanGrid[[#This Row],[Spec Wattage]]*PlanGrid[[#This Row],[Equipment Count]]</f>
        <v>42</v>
      </c>
      <c r="I1072" s="50">
        <f>((PlanGrid[[#This Row],[Demand Watt]]*PlanGrid[[#This Row],[Utilization %]]*'Schedule-Building Info'!$N$16)/1000)</f>
        <v>229.95</v>
      </c>
      <c r="J1072" s="57">
        <f>PlanGrid[[#This Row],[kWh/yr]]*' Elec Utility (kWh)'!$M$7</f>
        <v>24.515737564277149</v>
      </c>
      <c r="K1072" s="49">
        <f>PlanGrid[[#This Row],[kWh/yr]]/'Schedule-Building Info'!$B$6</f>
        <v>3.7815126050420168E-3</v>
      </c>
      <c r="L1072" s="50">
        <f>CONVERT(PlanGrid[[#This Row],[kWh/yr]],"Wh","BTU")</f>
        <v>784.62196853777016</v>
      </c>
      <c r="M1072" s="38">
        <f>PlanGrid[[#This Row],[kBtu/yr]]/'Schedule-Building Info'!$B$6</f>
        <v>1.2903056595861963E-2</v>
      </c>
      <c r="N1072" t="s">
        <v>1089</v>
      </c>
      <c r="O1072">
        <v>0</v>
      </c>
      <c r="P1072" t="str">
        <f>VLOOKUP(PlanGrid[[#This Row],[Title]],'Spec Wattages'!$A$1:$C$973,3,FALSE)</f>
        <v>Plug Load</v>
      </c>
      <c r="Q1072" t="s">
        <v>703</v>
      </c>
      <c r="R1072" t="s">
        <v>1037</v>
      </c>
      <c r="S1072" t="s">
        <v>11</v>
      </c>
    </row>
    <row r="1073" spans="1:19" x14ac:dyDescent="0.25">
      <c r="A1073">
        <v>1015</v>
      </c>
      <c r="B1073" t="s">
        <v>15</v>
      </c>
      <c r="C1073" t="s">
        <v>16</v>
      </c>
      <c r="D1073" t="s">
        <v>446</v>
      </c>
      <c r="E1073" s="50">
        <f>VLOOKUP(PlanGrid[[#This Row],[Title]],'Spec Wattages'!$A$1:$C$973,2,FALSE)</f>
        <v>21</v>
      </c>
      <c r="F1073" s="38">
        <v>2</v>
      </c>
      <c r="G1073" s="39">
        <v>1</v>
      </c>
      <c r="H1073" s="50">
        <f>PlanGrid[[#This Row],[Spec Wattage]]*PlanGrid[[#This Row],[Equipment Count]]</f>
        <v>42</v>
      </c>
      <c r="I1073" s="50">
        <f>((PlanGrid[[#This Row],[Demand Watt]]*PlanGrid[[#This Row],[Utilization %]]*'Schedule-Building Info'!$N$16)/1000)</f>
        <v>229.95</v>
      </c>
      <c r="J1073" s="57">
        <f>PlanGrid[[#This Row],[kWh/yr]]*' Elec Utility (kWh)'!$M$7</f>
        <v>24.515737564277149</v>
      </c>
      <c r="K1073" s="49">
        <f>PlanGrid[[#This Row],[kWh/yr]]/'Schedule-Building Info'!$B$6</f>
        <v>3.7815126050420168E-3</v>
      </c>
      <c r="L1073" s="50">
        <f>CONVERT(PlanGrid[[#This Row],[kWh/yr]],"Wh","BTU")</f>
        <v>784.62196853777016</v>
      </c>
      <c r="M1073" s="38">
        <f>PlanGrid[[#This Row],[kBtu/yr]]/'Schedule-Building Info'!$B$6</f>
        <v>1.2903056595861963E-2</v>
      </c>
      <c r="N1073" t="s">
        <v>1089</v>
      </c>
      <c r="O1073">
        <v>0</v>
      </c>
      <c r="P1073" t="str">
        <f>VLOOKUP(PlanGrid[[#This Row],[Title]],'Spec Wattages'!$A$1:$C$973,3,FALSE)</f>
        <v>Plug Load</v>
      </c>
      <c r="Q1073" t="s">
        <v>773</v>
      </c>
      <c r="R1073" t="s">
        <v>760</v>
      </c>
      <c r="S1073" t="s">
        <v>11</v>
      </c>
    </row>
    <row r="1074" spans="1:19" x14ac:dyDescent="0.25">
      <c r="A1074">
        <v>1035</v>
      </c>
      <c r="B1074" t="s">
        <v>15</v>
      </c>
      <c r="C1074" t="s">
        <v>16</v>
      </c>
      <c r="D1074" t="s">
        <v>446</v>
      </c>
      <c r="E1074" s="50">
        <f>VLOOKUP(PlanGrid[[#This Row],[Title]],'Spec Wattages'!$A$1:$C$973,2,FALSE)</f>
        <v>21</v>
      </c>
      <c r="F1074" s="38">
        <v>2</v>
      </c>
      <c r="G1074" s="39">
        <v>1</v>
      </c>
      <c r="H1074" s="50">
        <f>PlanGrid[[#This Row],[Spec Wattage]]*PlanGrid[[#This Row],[Equipment Count]]</f>
        <v>42</v>
      </c>
      <c r="I1074" s="50">
        <f>((PlanGrid[[#This Row],[Demand Watt]]*PlanGrid[[#This Row],[Utilization %]]*'Schedule-Building Info'!$N$16)/1000)</f>
        <v>229.95</v>
      </c>
      <c r="J1074" s="57">
        <f>PlanGrid[[#This Row],[kWh/yr]]*' Elec Utility (kWh)'!$M$7</f>
        <v>24.515737564277149</v>
      </c>
      <c r="K1074" s="49">
        <f>PlanGrid[[#This Row],[kWh/yr]]/'Schedule-Building Info'!$B$6</f>
        <v>3.7815126050420168E-3</v>
      </c>
      <c r="L1074" s="50">
        <f>CONVERT(PlanGrid[[#This Row],[kWh/yr]],"Wh","BTU")</f>
        <v>784.62196853777016</v>
      </c>
      <c r="M1074" s="38">
        <f>PlanGrid[[#This Row],[kBtu/yr]]/'Schedule-Building Info'!$B$6</f>
        <v>1.2903056595861963E-2</v>
      </c>
      <c r="N1074" t="s">
        <v>1089</v>
      </c>
      <c r="O1074">
        <v>0</v>
      </c>
      <c r="P1074" t="str">
        <f>VLOOKUP(PlanGrid[[#This Row],[Title]],'Spec Wattages'!$A$1:$C$973,3,FALSE)</f>
        <v>Plug Load</v>
      </c>
      <c r="Q1074" t="s">
        <v>782</v>
      </c>
      <c r="R1074" t="s">
        <v>763</v>
      </c>
      <c r="S1074" t="s">
        <v>11</v>
      </c>
    </row>
    <row r="1075" spans="1:19" x14ac:dyDescent="0.25">
      <c r="A1075">
        <v>973</v>
      </c>
      <c r="B1075" t="s">
        <v>29</v>
      </c>
      <c r="C1075" t="s">
        <v>30</v>
      </c>
      <c r="D1075" t="s">
        <v>446</v>
      </c>
      <c r="E1075" s="50">
        <f>VLOOKUP(PlanGrid[[#This Row],[Title]],'Spec Wattages'!$A$1:$C$973,2,FALSE)</f>
        <v>175</v>
      </c>
      <c r="F1075" s="38">
        <v>2</v>
      </c>
      <c r="G1075" s="39">
        <v>0.25</v>
      </c>
      <c r="H1075" s="50">
        <f>PlanGrid[[#This Row],[Spec Wattage]]*PlanGrid[[#This Row],[Equipment Count]]</f>
        <v>350</v>
      </c>
      <c r="I1075" s="50">
        <f>((PlanGrid[[#This Row],[Demand Watt]]*PlanGrid[[#This Row],[Utilization %]]*'Schedule-Building Info'!$N$16)/1000)</f>
        <v>479.0625</v>
      </c>
      <c r="J1075" s="57">
        <f>PlanGrid[[#This Row],[kWh/yr]]*' Elec Utility (kWh)'!$M$7</f>
        <v>51.074453258910729</v>
      </c>
      <c r="K1075" s="49">
        <f>PlanGrid[[#This Row],[kWh/yr]]/'Schedule-Building Info'!$B$6</f>
        <v>7.8781512605042014E-3</v>
      </c>
      <c r="L1075" s="50">
        <f>CONVERT(PlanGrid[[#This Row],[kWh/yr]],"Wh","BTU")</f>
        <v>1634.6291011203546</v>
      </c>
      <c r="M1075" s="38">
        <f>PlanGrid[[#This Row],[kBtu/yr]]/'Schedule-Building Info'!$B$6</f>
        <v>2.688136790804576E-2</v>
      </c>
      <c r="N1075" t="s">
        <v>1089</v>
      </c>
      <c r="O1075">
        <v>2</v>
      </c>
      <c r="P1075" t="str">
        <f>VLOOKUP(PlanGrid[[#This Row],[Title]],'Spec Wattages'!$A$1:$C$973,3,FALSE)</f>
        <v>Plug Load</v>
      </c>
      <c r="Q1075" t="s">
        <v>704</v>
      </c>
      <c r="R1075" t="s">
        <v>1037</v>
      </c>
      <c r="S1075" t="s">
        <v>11</v>
      </c>
    </row>
    <row r="1076" spans="1:19" x14ac:dyDescent="0.25">
      <c r="A1076">
        <v>1052</v>
      </c>
      <c r="B1076" t="s">
        <v>13</v>
      </c>
      <c r="C1076" t="s">
        <v>10</v>
      </c>
      <c r="D1076" t="s">
        <v>605</v>
      </c>
      <c r="E1076" s="50">
        <v>1000</v>
      </c>
      <c r="F1076" s="38">
        <v>3</v>
      </c>
      <c r="G1076" s="39">
        <v>0.75</v>
      </c>
      <c r="H1076" s="58">
        <f>PlanGrid[[#This Row],[Spec Wattage]]*PlanGrid[[#This Row],[Equipment Count]]</f>
        <v>3000</v>
      </c>
      <c r="I1076" s="50">
        <f>((PlanGrid[[#This Row],[Demand Watt]]*PlanGrid[[#This Row],[Utilization %]]*'Schedule-Building Info'!$N$16)/1000)</f>
        <v>12318.75</v>
      </c>
      <c r="J1076" s="57">
        <f>PlanGrid[[#This Row],[kWh/yr]]*' Elec Utility (kWh)'!$M$7</f>
        <v>1313.3430838005618</v>
      </c>
      <c r="K1076" s="38">
        <f>PlanGrid[[#This Row],[kWh/yr]]/'Schedule-Building Info'!$B$6</f>
        <v>0.20258103241296518</v>
      </c>
      <c r="L1076" s="50">
        <f>CONVERT(PlanGrid[[#This Row],[kWh/yr]],"Wh","BTU")</f>
        <v>42033.319743094835</v>
      </c>
      <c r="M1076" s="38">
        <f>PlanGrid[[#This Row],[kBtu/yr]]/'Schedule-Building Info'!$B$6</f>
        <v>0.69123517477831953</v>
      </c>
      <c r="N1076" t="s">
        <v>1089</v>
      </c>
      <c r="O1076">
        <v>4</v>
      </c>
      <c r="P1076" t="s">
        <v>87</v>
      </c>
      <c r="Q1076" t="s">
        <v>992</v>
      </c>
      <c r="R1076" t="s">
        <v>956</v>
      </c>
      <c r="S1076" t="s">
        <v>11</v>
      </c>
    </row>
    <row r="1077" spans="1:19" x14ac:dyDescent="0.25">
      <c r="A1077">
        <v>57</v>
      </c>
      <c r="B1077" t="s">
        <v>22</v>
      </c>
      <c r="C1077" t="s">
        <v>466</v>
      </c>
      <c r="D1077" t="s">
        <v>487</v>
      </c>
      <c r="E1077" s="50">
        <v>36</v>
      </c>
      <c r="F1077" s="38">
        <v>3</v>
      </c>
      <c r="G1077" s="39">
        <v>1</v>
      </c>
      <c r="H1077" s="58">
        <f>PlanGrid[[#This Row],[Spec Wattage]]*PlanGrid[[#This Row],[Equipment Count]]</f>
        <v>108</v>
      </c>
      <c r="I1077" s="50">
        <f>((PlanGrid[[#This Row],[Demand Watt]]*PlanGrid[[#This Row],[Utilization %]]*'Schedule-Building Info'!$N$16)/1000)</f>
        <v>591.29999999999995</v>
      </c>
      <c r="J1077" s="57">
        <f>PlanGrid[[#This Row],[kWh/yr]]*' Elec Utility (kWh)'!$M$7</f>
        <v>63.040468022426957</v>
      </c>
      <c r="K1077" s="38">
        <f>PlanGrid[[#This Row],[kWh/yr]]/'Schedule-Building Info'!$B$6</f>
        <v>9.7238895558223286E-3</v>
      </c>
      <c r="L1077" s="50">
        <f>CONVERT(PlanGrid[[#This Row],[kWh/yr]],"Wh","BTU")</f>
        <v>2017.5993476685519</v>
      </c>
      <c r="M1077" s="38">
        <f>PlanGrid[[#This Row],[kBtu/yr]]/'Schedule-Building Info'!$B$6</f>
        <v>3.3179288389359338E-2</v>
      </c>
      <c r="N1077" t="s">
        <v>1092</v>
      </c>
      <c r="O1077">
        <v>0</v>
      </c>
      <c r="P1077" t="str">
        <f>VLOOKUP(PlanGrid[[#This Row],[Title]],'Spec Wattages'!$A$1:$C$973,3,FALSE)</f>
        <v>Lighting</v>
      </c>
      <c r="Q1077" t="s">
        <v>847</v>
      </c>
      <c r="R1077" t="s">
        <v>1009</v>
      </c>
      <c r="S1077" t="s">
        <v>11</v>
      </c>
    </row>
    <row r="1078" spans="1:19" x14ac:dyDescent="0.25">
      <c r="A1078">
        <v>289</v>
      </c>
      <c r="B1078" t="s">
        <v>22</v>
      </c>
      <c r="C1078" t="s">
        <v>466</v>
      </c>
      <c r="D1078" t="s">
        <v>487</v>
      </c>
      <c r="E1078" s="50">
        <v>36</v>
      </c>
      <c r="F1078" s="38">
        <v>3</v>
      </c>
      <c r="G1078" s="39">
        <v>1</v>
      </c>
      <c r="H1078" s="58">
        <f>PlanGrid[[#This Row],[Spec Wattage]]*PlanGrid[[#This Row],[Equipment Count]]</f>
        <v>108</v>
      </c>
      <c r="I1078" s="50">
        <f>((PlanGrid[[#This Row],[Demand Watt]]*PlanGrid[[#This Row],[Utilization %]]*'Schedule-Building Info'!$N$16)/1000)</f>
        <v>591.29999999999995</v>
      </c>
      <c r="J1078" s="57">
        <f>PlanGrid[[#This Row],[kWh/yr]]*' Elec Utility (kWh)'!$M$7</f>
        <v>63.040468022426957</v>
      </c>
      <c r="K1078" s="38">
        <f>PlanGrid[[#This Row],[kWh/yr]]/'Schedule-Building Info'!$B$6</f>
        <v>9.7238895558223286E-3</v>
      </c>
      <c r="L1078" s="50">
        <f>CONVERT(PlanGrid[[#This Row],[kWh/yr]],"Wh","BTU")</f>
        <v>2017.5993476685519</v>
      </c>
      <c r="M1078" s="38">
        <f>PlanGrid[[#This Row],[kBtu/yr]]/'Schedule-Building Info'!$B$6</f>
        <v>3.3179288389359338E-2</v>
      </c>
      <c r="N1078" t="s">
        <v>1092</v>
      </c>
      <c r="O1078">
        <v>0</v>
      </c>
      <c r="P1078" t="str">
        <f>VLOOKUP(PlanGrid[[#This Row],[Title]],'Spec Wattages'!$A$1:$C$973,3,FALSE)</f>
        <v>Lighting</v>
      </c>
      <c r="Q1078" t="s">
        <v>875</v>
      </c>
      <c r="R1078" t="s">
        <v>1042</v>
      </c>
      <c r="S1078" t="s">
        <v>11</v>
      </c>
    </row>
    <row r="1079" spans="1:19" hidden="1" x14ac:dyDescent="0.25">
      <c r="A1079">
        <v>926</v>
      </c>
      <c r="B1079" t="s">
        <v>655</v>
      </c>
      <c r="C1079" t="s">
        <v>656</v>
      </c>
      <c r="E1079" s="50"/>
      <c r="F1079" s="38"/>
      <c r="G1079" s="38"/>
      <c r="H1079" s="58">
        <f>PlanGrid[[#This Row],[Spec Wattage]]*PlanGrid[[#This Row],[Equipment Count]]</f>
        <v>0</v>
      </c>
      <c r="I1079" s="50">
        <f>((PlanGrid[[#This Row],[Demand Watt]]*PlanGrid[[#This Row],[Utilization %]]*'Schedule-Building Info'!$N$16)/1000)</f>
        <v>0</v>
      </c>
      <c r="J1079" s="50">
        <f>PlanGrid[[#This Row],[kWh/yr]]*' Elec Utility (kWh)'!$M$7</f>
        <v>0</v>
      </c>
      <c r="K1079" s="38">
        <f>PlanGrid[[#This Row],[kWh/yr]]/'Schedule-Building Info'!$B$6</f>
        <v>0</v>
      </c>
      <c r="L1079" s="50">
        <f>CONVERT(PlanGrid[[#This Row],[kWh/yr]],"Wh","BTU")</f>
        <v>0</v>
      </c>
      <c r="M1079" s="38">
        <f>PlanGrid[[#This Row],[kBtu/yr]]/'Schedule-Building Info'!$B$6</f>
        <v>0</v>
      </c>
      <c r="N1079" t="s">
        <v>1089</v>
      </c>
      <c r="O1079">
        <v>2</v>
      </c>
      <c r="P1079" t="e">
        <f>VLOOKUP(PlanGrid[[#This Row],[Title]],'Spec Wattages'!$A$1:$C$973,3,FALSE)</f>
        <v>#N/A</v>
      </c>
      <c r="Q1079" t="s">
        <v>1024</v>
      </c>
      <c r="R1079" t="s">
        <v>1024</v>
      </c>
      <c r="S1079" t="s">
        <v>51</v>
      </c>
    </row>
    <row r="1080" spans="1:19" hidden="1" x14ac:dyDescent="0.25">
      <c r="A1080">
        <v>652</v>
      </c>
      <c r="B1080" t="s">
        <v>655</v>
      </c>
      <c r="C1080" t="s">
        <v>656</v>
      </c>
      <c r="E1080" s="50"/>
      <c r="F1080" s="38"/>
      <c r="G1080" s="38"/>
      <c r="H1080" s="58">
        <f>PlanGrid[[#This Row],[Spec Wattage]]*PlanGrid[[#This Row],[Equipment Count]]</f>
        <v>0</v>
      </c>
      <c r="I1080" s="50">
        <f>((PlanGrid[[#This Row],[Demand Watt]]*PlanGrid[[#This Row],[Utilization %]]*'Schedule-Building Info'!$N$16)/1000)</f>
        <v>0</v>
      </c>
      <c r="J1080" s="50">
        <f>PlanGrid[[#This Row],[kWh/yr]]*' Elec Utility (kWh)'!$M$7</f>
        <v>0</v>
      </c>
      <c r="K1080" s="38">
        <f>PlanGrid[[#This Row],[kWh/yr]]/'Schedule-Building Info'!$B$6</f>
        <v>0</v>
      </c>
      <c r="L1080" s="50">
        <f>CONVERT(PlanGrid[[#This Row],[kWh/yr]],"Wh","BTU")</f>
        <v>0</v>
      </c>
      <c r="M1080" s="38">
        <f>PlanGrid[[#This Row],[kBtu/yr]]/'Schedule-Building Info'!$B$6</f>
        <v>0</v>
      </c>
      <c r="N1080" t="s">
        <v>1090</v>
      </c>
      <c r="O1080">
        <v>1</v>
      </c>
      <c r="P1080" t="e">
        <f>VLOOKUP(PlanGrid[[#This Row],[Title]],'Spec Wattages'!$A$1:$C$973,3,FALSE)</f>
        <v>#N/A</v>
      </c>
      <c r="Q1080" t="s">
        <v>926</v>
      </c>
      <c r="R1080" t="s">
        <v>807</v>
      </c>
      <c r="S1080" t="s">
        <v>51</v>
      </c>
    </row>
    <row r="1081" spans="1:19" hidden="1" x14ac:dyDescent="0.25">
      <c r="A1081">
        <v>12</v>
      </c>
      <c r="B1081" t="s">
        <v>655</v>
      </c>
      <c r="C1081" t="s">
        <v>656</v>
      </c>
      <c r="D1081" t="s">
        <v>657</v>
      </c>
      <c r="E1081" s="50"/>
      <c r="F1081" s="38"/>
      <c r="G1081" s="38"/>
      <c r="H1081" s="58">
        <f>PlanGrid[[#This Row],[Spec Wattage]]*PlanGrid[[#This Row],[Equipment Count]]</f>
        <v>0</v>
      </c>
      <c r="I1081" s="50">
        <f>((PlanGrid[[#This Row],[Demand Watt]]*PlanGrid[[#This Row],[Utilization %]]*'Schedule-Building Info'!$N$16)/1000)</f>
        <v>0</v>
      </c>
      <c r="J1081" s="50">
        <f>PlanGrid[[#This Row],[kWh/yr]]*' Elec Utility (kWh)'!$M$7</f>
        <v>0</v>
      </c>
      <c r="K1081" s="38">
        <f>PlanGrid[[#This Row],[kWh/yr]]/'Schedule-Building Info'!$B$6</f>
        <v>0</v>
      </c>
      <c r="L1081" s="50">
        <f>CONVERT(PlanGrid[[#This Row],[kWh/yr]],"Wh","BTU")</f>
        <v>0</v>
      </c>
      <c r="M1081" s="38">
        <f>PlanGrid[[#This Row],[kBtu/yr]]/'Schedule-Building Info'!$B$6</f>
        <v>0</v>
      </c>
      <c r="N1081" t="s">
        <v>1091</v>
      </c>
      <c r="O1081">
        <v>2</v>
      </c>
      <c r="P1081" t="e">
        <f>VLOOKUP(PlanGrid[[#This Row],[Title]],'Spec Wattages'!$A$1:$C$973,3,FALSE)</f>
        <v>#N/A</v>
      </c>
      <c r="Q1081" t="s">
        <v>1025</v>
      </c>
      <c r="R1081" t="s">
        <v>1025</v>
      </c>
      <c r="S1081" t="s">
        <v>51</v>
      </c>
    </row>
    <row r="1082" spans="1:19" x14ac:dyDescent="0.25">
      <c r="A1082">
        <v>300</v>
      </c>
      <c r="B1082" t="s">
        <v>22</v>
      </c>
      <c r="C1082" t="s">
        <v>466</v>
      </c>
      <c r="D1082" t="s">
        <v>487</v>
      </c>
      <c r="E1082" s="50">
        <v>36</v>
      </c>
      <c r="F1082" s="38">
        <v>3</v>
      </c>
      <c r="G1082" s="39">
        <v>1</v>
      </c>
      <c r="H1082" s="58">
        <f>PlanGrid[[#This Row],[Spec Wattage]]*PlanGrid[[#This Row],[Equipment Count]]</f>
        <v>108</v>
      </c>
      <c r="I1082" s="50">
        <f>((PlanGrid[[#This Row],[Demand Watt]]*PlanGrid[[#This Row],[Utilization %]]*'Schedule-Building Info'!$N$16)/1000)</f>
        <v>591.29999999999995</v>
      </c>
      <c r="J1082" s="57">
        <f>PlanGrid[[#This Row],[kWh/yr]]*' Elec Utility (kWh)'!$M$7</f>
        <v>63.040468022426957</v>
      </c>
      <c r="K1082" s="38">
        <f>PlanGrid[[#This Row],[kWh/yr]]/'Schedule-Building Info'!$B$6</f>
        <v>9.7238895558223286E-3</v>
      </c>
      <c r="L1082" s="50">
        <f>CONVERT(PlanGrid[[#This Row],[kWh/yr]],"Wh","BTU")</f>
        <v>2017.5993476685519</v>
      </c>
      <c r="M1082" s="38">
        <f>PlanGrid[[#This Row],[kBtu/yr]]/'Schedule-Building Info'!$B$6</f>
        <v>3.3179288389359338E-2</v>
      </c>
      <c r="N1082" t="s">
        <v>1092</v>
      </c>
      <c r="O1082">
        <v>0</v>
      </c>
      <c r="P1082" t="str">
        <f>VLOOKUP(PlanGrid[[#This Row],[Title]],'Spec Wattages'!$A$1:$C$973,3,FALSE)</f>
        <v>Lighting</v>
      </c>
      <c r="Q1082" t="s">
        <v>876</v>
      </c>
      <c r="R1082" t="s">
        <v>1042</v>
      </c>
      <c r="S1082" t="s">
        <v>11</v>
      </c>
    </row>
    <row r="1083" spans="1:19" x14ac:dyDescent="0.25">
      <c r="A1083">
        <v>965</v>
      </c>
      <c r="B1083" t="s">
        <v>22</v>
      </c>
      <c r="C1083" t="s">
        <v>466</v>
      </c>
      <c r="D1083" t="s">
        <v>479</v>
      </c>
      <c r="E1083" s="50">
        <v>36</v>
      </c>
      <c r="F1083" s="38">
        <v>3</v>
      </c>
      <c r="G1083" s="39">
        <v>1</v>
      </c>
      <c r="H1083" s="50">
        <f>PlanGrid[[#This Row],[Spec Wattage]]*PlanGrid[[#This Row],[Equipment Count]]</f>
        <v>108</v>
      </c>
      <c r="I1083" s="50">
        <f>((PlanGrid[[#This Row],[Demand Watt]]*PlanGrid[[#This Row],[Utilization %]]*'Schedule-Building Info'!$N$16)/1000)</f>
        <v>591.29999999999995</v>
      </c>
      <c r="J1083" s="57">
        <f>PlanGrid[[#This Row],[kWh/yr]]*' Elec Utility (kWh)'!$M$7</f>
        <v>63.040468022426957</v>
      </c>
      <c r="K1083" s="49">
        <f>PlanGrid[[#This Row],[kWh/yr]]/'Schedule-Building Info'!$B$6</f>
        <v>9.7238895558223286E-3</v>
      </c>
      <c r="L1083" s="50">
        <f>CONVERT(PlanGrid[[#This Row],[kWh/yr]],"Wh","BTU")</f>
        <v>2017.5993476685519</v>
      </c>
      <c r="M1083" s="38">
        <f>PlanGrid[[#This Row],[kBtu/yr]]/'Schedule-Building Info'!$B$6</f>
        <v>3.3179288389359338E-2</v>
      </c>
      <c r="N1083" t="s">
        <v>1089</v>
      </c>
      <c r="O1083">
        <v>0</v>
      </c>
      <c r="P1083" t="str">
        <f>VLOOKUP(PlanGrid[[#This Row],[Title]],'Spec Wattages'!$A$1:$C$973,3,FALSE)</f>
        <v>Lighting</v>
      </c>
      <c r="Q1083" t="s">
        <v>740</v>
      </c>
      <c r="R1083" t="s">
        <v>740</v>
      </c>
      <c r="S1083" t="s">
        <v>11</v>
      </c>
    </row>
    <row r="1084" spans="1:19" x14ac:dyDescent="0.25">
      <c r="A1084">
        <v>452</v>
      </c>
      <c r="B1084" t="s">
        <v>22</v>
      </c>
      <c r="C1084" t="s">
        <v>466</v>
      </c>
      <c r="D1084" t="s">
        <v>479</v>
      </c>
      <c r="E1084" s="50">
        <v>36</v>
      </c>
      <c r="F1084" s="38">
        <v>3</v>
      </c>
      <c r="G1084" s="39">
        <v>1</v>
      </c>
      <c r="H1084" s="58">
        <f>PlanGrid[[#This Row],[Spec Wattage]]*PlanGrid[[#This Row],[Equipment Count]]</f>
        <v>108</v>
      </c>
      <c r="I1084" s="50">
        <f>((PlanGrid[[#This Row],[Demand Watt]]*PlanGrid[[#This Row],[Utilization %]]*'Schedule-Building Info'!$N$16)/1000)</f>
        <v>591.29999999999995</v>
      </c>
      <c r="J1084" s="57">
        <f>PlanGrid[[#This Row],[kWh/yr]]*' Elec Utility (kWh)'!$M$7</f>
        <v>63.040468022426957</v>
      </c>
      <c r="K1084" s="38">
        <f>PlanGrid[[#This Row],[kWh/yr]]/'Schedule-Building Info'!$B$6</f>
        <v>9.7238895558223286E-3</v>
      </c>
      <c r="L1084" s="50">
        <f>CONVERT(PlanGrid[[#This Row],[kWh/yr]],"Wh","BTU")</f>
        <v>2017.5993476685519</v>
      </c>
      <c r="M1084" s="38">
        <f>PlanGrid[[#This Row],[kBtu/yr]]/'Schedule-Building Info'!$B$6</f>
        <v>3.3179288389359338E-2</v>
      </c>
      <c r="N1084" t="s">
        <v>1092</v>
      </c>
      <c r="O1084">
        <v>0</v>
      </c>
      <c r="P1084" t="str">
        <f>VLOOKUP(PlanGrid[[#This Row],[Title]],'Spec Wattages'!$A$1:$C$973,3,FALSE)</f>
        <v>Lighting</v>
      </c>
      <c r="Q1084" t="s">
        <v>905</v>
      </c>
      <c r="R1084" t="s">
        <v>1015</v>
      </c>
      <c r="S1084" t="s">
        <v>11</v>
      </c>
    </row>
    <row r="1085" spans="1:19" x14ac:dyDescent="0.25">
      <c r="A1085">
        <v>691</v>
      </c>
      <c r="B1085" t="s">
        <v>22</v>
      </c>
      <c r="C1085" t="s">
        <v>466</v>
      </c>
      <c r="D1085" t="s">
        <v>486</v>
      </c>
      <c r="E1085" s="50">
        <v>36</v>
      </c>
      <c r="F1085" s="38">
        <v>3</v>
      </c>
      <c r="G1085" s="39">
        <v>1</v>
      </c>
      <c r="H1085" s="50">
        <f>PlanGrid[[#This Row],[Spec Wattage]]*PlanGrid[[#This Row],[Equipment Count]]</f>
        <v>108</v>
      </c>
      <c r="I1085" s="50">
        <f>((PlanGrid[[#This Row],[Demand Watt]]*PlanGrid[[#This Row],[Utilization %]]*'Schedule-Building Info'!$N$16)/1000)</f>
        <v>591.29999999999995</v>
      </c>
      <c r="J1085" s="57">
        <f>PlanGrid[[#This Row],[kWh/yr]]*' Elec Utility (kWh)'!$M$7</f>
        <v>63.040468022426957</v>
      </c>
      <c r="K1085" s="49">
        <f>PlanGrid[[#This Row],[kWh/yr]]/'Schedule-Building Info'!$B$6</f>
        <v>9.7238895558223286E-3</v>
      </c>
      <c r="L1085" s="50">
        <f>CONVERT(PlanGrid[[#This Row],[kWh/yr]],"Wh","BTU")</f>
        <v>2017.5993476685519</v>
      </c>
      <c r="M1085" s="38">
        <f>PlanGrid[[#This Row],[kBtu/yr]]/'Schedule-Building Info'!$B$6</f>
        <v>3.3179288389359338E-2</v>
      </c>
      <c r="N1085" t="s">
        <v>1090</v>
      </c>
      <c r="O1085">
        <v>0</v>
      </c>
      <c r="P1085" t="str">
        <f>VLOOKUP(PlanGrid[[#This Row],[Title]],'Spec Wattages'!$A$1:$C$973,3,FALSE)</f>
        <v>Lighting</v>
      </c>
      <c r="Q1085" t="s">
        <v>720</v>
      </c>
      <c r="R1085" t="s">
        <v>720</v>
      </c>
      <c r="S1085" t="s">
        <v>51</v>
      </c>
    </row>
    <row r="1086" spans="1:19" x14ac:dyDescent="0.25">
      <c r="A1086">
        <v>260</v>
      </c>
      <c r="B1086" t="s">
        <v>22</v>
      </c>
      <c r="C1086" t="s">
        <v>466</v>
      </c>
      <c r="D1086" t="s">
        <v>486</v>
      </c>
      <c r="E1086" s="50">
        <v>36</v>
      </c>
      <c r="F1086" s="38">
        <v>3</v>
      </c>
      <c r="G1086" s="39">
        <v>1</v>
      </c>
      <c r="H1086" s="58">
        <f>PlanGrid[[#This Row],[Spec Wattage]]*PlanGrid[[#This Row],[Equipment Count]]</f>
        <v>108</v>
      </c>
      <c r="I1086" s="50">
        <f>((PlanGrid[[#This Row],[Demand Watt]]*PlanGrid[[#This Row],[Utilization %]]*'Schedule-Building Info'!$N$16)/1000)</f>
        <v>591.29999999999995</v>
      </c>
      <c r="J1086" s="57">
        <f>PlanGrid[[#This Row],[kWh/yr]]*' Elec Utility (kWh)'!$M$7</f>
        <v>63.040468022426957</v>
      </c>
      <c r="K1086" s="38">
        <f>PlanGrid[[#This Row],[kWh/yr]]/'Schedule-Building Info'!$B$6</f>
        <v>9.7238895558223286E-3</v>
      </c>
      <c r="L1086" s="50">
        <f>CONVERT(PlanGrid[[#This Row],[kWh/yr]],"Wh","BTU")</f>
        <v>2017.5993476685519</v>
      </c>
      <c r="M1086" s="38">
        <f>PlanGrid[[#This Row],[kBtu/yr]]/'Schedule-Building Info'!$B$6</f>
        <v>3.3179288389359338E-2</v>
      </c>
      <c r="N1086" t="s">
        <v>1092</v>
      </c>
      <c r="O1086">
        <v>0</v>
      </c>
      <c r="P1086" t="str">
        <f>VLOOKUP(PlanGrid[[#This Row],[Title]],'Spec Wattages'!$A$1:$C$973,3,FALSE)</f>
        <v>Lighting</v>
      </c>
      <c r="Q1086" t="s">
        <v>870</v>
      </c>
      <c r="R1086" t="s">
        <v>1055</v>
      </c>
      <c r="S1086" t="s">
        <v>51</v>
      </c>
    </row>
    <row r="1087" spans="1:19" x14ac:dyDescent="0.25">
      <c r="A1087">
        <v>266</v>
      </c>
      <c r="B1087" t="s">
        <v>22</v>
      </c>
      <c r="C1087" t="s">
        <v>466</v>
      </c>
      <c r="D1087" t="s">
        <v>486</v>
      </c>
      <c r="E1087" s="50">
        <v>36</v>
      </c>
      <c r="F1087" s="38">
        <v>3</v>
      </c>
      <c r="G1087" s="39">
        <v>1</v>
      </c>
      <c r="H1087" s="58">
        <f>PlanGrid[[#This Row],[Spec Wattage]]*PlanGrid[[#This Row],[Equipment Count]]</f>
        <v>108</v>
      </c>
      <c r="I1087" s="50">
        <f>((PlanGrid[[#This Row],[Demand Watt]]*PlanGrid[[#This Row],[Utilization %]]*'Schedule-Building Info'!$N$16)/1000)</f>
        <v>591.29999999999995</v>
      </c>
      <c r="J1087" s="57">
        <f>PlanGrid[[#This Row],[kWh/yr]]*' Elec Utility (kWh)'!$M$7</f>
        <v>63.040468022426957</v>
      </c>
      <c r="K1087" s="38">
        <f>PlanGrid[[#This Row],[kWh/yr]]/'Schedule-Building Info'!$B$6</f>
        <v>9.7238895558223286E-3</v>
      </c>
      <c r="L1087" s="50">
        <f>CONVERT(PlanGrid[[#This Row],[kWh/yr]],"Wh","BTU")</f>
        <v>2017.5993476685519</v>
      </c>
      <c r="M1087" s="38">
        <f>PlanGrid[[#This Row],[kBtu/yr]]/'Schedule-Building Info'!$B$6</f>
        <v>3.3179288389359338E-2</v>
      </c>
      <c r="N1087" t="s">
        <v>1092</v>
      </c>
      <c r="O1087">
        <v>0</v>
      </c>
      <c r="P1087" t="str">
        <f>VLOOKUP(PlanGrid[[#This Row],[Title]],'Spec Wattages'!$A$1:$C$973,3,FALSE)</f>
        <v>Lighting</v>
      </c>
      <c r="Q1087" t="s">
        <v>756</v>
      </c>
      <c r="R1087" t="s">
        <v>756</v>
      </c>
      <c r="S1087" t="s">
        <v>51</v>
      </c>
    </row>
    <row r="1088" spans="1:19" x14ac:dyDescent="0.25">
      <c r="A1088">
        <v>887</v>
      </c>
      <c r="B1088" t="s">
        <v>22</v>
      </c>
      <c r="C1088" t="s">
        <v>466</v>
      </c>
      <c r="D1088" t="s">
        <v>467</v>
      </c>
      <c r="E1088" s="50">
        <v>36</v>
      </c>
      <c r="F1088" s="38">
        <v>3</v>
      </c>
      <c r="G1088" s="39">
        <v>1.6</v>
      </c>
      <c r="H1088" s="50">
        <f>PlanGrid[[#This Row],[Spec Wattage]]*PlanGrid[[#This Row],[Equipment Count]]</f>
        <v>108</v>
      </c>
      <c r="I1088" s="50">
        <f>((PlanGrid[[#This Row],[Demand Watt]]*PlanGrid[[#This Row],[Utilization %]]*'Schedule-Building Info'!$N$16)/1000)</f>
        <v>946.08000000000015</v>
      </c>
      <c r="J1088" s="57">
        <f>PlanGrid[[#This Row],[kWh/yr]]*' Elec Utility (kWh)'!$M$7</f>
        <v>100.86474883588315</v>
      </c>
      <c r="K1088" s="49">
        <f>PlanGrid[[#This Row],[kWh/yr]]/'Schedule-Building Info'!$B$6</f>
        <v>1.5558223289315729E-2</v>
      </c>
      <c r="L1088" s="50">
        <f>CONVERT(PlanGrid[[#This Row],[kWh/yr]],"Wh","BTU")</f>
        <v>3228.1589562696836</v>
      </c>
      <c r="M1088" s="38">
        <f>PlanGrid[[#This Row],[kBtu/yr]]/'Schedule-Building Info'!$B$6</f>
        <v>5.3086861422974946E-2</v>
      </c>
      <c r="N1088" t="s">
        <v>1089</v>
      </c>
      <c r="O1088">
        <v>0</v>
      </c>
      <c r="P1088" t="str">
        <f>VLOOKUP(PlanGrid[[#This Row],[Title]],'Spec Wattages'!$A$1:$C$973,3,FALSE)</f>
        <v>Lighting</v>
      </c>
      <c r="Q1088" t="s">
        <v>682</v>
      </c>
      <c r="R1088" t="s">
        <v>918</v>
      </c>
      <c r="S1088" t="s">
        <v>51</v>
      </c>
    </row>
    <row r="1089" spans="1:19" x14ac:dyDescent="0.25">
      <c r="A1089">
        <v>125</v>
      </c>
      <c r="B1089" t="s">
        <v>43</v>
      </c>
      <c r="C1089" t="s">
        <v>44</v>
      </c>
      <c r="D1089" t="s">
        <v>579</v>
      </c>
      <c r="E1089" s="50">
        <v>60</v>
      </c>
      <c r="F1089" s="38">
        <v>2</v>
      </c>
      <c r="G1089" s="39">
        <v>1</v>
      </c>
      <c r="H1089" s="58">
        <f>PlanGrid[[#This Row],[Spec Wattage]]*PlanGrid[[#This Row],[Equipment Count]]</f>
        <v>120</v>
      </c>
      <c r="I1089" s="50">
        <f>((PlanGrid[[#This Row],[Demand Watt]]*PlanGrid[[#This Row],[Utilization %]]*'Schedule-Building Info'!$N$16)/1000)</f>
        <v>657</v>
      </c>
      <c r="J1089" s="57">
        <f>PlanGrid[[#This Row],[kWh/yr]]*' Elec Utility (kWh)'!$M$7</f>
        <v>70.044964469363293</v>
      </c>
      <c r="K1089" s="38">
        <f>PlanGrid[[#This Row],[kWh/yr]]/'Schedule-Building Info'!$B$6</f>
        <v>1.0804321728691477E-2</v>
      </c>
      <c r="L1089" s="50">
        <f>CONVERT(PlanGrid[[#This Row],[kWh/yr]],"Wh","BTU")</f>
        <v>2241.7770529650575</v>
      </c>
      <c r="M1089" s="38">
        <f>PlanGrid[[#This Row],[kBtu/yr]]/'Schedule-Building Info'!$B$6</f>
        <v>3.686587598817704E-2</v>
      </c>
      <c r="N1089" t="s">
        <v>1092</v>
      </c>
      <c r="O1089">
        <v>0</v>
      </c>
      <c r="P1089" t="str">
        <f>VLOOKUP(PlanGrid[[#This Row],[Title]],'Spec Wattages'!$A$1:$C$973,3,FALSE)</f>
        <v>Lighting</v>
      </c>
      <c r="Q1089" t="s">
        <v>860</v>
      </c>
      <c r="R1089" t="s">
        <v>749</v>
      </c>
      <c r="S1089" t="s">
        <v>11</v>
      </c>
    </row>
    <row r="1090" spans="1:19" x14ac:dyDescent="0.25">
      <c r="A1090">
        <v>200</v>
      </c>
      <c r="B1090" t="s">
        <v>43</v>
      </c>
      <c r="C1090" t="s">
        <v>44</v>
      </c>
      <c r="D1090" t="s">
        <v>579</v>
      </c>
      <c r="E1090" s="50">
        <v>60</v>
      </c>
      <c r="F1090" s="38">
        <v>2</v>
      </c>
      <c r="G1090" s="39">
        <v>1</v>
      </c>
      <c r="H1090" s="58">
        <f>PlanGrid[[#This Row],[Spec Wattage]]*PlanGrid[[#This Row],[Equipment Count]]</f>
        <v>120</v>
      </c>
      <c r="I1090" s="50">
        <f>((PlanGrid[[#This Row],[Demand Watt]]*PlanGrid[[#This Row],[Utilization %]]*'Schedule-Building Info'!$N$16)/1000)</f>
        <v>657</v>
      </c>
      <c r="J1090" s="57">
        <f>PlanGrid[[#This Row],[kWh/yr]]*' Elec Utility (kWh)'!$M$7</f>
        <v>70.044964469363293</v>
      </c>
      <c r="K1090" s="38">
        <f>PlanGrid[[#This Row],[kWh/yr]]/'Schedule-Building Info'!$B$6</f>
        <v>1.0804321728691477E-2</v>
      </c>
      <c r="L1090" s="50">
        <f>CONVERT(PlanGrid[[#This Row],[kWh/yr]],"Wh","BTU")</f>
        <v>2241.7770529650575</v>
      </c>
      <c r="M1090" s="38">
        <f>PlanGrid[[#This Row],[kBtu/yr]]/'Schedule-Building Info'!$B$6</f>
        <v>3.686587598817704E-2</v>
      </c>
      <c r="N1090" t="s">
        <v>1092</v>
      </c>
      <c r="O1090">
        <v>0</v>
      </c>
      <c r="P1090" t="str">
        <f>VLOOKUP(PlanGrid[[#This Row],[Title]],'Spec Wattages'!$A$1:$C$973,3,FALSE)</f>
        <v>Lighting</v>
      </c>
      <c r="Q1090" t="s">
        <v>789</v>
      </c>
      <c r="R1090" t="s">
        <v>960</v>
      </c>
      <c r="S1090" t="s">
        <v>11</v>
      </c>
    </row>
    <row r="1091" spans="1:19" x14ac:dyDescent="0.25">
      <c r="A1091">
        <v>225</v>
      </c>
      <c r="B1091" t="s">
        <v>22</v>
      </c>
      <c r="C1091" t="s">
        <v>466</v>
      </c>
      <c r="D1091" t="s">
        <v>507</v>
      </c>
      <c r="E1091" s="50">
        <v>60</v>
      </c>
      <c r="F1091" s="38">
        <v>2</v>
      </c>
      <c r="G1091" s="39">
        <v>1</v>
      </c>
      <c r="H1091" s="38">
        <f>PlanGrid[[#This Row],[Spec Wattage]]*PlanGrid[[#This Row],[Equipment Count]]</f>
        <v>120</v>
      </c>
      <c r="I1091" s="50">
        <f>((PlanGrid[[#This Row],[Demand Watt]]*PlanGrid[[#This Row],[Utilization %]]*'Schedule-Building Info'!$N$16)/1000)</f>
        <v>657</v>
      </c>
      <c r="J1091" s="57">
        <f>PlanGrid[[#This Row],[kWh/yr]]*' Elec Utility (kWh)'!$M$7</f>
        <v>70.044964469363293</v>
      </c>
      <c r="K1091" s="38">
        <f>PlanGrid[[#This Row],[kWh/yr]]/'Schedule-Building Info'!$B$6</f>
        <v>1.0804321728691477E-2</v>
      </c>
      <c r="L1091" s="50">
        <f>CONVERT(PlanGrid[[#This Row],[kWh/yr]],"Wh","BTU")</f>
        <v>2241.7770529650575</v>
      </c>
      <c r="M1091" s="38">
        <f>PlanGrid[[#This Row],[kBtu/yr]]/'Schedule-Building Info'!$B$6</f>
        <v>3.686587598817704E-2</v>
      </c>
      <c r="N1091" t="s">
        <v>1092</v>
      </c>
      <c r="O1091">
        <v>0</v>
      </c>
      <c r="P1091" t="str">
        <f>VLOOKUP(PlanGrid[[#This Row],[Title]],'Spec Wattages'!$A$1:$C$973,3,FALSE)</f>
        <v>Lighting</v>
      </c>
      <c r="Q1091" t="s">
        <v>865</v>
      </c>
      <c r="R1091" t="s">
        <v>939</v>
      </c>
      <c r="S1091" t="s">
        <v>11</v>
      </c>
    </row>
    <row r="1092" spans="1:19" x14ac:dyDescent="0.25">
      <c r="A1092">
        <v>930</v>
      </c>
      <c r="B1092" t="s">
        <v>22</v>
      </c>
      <c r="C1092" t="s">
        <v>466</v>
      </c>
      <c r="D1092" t="s">
        <v>472</v>
      </c>
      <c r="E1092" s="50">
        <v>24</v>
      </c>
      <c r="F1092" s="38">
        <v>5</v>
      </c>
      <c r="G1092" s="39">
        <v>1</v>
      </c>
      <c r="H1092" s="50">
        <f>PlanGrid[[#This Row],[Spec Wattage]]*PlanGrid[[#This Row],[Equipment Count]]</f>
        <v>120</v>
      </c>
      <c r="I1092" s="50">
        <f>((PlanGrid[[#This Row],[Demand Watt]]*PlanGrid[[#This Row],[Utilization %]]*'Schedule-Building Info'!$N$16)/1000)</f>
        <v>657</v>
      </c>
      <c r="J1092" s="57">
        <f>PlanGrid[[#This Row],[kWh/yr]]*' Elec Utility (kWh)'!$M$7</f>
        <v>70.044964469363293</v>
      </c>
      <c r="K1092" s="49">
        <f>PlanGrid[[#This Row],[kWh/yr]]/'Schedule-Building Info'!$B$6</f>
        <v>1.0804321728691477E-2</v>
      </c>
      <c r="L1092" s="50">
        <f>CONVERT(PlanGrid[[#This Row],[kWh/yr]],"Wh","BTU")</f>
        <v>2241.7770529650575</v>
      </c>
      <c r="M1092" s="38">
        <f>PlanGrid[[#This Row],[kBtu/yr]]/'Schedule-Building Info'!$B$6</f>
        <v>3.686587598817704E-2</v>
      </c>
      <c r="N1092" t="s">
        <v>1089</v>
      </c>
      <c r="O1092">
        <v>0</v>
      </c>
      <c r="P1092" t="str">
        <f>VLOOKUP(PlanGrid[[#This Row],[Title]],'Spec Wattages'!$A$1:$C$973,3,FALSE)</f>
        <v>Lighting</v>
      </c>
      <c r="Q1092" t="s">
        <v>795</v>
      </c>
      <c r="R1092" t="s">
        <v>1047</v>
      </c>
      <c r="S1092" t="s">
        <v>11</v>
      </c>
    </row>
    <row r="1093" spans="1:19" x14ac:dyDescent="0.25">
      <c r="A1093">
        <v>961</v>
      </c>
      <c r="B1093" t="s">
        <v>22</v>
      </c>
      <c r="C1093" t="s">
        <v>466</v>
      </c>
      <c r="D1093" t="s">
        <v>41</v>
      </c>
      <c r="E1093" s="50">
        <v>36</v>
      </c>
      <c r="F1093" s="38">
        <v>4</v>
      </c>
      <c r="G1093" s="39">
        <v>1</v>
      </c>
      <c r="H1093" s="50">
        <f>PlanGrid[[#This Row],[Spec Wattage]]*PlanGrid[[#This Row],[Equipment Count]]</f>
        <v>144</v>
      </c>
      <c r="I1093" s="50">
        <f>((PlanGrid[[#This Row],[Demand Watt]]*PlanGrid[[#This Row],[Utilization %]]*'Schedule-Building Info'!$N$16)/1000)</f>
        <v>788.4</v>
      </c>
      <c r="J1093" s="57">
        <f>PlanGrid[[#This Row],[kWh/yr]]*' Elec Utility (kWh)'!$M$7</f>
        <v>84.053957363235952</v>
      </c>
      <c r="K1093" s="49">
        <f>PlanGrid[[#This Row],[kWh/yr]]/'Schedule-Building Info'!$B$6</f>
        <v>1.2965186074429771E-2</v>
      </c>
      <c r="L1093" s="50">
        <f>CONVERT(PlanGrid[[#This Row],[kWh/yr]],"Wh","BTU")</f>
        <v>2690.132463558069</v>
      </c>
      <c r="M1093" s="38">
        <f>PlanGrid[[#This Row],[kBtu/yr]]/'Schedule-Building Info'!$B$6</f>
        <v>4.4239051185812443E-2</v>
      </c>
      <c r="N1093" t="s">
        <v>1089</v>
      </c>
      <c r="O1093">
        <v>0</v>
      </c>
      <c r="P1093" t="str">
        <f>VLOOKUP(PlanGrid[[#This Row],[Title]],'Spec Wattages'!$A$1:$C$973,3,FALSE)</f>
        <v>Lighting</v>
      </c>
      <c r="Q1093" t="s">
        <v>740</v>
      </c>
      <c r="R1093" t="s">
        <v>740</v>
      </c>
      <c r="S1093" t="s">
        <v>11</v>
      </c>
    </row>
    <row r="1094" spans="1:19" x14ac:dyDescent="0.25">
      <c r="A1094">
        <v>974</v>
      </c>
      <c r="B1094" t="s">
        <v>22</v>
      </c>
      <c r="C1094" t="s">
        <v>466</v>
      </c>
      <c r="D1094" t="s">
        <v>41</v>
      </c>
      <c r="E1094" s="50">
        <v>36</v>
      </c>
      <c r="F1094" s="38">
        <v>4</v>
      </c>
      <c r="G1094" s="39">
        <v>1</v>
      </c>
      <c r="H1094" s="50">
        <f>PlanGrid[[#This Row],[Spec Wattage]]*PlanGrid[[#This Row],[Equipment Count]]</f>
        <v>144</v>
      </c>
      <c r="I1094" s="50">
        <f>((PlanGrid[[#This Row],[Demand Watt]]*PlanGrid[[#This Row],[Utilization %]]*'Schedule-Building Info'!$N$16)/1000)</f>
        <v>788.4</v>
      </c>
      <c r="J1094" s="57">
        <f>PlanGrid[[#This Row],[kWh/yr]]*' Elec Utility (kWh)'!$M$7</f>
        <v>84.053957363235952</v>
      </c>
      <c r="K1094" s="49">
        <f>PlanGrid[[#This Row],[kWh/yr]]/'Schedule-Building Info'!$B$6</f>
        <v>1.2965186074429771E-2</v>
      </c>
      <c r="L1094" s="50">
        <f>CONVERT(PlanGrid[[#This Row],[kWh/yr]],"Wh","BTU")</f>
        <v>2690.132463558069</v>
      </c>
      <c r="M1094" s="38">
        <f>PlanGrid[[#This Row],[kBtu/yr]]/'Schedule-Building Info'!$B$6</f>
        <v>4.4239051185812443E-2</v>
      </c>
      <c r="N1094" t="s">
        <v>1089</v>
      </c>
      <c r="O1094">
        <v>0</v>
      </c>
      <c r="P1094" t="str">
        <f>VLOOKUP(PlanGrid[[#This Row],[Title]],'Spec Wattages'!$A$1:$C$973,3,FALSE)</f>
        <v>Lighting</v>
      </c>
      <c r="Q1094" t="s">
        <v>701</v>
      </c>
      <c r="R1094" t="s">
        <v>701</v>
      </c>
      <c r="S1094" t="s">
        <v>11</v>
      </c>
    </row>
    <row r="1095" spans="1:19" x14ac:dyDescent="0.25">
      <c r="A1095">
        <v>656</v>
      </c>
      <c r="B1095" t="s">
        <v>22</v>
      </c>
      <c r="C1095" t="s">
        <v>466</v>
      </c>
      <c r="D1095" t="s">
        <v>41</v>
      </c>
      <c r="E1095" s="50">
        <v>36</v>
      </c>
      <c r="F1095" s="38">
        <v>4</v>
      </c>
      <c r="G1095" s="39">
        <v>1</v>
      </c>
      <c r="H1095" s="50">
        <f>PlanGrid[[#This Row],[Spec Wattage]]*PlanGrid[[#This Row],[Equipment Count]]</f>
        <v>144</v>
      </c>
      <c r="I1095" s="50">
        <f>((PlanGrid[[#This Row],[Demand Watt]]*PlanGrid[[#This Row],[Utilization %]]*'Schedule-Building Info'!$N$16)/1000)</f>
        <v>788.4</v>
      </c>
      <c r="J1095" s="57">
        <f>PlanGrid[[#This Row],[kWh/yr]]*' Elec Utility (kWh)'!$M$7</f>
        <v>84.053957363235952</v>
      </c>
      <c r="K1095" s="49">
        <f>PlanGrid[[#This Row],[kWh/yr]]/'Schedule-Building Info'!$B$6</f>
        <v>1.2965186074429771E-2</v>
      </c>
      <c r="L1095" s="50">
        <f>CONVERT(PlanGrid[[#This Row],[kWh/yr]],"Wh","BTU")</f>
        <v>2690.132463558069</v>
      </c>
      <c r="M1095" s="38">
        <f>PlanGrid[[#This Row],[kBtu/yr]]/'Schedule-Building Info'!$B$6</f>
        <v>4.4239051185812443E-2</v>
      </c>
      <c r="N1095" t="s">
        <v>1090</v>
      </c>
      <c r="O1095">
        <v>0</v>
      </c>
      <c r="P1095" t="str">
        <f>VLOOKUP(PlanGrid[[#This Row],[Title]],'Spec Wattages'!$A$1:$C$973,3,FALSE)</f>
        <v>Lighting</v>
      </c>
      <c r="Q1095" t="s">
        <v>808</v>
      </c>
      <c r="R1095" t="s">
        <v>810</v>
      </c>
      <c r="S1095" t="s">
        <v>11</v>
      </c>
    </row>
    <row r="1096" spans="1:19" x14ac:dyDescent="0.25">
      <c r="A1096">
        <v>673</v>
      </c>
      <c r="B1096" t="s">
        <v>22</v>
      </c>
      <c r="C1096" t="s">
        <v>466</v>
      </c>
      <c r="D1096" t="s">
        <v>41</v>
      </c>
      <c r="E1096" s="50">
        <v>36</v>
      </c>
      <c r="F1096" s="38">
        <v>4</v>
      </c>
      <c r="G1096" s="39">
        <v>1</v>
      </c>
      <c r="H1096" s="50">
        <f>PlanGrid[[#This Row],[Spec Wattage]]*PlanGrid[[#This Row],[Equipment Count]]</f>
        <v>144</v>
      </c>
      <c r="I1096" s="50">
        <f>((PlanGrid[[#This Row],[Demand Watt]]*PlanGrid[[#This Row],[Utilization %]]*'Schedule-Building Info'!$N$16)/1000)</f>
        <v>788.4</v>
      </c>
      <c r="J1096" s="57">
        <f>PlanGrid[[#This Row],[kWh/yr]]*' Elec Utility (kWh)'!$M$7</f>
        <v>84.053957363235952</v>
      </c>
      <c r="K1096" s="49">
        <f>PlanGrid[[#This Row],[kWh/yr]]/'Schedule-Building Info'!$B$6</f>
        <v>1.2965186074429771E-2</v>
      </c>
      <c r="L1096" s="50">
        <f>CONVERT(PlanGrid[[#This Row],[kWh/yr]],"Wh","BTU")</f>
        <v>2690.132463558069</v>
      </c>
      <c r="M1096" s="38">
        <f>PlanGrid[[#This Row],[kBtu/yr]]/'Schedule-Building Info'!$B$6</f>
        <v>4.4239051185812443E-2</v>
      </c>
      <c r="N1096" t="s">
        <v>1090</v>
      </c>
      <c r="O1096">
        <v>0</v>
      </c>
      <c r="P1096" t="str">
        <f>VLOOKUP(PlanGrid[[#This Row],[Title]],'Spec Wattages'!$A$1:$C$973,3,FALSE)</f>
        <v>Lighting</v>
      </c>
      <c r="Q1096" t="s">
        <v>811</v>
      </c>
      <c r="R1096" t="s">
        <v>808</v>
      </c>
      <c r="S1096" t="s">
        <v>11</v>
      </c>
    </row>
    <row r="1097" spans="1:19" x14ac:dyDescent="0.25">
      <c r="A1097">
        <v>686</v>
      </c>
      <c r="B1097" t="s">
        <v>22</v>
      </c>
      <c r="C1097" t="s">
        <v>466</v>
      </c>
      <c r="D1097" t="s">
        <v>41</v>
      </c>
      <c r="E1097" s="50">
        <v>36</v>
      </c>
      <c r="F1097" s="38">
        <v>4</v>
      </c>
      <c r="G1097" s="39">
        <v>1</v>
      </c>
      <c r="H1097" s="50">
        <f>PlanGrid[[#This Row],[Spec Wattage]]*PlanGrid[[#This Row],[Equipment Count]]</f>
        <v>144</v>
      </c>
      <c r="I1097" s="50">
        <f>((PlanGrid[[#This Row],[Demand Watt]]*PlanGrid[[#This Row],[Utilization %]]*'Schedule-Building Info'!$N$16)/1000)</f>
        <v>788.4</v>
      </c>
      <c r="J1097" s="57">
        <f>PlanGrid[[#This Row],[kWh/yr]]*' Elec Utility (kWh)'!$M$7</f>
        <v>84.053957363235952</v>
      </c>
      <c r="K1097" s="49">
        <f>PlanGrid[[#This Row],[kWh/yr]]/'Schedule-Building Info'!$B$6</f>
        <v>1.2965186074429771E-2</v>
      </c>
      <c r="L1097" s="50">
        <f>CONVERT(PlanGrid[[#This Row],[kWh/yr]],"Wh","BTU")</f>
        <v>2690.132463558069</v>
      </c>
      <c r="M1097" s="38">
        <f>PlanGrid[[#This Row],[kBtu/yr]]/'Schedule-Building Info'!$B$6</f>
        <v>4.4239051185812443E-2</v>
      </c>
      <c r="N1097" t="s">
        <v>1090</v>
      </c>
      <c r="O1097">
        <v>0</v>
      </c>
      <c r="P1097" t="str">
        <f>VLOOKUP(PlanGrid[[#This Row],[Title]],'Spec Wattages'!$A$1:$C$973,3,FALSE)</f>
        <v>Lighting</v>
      </c>
      <c r="Q1097" t="s">
        <v>813</v>
      </c>
      <c r="R1097" t="s">
        <v>720</v>
      </c>
      <c r="S1097" t="s">
        <v>11</v>
      </c>
    </row>
    <row r="1098" spans="1:19" x14ac:dyDescent="0.25">
      <c r="A1098">
        <v>245</v>
      </c>
      <c r="B1098" t="s">
        <v>22</v>
      </c>
      <c r="C1098" t="s">
        <v>466</v>
      </c>
      <c r="D1098" t="s">
        <v>41</v>
      </c>
      <c r="E1098" s="50">
        <v>36</v>
      </c>
      <c r="F1098" s="38">
        <v>4</v>
      </c>
      <c r="G1098" s="39">
        <v>1</v>
      </c>
      <c r="H1098" s="58">
        <f>PlanGrid[[#This Row],[Spec Wattage]]*PlanGrid[[#This Row],[Equipment Count]]</f>
        <v>144</v>
      </c>
      <c r="I1098" s="50">
        <f>((PlanGrid[[#This Row],[Demand Watt]]*PlanGrid[[#This Row],[Utilization %]]*'Schedule-Building Info'!$N$16)/1000)</f>
        <v>788.4</v>
      </c>
      <c r="J1098" s="57">
        <f>PlanGrid[[#This Row],[kWh/yr]]*' Elec Utility (kWh)'!$M$7</f>
        <v>84.053957363235952</v>
      </c>
      <c r="K1098" s="38">
        <f>PlanGrid[[#This Row],[kWh/yr]]/'Schedule-Building Info'!$B$6</f>
        <v>1.2965186074429771E-2</v>
      </c>
      <c r="L1098" s="50">
        <f>CONVERT(PlanGrid[[#This Row],[kWh/yr]],"Wh","BTU")</f>
        <v>2690.132463558069</v>
      </c>
      <c r="M1098" s="38">
        <f>PlanGrid[[#This Row],[kBtu/yr]]/'Schedule-Building Info'!$B$6</f>
        <v>4.4239051185812443E-2</v>
      </c>
      <c r="N1098" t="s">
        <v>1092</v>
      </c>
      <c r="O1098">
        <v>0</v>
      </c>
      <c r="P1098" t="str">
        <f>VLOOKUP(PlanGrid[[#This Row],[Title]],'Spec Wattages'!$A$1:$C$973,3,FALSE)</f>
        <v>Lighting</v>
      </c>
      <c r="Q1098" t="s">
        <v>868</v>
      </c>
      <c r="R1098" t="s">
        <v>869</v>
      </c>
      <c r="S1098" t="s">
        <v>11</v>
      </c>
    </row>
    <row r="1099" spans="1:19" x14ac:dyDescent="0.25">
      <c r="A1099">
        <v>370</v>
      </c>
      <c r="B1099" t="s">
        <v>22</v>
      </c>
      <c r="C1099" t="s">
        <v>466</v>
      </c>
      <c r="D1099" t="s">
        <v>41</v>
      </c>
      <c r="E1099" s="50">
        <v>36</v>
      </c>
      <c r="F1099" s="38">
        <v>4</v>
      </c>
      <c r="G1099" s="39">
        <v>1</v>
      </c>
      <c r="H1099" s="58">
        <f>PlanGrid[[#This Row],[Spec Wattage]]*PlanGrid[[#This Row],[Equipment Count]]</f>
        <v>144</v>
      </c>
      <c r="I1099" s="50">
        <f>((PlanGrid[[#This Row],[Demand Watt]]*PlanGrid[[#This Row],[Utilization %]]*'Schedule-Building Info'!$N$16)/1000)</f>
        <v>788.4</v>
      </c>
      <c r="J1099" s="57">
        <f>PlanGrid[[#This Row],[kWh/yr]]*' Elec Utility (kWh)'!$M$7</f>
        <v>84.053957363235952</v>
      </c>
      <c r="K1099" s="38">
        <f>PlanGrid[[#This Row],[kWh/yr]]/'Schedule-Building Info'!$B$6</f>
        <v>1.2965186074429771E-2</v>
      </c>
      <c r="L1099" s="50">
        <f>CONVERT(PlanGrid[[#This Row],[kWh/yr]],"Wh","BTU")</f>
        <v>2690.132463558069</v>
      </c>
      <c r="M1099" s="38">
        <f>PlanGrid[[#This Row],[kBtu/yr]]/'Schedule-Building Info'!$B$6</f>
        <v>4.4239051185812443E-2</v>
      </c>
      <c r="N1099" t="s">
        <v>1092</v>
      </c>
      <c r="O1099">
        <v>0</v>
      </c>
      <c r="P1099" t="str">
        <f>VLOOKUP(PlanGrid[[#This Row],[Title]],'Spec Wattages'!$A$1:$C$973,3,FALSE)</f>
        <v>Lighting</v>
      </c>
      <c r="Q1099" t="s">
        <v>897</v>
      </c>
      <c r="R1099" t="s">
        <v>1057</v>
      </c>
      <c r="S1099" t="s">
        <v>11</v>
      </c>
    </row>
    <row r="1100" spans="1:19" x14ac:dyDescent="0.25">
      <c r="A1100">
        <v>912</v>
      </c>
      <c r="B1100" t="s">
        <v>22</v>
      </c>
      <c r="C1100" t="s">
        <v>466</v>
      </c>
      <c r="D1100" t="s">
        <v>470</v>
      </c>
      <c r="E1100" s="50">
        <v>36</v>
      </c>
      <c r="F1100" s="38">
        <v>4</v>
      </c>
      <c r="G1100" s="39">
        <v>1</v>
      </c>
      <c r="H1100" s="50">
        <f>PlanGrid[[#This Row],[Spec Wattage]]*PlanGrid[[#This Row],[Equipment Count]]</f>
        <v>144</v>
      </c>
      <c r="I1100" s="50">
        <f>((PlanGrid[[#This Row],[Demand Watt]]*PlanGrid[[#This Row],[Utilization %]]*'Schedule-Building Info'!$N$16)/1000)</f>
        <v>788.4</v>
      </c>
      <c r="J1100" s="57">
        <f>PlanGrid[[#This Row],[kWh/yr]]*' Elec Utility (kWh)'!$M$7</f>
        <v>84.053957363235952</v>
      </c>
      <c r="K1100" s="49">
        <f>PlanGrid[[#This Row],[kWh/yr]]/'Schedule-Building Info'!$B$6</f>
        <v>1.2965186074429771E-2</v>
      </c>
      <c r="L1100" s="50">
        <f>CONVERT(PlanGrid[[#This Row],[kWh/yr]],"Wh","BTU")</f>
        <v>2690.132463558069</v>
      </c>
      <c r="M1100" s="38">
        <f>PlanGrid[[#This Row],[kBtu/yr]]/'Schedule-Building Info'!$B$6</f>
        <v>4.4239051185812443E-2</v>
      </c>
      <c r="N1100" t="s">
        <v>1089</v>
      </c>
      <c r="O1100">
        <v>0</v>
      </c>
      <c r="P1100" t="str">
        <f>VLOOKUP(PlanGrid[[#This Row],[Title]],'Spec Wattages'!$A$1:$C$973,3,FALSE)</f>
        <v>Lighting</v>
      </c>
      <c r="Q1100" t="s">
        <v>690</v>
      </c>
      <c r="R1100" t="s">
        <v>690</v>
      </c>
      <c r="S1100" t="s">
        <v>51</v>
      </c>
    </row>
    <row r="1101" spans="1:19" x14ac:dyDescent="0.25">
      <c r="A1101">
        <v>1007</v>
      </c>
      <c r="B1101" t="s">
        <v>22</v>
      </c>
      <c r="C1101" t="s">
        <v>466</v>
      </c>
      <c r="D1101" t="s">
        <v>470</v>
      </c>
      <c r="E1101" s="50">
        <v>36</v>
      </c>
      <c r="F1101" s="38">
        <v>4</v>
      </c>
      <c r="G1101" s="39">
        <v>1</v>
      </c>
      <c r="H1101" s="38">
        <f>PlanGrid[[#This Row],[Spec Wattage]]*PlanGrid[[#This Row],[Equipment Count]]</f>
        <v>144</v>
      </c>
      <c r="I1101" s="38">
        <f>((PlanGrid[[#This Row],[Demand Watt]]*PlanGrid[[#This Row],[Utilization %]]*'Schedule-Building Info'!$N$16)/1000)</f>
        <v>788.4</v>
      </c>
      <c r="J1101" s="57">
        <f>PlanGrid[[#This Row],[kWh/yr]]*' Elec Utility (kWh)'!$M$7</f>
        <v>84.053957363235952</v>
      </c>
      <c r="K1101" s="38">
        <f>PlanGrid[[#This Row],[kWh/yr]]/'Schedule-Building Info'!$B$6</f>
        <v>1.2965186074429771E-2</v>
      </c>
      <c r="L1101" s="50">
        <f>CONVERT(PlanGrid[[#This Row],[kWh/yr]],"Wh","BTU")</f>
        <v>2690.132463558069</v>
      </c>
      <c r="M1101" s="38">
        <f>PlanGrid[[#This Row],[kBtu/yr]]/'Schedule-Building Info'!$B$6</f>
        <v>4.4239051185812443E-2</v>
      </c>
      <c r="N1101" t="s">
        <v>1089</v>
      </c>
      <c r="O1101">
        <v>0</v>
      </c>
      <c r="P1101" t="str">
        <f>VLOOKUP(PlanGrid[[#This Row],[Title]],'Spec Wattages'!$A$1:$C$973,3,FALSE)</f>
        <v>Lighting</v>
      </c>
      <c r="Q1101" t="s">
        <v>768</v>
      </c>
      <c r="R1101" t="s">
        <v>768</v>
      </c>
      <c r="S1101" t="s">
        <v>51</v>
      </c>
    </row>
    <row r="1102" spans="1:19" x14ac:dyDescent="0.25">
      <c r="A1102">
        <v>397</v>
      </c>
      <c r="B1102" t="s">
        <v>22</v>
      </c>
      <c r="C1102" t="s">
        <v>466</v>
      </c>
      <c r="D1102" t="s">
        <v>470</v>
      </c>
      <c r="E1102" s="50">
        <v>36</v>
      </c>
      <c r="F1102" s="38">
        <v>4</v>
      </c>
      <c r="G1102" s="39">
        <v>1</v>
      </c>
      <c r="H1102" s="58">
        <f>PlanGrid[[#This Row],[Spec Wattage]]*PlanGrid[[#This Row],[Equipment Count]]</f>
        <v>144</v>
      </c>
      <c r="I1102" s="50">
        <f>((PlanGrid[[#This Row],[Demand Watt]]*PlanGrid[[#This Row],[Utilization %]]*'Schedule-Building Info'!$N$16)/1000)</f>
        <v>788.4</v>
      </c>
      <c r="J1102" s="57">
        <f>PlanGrid[[#This Row],[kWh/yr]]*' Elec Utility (kWh)'!$M$7</f>
        <v>84.053957363235952</v>
      </c>
      <c r="K1102" s="38">
        <f>PlanGrid[[#This Row],[kWh/yr]]/'Schedule-Building Info'!$B$6</f>
        <v>1.2965186074429771E-2</v>
      </c>
      <c r="L1102" s="50">
        <f>CONVERT(PlanGrid[[#This Row],[kWh/yr]],"Wh","BTU")</f>
        <v>2690.132463558069</v>
      </c>
      <c r="M1102" s="38">
        <f>PlanGrid[[#This Row],[kBtu/yr]]/'Schedule-Building Info'!$B$6</f>
        <v>4.4239051185812443E-2</v>
      </c>
      <c r="N1102" t="s">
        <v>1092</v>
      </c>
      <c r="O1102">
        <v>0</v>
      </c>
      <c r="P1102" t="str">
        <f>VLOOKUP(PlanGrid[[#This Row],[Title]],'Spec Wattages'!$A$1:$C$973,3,FALSE)</f>
        <v>Lighting</v>
      </c>
      <c r="Q1102" t="s">
        <v>900</v>
      </c>
      <c r="R1102" t="s">
        <v>900</v>
      </c>
      <c r="S1102" t="s">
        <v>51</v>
      </c>
    </row>
    <row r="1103" spans="1:19" x14ac:dyDescent="0.25">
      <c r="A1103">
        <v>434</v>
      </c>
      <c r="B1103" t="s">
        <v>22</v>
      </c>
      <c r="C1103" t="s">
        <v>466</v>
      </c>
      <c r="D1103" t="s">
        <v>517</v>
      </c>
      <c r="E1103" s="50">
        <v>36</v>
      </c>
      <c r="F1103" s="38">
        <v>4</v>
      </c>
      <c r="G1103" s="39">
        <v>1</v>
      </c>
      <c r="H1103" s="58">
        <f>PlanGrid[[#This Row],[Spec Wattage]]*PlanGrid[[#This Row],[Equipment Count]]</f>
        <v>144</v>
      </c>
      <c r="I1103" s="50">
        <f>((PlanGrid[[#This Row],[Demand Watt]]*PlanGrid[[#This Row],[Utilization %]]*'Schedule-Building Info'!$N$16)/1000)</f>
        <v>788.4</v>
      </c>
      <c r="J1103" s="57">
        <f>PlanGrid[[#This Row],[kWh/yr]]*' Elec Utility (kWh)'!$M$7</f>
        <v>84.053957363235952</v>
      </c>
      <c r="K1103" s="38">
        <f>PlanGrid[[#This Row],[kWh/yr]]/'Schedule-Building Info'!$B$6</f>
        <v>1.2965186074429771E-2</v>
      </c>
      <c r="L1103" s="50">
        <f>CONVERT(PlanGrid[[#This Row],[kWh/yr]],"Wh","BTU")</f>
        <v>2690.132463558069</v>
      </c>
      <c r="M1103" s="38">
        <f>PlanGrid[[#This Row],[kBtu/yr]]/'Schedule-Building Info'!$B$6</f>
        <v>4.4239051185812443E-2</v>
      </c>
      <c r="N1103" t="s">
        <v>1092</v>
      </c>
      <c r="O1103">
        <v>0</v>
      </c>
      <c r="P1103" t="str">
        <f>VLOOKUP(PlanGrid[[#This Row],[Title]],'Spec Wattages'!$A$1:$C$973,3,FALSE)</f>
        <v>Lighting</v>
      </c>
      <c r="Q1103" t="s">
        <v>902</v>
      </c>
      <c r="R1103" t="s">
        <v>982</v>
      </c>
      <c r="S1103" t="s">
        <v>51</v>
      </c>
    </row>
    <row r="1104" spans="1:19" x14ac:dyDescent="0.25">
      <c r="A1104">
        <v>877</v>
      </c>
      <c r="B1104" t="s">
        <v>22</v>
      </c>
      <c r="C1104" t="s">
        <v>466</v>
      </c>
      <c r="D1104" t="s">
        <v>498</v>
      </c>
      <c r="E1104" s="50">
        <v>36</v>
      </c>
      <c r="F1104" s="38">
        <v>4</v>
      </c>
      <c r="G1104" s="39">
        <v>1</v>
      </c>
      <c r="H1104" s="50">
        <f>PlanGrid[[#This Row],[Spec Wattage]]*PlanGrid[[#This Row],[Equipment Count]]</f>
        <v>144</v>
      </c>
      <c r="I1104" s="50">
        <f>((PlanGrid[[#This Row],[Demand Watt]]*PlanGrid[[#This Row],[Utilization %]]*'Schedule-Building Info'!$N$16)/1000)</f>
        <v>788.4</v>
      </c>
      <c r="J1104" s="57">
        <f>PlanGrid[[#This Row],[kWh/yr]]*' Elec Utility (kWh)'!$M$7</f>
        <v>84.053957363235952</v>
      </c>
      <c r="K1104" s="49">
        <f>PlanGrid[[#This Row],[kWh/yr]]/'Schedule-Building Info'!$B$6</f>
        <v>1.2965186074429771E-2</v>
      </c>
      <c r="L1104" s="50">
        <f>CONVERT(PlanGrid[[#This Row],[kWh/yr]],"Wh","BTU")</f>
        <v>2690.132463558069</v>
      </c>
      <c r="M1104" s="38">
        <f>PlanGrid[[#This Row],[kBtu/yr]]/'Schedule-Building Info'!$B$6</f>
        <v>4.4239051185812443E-2</v>
      </c>
      <c r="N1104" t="s">
        <v>1090</v>
      </c>
      <c r="O1104">
        <v>0</v>
      </c>
      <c r="P1104" t="str">
        <f>VLOOKUP(PlanGrid[[#This Row],[Title]],'Spec Wattages'!$A$1:$C$973,3,FALSE)</f>
        <v>Lighting</v>
      </c>
      <c r="Q1104" t="s">
        <v>838</v>
      </c>
      <c r="R1104" t="s">
        <v>837</v>
      </c>
      <c r="S1104" t="s">
        <v>51</v>
      </c>
    </row>
    <row r="1105" spans="1:19" x14ac:dyDescent="0.25">
      <c r="A1105">
        <v>824</v>
      </c>
      <c r="B1105" t="s">
        <v>43</v>
      </c>
      <c r="C1105" t="s">
        <v>44</v>
      </c>
      <c r="D1105" t="s">
        <v>573</v>
      </c>
      <c r="E1105" s="50">
        <v>36</v>
      </c>
      <c r="F1105" s="38">
        <v>4</v>
      </c>
      <c r="G1105" s="39">
        <v>1</v>
      </c>
      <c r="H1105" s="58">
        <f>PlanGrid[[#This Row],[Spec Wattage]]*PlanGrid[[#This Row],[Equipment Count]]</f>
        <v>144</v>
      </c>
      <c r="I1105" s="50">
        <f>((PlanGrid[[#This Row],[Demand Watt]]*PlanGrid[[#This Row],[Utilization %]]*'Schedule-Building Info'!$N$16)/1000)</f>
        <v>788.4</v>
      </c>
      <c r="J1105" s="57">
        <f>PlanGrid[[#This Row],[kWh/yr]]*' Elec Utility (kWh)'!$M$7</f>
        <v>84.053957363235952</v>
      </c>
      <c r="K1105" s="38">
        <f>PlanGrid[[#This Row],[kWh/yr]]/'Schedule-Building Info'!$B$6</f>
        <v>1.2965186074429771E-2</v>
      </c>
      <c r="L1105" s="50">
        <f>CONVERT(PlanGrid[[#This Row],[kWh/yr]],"Wh","BTU")</f>
        <v>2690.132463558069</v>
      </c>
      <c r="M1105" s="38">
        <f>PlanGrid[[#This Row],[kBtu/yr]]/'Schedule-Building Info'!$B$6</f>
        <v>4.4239051185812443E-2</v>
      </c>
      <c r="N1105" t="s">
        <v>1090</v>
      </c>
      <c r="O1105">
        <v>0</v>
      </c>
      <c r="P1105" t="str">
        <f>VLOOKUP(PlanGrid[[#This Row],[Title]],'Spec Wattages'!$A$1:$C$973,3,FALSE)</f>
        <v>Lighting</v>
      </c>
      <c r="Q1105" t="s">
        <v>836</v>
      </c>
      <c r="R1105" t="s">
        <v>968</v>
      </c>
      <c r="S1105" t="s">
        <v>11</v>
      </c>
    </row>
    <row r="1106" spans="1:19" x14ac:dyDescent="0.25">
      <c r="A1106">
        <v>719</v>
      </c>
      <c r="B1106" t="s">
        <v>43</v>
      </c>
      <c r="C1106" t="s">
        <v>44</v>
      </c>
      <c r="D1106" t="s">
        <v>564</v>
      </c>
      <c r="E1106" s="50">
        <v>150</v>
      </c>
      <c r="F1106" s="38">
        <v>1</v>
      </c>
      <c r="G1106" s="39">
        <v>1</v>
      </c>
      <c r="H1106" s="58">
        <f>PlanGrid[[#This Row],[Spec Wattage]]*PlanGrid[[#This Row],[Equipment Count]]</f>
        <v>150</v>
      </c>
      <c r="I1106" s="50">
        <f>((PlanGrid[[#This Row],[Demand Watt]]*PlanGrid[[#This Row],[Utilization %]]*'Schedule-Building Info'!$N$16)/1000)</f>
        <v>821.25</v>
      </c>
      <c r="J1106" s="57">
        <f>PlanGrid[[#This Row],[kWh/yr]]*' Elec Utility (kWh)'!$M$7</f>
        <v>87.55620558670411</v>
      </c>
      <c r="K1106" s="38">
        <f>PlanGrid[[#This Row],[kWh/yr]]/'Schedule-Building Info'!$B$6</f>
        <v>1.3505402160864346E-2</v>
      </c>
      <c r="L1106" s="50">
        <f>CONVERT(PlanGrid[[#This Row],[kWh/yr]],"Wh","BTU")</f>
        <v>2802.2213162063222</v>
      </c>
      <c r="M1106" s="38">
        <f>PlanGrid[[#This Row],[kBtu/yr]]/'Schedule-Building Info'!$B$6</f>
        <v>4.6082344985221305E-2</v>
      </c>
      <c r="N1106" t="s">
        <v>1090</v>
      </c>
      <c r="O1106">
        <v>1</v>
      </c>
      <c r="P1106" t="str">
        <f>VLOOKUP(PlanGrid[[#This Row],[Title]],'Spec Wattages'!$A$1:$C$973,3,FALSE)</f>
        <v>Lighting</v>
      </c>
      <c r="Q1106" t="s">
        <v>961</v>
      </c>
      <c r="R1106" t="s">
        <v>961</v>
      </c>
      <c r="S1106" t="s">
        <v>51</v>
      </c>
    </row>
    <row r="1107" spans="1:19" x14ac:dyDescent="0.25">
      <c r="A1107">
        <v>25</v>
      </c>
      <c r="B1107" t="s">
        <v>43</v>
      </c>
      <c r="C1107" t="s">
        <v>44</v>
      </c>
      <c r="D1107" t="s">
        <v>578</v>
      </c>
      <c r="E1107" s="50">
        <v>75</v>
      </c>
      <c r="F1107" s="38">
        <v>2</v>
      </c>
      <c r="G1107" s="39">
        <v>1</v>
      </c>
      <c r="H1107" s="58">
        <f>PlanGrid[[#This Row],[Spec Wattage]]*PlanGrid[[#This Row],[Equipment Count]]</f>
        <v>150</v>
      </c>
      <c r="I1107" s="50">
        <f>((PlanGrid[[#This Row],[Demand Watt]]*PlanGrid[[#This Row],[Utilization %]]*'Schedule-Building Info'!$N$16)/1000)</f>
        <v>821.25</v>
      </c>
      <c r="J1107" s="57">
        <f>PlanGrid[[#This Row],[kWh/yr]]*' Elec Utility (kWh)'!$M$7</f>
        <v>87.55620558670411</v>
      </c>
      <c r="K1107" s="38">
        <f>PlanGrid[[#This Row],[kWh/yr]]/'Schedule-Building Info'!$B$6</f>
        <v>1.3505402160864346E-2</v>
      </c>
      <c r="L1107" s="50">
        <f>CONVERT(PlanGrid[[#This Row],[kWh/yr]],"Wh","BTU")</f>
        <v>2802.2213162063222</v>
      </c>
      <c r="M1107" s="38">
        <f>PlanGrid[[#This Row],[kBtu/yr]]/'Schedule-Building Info'!$B$6</f>
        <v>4.6082344985221305E-2</v>
      </c>
      <c r="N1107" t="s">
        <v>1092</v>
      </c>
      <c r="O1107">
        <v>0</v>
      </c>
      <c r="P1107" t="str">
        <f>VLOOKUP(PlanGrid[[#This Row],[Title]],'Spec Wattages'!$A$1:$C$973,3,FALSE)</f>
        <v>Lighting</v>
      </c>
      <c r="Q1107" t="s">
        <v>846</v>
      </c>
      <c r="R1107" t="s">
        <v>1017</v>
      </c>
      <c r="S1107" t="s">
        <v>11</v>
      </c>
    </row>
    <row r="1108" spans="1:19" x14ac:dyDescent="0.25">
      <c r="A1108">
        <v>851</v>
      </c>
      <c r="B1108" t="s">
        <v>22</v>
      </c>
      <c r="C1108" t="s">
        <v>466</v>
      </c>
      <c r="D1108" t="s">
        <v>19</v>
      </c>
      <c r="E1108" s="50">
        <v>13</v>
      </c>
      <c r="F1108" s="38">
        <v>13</v>
      </c>
      <c r="G1108" s="39">
        <v>1</v>
      </c>
      <c r="H1108" s="50">
        <f>PlanGrid[[#This Row],[Spec Wattage]]*PlanGrid[[#This Row],[Equipment Count]]</f>
        <v>169</v>
      </c>
      <c r="I1108" s="50">
        <f>((PlanGrid[[#This Row],[Demand Watt]]*PlanGrid[[#This Row],[Utilization %]]*'Schedule-Building Info'!$N$16)/1000)</f>
        <v>925.27499999999998</v>
      </c>
      <c r="J1108" s="57">
        <f>PlanGrid[[#This Row],[kWh/yr]]*' Elec Utility (kWh)'!$M$7</f>
        <v>98.646658294353301</v>
      </c>
      <c r="K1108" s="49">
        <f>PlanGrid[[#This Row],[kWh/yr]]/'Schedule-Building Info'!$B$6</f>
        <v>1.5216086434573829E-2</v>
      </c>
      <c r="L1108" s="50">
        <f>CONVERT(PlanGrid[[#This Row],[kWh/yr]],"Wh","BTU")</f>
        <v>3157.1693495924565</v>
      </c>
      <c r="M1108" s="38">
        <f>PlanGrid[[#This Row],[kBtu/yr]]/'Schedule-Building Info'!$B$6</f>
        <v>5.1919442016682672E-2</v>
      </c>
      <c r="N1108" t="s">
        <v>1090</v>
      </c>
      <c r="O1108">
        <v>0</v>
      </c>
      <c r="P1108" t="str">
        <f>VLOOKUP(PlanGrid[[#This Row],[Title]],'Spec Wattages'!$A$1:$C$973,3,FALSE)</f>
        <v>Lighting</v>
      </c>
      <c r="Q1108" t="s">
        <v>836</v>
      </c>
      <c r="R1108" t="s">
        <v>832</v>
      </c>
      <c r="S1108" t="s">
        <v>11</v>
      </c>
    </row>
    <row r="1109" spans="1:19" x14ac:dyDescent="0.25">
      <c r="A1109">
        <v>867</v>
      </c>
      <c r="B1109" t="s">
        <v>43</v>
      </c>
      <c r="C1109" t="s">
        <v>44</v>
      </c>
      <c r="D1109" t="s">
        <v>575</v>
      </c>
      <c r="E1109" s="50">
        <v>13</v>
      </c>
      <c r="F1109" s="38">
        <v>13</v>
      </c>
      <c r="G1109" s="39">
        <v>1</v>
      </c>
      <c r="H1109" s="58">
        <f>PlanGrid[[#This Row],[Spec Wattage]]*PlanGrid[[#This Row],[Equipment Count]]</f>
        <v>169</v>
      </c>
      <c r="I1109" s="50">
        <f>((PlanGrid[[#This Row],[Demand Watt]]*PlanGrid[[#This Row],[Utilization %]]*'Schedule-Building Info'!$N$16)/1000)</f>
        <v>925.27499999999998</v>
      </c>
      <c r="J1109" s="57">
        <f>PlanGrid[[#This Row],[kWh/yr]]*' Elec Utility (kWh)'!$M$7</f>
        <v>98.646658294353301</v>
      </c>
      <c r="K1109" s="38">
        <f>PlanGrid[[#This Row],[kWh/yr]]/'Schedule-Building Info'!$B$6</f>
        <v>1.5216086434573829E-2</v>
      </c>
      <c r="L1109" s="50">
        <f>CONVERT(PlanGrid[[#This Row],[kWh/yr]],"Wh","BTU")</f>
        <v>3157.1693495924565</v>
      </c>
      <c r="M1109" s="38">
        <f>PlanGrid[[#This Row],[kBtu/yr]]/'Schedule-Building Info'!$B$6</f>
        <v>5.1919442016682672E-2</v>
      </c>
      <c r="N1109" t="s">
        <v>1090</v>
      </c>
      <c r="O1109">
        <v>0</v>
      </c>
      <c r="P1109" t="str">
        <f>VLOOKUP(PlanGrid[[#This Row],[Title]],'Spec Wattages'!$A$1:$C$973,3,FALSE)</f>
        <v>Lighting</v>
      </c>
      <c r="Q1109" t="s">
        <v>732</v>
      </c>
      <c r="R1109" t="s">
        <v>732</v>
      </c>
      <c r="S1109" t="s">
        <v>51</v>
      </c>
    </row>
    <row r="1110" spans="1:19" x14ac:dyDescent="0.25">
      <c r="A1110">
        <v>1053</v>
      </c>
      <c r="B1110" t="s">
        <v>22</v>
      </c>
      <c r="C1110" t="s">
        <v>466</v>
      </c>
      <c r="D1110" t="s">
        <v>481</v>
      </c>
      <c r="E1110" s="50">
        <v>36</v>
      </c>
      <c r="F1110" s="38">
        <v>5</v>
      </c>
      <c r="G1110" s="39">
        <v>1</v>
      </c>
      <c r="H1110" s="50">
        <f>PlanGrid[[#This Row],[Spec Wattage]]*PlanGrid[[#This Row],[Equipment Count]]</f>
        <v>180</v>
      </c>
      <c r="I1110" s="50">
        <f>((PlanGrid[[#This Row],[Demand Watt]]*PlanGrid[[#This Row],[Utilization %]]*'Schedule-Building Info'!$N$16)/1000)</f>
        <v>985.5</v>
      </c>
      <c r="J1110" s="57">
        <f>PlanGrid[[#This Row],[kWh/yr]]*' Elec Utility (kWh)'!$M$7</f>
        <v>105.06744670404494</v>
      </c>
      <c r="K1110" s="49">
        <f>PlanGrid[[#This Row],[kWh/yr]]/'Schedule-Building Info'!$B$6</f>
        <v>1.6206482593037214E-2</v>
      </c>
      <c r="L1110" s="50">
        <f>CONVERT(PlanGrid[[#This Row],[kWh/yr]],"Wh","BTU")</f>
        <v>3362.6655794475864</v>
      </c>
      <c r="M1110" s="38">
        <f>PlanGrid[[#This Row],[kBtu/yr]]/'Schedule-Building Info'!$B$6</f>
        <v>5.5298813982265563E-2</v>
      </c>
      <c r="N1110" t="s">
        <v>1089</v>
      </c>
      <c r="O1110">
        <v>0</v>
      </c>
      <c r="P1110" t="str">
        <f>VLOOKUP(PlanGrid[[#This Row],[Title]],'Spec Wattages'!$A$1:$C$973,3,FALSE)</f>
        <v>Lighting</v>
      </c>
      <c r="Q1110" t="s">
        <v>797</v>
      </c>
      <c r="R1110" t="s">
        <v>1049</v>
      </c>
      <c r="S1110" t="s">
        <v>11</v>
      </c>
    </row>
    <row r="1111" spans="1:19" x14ac:dyDescent="0.25">
      <c r="A1111">
        <v>310</v>
      </c>
      <c r="B1111" t="s">
        <v>22</v>
      </c>
      <c r="C1111" t="s">
        <v>466</v>
      </c>
      <c r="D1111" t="s">
        <v>47</v>
      </c>
      <c r="E1111" s="50">
        <v>36</v>
      </c>
      <c r="F1111" s="38">
        <v>5</v>
      </c>
      <c r="G1111" s="39">
        <v>1</v>
      </c>
      <c r="H1111" s="58">
        <f>PlanGrid[[#This Row],[Spec Wattage]]*PlanGrid[[#This Row],[Equipment Count]]</f>
        <v>180</v>
      </c>
      <c r="I1111" s="50">
        <f>((PlanGrid[[#This Row],[Demand Watt]]*PlanGrid[[#This Row],[Utilization %]]*'Schedule-Building Info'!$N$16)/1000)</f>
        <v>985.5</v>
      </c>
      <c r="J1111" s="57">
        <f>PlanGrid[[#This Row],[kWh/yr]]*' Elec Utility (kWh)'!$M$7</f>
        <v>105.06744670404494</v>
      </c>
      <c r="K1111" s="38">
        <f>PlanGrid[[#This Row],[kWh/yr]]/'Schedule-Building Info'!$B$6</f>
        <v>1.6206482593037214E-2</v>
      </c>
      <c r="L1111" s="50">
        <f>CONVERT(PlanGrid[[#This Row],[kWh/yr]],"Wh","BTU")</f>
        <v>3362.6655794475864</v>
      </c>
      <c r="M1111" s="38">
        <f>PlanGrid[[#This Row],[kBtu/yr]]/'Schedule-Building Info'!$B$6</f>
        <v>5.5298813982265563E-2</v>
      </c>
      <c r="N1111" t="s">
        <v>1092</v>
      </c>
      <c r="O1111">
        <v>0</v>
      </c>
      <c r="P1111" t="str">
        <f>VLOOKUP(PlanGrid[[#This Row],[Title]],'Spec Wattages'!$A$1:$C$973,3,FALSE)</f>
        <v>Lighting</v>
      </c>
      <c r="Q1111" t="s">
        <v>880</v>
      </c>
      <c r="R1111" t="s">
        <v>1056</v>
      </c>
      <c r="S1111" t="s">
        <v>11</v>
      </c>
    </row>
    <row r="1112" spans="1:19" x14ac:dyDescent="0.25">
      <c r="A1112">
        <v>446</v>
      </c>
      <c r="B1112" t="s">
        <v>22</v>
      </c>
      <c r="C1112" t="s">
        <v>466</v>
      </c>
      <c r="D1112" t="s">
        <v>519</v>
      </c>
      <c r="E1112" s="50">
        <v>36</v>
      </c>
      <c r="F1112" s="38">
        <v>5</v>
      </c>
      <c r="G1112" s="39">
        <v>1</v>
      </c>
      <c r="H1112" s="58">
        <f>PlanGrid[[#This Row],[Spec Wattage]]*PlanGrid[[#This Row],[Equipment Count]]</f>
        <v>180</v>
      </c>
      <c r="I1112" s="50">
        <f>((PlanGrid[[#This Row],[Demand Watt]]*PlanGrid[[#This Row],[Utilization %]]*'Schedule-Building Info'!$N$16)/1000)</f>
        <v>985.5</v>
      </c>
      <c r="J1112" s="57">
        <f>PlanGrid[[#This Row],[kWh/yr]]*' Elec Utility (kWh)'!$M$7</f>
        <v>105.06744670404494</v>
      </c>
      <c r="K1112" s="38">
        <f>PlanGrid[[#This Row],[kWh/yr]]/'Schedule-Building Info'!$B$6</f>
        <v>1.6206482593037214E-2</v>
      </c>
      <c r="L1112" s="50">
        <f>CONVERT(PlanGrid[[#This Row],[kWh/yr]],"Wh","BTU")</f>
        <v>3362.6655794475864</v>
      </c>
      <c r="M1112" s="38">
        <f>PlanGrid[[#This Row],[kBtu/yr]]/'Schedule-Building Info'!$B$6</f>
        <v>5.5298813982265563E-2</v>
      </c>
      <c r="N1112" t="s">
        <v>1092</v>
      </c>
      <c r="O1112">
        <v>0</v>
      </c>
      <c r="P1112" t="str">
        <f>VLOOKUP(PlanGrid[[#This Row],[Title]],'Spec Wattages'!$A$1:$C$973,3,FALSE)</f>
        <v>Lighting</v>
      </c>
      <c r="Q1112" t="s">
        <v>905</v>
      </c>
      <c r="R1112" t="s">
        <v>1014</v>
      </c>
      <c r="S1112" t="s">
        <v>11</v>
      </c>
    </row>
    <row r="1113" spans="1:19" x14ac:dyDescent="0.25">
      <c r="A1113">
        <v>960</v>
      </c>
      <c r="B1113" t="s">
        <v>20</v>
      </c>
      <c r="C1113" t="s">
        <v>416</v>
      </c>
      <c r="D1113" t="s">
        <v>443</v>
      </c>
      <c r="E1113" s="50">
        <f>VLOOKUP(PlanGrid[[#This Row],[Title]],'Spec Wattages'!$A$1:$C$973,2,FALSE)</f>
        <v>50</v>
      </c>
      <c r="F1113" s="38">
        <v>6</v>
      </c>
      <c r="G1113" s="39">
        <v>0.9</v>
      </c>
      <c r="H1113" s="50">
        <f>PlanGrid[[#This Row],[Spec Wattage]]*PlanGrid[[#This Row],[Equipment Count]]</f>
        <v>300</v>
      </c>
      <c r="I1113" s="50">
        <f>((PlanGrid[[#This Row],[Demand Watt]]*PlanGrid[[#This Row],[Utilization %]]*'Schedule-Building Info'!$N$16)/1000)</f>
        <v>1478.25</v>
      </c>
      <c r="J1113" s="57">
        <f>PlanGrid[[#This Row],[kWh/yr]]*' Elec Utility (kWh)'!$M$7</f>
        <v>157.60117005606742</v>
      </c>
      <c r="K1113" s="49">
        <f>PlanGrid[[#This Row],[kWh/yr]]/'Schedule-Building Info'!$B$6</f>
        <v>2.4309723889555823E-2</v>
      </c>
      <c r="L1113" s="50">
        <f>CONVERT(PlanGrid[[#This Row],[kWh/yr]],"Wh","BTU")</f>
        <v>5043.9983691713796</v>
      </c>
      <c r="M1113" s="38">
        <f>PlanGrid[[#This Row],[kBtu/yr]]/'Schedule-Building Info'!$B$6</f>
        <v>8.2948220973398337E-2</v>
      </c>
      <c r="N1113" t="s">
        <v>1089</v>
      </c>
      <c r="O1113">
        <v>0</v>
      </c>
      <c r="P1113" t="str">
        <f>VLOOKUP(PlanGrid[[#This Row],[Title]],'Spec Wattages'!$A$1:$C$973,3,FALSE)</f>
        <v>Plug Load</v>
      </c>
      <c r="Q1113" t="s">
        <v>739</v>
      </c>
      <c r="R1113" t="s">
        <v>1037</v>
      </c>
      <c r="S1113" t="s">
        <v>11</v>
      </c>
    </row>
    <row r="1114" spans="1:19" x14ac:dyDescent="0.25">
      <c r="A1114">
        <v>441</v>
      </c>
      <c r="B1114" t="s">
        <v>22</v>
      </c>
      <c r="C1114" t="s">
        <v>466</v>
      </c>
      <c r="D1114" t="s">
        <v>519</v>
      </c>
      <c r="E1114" s="50">
        <v>36</v>
      </c>
      <c r="F1114" s="38">
        <v>5</v>
      </c>
      <c r="G1114" s="39">
        <v>1</v>
      </c>
      <c r="H1114" s="58">
        <f>PlanGrid[[#This Row],[Spec Wattage]]*PlanGrid[[#This Row],[Equipment Count]]</f>
        <v>180</v>
      </c>
      <c r="I1114" s="50">
        <f>((PlanGrid[[#This Row],[Demand Watt]]*PlanGrid[[#This Row],[Utilization %]]*'Schedule-Building Info'!$N$16)/1000)</f>
        <v>985.5</v>
      </c>
      <c r="J1114" s="57">
        <f>PlanGrid[[#This Row],[kWh/yr]]*' Elec Utility (kWh)'!$M$7</f>
        <v>105.06744670404494</v>
      </c>
      <c r="K1114" s="38">
        <f>PlanGrid[[#This Row],[kWh/yr]]/'Schedule-Building Info'!$B$6</f>
        <v>1.6206482593037214E-2</v>
      </c>
      <c r="L1114" s="50">
        <f>CONVERT(PlanGrid[[#This Row],[kWh/yr]],"Wh","BTU")</f>
        <v>3362.6655794475864</v>
      </c>
      <c r="M1114" s="38">
        <f>PlanGrid[[#This Row],[kBtu/yr]]/'Schedule-Building Info'!$B$6</f>
        <v>5.5298813982265563E-2</v>
      </c>
      <c r="N1114" t="s">
        <v>1092</v>
      </c>
      <c r="O1114">
        <v>0</v>
      </c>
      <c r="P1114" t="str">
        <f>VLOOKUP(PlanGrid[[#This Row],[Title]],'Spec Wattages'!$A$1:$C$973,3,FALSE)</f>
        <v>Lighting</v>
      </c>
      <c r="Q1114" t="s">
        <v>766</v>
      </c>
      <c r="R1114" t="s">
        <v>903</v>
      </c>
      <c r="S1114" t="s">
        <v>11</v>
      </c>
    </row>
    <row r="1115" spans="1:19" x14ac:dyDescent="0.25">
      <c r="A1115">
        <v>741</v>
      </c>
      <c r="B1115" t="s">
        <v>43</v>
      </c>
      <c r="C1115" t="s">
        <v>44</v>
      </c>
      <c r="D1115" t="s">
        <v>569</v>
      </c>
      <c r="E1115" s="50">
        <v>100</v>
      </c>
      <c r="F1115" s="38">
        <v>2</v>
      </c>
      <c r="G1115" s="39">
        <v>1</v>
      </c>
      <c r="H1115" s="58">
        <f>PlanGrid[[#This Row],[Spec Wattage]]*PlanGrid[[#This Row],[Equipment Count]]</f>
        <v>200</v>
      </c>
      <c r="I1115" s="50">
        <f>((PlanGrid[[#This Row],[Demand Watt]]*PlanGrid[[#This Row],[Utilization %]]*'Schedule-Building Info'!$N$16)/1000)</f>
        <v>1095</v>
      </c>
      <c r="J1115" s="57">
        <f>PlanGrid[[#This Row],[kWh/yr]]*' Elec Utility (kWh)'!$M$7</f>
        <v>116.74160744893882</v>
      </c>
      <c r="K1115" s="38">
        <f>PlanGrid[[#This Row],[kWh/yr]]/'Schedule-Building Info'!$B$6</f>
        <v>1.800720288115246E-2</v>
      </c>
      <c r="L1115" s="50">
        <f>CONVERT(PlanGrid[[#This Row],[kWh/yr]],"Wh","BTU")</f>
        <v>3736.2950882750961</v>
      </c>
      <c r="M1115" s="38">
        <f>PlanGrid[[#This Row],[kBtu/yr]]/'Schedule-Building Info'!$B$6</f>
        <v>6.1443126646961735E-2</v>
      </c>
      <c r="N1115" t="s">
        <v>1090</v>
      </c>
      <c r="O1115">
        <v>1</v>
      </c>
      <c r="P1115" t="str">
        <f>VLOOKUP(PlanGrid[[#This Row],[Title]],'Spec Wattages'!$A$1:$C$973,3,FALSE)</f>
        <v>Lighting</v>
      </c>
      <c r="Q1115" t="s">
        <v>964</v>
      </c>
      <c r="R1115" t="s">
        <v>981</v>
      </c>
      <c r="S1115" t="s">
        <v>51</v>
      </c>
    </row>
    <row r="1116" spans="1:19" x14ac:dyDescent="0.25">
      <c r="A1116">
        <v>435</v>
      </c>
      <c r="B1116" t="s">
        <v>22</v>
      </c>
      <c r="C1116" t="s">
        <v>466</v>
      </c>
      <c r="D1116" t="s">
        <v>518</v>
      </c>
      <c r="E1116" s="50">
        <v>36</v>
      </c>
      <c r="F1116" s="38">
        <v>6</v>
      </c>
      <c r="G1116" s="39">
        <v>1</v>
      </c>
      <c r="H1116" s="58">
        <f>PlanGrid[[#This Row],[Spec Wattage]]*PlanGrid[[#This Row],[Equipment Count]]</f>
        <v>216</v>
      </c>
      <c r="I1116" s="50">
        <f>((PlanGrid[[#This Row],[Demand Watt]]*PlanGrid[[#This Row],[Utilization %]]*'Schedule-Building Info'!$N$16)/1000)</f>
        <v>1182.5999999999999</v>
      </c>
      <c r="J1116" s="57">
        <f>PlanGrid[[#This Row],[kWh/yr]]*' Elec Utility (kWh)'!$M$7</f>
        <v>126.08093604485391</v>
      </c>
      <c r="K1116" s="38">
        <f>PlanGrid[[#This Row],[kWh/yr]]/'Schedule-Building Info'!$B$6</f>
        <v>1.9447779111644657E-2</v>
      </c>
      <c r="L1116" s="50">
        <f>CONVERT(PlanGrid[[#This Row],[kWh/yr]],"Wh","BTU")</f>
        <v>4035.1986953371038</v>
      </c>
      <c r="M1116" s="38">
        <f>PlanGrid[[#This Row],[kBtu/yr]]/'Schedule-Building Info'!$B$6</f>
        <v>6.6358576778718675E-2</v>
      </c>
      <c r="N1116" t="s">
        <v>1092</v>
      </c>
      <c r="O1116">
        <v>0</v>
      </c>
      <c r="P1116" t="str">
        <f>VLOOKUP(PlanGrid[[#This Row],[Title]],'Spec Wattages'!$A$1:$C$973,3,FALSE)</f>
        <v>Lighting</v>
      </c>
      <c r="Q1116" t="s">
        <v>901</v>
      </c>
      <c r="R1116" t="s">
        <v>982</v>
      </c>
      <c r="S1116" t="s">
        <v>51</v>
      </c>
    </row>
    <row r="1117" spans="1:19" x14ac:dyDescent="0.25">
      <c r="A1117">
        <v>907</v>
      </c>
      <c r="B1117" t="s">
        <v>22</v>
      </c>
      <c r="C1117" t="s">
        <v>466</v>
      </c>
      <c r="D1117" t="s">
        <v>28</v>
      </c>
      <c r="E1117" s="50">
        <v>36</v>
      </c>
      <c r="F1117" s="38">
        <v>6</v>
      </c>
      <c r="G1117" s="39">
        <v>1</v>
      </c>
      <c r="H1117" s="50">
        <f>PlanGrid[[#This Row],[Spec Wattage]]*PlanGrid[[#This Row],[Equipment Count]]</f>
        <v>216</v>
      </c>
      <c r="I1117" s="50">
        <f>((PlanGrid[[#This Row],[Demand Watt]]*PlanGrid[[#This Row],[Utilization %]]*'Schedule-Building Info'!$N$16)/1000)</f>
        <v>1182.5999999999999</v>
      </c>
      <c r="J1117" s="57">
        <f>PlanGrid[[#This Row],[kWh/yr]]*' Elec Utility (kWh)'!$M$7</f>
        <v>126.08093604485391</v>
      </c>
      <c r="K1117" s="49">
        <f>PlanGrid[[#This Row],[kWh/yr]]/'Schedule-Building Info'!$B$6</f>
        <v>1.9447779111644657E-2</v>
      </c>
      <c r="L1117" s="50">
        <f>CONVERT(PlanGrid[[#This Row],[kWh/yr]],"Wh","BTU")</f>
        <v>4035.1986953371038</v>
      </c>
      <c r="M1117" s="38">
        <f>PlanGrid[[#This Row],[kBtu/yr]]/'Schedule-Building Info'!$B$6</f>
        <v>6.6358576778718675E-2</v>
      </c>
      <c r="N1117" t="s">
        <v>1089</v>
      </c>
      <c r="O1117">
        <v>0</v>
      </c>
      <c r="P1117" t="str">
        <f>VLOOKUP(PlanGrid[[#This Row],[Title]],'Spec Wattages'!$A$1:$C$973,3,FALSE)</f>
        <v>Lighting</v>
      </c>
      <c r="Q1117" t="s">
        <v>690</v>
      </c>
      <c r="R1117" t="s">
        <v>697</v>
      </c>
      <c r="S1117" t="s">
        <v>11</v>
      </c>
    </row>
    <row r="1118" spans="1:19" x14ac:dyDescent="0.25">
      <c r="A1118">
        <v>425</v>
      </c>
      <c r="B1118" t="s">
        <v>22</v>
      </c>
      <c r="C1118" t="s">
        <v>466</v>
      </c>
      <c r="D1118" t="s">
        <v>45</v>
      </c>
      <c r="E1118" s="50">
        <v>36</v>
      </c>
      <c r="F1118" s="38">
        <v>6</v>
      </c>
      <c r="G1118" s="39">
        <v>1</v>
      </c>
      <c r="H1118" s="58">
        <f>PlanGrid[[#This Row],[Spec Wattage]]*PlanGrid[[#This Row],[Equipment Count]]</f>
        <v>216</v>
      </c>
      <c r="I1118" s="50">
        <f>((PlanGrid[[#This Row],[Demand Watt]]*PlanGrid[[#This Row],[Utilization %]]*'Schedule-Building Info'!$N$16)/1000)</f>
        <v>1182.5999999999999</v>
      </c>
      <c r="J1118" s="57">
        <f>PlanGrid[[#This Row],[kWh/yr]]*' Elec Utility (kWh)'!$M$7</f>
        <v>126.08093604485391</v>
      </c>
      <c r="K1118" s="38">
        <f>PlanGrid[[#This Row],[kWh/yr]]/'Schedule-Building Info'!$B$6</f>
        <v>1.9447779111644657E-2</v>
      </c>
      <c r="L1118" s="50">
        <f>CONVERT(PlanGrid[[#This Row],[kWh/yr]],"Wh","BTU")</f>
        <v>4035.1986953371038</v>
      </c>
      <c r="M1118" s="38">
        <f>PlanGrid[[#This Row],[kBtu/yr]]/'Schedule-Building Info'!$B$6</f>
        <v>6.6358576778718675E-2</v>
      </c>
      <c r="N1118" t="s">
        <v>1092</v>
      </c>
      <c r="O1118">
        <v>0</v>
      </c>
      <c r="P1118" t="str">
        <f>VLOOKUP(PlanGrid[[#This Row],[Title]],'Spec Wattages'!$A$1:$C$973,3,FALSE)</f>
        <v>Lighting</v>
      </c>
      <c r="Q1118" t="s">
        <v>765</v>
      </c>
      <c r="R1118" t="s">
        <v>899</v>
      </c>
      <c r="S1118" t="s">
        <v>11</v>
      </c>
    </row>
    <row r="1119" spans="1:19" x14ac:dyDescent="0.25">
      <c r="A1119">
        <v>853</v>
      </c>
      <c r="B1119" t="s">
        <v>22</v>
      </c>
      <c r="C1119" t="s">
        <v>466</v>
      </c>
      <c r="D1119" t="s">
        <v>497</v>
      </c>
      <c r="E1119" s="50">
        <v>36</v>
      </c>
      <c r="F1119" s="38">
        <v>6</v>
      </c>
      <c r="G1119" s="39">
        <v>1</v>
      </c>
      <c r="H1119" s="50">
        <f>PlanGrid[[#This Row],[Spec Wattage]]*PlanGrid[[#This Row],[Equipment Count]]</f>
        <v>216</v>
      </c>
      <c r="I1119" s="50">
        <f>((PlanGrid[[#This Row],[Demand Watt]]*PlanGrid[[#This Row],[Utilization %]]*'Schedule-Building Info'!$N$16)/1000)</f>
        <v>1182.5999999999999</v>
      </c>
      <c r="J1119" s="57">
        <f>PlanGrid[[#This Row],[kWh/yr]]*' Elec Utility (kWh)'!$M$7</f>
        <v>126.08093604485391</v>
      </c>
      <c r="K1119" s="49">
        <f>PlanGrid[[#This Row],[kWh/yr]]/'Schedule-Building Info'!$B$6</f>
        <v>1.9447779111644657E-2</v>
      </c>
      <c r="L1119" s="50">
        <f>CONVERT(PlanGrid[[#This Row],[kWh/yr]],"Wh","BTU")</f>
        <v>4035.1986953371038</v>
      </c>
      <c r="M1119" s="38">
        <f>PlanGrid[[#This Row],[kBtu/yr]]/'Schedule-Building Info'!$B$6</f>
        <v>6.6358576778718675E-2</v>
      </c>
      <c r="N1119" t="s">
        <v>1090</v>
      </c>
      <c r="O1119">
        <v>0</v>
      </c>
      <c r="P1119" t="str">
        <f>VLOOKUP(PlanGrid[[#This Row],[Title]],'Spec Wattages'!$A$1:$C$973,3,FALSE)</f>
        <v>Lighting</v>
      </c>
      <c r="Q1119" t="s">
        <v>832</v>
      </c>
      <c r="R1119" t="s">
        <v>832</v>
      </c>
      <c r="S1119" t="s">
        <v>51</v>
      </c>
    </row>
    <row r="1120" spans="1:19" x14ac:dyDescent="0.25">
      <c r="A1120">
        <v>246</v>
      </c>
      <c r="B1120" t="s">
        <v>22</v>
      </c>
      <c r="C1120" t="s">
        <v>466</v>
      </c>
      <c r="D1120" t="s">
        <v>510</v>
      </c>
      <c r="E1120" s="50">
        <v>36</v>
      </c>
      <c r="F1120" s="38">
        <v>7</v>
      </c>
      <c r="G1120" s="39">
        <v>1</v>
      </c>
      <c r="H1120" s="58">
        <f>PlanGrid[[#This Row],[Spec Wattage]]*PlanGrid[[#This Row],[Equipment Count]]</f>
        <v>252</v>
      </c>
      <c r="I1120" s="50">
        <f>((PlanGrid[[#This Row],[Demand Watt]]*PlanGrid[[#This Row],[Utilization %]]*'Schedule-Building Info'!$N$16)/1000)</f>
        <v>1379.7</v>
      </c>
      <c r="J1120" s="57">
        <f>PlanGrid[[#This Row],[kWh/yr]]*' Elec Utility (kWh)'!$M$7</f>
        <v>147.0944253856629</v>
      </c>
      <c r="K1120" s="38">
        <f>PlanGrid[[#This Row],[kWh/yr]]/'Schedule-Building Info'!$B$6</f>
        <v>2.26890756302521E-2</v>
      </c>
      <c r="L1120" s="50">
        <f>CONVERT(PlanGrid[[#This Row],[kWh/yr]],"Wh","BTU")</f>
        <v>4707.7318112266212</v>
      </c>
      <c r="M1120" s="38">
        <f>PlanGrid[[#This Row],[kBtu/yr]]/'Schedule-Building Info'!$B$6</f>
        <v>7.7418339575171788E-2</v>
      </c>
      <c r="N1120" t="s">
        <v>1092</v>
      </c>
      <c r="O1120">
        <v>0</v>
      </c>
      <c r="P1120" t="str">
        <f>VLOOKUP(PlanGrid[[#This Row],[Title]],'Spec Wattages'!$A$1:$C$973,3,FALSE)</f>
        <v>Lighting</v>
      </c>
      <c r="Q1120" t="s">
        <v>869</v>
      </c>
      <c r="R1120" t="s">
        <v>869</v>
      </c>
      <c r="S1120" t="s">
        <v>51</v>
      </c>
    </row>
    <row r="1121" spans="1:19" x14ac:dyDescent="0.25">
      <c r="A1121">
        <v>941</v>
      </c>
      <c r="B1121" t="s">
        <v>22</v>
      </c>
      <c r="C1121" t="s">
        <v>466</v>
      </c>
      <c r="D1121" t="s">
        <v>475</v>
      </c>
      <c r="E1121" s="50">
        <v>36</v>
      </c>
      <c r="F1121" s="38">
        <v>7</v>
      </c>
      <c r="G1121" s="39">
        <v>1</v>
      </c>
      <c r="H1121" s="50">
        <f>PlanGrid[[#This Row],[Spec Wattage]]*PlanGrid[[#This Row],[Equipment Count]]</f>
        <v>252</v>
      </c>
      <c r="I1121" s="50">
        <f>((PlanGrid[[#This Row],[Demand Watt]]*PlanGrid[[#This Row],[Utilization %]]*'Schedule-Building Info'!$N$16)/1000)</f>
        <v>1379.7</v>
      </c>
      <c r="J1121" s="57">
        <f>PlanGrid[[#This Row],[kWh/yr]]*' Elec Utility (kWh)'!$M$7</f>
        <v>147.0944253856629</v>
      </c>
      <c r="K1121" s="49">
        <f>PlanGrid[[#This Row],[kWh/yr]]/'Schedule-Building Info'!$B$6</f>
        <v>2.26890756302521E-2</v>
      </c>
      <c r="L1121" s="50">
        <f>CONVERT(PlanGrid[[#This Row],[kWh/yr]],"Wh","BTU")</f>
        <v>4707.7318112266212</v>
      </c>
      <c r="M1121" s="38">
        <f>PlanGrid[[#This Row],[kBtu/yr]]/'Schedule-Building Info'!$B$6</f>
        <v>7.7418339575171788E-2</v>
      </c>
      <c r="N1121" t="s">
        <v>1089</v>
      </c>
      <c r="O1121">
        <v>0</v>
      </c>
      <c r="P1121" t="str">
        <f>VLOOKUP(PlanGrid[[#This Row],[Title]],'Spec Wattages'!$A$1:$C$973,3,FALSE)</f>
        <v>Lighting</v>
      </c>
      <c r="Q1121" t="s">
        <v>796</v>
      </c>
      <c r="R1121" t="s">
        <v>730</v>
      </c>
      <c r="S1121" t="s">
        <v>11</v>
      </c>
    </row>
    <row r="1122" spans="1:19" x14ac:dyDescent="0.25">
      <c r="A1122">
        <v>1055</v>
      </c>
      <c r="B1122" t="s">
        <v>43</v>
      </c>
      <c r="C1122" t="s">
        <v>44</v>
      </c>
      <c r="D1122" t="s">
        <v>557</v>
      </c>
      <c r="E1122" s="50">
        <v>36</v>
      </c>
      <c r="F1122" s="38">
        <v>7</v>
      </c>
      <c r="G1122" s="39">
        <v>1</v>
      </c>
      <c r="H1122" s="58">
        <f>PlanGrid[[#This Row],[Spec Wattage]]*PlanGrid[[#This Row],[Equipment Count]]</f>
        <v>252</v>
      </c>
      <c r="I1122" s="50">
        <f>((PlanGrid[[#This Row],[Demand Watt]]*PlanGrid[[#This Row],[Utilization %]]*'Schedule-Building Info'!$N$16)/1000)</f>
        <v>1379.7</v>
      </c>
      <c r="J1122" s="57">
        <f>PlanGrid[[#This Row],[kWh/yr]]*' Elec Utility (kWh)'!$M$7</f>
        <v>147.0944253856629</v>
      </c>
      <c r="K1122" s="38">
        <f>PlanGrid[[#This Row],[kWh/yr]]/'Schedule-Building Info'!$B$6</f>
        <v>2.26890756302521E-2</v>
      </c>
      <c r="L1122" s="50">
        <f>CONVERT(PlanGrid[[#This Row],[kWh/yr]],"Wh","BTU")</f>
        <v>4707.7318112266212</v>
      </c>
      <c r="M1122" s="38">
        <f>PlanGrid[[#This Row],[kBtu/yr]]/'Schedule-Building Info'!$B$6</f>
        <v>7.7418339575171788E-2</v>
      </c>
      <c r="N1122" t="s">
        <v>1089</v>
      </c>
      <c r="O1122">
        <v>0</v>
      </c>
      <c r="P1122" t="str">
        <f>VLOOKUP(PlanGrid[[#This Row],[Title]],'Spec Wattages'!$A$1:$C$973,3,FALSE)</f>
        <v>Lighting</v>
      </c>
      <c r="Q1122" t="s">
        <v>707</v>
      </c>
      <c r="R1122" t="s">
        <v>956</v>
      </c>
      <c r="S1122" t="s">
        <v>11</v>
      </c>
    </row>
    <row r="1123" spans="1:19" x14ac:dyDescent="0.25">
      <c r="A1123">
        <v>796</v>
      </c>
      <c r="B1123" t="s">
        <v>43</v>
      </c>
      <c r="C1123" t="s">
        <v>44</v>
      </c>
      <c r="D1123" t="s">
        <v>572</v>
      </c>
      <c r="E1123" s="50">
        <v>36</v>
      </c>
      <c r="F1123" s="38">
        <v>7</v>
      </c>
      <c r="G1123" s="39">
        <v>1</v>
      </c>
      <c r="H1123" s="58">
        <f>PlanGrid[[#This Row],[Spec Wattage]]*PlanGrid[[#This Row],[Equipment Count]]</f>
        <v>252</v>
      </c>
      <c r="I1123" s="50">
        <f>((PlanGrid[[#This Row],[Demand Watt]]*PlanGrid[[#This Row],[Utilization %]]*'Schedule-Building Info'!$N$16)/1000)</f>
        <v>1379.7</v>
      </c>
      <c r="J1123" s="57">
        <f>PlanGrid[[#This Row],[kWh/yr]]*' Elec Utility (kWh)'!$M$7</f>
        <v>147.0944253856629</v>
      </c>
      <c r="K1123" s="38">
        <f>PlanGrid[[#This Row],[kWh/yr]]/'Schedule-Building Info'!$B$6</f>
        <v>2.26890756302521E-2</v>
      </c>
      <c r="L1123" s="50">
        <f>CONVERT(PlanGrid[[#This Row],[kWh/yr]],"Wh","BTU")</f>
        <v>4707.7318112266212</v>
      </c>
      <c r="M1123" s="38">
        <f>PlanGrid[[#This Row],[kBtu/yr]]/'Schedule-Building Info'!$B$6</f>
        <v>7.7418339575171788E-2</v>
      </c>
      <c r="N1123" t="s">
        <v>1090</v>
      </c>
      <c r="O1123">
        <v>0</v>
      </c>
      <c r="P1123" t="str">
        <f>VLOOKUP(PlanGrid[[#This Row],[Title]],'Spec Wattages'!$A$1:$C$973,3,FALSE)</f>
        <v>Lighting</v>
      </c>
      <c r="Q1123" t="s">
        <v>896</v>
      </c>
      <c r="R1123" t="s">
        <v>828</v>
      </c>
      <c r="S1123" t="s">
        <v>11</v>
      </c>
    </row>
    <row r="1124" spans="1:19" x14ac:dyDescent="0.25">
      <c r="A1124">
        <v>626</v>
      </c>
      <c r="B1124" t="s">
        <v>43</v>
      </c>
      <c r="C1124" t="s">
        <v>44</v>
      </c>
      <c r="D1124" t="s">
        <v>572</v>
      </c>
      <c r="E1124" s="50">
        <v>36</v>
      </c>
      <c r="F1124" s="38">
        <v>7</v>
      </c>
      <c r="G1124" s="39">
        <v>1</v>
      </c>
      <c r="H1124" s="58">
        <f>PlanGrid[[#This Row],[Spec Wattage]]*PlanGrid[[#This Row],[Equipment Count]]</f>
        <v>252</v>
      </c>
      <c r="I1124" s="50">
        <f>((PlanGrid[[#This Row],[Demand Watt]]*PlanGrid[[#This Row],[Utilization %]]*'Schedule-Building Info'!$N$16)/1000)</f>
        <v>1379.7</v>
      </c>
      <c r="J1124" s="57">
        <f>PlanGrid[[#This Row],[kWh/yr]]*' Elec Utility (kWh)'!$M$7</f>
        <v>147.0944253856629</v>
      </c>
      <c r="K1124" s="38">
        <f>PlanGrid[[#This Row],[kWh/yr]]/'Schedule-Building Info'!$B$6</f>
        <v>2.26890756302521E-2</v>
      </c>
      <c r="L1124" s="50">
        <f>CONVERT(PlanGrid[[#This Row],[kWh/yr]],"Wh","BTU")</f>
        <v>4707.7318112266212</v>
      </c>
      <c r="M1124" s="38">
        <f>PlanGrid[[#This Row],[kBtu/yr]]/'Schedule-Building Info'!$B$6</f>
        <v>7.7418339575171788E-2</v>
      </c>
      <c r="N1124" t="s">
        <v>1092</v>
      </c>
      <c r="O1124">
        <v>0</v>
      </c>
      <c r="P1124" t="str">
        <f>VLOOKUP(PlanGrid[[#This Row],[Title]],'Spec Wattages'!$A$1:$C$973,3,FALSE)</f>
        <v>Lighting</v>
      </c>
      <c r="Q1124" t="s">
        <v>977</v>
      </c>
      <c r="R1124" t="s">
        <v>916</v>
      </c>
      <c r="S1124" t="s">
        <v>11</v>
      </c>
    </row>
    <row r="1125" spans="1:19" x14ac:dyDescent="0.25">
      <c r="A1125">
        <v>631</v>
      </c>
      <c r="B1125" t="s">
        <v>22</v>
      </c>
      <c r="C1125" t="s">
        <v>466</v>
      </c>
      <c r="D1125" t="s">
        <v>484</v>
      </c>
      <c r="E1125" s="50">
        <v>36</v>
      </c>
      <c r="F1125" s="38">
        <v>7</v>
      </c>
      <c r="G1125" s="39">
        <v>1.6</v>
      </c>
      <c r="H1125" s="50">
        <f>PlanGrid[[#This Row],[Spec Wattage]]*PlanGrid[[#This Row],[Equipment Count]]</f>
        <v>252</v>
      </c>
      <c r="I1125" s="50">
        <f>((PlanGrid[[#This Row],[Demand Watt]]*PlanGrid[[#This Row],[Utilization %]]*'Schedule-Building Info'!$N$16)/1000)</f>
        <v>2207.5200000000004</v>
      </c>
      <c r="J1125" s="57">
        <f>PlanGrid[[#This Row],[kWh/yr]]*' Elec Utility (kWh)'!$M$7</f>
        <v>235.35108061706069</v>
      </c>
      <c r="K1125" s="49">
        <f>PlanGrid[[#This Row],[kWh/yr]]/'Schedule-Building Info'!$B$6</f>
        <v>3.6302521008403366E-2</v>
      </c>
      <c r="L1125" s="50">
        <f>CONVERT(PlanGrid[[#This Row],[kWh/yr]],"Wh","BTU")</f>
        <v>7532.3708979625953</v>
      </c>
      <c r="M1125" s="38">
        <f>PlanGrid[[#This Row],[kBtu/yr]]/'Schedule-Building Info'!$B$6</f>
        <v>0.12386934332027488</v>
      </c>
      <c r="N1125" t="s">
        <v>1090</v>
      </c>
      <c r="O1125">
        <v>0</v>
      </c>
      <c r="P1125" t="str">
        <f>VLOOKUP(PlanGrid[[#This Row],[Title]],'Spec Wattages'!$A$1:$C$973,3,FALSE)</f>
        <v>Lighting</v>
      </c>
      <c r="Q1125" t="s">
        <v>804</v>
      </c>
      <c r="R1125" t="s">
        <v>1038</v>
      </c>
      <c r="S1125" t="s">
        <v>51</v>
      </c>
    </row>
    <row r="1126" spans="1:19" x14ac:dyDescent="0.25">
      <c r="A1126">
        <v>753</v>
      </c>
      <c r="B1126" t="s">
        <v>22</v>
      </c>
      <c r="C1126" t="s">
        <v>466</v>
      </c>
      <c r="D1126" t="s">
        <v>493</v>
      </c>
      <c r="E1126" s="50">
        <v>36</v>
      </c>
      <c r="F1126" s="38">
        <v>8</v>
      </c>
      <c r="G1126" s="39">
        <v>1</v>
      </c>
      <c r="H1126" s="50">
        <f>PlanGrid[[#This Row],[Spec Wattage]]*PlanGrid[[#This Row],[Equipment Count]]</f>
        <v>288</v>
      </c>
      <c r="I1126" s="50">
        <f>((PlanGrid[[#This Row],[Demand Watt]]*PlanGrid[[#This Row],[Utilization %]]*'Schedule-Building Info'!$N$16)/1000)</f>
        <v>1576.8</v>
      </c>
      <c r="J1126" s="57">
        <f>PlanGrid[[#This Row],[kWh/yr]]*' Elec Utility (kWh)'!$M$7</f>
        <v>168.1079147264719</v>
      </c>
      <c r="K1126" s="49">
        <f>PlanGrid[[#This Row],[kWh/yr]]/'Schedule-Building Info'!$B$6</f>
        <v>2.5930372148859543E-2</v>
      </c>
      <c r="L1126" s="50">
        <f>CONVERT(PlanGrid[[#This Row],[kWh/yr]],"Wh","BTU")</f>
        <v>5380.2649271161381</v>
      </c>
      <c r="M1126" s="38">
        <f>PlanGrid[[#This Row],[kBtu/yr]]/'Schedule-Building Info'!$B$6</f>
        <v>8.8478102371624887E-2</v>
      </c>
      <c r="N1126" t="s">
        <v>1090</v>
      </c>
      <c r="O1126">
        <v>0</v>
      </c>
      <c r="P1126" t="str">
        <f>VLOOKUP(PlanGrid[[#This Row],[Title]],'Spec Wattages'!$A$1:$C$973,3,FALSE)</f>
        <v>Lighting</v>
      </c>
      <c r="Q1126" t="s">
        <v>825</v>
      </c>
      <c r="R1126" t="s">
        <v>826</v>
      </c>
      <c r="S1126" t="s">
        <v>11</v>
      </c>
    </row>
    <row r="1127" spans="1:19" x14ac:dyDescent="0.25">
      <c r="A1127">
        <v>627</v>
      </c>
      <c r="B1127" t="s">
        <v>22</v>
      </c>
      <c r="C1127" t="s">
        <v>466</v>
      </c>
      <c r="D1127" t="s">
        <v>520</v>
      </c>
      <c r="E1127" s="50">
        <v>36</v>
      </c>
      <c r="F1127" s="38">
        <v>9</v>
      </c>
      <c r="G1127" s="39">
        <v>1</v>
      </c>
      <c r="H1127" s="58">
        <f>PlanGrid[[#This Row],[Spec Wattage]]*PlanGrid[[#This Row],[Equipment Count]]</f>
        <v>324</v>
      </c>
      <c r="I1127" s="50">
        <f>((PlanGrid[[#This Row],[Demand Watt]]*PlanGrid[[#This Row],[Utilization %]]*'Schedule-Building Info'!$N$16)/1000)</f>
        <v>1773.9</v>
      </c>
      <c r="J1127" s="57">
        <f>PlanGrid[[#This Row],[kWh/yr]]*' Elec Utility (kWh)'!$M$7</f>
        <v>189.12140406728091</v>
      </c>
      <c r="K1127" s="38">
        <f>PlanGrid[[#This Row],[kWh/yr]]/'Schedule-Building Info'!$B$6</f>
        <v>2.9171668667466989E-2</v>
      </c>
      <c r="L1127" s="50">
        <f>CONVERT(PlanGrid[[#This Row],[kWh/yr]],"Wh","BTU")</f>
        <v>6052.7980430056559</v>
      </c>
      <c r="M1127" s="38">
        <f>PlanGrid[[#This Row],[kBtu/yr]]/'Schedule-Building Info'!$B$6</f>
        <v>9.9537865168078013E-2</v>
      </c>
      <c r="N1127" t="s">
        <v>1092</v>
      </c>
      <c r="O1127">
        <v>0</v>
      </c>
      <c r="P1127" t="str">
        <f>VLOOKUP(PlanGrid[[#This Row],[Title]],'Spec Wattages'!$A$1:$C$973,3,FALSE)</f>
        <v>Lighting</v>
      </c>
      <c r="Q1127" t="s">
        <v>917</v>
      </c>
      <c r="R1127" t="s">
        <v>1020</v>
      </c>
      <c r="S1127" t="s">
        <v>11</v>
      </c>
    </row>
    <row r="1128" spans="1:19" x14ac:dyDescent="0.25">
      <c r="A1128">
        <v>15</v>
      </c>
      <c r="B1128" t="s">
        <v>43</v>
      </c>
      <c r="C1128" t="s">
        <v>44</v>
      </c>
      <c r="D1128" t="s">
        <v>576</v>
      </c>
      <c r="E1128" s="50">
        <v>50</v>
      </c>
      <c r="F1128" s="38">
        <v>7</v>
      </c>
      <c r="G1128" s="39">
        <v>1</v>
      </c>
      <c r="H1128" s="58">
        <f>PlanGrid[[#This Row],[Spec Wattage]]*PlanGrid[[#This Row],[Equipment Count]]</f>
        <v>350</v>
      </c>
      <c r="I1128" s="50">
        <f>((PlanGrid[[#This Row],[Demand Watt]]*PlanGrid[[#This Row],[Utilization %]]*'Schedule-Building Info'!$N$16)/1000)</f>
        <v>1916.25</v>
      </c>
      <c r="J1128" s="57">
        <f>PlanGrid[[#This Row],[kWh/yr]]*' Elec Utility (kWh)'!$M$7</f>
        <v>204.29781303564292</v>
      </c>
      <c r="K1128" s="38">
        <f>PlanGrid[[#This Row],[kWh/yr]]/'Schedule-Building Info'!$B$6</f>
        <v>3.1512605042016806E-2</v>
      </c>
      <c r="L1128" s="50">
        <f>CONVERT(PlanGrid[[#This Row],[kWh/yr]],"Wh","BTU")</f>
        <v>6538.5164044814182</v>
      </c>
      <c r="M1128" s="38">
        <f>PlanGrid[[#This Row],[kBtu/yr]]/'Schedule-Building Info'!$B$6</f>
        <v>0.10752547163218304</v>
      </c>
      <c r="N1128" t="s">
        <v>1091</v>
      </c>
      <c r="O1128">
        <v>0</v>
      </c>
      <c r="P1128" t="str">
        <f>VLOOKUP(PlanGrid[[#This Row],[Title]],'Spec Wattages'!$A$1:$C$973,3,FALSE)</f>
        <v>Lighting</v>
      </c>
      <c r="Q1128" t="s">
        <v>969</v>
      </c>
      <c r="R1128" t="s">
        <v>1054</v>
      </c>
      <c r="S1128" t="s">
        <v>51</v>
      </c>
    </row>
    <row r="1129" spans="1:19" x14ac:dyDescent="0.25">
      <c r="A1129">
        <v>723</v>
      </c>
      <c r="B1129" t="s">
        <v>22</v>
      </c>
      <c r="C1129" t="s">
        <v>466</v>
      </c>
      <c r="D1129" t="s">
        <v>489</v>
      </c>
      <c r="E1129" s="50">
        <v>36</v>
      </c>
      <c r="F1129" s="38">
        <v>10</v>
      </c>
      <c r="G1129" s="39">
        <v>1</v>
      </c>
      <c r="H1129" s="50">
        <f>PlanGrid[[#This Row],[Spec Wattage]]*PlanGrid[[#This Row],[Equipment Count]]</f>
        <v>360</v>
      </c>
      <c r="I1129" s="50">
        <f>((PlanGrid[[#This Row],[Demand Watt]]*PlanGrid[[#This Row],[Utilization %]]*'Schedule-Building Info'!$N$16)/1000)</f>
        <v>1971</v>
      </c>
      <c r="J1129" s="57">
        <f>PlanGrid[[#This Row],[kWh/yr]]*' Elec Utility (kWh)'!$M$7</f>
        <v>210.13489340808988</v>
      </c>
      <c r="K1129" s="49">
        <f>PlanGrid[[#This Row],[kWh/yr]]/'Schedule-Building Info'!$B$6</f>
        <v>3.2412965186074429E-2</v>
      </c>
      <c r="L1129" s="50">
        <f>CONVERT(PlanGrid[[#This Row],[kWh/yr]],"Wh","BTU")</f>
        <v>6725.3311588951728</v>
      </c>
      <c r="M1129" s="38">
        <f>PlanGrid[[#This Row],[kBtu/yr]]/'Schedule-Building Info'!$B$6</f>
        <v>0.11059762796453113</v>
      </c>
      <c r="N1129" t="s">
        <v>1090</v>
      </c>
      <c r="O1129">
        <v>0</v>
      </c>
      <c r="P1129" t="str">
        <f>VLOOKUP(PlanGrid[[#This Row],[Title]],'Spec Wattages'!$A$1:$C$973,3,FALSE)</f>
        <v>Lighting</v>
      </c>
      <c r="Q1129" t="s">
        <v>819</v>
      </c>
      <c r="R1129" t="s">
        <v>819</v>
      </c>
      <c r="S1129" t="s">
        <v>11</v>
      </c>
    </row>
    <row r="1130" spans="1:19" x14ac:dyDescent="0.25">
      <c r="A1130">
        <v>635</v>
      </c>
      <c r="B1130" t="s">
        <v>13</v>
      </c>
      <c r="C1130" t="s">
        <v>10</v>
      </c>
      <c r="D1130" t="s">
        <v>612</v>
      </c>
      <c r="E1130" s="50">
        <v>175</v>
      </c>
      <c r="F1130" s="38">
        <v>8</v>
      </c>
      <c r="G1130" s="39">
        <v>0.25</v>
      </c>
      <c r="H1130" s="58">
        <f>PlanGrid[[#This Row],[Spec Wattage]]*PlanGrid[[#This Row],[Equipment Count]]</f>
        <v>1400</v>
      </c>
      <c r="I1130" s="50">
        <f>((PlanGrid[[#This Row],[Demand Watt]]*PlanGrid[[#This Row],[Utilization %]]*'Schedule-Building Info'!$N$16)/1000)</f>
        <v>1916.25</v>
      </c>
      <c r="J1130" s="57">
        <f>PlanGrid[[#This Row],[kWh/yr]]*' Elec Utility (kWh)'!$M$7</f>
        <v>204.29781303564292</v>
      </c>
      <c r="K1130" s="38">
        <f>PlanGrid[[#This Row],[kWh/yr]]/'Schedule-Building Info'!$B$6</f>
        <v>3.1512605042016806E-2</v>
      </c>
      <c r="L1130" s="50">
        <f>CONVERT(PlanGrid[[#This Row],[kWh/yr]],"Wh","BTU")</f>
        <v>6538.5164044814182</v>
      </c>
      <c r="M1130" s="38">
        <f>PlanGrid[[#This Row],[kBtu/yr]]/'Schedule-Building Info'!$B$6</f>
        <v>0.10752547163218304</v>
      </c>
      <c r="N1130" t="s">
        <v>1090</v>
      </c>
      <c r="O1130">
        <v>2</v>
      </c>
      <c r="P1130" t="s">
        <v>87</v>
      </c>
      <c r="Q1130" t="s">
        <v>997</v>
      </c>
      <c r="R1130" t="s">
        <v>958</v>
      </c>
      <c r="S1130" t="s">
        <v>11</v>
      </c>
    </row>
    <row r="1131" spans="1:19" x14ac:dyDescent="0.25">
      <c r="A1131">
        <v>648</v>
      </c>
      <c r="B1131" t="s">
        <v>29</v>
      </c>
      <c r="C1131" t="s">
        <v>30</v>
      </c>
      <c r="D1131" t="s">
        <v>492</v>
      </c>
      <c r="E1131" s="50">
        <f>VLOOKUP(PlanGrid[[#This Row],[Title]],'Spec Wattages'!$A$1:$C$973,2,FALSE)</f>
        <v>175</v>
      </c>
      <c r="F1131" s="38">
        <v>8</v>
      </c>
      <c r="G1131" s="39">
        <v>0.25</v>
      </c>
      <c r="H1131" s="50">
        <f>PlanGrid[[#This Row],[Spec Wattage]]*PlanGrid[[#This Row],[Equipment Count]]</f>
        <v>1400</v>
      </c>
      <c r="I1131" s="50">
        <f>((PlanGrid[[#This Row],[Demand Watt]]*PlanGrid[[#This Row],[Utilization %]]*'Schedule-Building Info'!$N$16)/1000)</f>
        <v>1916.25</v>
      </c>
      <c r="J1131" s="57">
        <f>PlanGrid[[#This Row],[kWh/yr]]*' Elec Utility (kWh)'!$M$7</f>
        <v>204.29781303564292</v>
      </c>
      <c r="K1131" s="49">
        <f>PlanGrid[[#This Row],[kWh/yr]]/'Schedule-Building Info'!$B$6</f>
        <v>3.1512605042016806E-2</v>
      </c>
      <c r="L1131" s="50">
        <f>CONVERT(PlanGrid[[#This Row],[kWh/yr]],"Wh","BTU")</f>
        <v>6538.5164044814182</v>
      </c>
      <c r="M1131" s="38">
        <f>PlanGrid[[#This Row],[kBtu/yr]]/'Schedule-Building Info'!$B$6</f>
        <v>0.10752547163218304</v>
      </c>
      <c r="N1131" t="s">
        <v>1090</v>
      </c>
      <c r="O1131">
        <v>3</v>
      </c>
      <c r="P1131" t="str">
        <f>VLOOKUP(PlanGrid[[#This Row],[Title]],'Spec Wattages'!$A$1:$C$973,3,FALSE)</f>
        <v>Plug Load</v>
      </c>
      <c r="Q1131" t="s">
        <v>823</v>
      </c>
      <c r="R1131" t="s">
        <v>1053</v>
      </c>
      <c r="S1131" t="s">
        <v>11</v>
      </c>
    </row>
    <row r="1132" spans="1:19" x14ac:dyDescent="0.25">
      <c r="A1132">
        <v>763</v>
      </c>
      <c r="B1132" t="s">
        <v>43</v>
      </c>
      <c r="C1132" t="s">
        <v>44</v>
      </c>
      <c r="D1132" t="s">
        <v>571</v>
      </c>
      <c r="E1132" s="50">
        <v>36</v>
      </c>
      <c r="F1132" s="38">
        <v>10</v>
      </c>
      <c r="G1132" s="39">
        <v>1</v>
      </c>
      <c r="H1132" s="58">
        <f>PlanGrid[[#This Row],[Spec Wattage]]*PlanGrid[[#This Row],[Equipment Count]]</f>
        <v>360</v>
      </c>
      <c r="I1132" s="50">
        <f>((PlanGrid[[#This Row],[Demand Watt]]*PlanGrid[[#This Row],[Utilization %]]*'Schedule-Building Info'!$N$16)/1000)</f>
        <v>1971</v>
      </c>
      <c r="J1132" s="57">
        <f>PlanGrid[[#This Row],[kWh/yr]]*' Elec Utility (kWh)'!$M$7</f>
        <v>210.13489340808988</v>
      </c>
      <c r="K1132" s="38">
        <f>PlanGrid[[#This Row],[kWh/yr]]/'Schedule-Building Info'!$B$6</f>
        <v>3.2412965186074429E-2</v>
      </c>
      <c r="L1132" s="50">
        <f>CONVERT(PlanGrid[[#This Row],[kWh/yr]],"Wh","BTU")</f>
        <v>6725.3311588951728</v>
      </c>
      <c r="M1132" s="38">
        <f>PlanGrid[[#This Row],[kBtu/yr]]/'Schedule-Building Info'!$B$6</f>
        <v>0.11059762796453113</v>
      </c>
      <c r="N1132" t="s">
        <v>1090</v>
      </c>
      <c r="O1132">
        <v>0</v>
      </c>
      <c r="P1132" t="str">
        <f>VLOOKUP(PlanGrid[[#This Row],[Title]],'Spec Wattages'!$A$1:$C$973,3,FALSE)</f>
        <v>Lighting</v>
      </c>
      <c r="Q1132" t="s">
        <v>883</v>
      </c>
      <c r="R1132" t="s">
        <v>824</v>
      </c>
      <c r="S1132" t="s">
        <v>11</v>
      </c>
    </row>
    <row r="1133" spans="1:19" x14ac:dyDescent="0.25">
      <c r="A1133">
        <v>944</v>
      </c>
      <c r="B1133" t="s">
        <v>43</v>
      </c>
      <c r="C1133" t="s">
        <v>44</v>
      </c>
      <c r="D1133" t="s">
        <v>544</v>
      </c>
      <c r="E1133" s="50">
        <v>36</v>
      </c>
      <c r="F1133" s="38">
        <v>11</v>
      </c>
      <c r="G1133" s="39">
        <v>1</v>
      </c>
      <c r="H1133" s="58">
        <f>PlanGrid[[#This Row],[Spec Wattage]]*PlanGrid[[#This Row],[Equipment Count]]</f>
        <v>396</v>
      </c>
      <c r="I1133" s="50">
        <f>((PlanGrid[[#This Row],[Demand Watt]]*PlanGrid[[#This Row],[Utilization %]]*'Schedule-Building Info'!$N$16)/1000)</f>
        <v>2168.1</v>
      </c>
      <c r="J1133" s="57">
        <f>PlanGrid[[#This Row],[kWh/yr]]*' Elec Utility (kWh)'!$M$7</f>
        <v>231.14838274889885</v>
      </c>
      <c r="K1133" s="38">
        <f>PlanGrid[[#This Row],[kWh/yr]]/'Schedule-Building Info'!$B$6</f>
        <v>3.5654261704681868E-2</v>
      </c>
      <c r="L1133" s="50">
        <f>CONVERT(PlanGrid[[#This Row],[kWh/yr]],"Wh","BTU")</f>
        <v>7397.8642747846907</v>
      </c>
      <c r="M1133" s="38">
        <f>PlanGrid[[#This Row],[kBtu/yr]]/'Schedule-Building Info'!$B$6</f>
        <v>0.12165739076098424</v>
      </c>
      <c r="N1133" t="s">
        <v>1089</v>
      </c>
      <c r="O1133">
        <v>0</v>
      </c>
      <c r="P1133" t="str">
        <f>VLOOKUP(PlanGrid[[#This Row],[Title]],'Spec Wattages'!$A$1:$C$973,3,FALSE)</f>
        <v>Lighting</v>
      </c>
      <c r="Q1133" t="s">
        <v>753</v>
      </c>
      <c r="R1133" t="s">
        <v>733</v>
      </c>
      <c r="S1133" t="s">
        <v>11</v>
      </c>
    </row>
    <row r="1134" spans="1:19" x14ac:dyDescent="0.25">
      <c r="A1134">
        <v>1046</v>
      </c>
      <c r="B1134" t="s">
        <v>43</v>
      </c>
      <c r="C1134" t="s">
        <v>44</v>
      </c>
      <c r="D1134" t="s">
        <v>544</v>
      </c>
      <c r="E1134" s="50">
        <v>36</v>
      </c>
      <c r="F1134" s="38">
        <v>11</v>
      </c>
      <c r="G1134" s="39">
        <v>1</v>
      </c>
      <c r="H1134" s="58">
        <f>PlanGrid[[#This Row],[Spec Wattage]]*PlanGrid[[#This Row],[Equipment Count]]</f>
        <v>396</v>
      </c>
      <c r="I1134" s="50">
        <f>((PlanGrid[[#This Row],[Demand Watt]]*PlanGrid[[#This Row],[Utilization %]]*'Schedule-Building Info'!$N$16)/1000)</f>
        <v>2168.1</v>
      </c>
      <c r="J1134" s="57">
        <f>PlanGrid[[#This Row],[kWh/yr]]*' Elec Utility (kWh)'!$M$7</f>
        <v>231.14838274889885</v>
      </c>
      <c r="K1134" s="38">
        <f>PlanGrid[[#This Row],[kWh/yr]]/'Schedule-Building Info'!$B$6</f>
        <v>3.5654261704681868E-2</v>
      </c>
      <c r="L1134" s="50">
        <f>CONVERT(PlanGrid[[#This Row],[kWh/yr]],"Wh","BTU")</f>
        <v>7397.8642747846907</v>
      </c>
      <c r="M1134" s="38">
        <f>PlanGrid[[#This Row],[kBtu/yr]]/'Schedule-Building Info'!$B$6</f>
        <v>0.12165739076098424</v>
      </c>
      <c r="N1134" t="s">
        <v>1089</v>
      </c>
      <c r="O1134">
        <v>0</v>
      </c>
      <c r="P1134" t="str">
        <f>VLOOKUP(PlanGrid[[#This Row],[Title]],'Spec Wattages'!$A$1:$C$973,3,FALSE)</f>
        <v>Lighting</v>
      </c>
      <c r="Q1134" t="s">
        <v>956</v>
      </c>
      <c r="R1134" t="s">
        <v>955</v>
      </c>
      <c r="S1134" t="s">
        <v>11</v>
      </c>
    </row>
    <row r="1135" spans="1:19" x14ac:dyDescent="0.25">
      <c r="A1135">
        <v>729</v>
      </c>
      <c r="B1135" t="s">
        <v>43</v>
      </c>
      <c r="C1135" t="s">
        <v>44</v>
      </c>
      <c r="D1135" t="s">
        <v>567</v>
      </c>
      <c r="E1135" s="50">
        <v>36</v>
      </c>
      <c r="F1135" s="38">
        <v>11</v>
      </c>
      <c r="G1135" s="39">
        <v>1</v>
      </c>
      <c r="H1135" s="58">
        <f>PlanGrid[[#This Row],[Spec Wattage]]*PlanGrid[[#This Row],[Equipment Count]]</f>
        <v>396</v>
      </c>
      <c r="I1135" s="50">
        <f>((PlanGrid[[#This Row],[Demand Watt]]*PlanGrid[[#This Row],[Utilization %]]*'Schedule-Building Info'!$N$16)/1000)</f>
        <v>2168.1</v>
      </c>
      <c r="J1135" s="57">
        <f>PlanGrid[[#This Row],[kWh/yr]]*' Elec Utility (kWh)'!$M$7</f>
        <v>231.14838274889885</v>
      </c>
      <c r="K1135" s="38">
        <f>PlanGrid[[#This Row],[kWh/yr]]/'Schedule-Building Info'!$B$6</f>
        <v>3.5654261704681868E-2</v>
      </c>
      <c r="L1135" s="50">
        <f>CONVERT(PlanGrid[[#This Row],[kWh/yr]],"Wh","BTU")</f>
        <v>7397.8642747846907</v>
      </c>
      <c r="M1135" s="38">
        <f>PlanGrid[[#This Row],[kBtu/yr]]/'Schedule-Building Info'!$B$6</f>
        <v>0.12165739076098424</v>
      </c>
      <c r="N1135" t="s">
        <v>1090</v>
      </c>
      <c r="O1135">
        <v>0</v>
      </c>
      <c r="P1135" t="str">
        <f>VLOOKUP(PlanGrid[[#This Row],[Title]],'Spec Wattages'!$A$1:$C$973,3,FALSE)</f>
        <v>Lighting</v>
      </c>
      <c r="Q1135" t="s">
        <v>963</v>
      </c>
      <c r="R1135" t="s">
        <v>858</v>
      </c>
      <c r="S1135" t="s">
        <v>11</v>
      </c>
    </row>
    <row r="1136" spans="1:19" x14ac:dyDescent="0.25">
      <c r="A1136">
        <v>734</v>
      </c>
      <c r="B1136" t="s">
        <v>43</v>
      </c>
      <c r="C1136" t="s">
        <v>44</v>
      </c>
      <c r="D1136" t="s">
        <v>568</v>
      </c>
      <c r="E1136" s="50">
        <v>36</v>
      </c>
      <c r="F1136" s="38">
        <v>11</v>
      </c>
      <c r="G1136" s="39">
        <v>1</v>
      </c>
      <c r="H1136" s="58">
        <f>PlanGrid[[#This Row],[Spec Wattage]]*PlanGrid[[#This Row],[Equipment Count]]</f>
        <v>396</v>
      </c>
      <c r="I1136" s="50">
        <f>((PlanGrid[[#This Row],[Demand Watt]]*PlanGrid[[#This Row],[Utilization %]]*'Schedule-Building Info'!$N$16)/1000)</f>
        <v>2168.1</v>
      </c>
      <c r="J1136" s="57">
        <f>PlanGrid[[#This Row],[kWh/yr]]*' Elec Utility (kWh)'!$M$7</f>
        <v>231.14838274889885</v>
      </c>
      <c r="K1136" s="38">
        <f>PlanGrid[[#This Row],[kWh/yr]]/'Schedule-Building Info'!$B$6</f>
        <v>3.5654261704681868E-2</v>
      </c>
      <c r="L1136" s="50">
        <f>CONVERT(PlanGrid[[#This Row],[kWh/yr]],"Wh","BTU")</f>
        <v>7397.8642747846907</v>
      </c>
      <c r="M1136" s="38">
        <f>PlanGrid[[#This Row],[kBtu/yr]]/'Schedule-Building Info'!$B$6</f>
        <v>0.12165739076098424</v>
      </c>
      <c r="N1136" t="s">
        <v>1090</v>
      </c>
      <c r="O1136">
        <v>0</v>
      </c>
      <c r="P1136" t="str">
        <f>VLOOKUP(PlanGrid[[#This Row],[Title]],'Spec Wattages'!$A$1:$C$973,3,FALSE)</f>
        <v>Lighting</v>
      </c>
      <c r="Q1136" t="s">
        <v>963</v>
      </c>
      <c r="R1136" t="s">
        <v>723</v>
      </c>
      <c r="S1136" t="s">
        <v>11</v>
      </c>
    </row>
    <row r="1137" spans="1:19" x14ac:dyDescent="0.25">
      <c r="A1137">
        <v>792</v>
      </c>
      <c r="B1137" t="s">
        <v>43</v>
      </c>
      <c r="C1137" t="s">
        <v>44</v>
      </c>
      <c r="D1137" t="s">
        <v>568</v>
      </c>
      <c r="E1137" s="50">
        <v>36</v>
      </c>
      <c r="F1137" s="38">
        <v>11</v>
      </c>
      <c r="G1137" s="39">
        <v>1</v>
      </c>
      <c r="H1137" s="58">
        <f>PlanGrid[[#This Row],[Spec Wattage]]*PlanGrid[[#This Row],[Equipment Count]]</f>
        <v>396</v>
      </c>
      <c r="I1137" s="50">
        <f>((PlanGrid[[#This Row],[Demand Watt]]*PlanGrid[[#This Row],[Utilization %]]*'Schedule-Building Info'!$N$16)/1000)</f>
        <v>2168.1</v>
      </c>
      <c r="J1137" s="57">
        <f>PlanGrid[[#This Row],[kWh/yr]]*' Elec Utility (kWh)'!$M$7</f>
        <v>231.14838274889885</v>
      </c>
      <c r="K1137" s="38">
        <f>PlanGrid[[#This Row],[kWh/yr]]/'Schedule-Building Info'!$B$6</f>
        <v>3.5654261704681868E-2</v>
      </c>
      <c r="L1137" s="50">
        <f>CONVERT(PlanGrid[[#This Row],[kWh/yr]],"Wh","BTU")</f>
        <v>7397.8642747846907</v>
      </c>
      <c r="M1137" s="38">
        <f>PlanGrid[[#This Row],[kBtu/yr]]/'Schedule-Building Info'!$B$6</f>
        <v>0.12165739076098424</v>
      </c>
      <c r="N1137" t="s">
        <v>1090</v>
      </c>
      <c r="O1137">
        <v>0</v>
      </c>
      <c r="P1137" t="str">
        <f>VLOOKUP(PlanGrid[[#This Row],[Title]],'Spec Wattages'!$A$1:$C$973,3,FALSE)</f>
        <v>Lighting</v>
      </c>
      <c r="Q1137" t="s">
        <v>889</v>
      </c>
      <c r="R1137" t="s">
        <v>889</v>
      </c>
      <c r="S1137" t="s">
        <v>11</v>
      </c>
    </row>
    <row r="1138" spans="1:19" x14ac:dyDescent="0.25">
      <c r="A1138">
        <v>1045</v>
      </c>
      <c r="B1138" t="s">
        <v>43</v>
      </c>
      <c r="C1138" t="s">
        <v>44</v>
      </c>
      <c r="D1138" t="s">
        <v>556</v>
      </c>
      <c r="E1138" s="50">
        <v>36</v>
      </c>
      <c r="F1138" s="38">
        <v>11</v>
      </c>
      <c r="G1138" s="39">
        <v>1</v>
      </c>
      <c r="H1138" s="58">
        <f>PlanGrid[[#This Row],[Spec Wattage]]*PlanGrid[[#This Row],[Equipment Count]]</f>
        <v>396</v>
      </c>
      <c r="I1138" s="50">
        <f>((PlanGrid[[#This Row],[Demand Watt]]*PlanGrid[[#This Row],[Utilization %]]*'Schedule-Building Info'!$N$16)/1000)</f>
        <v>2168.1</v>
      </c>
      <c r="J1138" s="57">
        <f>PlanGrid[[#This Row],[kWh/yr]]*' Elec Utility (kWh)'!$M$7</f>
        <v>231.14838274889885</v>
      </c>
      <c r="K1138" s="38">
        <f>PlanGrid[[#This Row],[kWh/yr]]/'Schedule-Building Info'!$B$6</f>
        <v>3.5654261704681868E-2</v>
      </c>
      <c r="L1138" s="50">
        <f>CONVERT(PlanGrid[[#This Row],[kWh/yr]],"Wh","BTU")</f>
        <v>7397.8642747846907</v>
      </c>
      <c r="M1138" s="38">
        <f>PlanGrid[[#This Row],[kBtu/yr]]/'Schedule-Building Info'!$B$6</f>
        <v>0.12165739076098424</v>
      </c>
      <c r="N1138" t="s">
        <v>1089</v>
      </c>
      <c r="O1138">
        <v>0</v>
      </c>
      <c r="P1138" t="str">
        <f>VLOOKUP(PlanGrid[[#This Row],[Title]],'Spec Wattages'!$A$1:$C$973,3,FALSE)</f>
        <v>Lighting</v>
      </c>
      <c r="Q1138" t="s">
        <v>955</v>
      </c>
      <c r="R1138" t="s">
        <v>706</v>
      </c>
      <c r="S1138" t="s">
        <v>11</v>
      </c>
    </row>
    <row r="1139" spans="1:19" x14ac:dyDescent="0.25">
      <c r="A1139">
        <v>722</v>
      </c>
      <c r="B1139" t="s">
        <v>43</v>
      </c>
      <c r="C1139" t="s">
        <v>44</v>
      </c>
      <c r="D1139" t="s">
        <v>565</v>
      </c>
      <c r="E1139" s="50">
        <v>36</v>
      </c>
      <c r="F1139" s="38">
        <v>11</v>
      </c>
      <c r="G1139" s="39">
        <v>1</v>
      </c>
      <c r="H1139" s="58">
        <f>PlanGrid[[#This Row],[Spec Wattage]]*PlanGrid[[#This Row],[Equipment Count]]</f>
        <v>396</v>
      </c>
      <c r="I1139" s="50">
        <f>((PlanGrid[[#This Row],[Demand Watt]]*PlanGrid[[#This Row],[Utilization %]]*'Schedule-Building Info'!$N$16)/1000)</f>
        <v>2168.1</v>
      </c>
      <c r="J1139" s="57">
        <f>PlanGrid[[#This Row],[kWh/yr]]*' Elec Utility (kWh)'!$M$7</f>
        <v>231.14838274889885</v>
      </c>
      <c r="K1139" s="38">
        <f>PlanGrid[[#This Row],[kWh/yr]]/'Schedule-Building Info'!$B$6</f>
        <v>3.5654261704681868E-2</v>
      </c>
      <c r="L1139" s="50">
        <f>CONVERT(PlanGrid[[#This Row],[kWh/yr]],"Wh","BTU")</f>
        <v>7397.8642747846907</v>
      </c>
      <c r="M1139" s="38">
        <f>PlanGrid[[#This Row],[kBtu/yr]]/'Schedule-Building Info'!$B$6</f>
        <v>0.12165739076098424</v>
      </c>
      <c r="N1139" t="s">
        <v>1090</v>
      </c>
      <c r="O1139">
        <v>0</v>
      </c>
      <c r="P1139" t="str">
        <f>VLOOKUP(PlanGrid[[#This Row],[Title]],'Spec Wattages'!$A$1:$C$973,3,FALSE)</f>
        <v>Lighting</v>
      </c>
      <c r="Q1139" t="s">
        <v>927</v>
      </c>
      <c r="R1139" t="s">
        <v>819</v>
      </c>
      <c r="S1139" t="s">
        <v>51</v>
      </c>
    </row>
    <row r="1140" spans="1:19" x14ac:dyDescent="0.25">
      <c r="A1140">
        <v>976</v>
      </c>
      <c r="B1140" t="s">
        <v>43</v>
      </c>
      <c r="C1140" t="s">
        <v>44</v>
      </c>
      <c r="D1140" t="s">
        <v>547</v>
      </c>
      <c r="E1140" s="50">
        <v>36</v>
      </c>
      <c r="F1140" s="38">
        <v>12</v>
      </c>
      <c r="G1140" s="39">
        <v>1</v>
      </c>
      <c r="H1140" s="58">
        <f>PlanGrid[[#This Row],[Spec Wattage]]*PlanGrid[[#This Row],[Equipment Count]]</f>
        <v>432</v>
      </c>
      <c r="I1140" s="50">
        <f>((PlanGrid[[#This Row],[Demand Watt]]*PlanGrid[[#This Row],[Utilization %]]*'Schedule-Building Info'!$N$16)/1000)</f>
        <v>2365.1999999999998</v>
      </c>
      <c r="J1140" s="57">
        <f>PlanGrid[[#This Row],[kWh/yr]]*' Elec Utility (kWh)'!$M$7</f>
        <v>252.16187208970783</v>
      </c>
      <c r="K1140" s="38">
        <f>PlanGrid[[#This Row],[kWh/yr]]/'Schedule-Building Info'!$B$6</f>
        <v>3.8895558223289314E-2</v>
      </c>
      <c r="L1140" s="50">
        <f>CONVERT(PlanGrid[[#This Row],[kWh/yr]],"Wh","BTU")</f>
        <v>8070.3973906742076</v>
      </c>
      <c r="M1140" s="38">
        <f>PlanGrid[[#This Row],[kBtu/yr]]/'Schedule-Building Info'!$B$6</f>
        <v>0.13271715355743735</v>
      </c>
      <c r="N1140" t="s">
        <v>1089</v>
      </c>
      <c r="O1140">
        <v>0</v>
      </c>
      <c r="P1140" t="str">
        <f>VLOOKUP(PlanGrid[[#This Row],[Title]],'Spec Wattages'!$A$1:$C$973,3,FALSE)</f>
        <v>Lighting</v>
      </c>
      <c r="Q1140" t="s">
        <v>701</v>
      </c>
      <c r="R1140" t="s">
        <v>701</v>
      </c>
      <c r="S1140" t="s">
        <v>11</v>
      </c>
    </row>
    <row r="1141" spans="1:19" x14ac:dyDescent="0.25">
      <c r="A1141">
        <v>636</v>
      </c>
      <c r="B1141" t="s">
        <v>43</v>
      </c>
      <c r="C1141" t="s">
        <v>44</v>
      </c>
      <c r="D1141" t="s">
        <v>559</v>
      </c>
      <c r="E1141" s="50">
        <v>24</v>
      </c>
      <c r="F1141" s="38">
        <v>20</v>
      </c>
      <c r="G1141" s="39">
        <v>1</v>
      </c>
      <c r="H1141" s="58">
        <f>PlanGrid[[#This Row],[Spec Wattage]]*PlanGrid[[#This Row],[Equipment Count]]</f>
        <v>480</v>
      </c>
      <c r="I1141" s="50">
        <f>((PlanGrid[[#This Row],[Demand Watt]]*PlanGrid[[#This Row],[Utilization %]]*'Schedule-Building Info'!$N$16)/1000)</f>
        <v>2628</v>
      </c>
      <c r="J1141" s="57">
        <f>PlanGrid[[#This Row],[kWh/yr]]*' Elec Utility (kWh)'!$M$7</f>
        <v>280.17985787745317</v>
      </c>
      <c r="K1141" s="38">
        <f>PlanGrid[[#This Row],[kWh/yr]]/'Schedule-Building Info'!$B$6</f>
        <v>4.3217286914765909E-2</v>
      </c>
      <c r="L1141" s="50">
        <f>CONVERT(PlanGrid[[#This Row],[kWh/yr]],"Wh","BTU")</f>
        <v>8967.1082118602299</v>
      </c>
      <c r="M1141" s="38">
        <f>PlanGrid[[#This Row],[kBtu/yr]]/'Schedule-Building Info'!$B$6</f>
        <v>0.14746350395270816</v>
      </c>
      <c r="N1141" t="s">
        <v>1090</v>
      </c>
      <c r="O1141">
        <v>1</v>
      </c>
      <c r="P1141" t="str">
        <f>VLOOKUP(PlanGrid[[#This Row],[Title]],'Spec Wattages'!$A$1:$C$973,3,FALSE)</f>
        <v>Lighting</v>
      </c>
      <c r="Q1141" t="s">
        <v>958</v>
      </c>
      <c r="R1141" t="s">
        <v>1071</v>
      </c>
      <c r="S1141" t="s">
        <v>51</v>
      </c>
    </row>
    <row r="1142" spans="1:19" x14ac:dyDescent="0.25">
      <c r="A1142">
        <v>433</v>
      </c>
      <c r="B1142" t="s">
        <v>43</v>
      </c>
      <c r="C1142" t="s">
        <v>44</v>
      </c>
      <c r="D1142" t="s">
        <v>587</v>
      </c>
      <c r="E1142" s="50">
        <v>64</v>
      </c>
      <c r="F1142" s="38">
        <v>8</v>
      </c>
      <c r="G1142" s="39">
        <v>1</v>
      </c>
      <c r="H1142" s="58">
        <f>PlanGrid[[#This Row],[Spec Wattage]]*PlanGrid[[#This Row],[Equipment Count]]</f>
        <v>512</v>
      </c>
      <c r="I1142" s="50">
        <f>((PlanGrid[[#This Row],[Demand Watt]]*PlanGrid[[#This Row],[Utilization %]]*'Schedule-Building Info'!$N$16)/1000)</f>
        <v>2803.2</v>
      </c>
      <c r="J1142" s="57">
        <f>PlanGrid[[#This Row],[kWh/yr]]*' Elec Utility (kWh)'!$M$7</f>
        <v>298.85851506928333</v>
      </c>
      <c r="K1142" s="38">
        <f>PlanGrid[[#This Row],[kWh/yr]]/'Schedule-Building Info'!$B$6</f>
        <v>4.6098439375750297E-2</v>
      </c>
      <c r="L1142" s="50">
        <f>CONVERT(PlanGrid[[#This Row],[kWh/yr]],"Wh","BTU")</f>
        <v>9564.9154259842453</v>
      </c>
      <c r="M1142" s="38">
        <f>PlanGrid[[#This Row],[kBtu/yr]]/'Schedule-Building Info'!$B$6</f>
        <v>0.15729440421622204</v>
      </c>
      <c r="N1142" t="s">
        <v>1092</v>
      </c>
      <c r="O1142">
        <v>0</v>
      </c>
      <c r="P1142" t="str">
        <f>VLOOKUP(PlanGrid[[#This Row],[Title]],'Spec Wattages'!$A$1:$C$973,3,FALSE)</f>
        <v>Lighting</v>
      </c>
      <c r="Q1142" t="s">
        <v>975</v>
      </c>
      <c r="R1142" t="s">
        <v>902</v>
      </c>
      <c r="S1142" t="s">
        <v>11</v>
      </c>
    </row>
    <row r="1143" spans="1:19" x14ac:dyDescent="0.25">
      <c r="A1143">
        <v>891</v>
      </c>
      <c r="B1143" t="s">
        <v>22</v>
      </c>
      <c r="C1143" t="s">
        <v>466</v>
      </c>
      <c r="D1143" t="s">
        <v>469</v>
      </c>
      <c r="E1143" s="50">
        <v>36</v>
      </c>
      <c r="F1143" s="38">
        <v>15</v>
      </c>
      <c r="G1143" s="39">
        <v>1</v>
      </c>
      <c r="H1143" s="50">
        <f>PlanGrid[[#This Row],[Spec Wattage]]*PlanGrid[[#This Row],[Equipment Count]]</f>
        <v>540</v>
      </c>
      <c r="I1143" s="50">
        <f>((PlanGrid[[#This Row],[Demand Watt]]*PlanGrid[[#This Row],[Utilization %]]*'Schedule-Building Info'!$N$16)/1000)</f>
        <v>2956.5</v>
      </c>
      <c r="J1143" s="57">
        <f>PlanGrid[[#This Row],[kWh/yr]]*' Elec Utility (kWh)'!$M$7</f>
        <v>315.20234011213483</v>
      </c>
      <c r="K1143" s="49">
        <f>PlanGrid[[#This Row],[kWh/yr]]/'Schedule-Building Info'!$B$6</f>
        <v>4.8619447779111646E-2</v>
      </c>
      <c r="L1143" s="50">
        <f>CONVERT(PlanGrid[[#This Row],[kWh/yr]],"Wh","BTU")</f>
        <v>10087.996738342759</v>
      </c>
      <c r="M1143" s="38">
        <f>PlanGrid[[#This Row],[kBtu/yr]]/'Schedule-Building Info'!$B$6</f>
        <v>0.16589644194679667</v>
      </c>
      <c r="N1143" t="s">
        <v>1089</v>
      </c>
      <c r="O1143">
        <v>0</v>
      </c>
      <c r="P1143" t="str">
        <f>VLOOKUP(PlanGrid[[#This Row],[Title]],'Spec Wattages'!$A$1:$C$973,3,FALSE)</f>
        <v>Lighting</v>
      </c>
      <c r="Q1143" t="s">
        <v>688</v>
      </c>
      <c r="R1143" t="s">
        <v>688</v>
      </c>
      <c r="S1143" t="s">
        <v>51</v>
      </c>
    </row>
    <row r="1144" spans="1:19" x14ac:dyDescent="0.25">
      <c r="A1144">
        <v>934</v>
      </c>
      <c r="B1144" t="s">
        <v>22</v>
      </c>
      <c r="C1144" t="s">
        <v>466</v>
      </c>
      <c r="D1144" t="s">
        <v>473</v>
      </c>
      <c r="E1144" s="50">
        <v>36</v>
      </c>
      <c r="F1144" s="38">
        <v>16</v>
      </c>
      <c r="G1144" s="39">
        <v>1</v>
      </c>
      <c r="H1144" s="50">
        <f>PlanGrid[[#This Row],[Spec Wattage]]*PlanGrid[[#This Row],[Equipment Count]]</f>
        <v>576</v>
      </c>
      <c r="I1144" s="50">
        <f>((PlanGrid[[#This Row],[Demand Watt]]*PlanGrid[[#This Row],[Utilization %]]*'Schedule-Building Info'!$N$16)/1000)</f>
        <v>3153.6</v>
      </c>
      <c r="J1144" s="57">
        <f>PlanGrid[[#This Row],[kWh/yr]]*' Elec Utility (kWh)'!$M$7</f>
        <v>336.21582945294381</v>
      </c>
      <c r="K1144" s="49">
        <f>PlanGrid[[#This Row],[kWh/yr]]/'Schedule-Building Info'!$B$6</f>
        <v>5.1860744297719086E-2</v>
      </c>
      <c r="L1144" s="50">
        <f>CONVERT(PlanGrid[[#This Row],[kWh/yr]],"Wh","BTU")</f>
        <v>10760.529854232276</v>
      </c>
      <c r="M1144" s="38">
        <f>PlanGrid[[#This Row],[kBtu/yr]]/'Schedule-Building Info'!$B$6</f>
        <v>0.17695620474324977</v>
      </c>
      <c r="N1144" t="s">
        <v>1089</v>
      </c>
      <c r="O1144">
        <v>0</v>
      </c>
      <c r="P1144" t="str">
        <f>VLOOKUP(PlanGrid[[#This Row],[Title]],'Spec Wattages'!$A$1:$C$973,3,FALSE)</f>
        <v>Lighting</v>
      </c>
      <c r="Q1144" t="s">
        <v>740</v>
      </c>
      <c r="R1144" t="s">
        <v>724</v>
      </c>
      <c r="S1144" t="s">
        <v>11</v>
      </c>
    </row>
    <row r="1145" spans="1:19" x14ac:dyDescent="0.25">
      <c r="A1145">
        <v>940</v>
      </c>
      <c r="B1145" t="s">
        <v>22</v>
      </c>
      <c r="C1145" t="s">
        <v>466</v>
      </c>
      <c r="D1145" t="s">
        <v>474</v>
      </c>
      <c r="E1145" s="50">
        <v>36</v>
      </c>
      <c r="F1145" s="38">
        <v>16</v>
      </c>
      <c r="G1145" s="39">
        <v>1</v>
      </c>
      <c r="H1145" s="50">
        <f>PlanGrid[[#This Row],[Spec Wattage]]*PlanGrid[[#This Row],[Equipment Count]]</f>
        <v>576</v>
      </c>
      <c r="I1145" s="50">
        <f>((PlanGrid[[#This Row],[Demand Watt]]*PlanGrid[[#This Row],[Utilization %]]*'Schedule-Building Info'!$N$16)/1000)</f>
        <v>3153.6</v>
      </c>
      <c r="J1145" s="57">
        <f>PlanGrid[[#This Row],[kWh/yr]]*' Elec Utility (kWh)'!$M$7</f>
        <v>336.21582945294381</v>
      </c>
      <c r="K1145" s="49">
        <f>PlanGrid[[#This Row],[kWh/yr]]/'Schedule-Building Info'!$B$6</f>
        <v>5.1860744297719086E-2</v>
      </c>
      <c r="L1145" s="50">
        <f>CONVERT(PlanGrid[[#This Row],[kWh/yr]],"Wh","BTU")</f>
        <v>10760.529854232276</v>
      </c>
      <c r="M1145" s="38">
        <f>PlanGrid[[#This Row],[kBtu/yr]]/'Schedule-Building Info'!$B$6</f>
        <v>0.17695620474324977</v>
      </c>
      <c r="N1145" t="s">
        <v>1089</v>
      </c>
      <c r="O1145">
        <v>0</v>
      </c>
      <c r="P1145" t="str">
        <f>VLOOKUP(PlanGrid[[#This Row],[Title]],'Spec Wattages'!$A$1:$C$973,3,FALSE)</f>
        <v>Lighting</v>
      </c>
      <c r="Q1145" t="s">
        <v>745</v>
      </c>
      <c r="R1145" t="s">
        <v>1048</v>
      </c>
      <c r="S1145" t="s">
        <v>11</v>
      </c>
    </row>
    <row r="1146" spans="1:19" x14ac:dyDescent="0.25">
      <c r="A1146">
        <v>717</v>
      </c>
      <c r="B1146" t="s">
        <v>43</v>
      </c>
      <c r="C1146" t="s">
        <v>44</v>
      </c>
      <c r="D1146" t="s">
        <v>563</v>
      </c>
      <c r="E1146" s="50">
        <v>36</v>
      </c>
      <c r="F1146" s="38">
        <v>16</v>
      </c>
      <c r="G1146" s="39">
        <v>1</v>
      </c>
      <c r="H1146" s="58">
        <f>PlanGrid[[#This Row],[Spec Wattage]]*PlanGrid[[#This Row],[Equipment Count]]</f>
        <v>576</v>
      </c>
      <c r="I1146" s="50">
        <f>((PlanGrid[[#This Row],[Demand Watt]]*PlanGrid[[#This Row],[Utilization %]]*'Schedule-Building Info'!$N$16)/1000)</f>
        <v>3153.6</v>
      </c>
      <c r="J1146" s="57">
        <f>PlanGrid[[#This Row],[kWh/yr]]*' Elec Utility (kWh)'!$M$7</f>
        <v>336.21582945294381</v>
      </c>
      <c r="K1146" s="38">
        <f>PlanGrid[[#This Row],[kWh/yr]]/'Schedule-Building Info'!$B$6</f>
        <v>5.1860744297719086E-2</v>
      </c>
      <c r="L1146" s="50">
        <f>CONVERT(PlanGrid[[#This Row],[kWh/yr]],"Wh","BTU")</f>
        <v>10760.529854232276</v>
      </c>
      <c r="M1146" s="38">
        <f>PlanGrid[[#This Row],[kBtu/yr]]/'Schedule-Building Info'!$B$6</f>
        <v>0.17695620474324977</v>
      </c>
      <c r="N1146" t="s">
        <v>1090</v>
      </c>
      <c r="O1146">
        <v>0</v>
      </c>
      <c r="P1146" t="str">
        <f>VLOOKUP(PlanGrid[[#This Row],[Title]],'Spec Wattages'!$A$1:$C$973,3,FALSE)</f>
        <v>Lighting</v>
      </c>
      <c r="Q1146" t="s">
        <v>819</v>
      </c>
      <c r="R1146" t="s">
        <v>721</v>
      </c>
      <c r="S1146" t="s">
        <v>11</v>
      </c>
    </row>
    <row r="1147" spans="1:19" x14ac:dyDescent="0.25">
      <c r="A1147">
        <v>825</v>
      </c>
      <c r="B1147" t="s">
        <v>43</v>
      </c>
      <c r="C1147" t="s">
        <v>44</v>
      </c>
      <c r="D1147" t="s">
        <v>574</v>
      </c>
      <c r="E1147" s="50">
        <v>150</v>
      </c>
      <c r="F1147" s="38">
        <v>4</v>
      </c>
      <c r="G1147" s="39">
        <v>1</v>
      </c>
      <c r="H1147" s="58">
        <f>PlanGrid[[#This Row],[Spec Wattage]]*PlanGrid[[#This Row],[Equipment Count]]</f>
        <v>600</v>
      </c>
      <c r="I1147" s="50">
        <f>((PlanGrid[[#This Row],[Demand Watt]]*PlanGrid[[#This Row],[Utilization %]]*'Schedule-Building Info'!$N$16)/1000)</f>
        <v>3285</v>
      </c>
      <c r="J1147" s="57">
        <f>PlanGrid[[#This Row],[kWh/yr]]*' Elec Utility (kWh)'!$M$7</f>
        <v>350.22482234681644</v>
      </c>
      <c r="K1147" s="38">
        <f>PlanGrid[[#This Row],[kWh/yr]]/'Schedule-Building Info'!$B$6</f>
        <v>5.4021608643457383E-2</v>
      </c>
      <c r="L1147" s="50">
        <f>CONVERT(PlanGrid[[#This Row],[kWh/yr]],"Wh","BTU")</f>
        <v>11208.885264825289</v>
      </c>
      <c r="M1147" s="38">
        <f>PlanGrid[[#This Row],[kBtu/yr]]/'Schedule-Building Info'!$B$6</f>
        <v>0.18432937994088522</v>
      </c>
      <c r="N1147" t="s">
        <v>1090</v>
      </c>
      <c r="O1147">
        <v>1</v>
      </c>
      <c r="P1147" t="str">
        <f>VLOOKUP(PlanGrid[[#This Row],[Title]],'Spec Wattages'!$A$1:$C$973,3,FALSE)</f>
        <v>Lighting</v>
      </c>
      <c r="Q1147" t="s">
        <v>968</v>
      </c>
      <c r="R1147" t="s">
        <v>834</v>
      </c>
      <c r="S1147" t="s">
        <v>51</v>
      </c>
    </row>
    <row r="1148" spans="1:19" x14ac:dyDescent="0.25">
      <c r="A1148">
        <v>888</v>
      </c>
      <c r="B1148" t="s">
        <v>43</v>
      </c>
      <c r="C1148" t="s">
        <v>44</v>
      </c>
      <c r="D1148" t="s">
        <v>540</v>
      </c>
      <c r="E1148" s="50">
        <v>36</v>
      </c>
      <c r="F1148" s="38">
        <v>17</v>
      </c>
      <c r="G1148" s="39">
        <v>1</v>
      </c>
      <c r="H1148" s="58">
        <f>PlanGrid[[#This Row],[Spec Wattage]]*PlanGrid[[#This Row],[Equipment Count]]</f>
        <v>612</v>
      </c>
      <c r="I1148" s="50">
        <f>((PlanGrid[[#This Row],[Demand Watt]]*PlanGrid[[#This Row],[Utilization %]]*'Schedule-Building Info'!$N$16)/1000)</f>
        <v>3350.7</v>
      </c>
      <c r="J1148" s="57">
        <f>PlanGrid[[#This Row],[kWh/yr]]*' Elec Utility (kWh)'!$M$7</f>
        <v>357.22931879375278</v>
      </c>
      <c r="K1148" s="38">
        <f>PlanGrid[[#This Row],[kWh/yr]]/'Schedule-Building Info'!$B$6</f>
        <v>5.5102040816326525E-2</v>
      </c>
      <c r="L1148" s="50">
        <f>CONVERT(PlanGrid[[#This Row],[kWh/yr]],"Wh","BTU")</f>
        <v>11433.062970121795</v>
      </c>
      <c r="M1148" s="38">
        <f>PlanGrid[[#This Row],[kBtu/yr]]/'Schedule-Building Info'!$B$6</f>
        <v>0.18801596753970293</v>
      </c>
      <c r="N1148" t="s">
        <v>1089</v>
      </c>
      <c r="O1148">
        <v>0</v>
      </c>
      <c r="P1148" t="str">
        <f>VLOOKUP(PlanGrid[[#This Row],[Title]],'Spec Wattages'!$A$1:$C$973,3,FALSE)</f>
        <v>Lighting</v>
      </c>
      <c r="Q1148" t="s">
        <v>918</v>
      </c>
      <c r="R1148" t="s">
        <v>918</v>
      </c>
      <c r="S1148" t="s">
        <v>11</v>
      </c>
    </row>
    <row r="1149" spans="1:19" x14ac:dyDescent="0.25">
      <c r="A1149">
        <v>247</v>
      </c>
      <c r="B1149" t="s">
        <v>43</v>
      </c>
      <c r="C1149" t="s">
        <v>44</v>
      </c>
      <c r="D1149" t="s">
        <v>581</v>
      </c>
      <c r="E1149" s="50">
        <v>64</v>
      </c>
      <c r="F1149" s="38">
        <v>10</v>
      </c>
      <c r="G1149" s="39">
        <v>1</v>
      </c>
      <c r="H1149" s="58">
        <f>PlanGrid[[#This Row],[Spec Wattage]]*PlanGrid[[#This Row],[Equipment Count]]</f>
        <v>640</v>
      </c>
      <c r="I1149" s="50">
        <f>((PlanGrid[[#This Row],[Demand Watt]]*PlanGrid[[#This Row],[Utilization %]]*'Schedule-Building Info'!$N$16)/1000)</f>
        <v>3504</v>
      </c>
      <c r="J1149" s="57">
        <f>PlanGrid[[#This Row],[kWh/yr]]*' Elec Utility (kWh)'!$M$7</f>
        <v>373.57314383660423</v>
      </c>
      <c r="K1149" s="38">
        <f>PlanGrid[[#This Row],[kWh/yr]]/'Schedule-Building Info'!$B$6</f>
        <v>5.7623049219687875E-2</v>
      </c>
      <c r="L1149" s="50">
        <f>CONVERT(PlanGrid[[#This Row],[kWh/yr]],"Wh","BTU")</f>
        <v>11956.144282480307</v>
      </c>
      <c r="M1149" s="38">
        <f>PlanGrid[[#This Row],[kBtu/yr]]/'Schedule-Building Info'!$B$6</f>
        <v>0.19661800527027753</v>
      </c>
      <c r="N1149" t="s">
        <v>1092</v>
      </c>
      <c r="O1149">
        <v>0</v>
      </c>
      <c r="P1149" t="str">
        <f>VLOOKUP(PlanGrid[[#This Row],[Title]],'Spec Wattages'!$A$1:$C$973,3,FALSE)</f>
        <v>Lighting</v>
      </c>
      <c r="Q1149" t="s">
        <v>971</v>
      </c>
      <c r="R1149" t="s">
        <v>978</v>
      </c>
      <c r="S1149" t="s">
        <v>51</v>
      </c>
    </row>
    <row r="1150" spans="1:19" x14ac:dyDescent="0.25">
      <c r="A1150">
        <v>253</v>
      </c>
      <c r="B1150" t="s">
        <v>43</v>
      </c>
      <c r="C1150" t="s">
        <v>44</v>
      </c>
      <c r="D1150" t="s">
        <v>583</v>
      </c>
      <c r="E1150" s="50">
        <v>64</v>
      </c>
      <c r="F1150" s="38">
        <v>11</v>
      </c>
      <c r="G1150" s="39">
        <v>1</v>
      </c>
      <c r="H1150" s="58">
        <f>PlanGrid[[#This Row],[Spec Wattage]]*PlanGrid[[#This Row],[Equipment Count]]</f>
        <v>704</v>
      </c>
      <c r="I1150" s="50">
        <f>((PlanGrid[[#This Row],[Demand Watt]]*PlanGrid[[#This Row],[Utilization %]]*'Schedule-Building Info'!$N$16)/1000)</f>
        <v>3854.4</v>
      </c>
      <c r="J1150" s="57">
        <f>PlanGrid[[#This Row],[kWh/yr]]*' Elec Utility (kWh)'!$M$7</f>
        <v>410.93045822026465</v>
      </c>
      <c r="K1150" s="38">
        <f>PlanGrid[[#This Row],[kWh/yr]]/'Schedule-Building Info'!$B$6</f>
        <v>6.3385354141656663E-2</v>
      </c>
      <c r="L1150" s="50">
        <f>CONVERT(PlanGrid[[#This Row],[kWh/yr]],"Wh","BTU")</f>
        <v>13151.758710728338</v>
      </c>
      <c r="M1150" s="38">
        <f>PlanGrid[[#This Row],[kBtu/yr]]/'Schedule-Building Info'!$B$6</f>
        <v>0.2162798057973053</v>
      </c>
      <c r="N1150" t="s">
        <v>1092</v>
      </c>
      <c r="O1150">
        <v>0</v>
      </c>
      <c r="P1150" t="str">
        <f>VLOOKUP(PlanGrid[[#This Row],[Title]],'Spec Wattages'!$A$1:$C$973,3,FALSE)</f>
        <v>Lighting</v>
      </c>
      <c r="Q1150" t="s">
        <v>756</v>
      </c>
      <c r="R1150" t="s">
        <v>870</v>
      </c>
      <c r="S1150" t="s">
        <v>11</v>
      </c>
    </row>
    <row r="1151" spans="1:19" x14ac:dyDescent="0.25">
      <c r="A1151">
        <v>255</v>
      </c>
      <c r="B1151" t="s">
        <v>43</v>
      </c>
      <c r="C1151" t="s">
        <v>44</v>
      </c>
      <c r="D1151" t="s">
        <v>584</v>
      </c>
      <c r="E1151" s="50">
        <v>64</v>
      </c>
      <c r="F1151" s="38">
        <v>11</v>
      </c>
      <c r="G1151" s="39">
        <v>1</v>
      </c>
      <c r="H1151" s="58">
        <f>PlanGrid[[#This Row],[Spec Wattage]]*PlanGrid[[#This Row],[Equipment Count]]</f>
        <v>704</v>
      </c>
      <c r="I1151" s="50">
        <f>((PlanGrid[[#This Row],[Demand Watt]]*PlanGrid[[#This Row],[Utilization %]]*'Schedule-Building Info'!$N$16)/1000)</f>
        <v>3854.4</v>
      </c>
      <c r="J1151" s="57">
        <f>PlanGrid[[#This Row],[kWh/yr]]*' Elec Utility (kWh)'!$M$7</f>
        <v>410.93045822026465</v>
      </c>
      <c r="K1151" s="38">
        <f>PlanGrid[[#This Row],[kWh/yr]]/'Schedule-Building Info'!$B$6</f>
        <v>6.3385354141656663E-2</v>
      </c>
      <c r="L1151" s="50">
        <f>CONVERT(PlanGrid[[#This Row],[kWh/yr]],"Wh","BTU")</f>
        <v>13151.758710728338</v>
      </c>
      <c r="M1151" s="38">
        <f>PlanGrid[[#This Row],[kBtu/yr]]/'Schedule-Building Info'!$B$6</f>
        <v>0.2162798057973053</v>
      </c>
      <c r="N1151" t="s">
        <v>1092</v>
      </c>
      <c r="O1151">
        <v>0</v>
      </c>
      <c r="P1151" t="str">
        <f>VLOOKUP(PlanGrid[[#This Row],[Title]],'Spec Wattages'!$A$1:$C$973,3,FALSE)</f>
        <v>Lighting</v>
      </c>
      <c r="Q1151" t="s">
        <v>756</v>
      </c>
      <c r="R1151" t="s">
        <v>1055</v>
      </c>
      <c r="S1151" t="s">
        <v>11</v>
      </c>
    </row>
    <row r="1152" spans="1:19" x14ac:dyDescent="0.25">
      <c r="A1152">
        <v>240</v>
      </c>
      <c r="B1152" t="s">
        <v>22</v>
      </c>
      <c r="C1152" t="s">
        <v>466</v>
      </c>
      <c r="D1152" t="s">
        <v>508</v>
      </c>
      <c r="E1152" s="50">
        <v>36</v>
      </c>
      <c r="F1152" s="38">
        <v>22</v>
      </c>
      <c r="G1152" s="39">
        <v>1</v>
      </c>
      <c r="H1152" s="38">
        <f>PlanGrid[[#This Row],[Spec Wattage]]*PlanGrid[[#This Row],[Equipment Count]]</f>
        <v>792</v>
      </c>
      <c r="I1152" s="38">
        <f>((PlanGrid[[#This Row],[Demand Watt]]*PlanGrid[[#This Row],[Utilization %]]*'Schedule-Building Info'!$N$16)/1000)</f>
        <v>4336.2</v>
      </c>
      <c r="J1152" s="57">
        <f>PlanGrid[[#This Row],[kWh/yr]]*' Elec Utility (kWh)'!$M$7</f>
        <v>462.29676549779771</v>
      </c>
      <c r="K1152" s="38">
        <f>PlanGrid[[#This Row],[kWh/yr]]/'Schedule-Building Info'!$B$6</f>
        <v>7.1308523409363736E-2</v>
      </c>
      <c r="L1152" s="50">
        <f>CONVERT(PlanGrid[[#This Row],[kWh/yr]],"Wh","BTU")</f>
        <v>14795.728549569381</v>
      </c>
      <c r="M1152" s="38">
        <f>PlanGrid[[#This Row],[kBtu/yr]]/'Schedule-Building Info'!$B$6</f>
        <v>0.24331478152196848</v>
      </c>
      <c r="N1152" t="s">
        <v>1092</v>
      </c>
      <c r="O1152">
        <v>0</v>
      </c>
      <c r="P1152" t="str">
        <f>VLOOKUP(PlanGrid[[#This Row],[Title]],'Spec Wattages'!$A$1:$C$973,3,FALSE)</f>
        <v>Lighting</v>
      </c>
      <c r="Q1152" t="s">
        <v>866</v>
      </c>
      <c r="R1152" t="s">
        <v>940</v>
      </c>
      <c r="S1152" t="s">
        <v>11</v>
      </c>
    </row>
    <row r="1153" spans="1:19" x14ac:dyDescent="0.25">
      <c r="A1153">
        <v>890</v>
      </c>
      <c r="B1153" t="s">
        <v>22</v>
      </c>
      <c r="C1153" t="s">
        <v>466</v>
      </c>
      <c r="D1153" t="s">
        <v>468</v>
      </c>
      <c r="E1153" s="50">
        <v>36</v>
      </c>
      <c r="F1153" s="38">
        <v>25</v>
      </c>
      <c r="G1153" s="39">
        <v>1</v>
      </c>
      <c r="H1153" s="50">
        <f>PlanGrid[[#This Row],[Spec Wattage]]*PlanGrid[[#This Row],[Equipment Count]]</f>
        <v>900</v>
      </c>
      <c r="I1153" s="50">
        <f>((PlanGrid[[#This Row],[Demand Watt]]*PlanGrid[[#This Row],[Utilization %]]*'Schedule-Building Info'!$N$16)/1000)</f>
        <v>4927.5</v>
      </c>
      <c r="J1153" s="57">
        <f>PlanGrid[[#This Row],[kWh/yr]]*' Elec Utility (kWh)'!$M$7</f>
        <v>525.33723352022469</v>
      </c>
      <c r="K1153" s="49">
        <f>PlanGrid[[#This Row],[kWh/yr]]/'Schedule-Building Info'!$B$6</f>
        <v>8.1032412965186068E-2</v>
      </c>
      <c r="L1153" s="50">
        <f>CONVERT(PlanGrid[[#This Row],[kWh/yr]],"Wh","BTU")</f>
        <v>16813.327897237934</v>
      </c>
      <c r="M1153" s="38">
        <f>PlanGrid[[#This Row],[kBtu/yr]]/'Schedule-Building Info'!$B$6</f>
        <v>0.27649406991132786</v>
      </c>
      <c r="N1153" t="s">
        <v>1089</v>
      </c>
      <c r="O1153">
        <v>0</v>
      </c>
      <c r="P1153" t="str">
        <f>VLOOKUP(PlanGrid[[#This Row],[Title]],'Spec Wattages'!$A$1:$C$973,3,FALSE)</f>
        <v>Lighting</v>
      </c>
      <c r="Q1153" t="s">
        <v>688</v>
      </c>
      <c r="R1153" t="s">
        <v>688</v>
      </c>
      <c r="S1153" t="s">
        <v>11</v>
      </c>
    </row>
    <row r="1154" spans="1:19" x14ac:dyDescent="0.25">
      <c r="A1154">
        <v>429</v>
      </c>
      <c r="B1154" t="s">
        <v>22</v>
      </c>
      <c r="C1154" t="s">
        <v>466</v>
      </c>
      <c r="D1154" t="s">
        <v>516</v>
      </c>
      <c r="E1154" s="50">
        <v>36</v>
      </c>
      <c r="F1154" s="38">
        <v>28</v>
      </c>
      <c r="G1154" s="39">
        <v>1</v>
      </c>
      <c r="H1154" s="58">
        <f>PlanGrid[[#This Row],[Spec Wattage]]*PlanGrid[[#This Row],[Equipment Count]]</f>
        <v>1008</v>
      </c>
      <c r="I1154" s="50">
        <f>((PlanGrid[[#This Row],[Demand Watt]]*PlanGrid[[#This Row],[Utilization %]]*'Schedule-Building Info'!$N$16)/1000)</f>
        <v>5518.8</v>
      </c>
      <c r="J1154" s="57">
        <f>PlanGrid[[#This Row],[kWh/yr]]*' Elec Utility (kWh)'!$M$7</f>
        <v>588.37770154265161</v>
      </c>
      <c r="K1154" s="38">
        <f>PlanGrid[[#This Row],[kWh/yr]]/'Schedule-Building Info'!$B$6</f>
        <v>9.07563025210084E-2</v>
      </c>
      <c r="L1154" s="50">
        <f>CONVERT(PlanGrid[[#This Row],[kWh/yr]],"Wh","BTU")</f>
        <v>18830.927244906485</v>
      </c>
      <c r="M1154" s="38">
        <f>PlanGrid[[#This Row],[kBtu/yr]]/'Schedule-Building Info'!$B$6</f>
        <v>0.30967335830068715</v>
      </c>
      <c r="N1154" t="s">
        <v>1092</v>
      </c>
      <c r="O1154">
        <v>0</v>
      </c>
      <c r="P1154" t="str">
        <f>VLOOKUP(PlanGrid[[#This Row],[Title]],'Spec Wattages'!$A$1:$C$973,3,FALSE)</f>
        <v>Lighting</v>
      </c>
      <c r="Q1154" t="s">
        <v>687</v>
      </c>
      <c r="R1154" t="s">
        <v>948</v>
      </c>
      <c r="S1154" t="s">
        <v>11</v>
      </c>
    </row>
    <row r="1155" spans="1:19" x14ac:dyDescent="0.25">
      <c r="A1155">
        <v>252</v>
      </c>
      <c r="B1155" t="s">
        <v>43</v>
      </c>
      <c r="C1155" t="s">
        <v>44</v>
      </c>
      <c r="D1155" t="s">
        <v>582</v>
      </c>
      <c r="E1155" s="50">
        <v>64</v>
      </c>
      <c r="F1155" s="38">
        <v>16</v>
      </c>
      <c r="G1155" s="39">
        <v>1</v>
      </c>
      <c r="H1155" s="58">
        <f>PlanGrid[[#This Row],[Spec Wattage]]*PlanGrid[[#This Row],[Equipment Count]]</f>
        <v>1024</v>
      </c>
      <c r="I1155" s="50">
        <f>((PlanGrid[[#This Row],[Demand Watt]]*PlanGrid[[#This Row],[Utilization %]]*'Schedule-Building Info'!$N$16)/1000)</f>
        <v>5606.4</v>
      </c>
      <c r="J1155" s="57">
        <f>PlanGrid[[#This Row],[kWh/yr]]*' Elec Utility (kWh)'!$M$7</f>
        <v>597.71703013856666</v>
      </c>
      <c r="K1155" s="38">
        <f>PlanGrid[[#This Row],[kWh/yr]]/'Schedule-Building Info'!$B$6</f>
        <v>9.2196878751500594E-2</v>
      </c>
      <c r="L1155" s="50">
        <f>CONVERT(PlanGrid[[#This Row],[kWh/yr]],"Wh","BTU")</f>
        <v>19129.830851968491</v>
      </c>
      <c r="M1155" s="38">
        <f>PlanGrid[[#This Row],[kBtu/yr]]/'Schedule-Building Info'!$B$6</f>
        <v>0.31458880843244408</v>
      </c>
      <c r="N1155" t="s">
        <v>1092</v>
      </c>
      <c r="O1155">
        <v>0</v>
      </c>
      <c r="P1155" t="str">
        <f>VLOOKUP(PlanGrid[[#This Row],[Title]],'Spec Wattages'!$A$1:$C$973,3,FALSE)</f>
        <v>Lighting</v>
      </c>
      <c r="Q1155" t="s">
        <v>756</v>
      </c>
      <c r="R1155" t="s">
        <v>868</v>
      </c>
      <c r="S1155" t="s">
        <v>11</v>
      </c>
    </row>
    <row r="1156" spans="1:19" x14ac:dyDescent="0.25">
      <c r="A1156">
        <v>920</v>
      </c>
      <c r="B1156" t="s">
        <v>22</v>
      </c>
      <c r="C1156" t="s">
        <v>466</v>
      </c>
      <c r="D1156" t="s">
        <v>471</v>
      </c>
      <c r="E1156" s="50">
        <v>36</v>
      </c>
      <c r="F1156" s="38">
        <v>32</v>
      </c>
      <c r="G1156" s="39">
        <v>1</v>
      </c>
      <c r="H1156" s="50">
        <f>PlanGrid[[#This Row],[Spec Wattage]]*PlanGrid[[#This Row],[Equipment Count]]</f>
        <v>1152</v>
      </c>
      <c r="I1156" s="50">
        <f>((PlanGrid[[#This Row],[Demand Watt]]*PlanGrid[[#This Row],[Utilization %]]*'Schedule-Building Info'!$N$16)/1000)</f>
        <v>6307.2</v>
      </c>
      <c r="J1156" s="57">
        <f>PlanGrid[[#This Row],[kWh/yr]]*' Elec Utility (kWh)'!$M$7</f>
        <v>672.43165890588762</v>
      </c>
      <c r="K1156" s="49">
        <f>PlanGrid[[#This Row],[kWh/yr]]/'Schedule-Building Info'!$B$6</f>
        <v>0.10372148859543817</v>
      </c>
      <c r="L1156" s="50">
        <f>CONVERT(PlanGrid[[#This Row],[kWh/yr]],"Wh","BTU")</f>
        <v>21521.059708464552</v>
      </c>
      <c r="M1156" s="38">
        <f>PlanGrid[[#This Row],[kBtu/yr]]/'Schedule-Building Info'!$B$6</f>
        <v>0.35391240948649955</v>
      </c>
      <c r="N1156" t="s">
        <v>1089</v>
      </c>
      <c r="O1156">
        <v>0</v>
      </c>
      <c r="P1156" t="str">
        <f>VLOOKUP(PlanGrid[[#This Row],[Title]],'Spec Wattages'!$A$1:$C$973,3,FALSE)</f>
        <v>Lighting</v>
      </c>
      <c r="Q1156" t="s">
        <v>698</v>
      </c>
      <c r="R1156" t="s">
        <v>698</v>
      </c>
      <c r="S1156" t="s">
        <v>11</v>
      </c>
    </row>
    <row r="1157" spans="1:19" x14ac:dyDescent="0.25">
      <c r="A1157">
        <v>630</v>
      </c>
      <c r="B1157" t="s">
        <v>43</v>
      </c>
      <c r="C1157" t="s">
        <v>44</v>
      </c>
      <c r="D1157" t="s">
        <v>558</v>
      </c>
      <c r="E1157" s="50">
        <v>150</v>
      </c>
      <c r="F1157" s="38">
        <v>8</v>
      </c>
      <c r="G1157" s="39">
        <v>1</v>
      </c>
      <c r="H1157" s="58">
        <f>PlanGrid[[#This Row],[Spec Wattage]]*PlanGrid[[#This Row],[Equipment Count]]</f>
        <v>1200</v>
      </c>
      <c r="I1157" s="50">
        <f>((PlanGrid[[#This Row],[Demand Watt]]*PlanGrid[[#This Row],[Utilization %]]*'Schedule-Building Info'!$N$16)/1000)</f>
        <v>6570</v>
      </c>
      <c r="J1157" s="57">
        <f>PlanGrid[[#This Row],[kWh/yr]]*' Elec Utility (kWh)'!$M$7</f>
        <v>700.44964469363288</v>
      </c>
      <c r="K1157" s="38">
        <f>PlanGrid[[#This Row],[kWh/yr]]/'Schedule-Building Info'!$B$6</f>
        <v>0.10804321728691477</v>
      </c>
      <c r="L1157" s="50">
        <f>CONVERT(PlanGrid[[#This Row],[kWh/yr]],"Wh","BTU")</f>
        <v>22417.770529650577</v>
      </c>
      <c r="M1157" s="38">
        <f>PlanGrid[[#This Row],[kBtu/yr]]/'Schedule-Building Info'!$B$6</f>
        <v>0.36865875988177044</v>
      </c>
      <c r="N1157" t="s">
        <v>1090</v>
      </c>
      <c r="O1157">
        <v>1</v>
      </c>
      <c r="P1157" t="str">
        <f>VLOOKUP(PlanGrid[[#This Row],[Title]],'Spec Wattages'!$A$1:$C$973,3,FALSE)</f>
        <v>Lighting</v>
      </c>
      <c r="Q1157" t="s">
        <v>957</v>
      </c>
      <c r="R1157" t="s">
        <v>817</v>
      </c>
      <c r="S1157" t="s">
        <v>51</v>
      </c>
    </row>
    <row r="1158" spans="1:19" x14ac:dyDescent="0.25">
      <c r="A1158">
        <v>726</v>
      </c>
      <c r="B1158" t="s">
        <v>43</v>
      </c>
      <c r="C1158" t="s">
        <v>44</v>
      </c>
      <c r="D1158" t="s">
        <v>566</v>
      </c>
      <c r="E1158" s="50">
        <v>36</v>
      </c>
      <c r="F1158" s="38">
        <v>34</v>
      </c>
      <c r="G1158" s="39">
        <v>1</v>
      </c>
      <c r="H1158" s="58">
        <f>PlanGrid[[#This Row],[Spec Wattage]]*PlanGrid[[#This Row],[Equipment Count]]</f>
        <v>1224</v>
      </c>
      <c r="I1158" s="50">
        <f>((PlanGrid[[#This Row],[Demand Watt]]*PlanGrid[[#This Row],[Utilization %]]*'Schedule-Building Info'!$N$16)/1000)</f>
        <v>6701.4</v>
      </c>
      <c r="J1158" s="57">
        <f>PlanGrid[[#This Row],[kWh/yr]]*' Elec Utility (kWh)'!$M$7</f>
        <v>714.45863758750556</v>
      </c>
      <c r="K1158" s="38">
        <f>PlanGrid[[#This Row],[kWh/yr]]/'Schedule-Building Info'!$B$6</f>
        <v>0.11020408163265305</v>
      </c>
      <c r="L1158" s="50">
        <f>CONVERT(PlanGrid[[#This Row],[kWh/yr]],"Wh","BTU")</f>
        <v>22866.12594024359</v>
      </c>
      <c r="M1158" s="38">
        <f>PlanGrid[[#This Row],[kBtu/yr]]/'Schedule-Building Info'!$B$6</f>
        <v>0.37603193507940585</v>
      </c>
      <c r="N1158" t="s">
        <v>1090</v>
      </c>
      <c r="O1158">
        <v>0</v>
      </c>
      <c r="P1158" t="str">
        <f>VLOOKUP(PlanGrid[[#This Row],[Title]],'Spec Wattages'!$A$1:$C$973,3,FALSE)</f>
        <v>Lighting</v>
      </c>
      <c r="Q1158" t="s">
        <v>962</v>
      </c>
      <c r="R1158" t="s">
        <v>820</v>
      </c>
      <c r="S1158" t="s">
        <v>11</v>
      </c>
    </row>
    <row r="1159" spans="1:19" x14ac:dyDescent="0.25">
      <c r="A1159">
        <v>892</v>
      </c>
      <c r="B1159" t="s">
        <v>43</v>
      </c>
      <c r="C1159" t="s">
        <v>44</v>
      </c>
      <c r="D1159" t="s">
        <v>541</v>
      </c>
      <c r="E1159" s="50">
        <v>36</v>
      </c>
      <c r="F1159" s="38">
        <v>40</v>
      </c>
      <c r="G1159" s="39">
        <v>1</v>
      </c>
      <c r="H1159" s="58">
        <f>PlanGrid[[#This Row],[Spec Wattage]]*PlanGrid[[#This Row],[Equipment Count]]</f>
        <v>1440</v>
      </c>
      <c r="I1159" s="50">
        <f>((PlanGrid[[#This Row],[Demand Watt]]*PlanGrid[[#This Row],[Utilization %]]*'Schedule-Building Info'!$N$16)/1000)</f>
        <v>7884</v>
      </c>
      <c r="J1159" s="57">
        <f>PlanGrid[[#This Row],[kWh/yr]]*' Elec Utility (kWh)'!$M$7</f>
        <v>840.53957363235952</v>
      </c>
      <c r="K1159" s="38">
        <f>PlanGrid[[#This Row],[kWh/yr]]/'Schedule-Building Info'!$B$6</f>
        <v>0.12965186074429771</v>
      </c>
      <c r="L1159" s="50">
        <f>CONVERT(PlanGrid[[#This Row],[kWh/yr]],"Wh","BTU")</f>
        <v>26901.324635580691</v>
      </c>
      <c r="M1159" s="38">
        <f>PlanGrid[[#This Row],[kBtu/yr]]/'Schedule-Building Info'!$B$6</f>
        <v>0.4423905118581245</v>
      </c>
      <c r="N1159" t="s">
        <v>1089</v>
      </c>
      <c r="O1159">
        <v>0</v>
      </c>
      <c r="P1159" t="str">
        <f>VLOOKUP(PlanGrid[[#This Row],[Title]],'Spec Wattages'!$A$1:$C$973,3,FALSE)</f>
        <v>Lighting</v>
      </c>
      <c r="Q1159" t="s">
        <v>953</v>
      </c>
      <c r="R1159" t="s">
        <v>697</v>
      </c>
      <c r="S1159" t="s">
        <v>11</v>
      </c>
    </row>
    <row r="1160" spans="1:19" x14ac:dyDescent="0.25">
      <c r="A1160">
        <v>915</v>
      </c>
      <c r="B1160" t="s">
        <v>43</v>
      </c>
      <c r="C1160" t="s">
        <v>44</v>
      </c>
      <c r="D1160" t="s">
        <v>543</v>
      </c>
      <c r="E1160" s="50">
        <v>36</v>
      </c>
      <c r="F1160" s="38">
        <v>48</v>
      </c>
      <c r="G1160" s="39">
        <v>1</v>
      </c>
      <c r="H1160" s="58">
        <f>PlanGrid[[#This Row],[Spec Wattage]]*PlanGrid[[#This Row],[Equipment Count]]</f>
        <v>1728</v>
      </c>
      <c r="I1160" s="50">
        <f>((PlanGrid[[#This Row],[Demand Watt]]*PlanGrid[[#This Row],[Utilization %]]*'Schedule-Building Info'!$N$16)/1000)</f>
        <v>9460.7999999999993</v>
      </c>
      <c r="J1160" s="57">
        <f>PlanGrid[[#This Row],[kWh/yr]]*' Elec Utility (kWh)'!$M$7</f>
        <v>1008.6474883588313</v>
      </c>
      <c r="K1160" s="38">
        <f>PlanGrid[[#This Row],[kWh/yr]]/'Schedule-Building Info'!$B$6</f>
        <v>0.15558223289315726</v>
      </c>
      <c r="L1160" s="50">
        <f>CONVERT(PlanGrid[[#This Row],[kWh/yr]],"Wh","BTU")</f>
        <v>32281.58956269683</v>
      </c>
      <c r="M1160" s="38">
        <f>PlanGrid[[#This Row],[kBtu/yr]]/'Schedule-Building Info'!$B$6</f>
        <v>0.5308686142297494</v>
      </c>
      <c r="N1160" t="s">
        <v>1089</v>
      </c>
      <c r="O1160">
        <v>0</v>
      </c>
      <c r="P1160" t="str">
        <f>VLOOKUP(PlanGrid[[#This Row],[Title]],'Spec Wattages'!$A$1:$C$973,3,FALSE)</f>
        <v>Lighting</v>
      </c>
      <c r="Q1160" t="s">
        <v>694</v>
      </c>
      <c r="R1160" t="s">
        <v>920</v>
      </c>
      <c r="S1160" t="s">
        <v>11</v>
      </c>
    </row>
    <row r="1161" spans="1:19" x14ac:dyDescent="0.25">
      <c r="A1161">
        <v>831</v>
      </c>
      <c r="B1161" t="s">
        <v>22</v>
      </c>
      <c r="C1161" t="s">
        <v>466</v>
      </c>
      <c r="D1161" t="s">
        <v>496</v>
      </c>
      <c r="E1161" s="50">
        <v>288</v>
      </c>
      <c r="F1161" s="38">
        <v>8</v>
      </c>
      <c r="G1161" s="39">
        <v>1</v>
      </c>
      <c r="H1161" s="50">
        <f>PlanGrid[[#This Row],[Spec Wattage]]*PlanGrid[[#This Row],[Equipment Count]]</f>
        <v>2304</v>
      </c>
      <c r="I1161" s="50">
        <f>((PlanGrid[[#This Row],[Demand Watt]]*PlanGrid[[#This Row],[Utilization %]]*'Schedule-Building Info'!$N$16)/1000)</f>
        <v>12614.4</v>
      </c>
      <c r="J1161" s="57">
        <f>PlanGrid[[#This Row],[kWh/yr]]*' Elec Utility (kWh)'!$M$7</f>
        <v>1344.8633178117752</v>
      </c>
      <c r="K1161" s="49">
        <f>PlanGrid[[#This Row],[kWh/yr]]/'Schedule-Building Info'!$B$6</f>
        <v>0.20744297719087634</v>
      </c>
      <c r="L1161" s="50">
        <f>CONVERT(PlanGrid[[#This Row],[kWh/yr]],"Wh","BTU")</f>
        <v>43042.119416929105</v>
      </c>
      <c r="M1161" s="38">
        <f>PlanGrid[[#This Row],[kBtu/yr]]/'Schedule-Building Info'!$B$6</f>
        <v>0.70782481897299909</v>
      </c>
      <c r="N1161" t="s">
        <v>1090</v>
      </c>
      <c r="O1161">
        <v>0</v>
      </c>
      <c r="P1161" t="str">
        <f>VLOOKUP(PlanGrid[[#This Row],[Title]],'Spec Wattages'!$A$1:$C$973,3,FALSE)</f>
        <v>Lighting</v>
      </c>
      <c r="Q1161" t="s">
        <v>834</v>
      </c>
      <c r="R1161" t="s">
        <v>904</v>
      </c>
      <c r="S1161" t="s">
        <v>51</v>
      </c>
    </row>
    <row r="1162" spans="1:19" x14ac:dyDescent="0.25">
      <c r="A1162">
        <v>737</v>
      </c>
      <c r="B1162" t="s">
        <v>22</v>
      </c>
      <c r="C1162" t="s">
        <v>466</v>
      </c>
      <c r="D1162" t="s">
        <v>491</v>
      </c>
      <c r="E1162" s="50">
        <v>180</v>
      </c>
      <c r="F1162" s="38">
        <v>15</v>
      </c>
      <c r="G1162" s="39">
        <v>1</v>
      </c>
      <c r="H1162" s="50">
        <f>PlanGrid[[#This Row],[Spec Wattage]]*PlanGrid[[#This Row],[Equipment Count]]</f>
        <v>2700</v>
      </c>
      <c r="I1162" s="50">
        <f>((PlanGrid[[#This Row],[Demand Watt]]*PlanGrid[[#This Row],[Utilization %]]*'Schedule-Building Info'!$N$16)/1000)</f>
        <v>14782.5</v>
      </c>
      <c r="J1162" s="57">
        <f>PlanGrid[[#This Row],[kWh/yr]]*' Elec Utility (kWh)'!$M$7</f>
        <v>1576.0117005606739</v>
      </c>
      <c r="K1162" s="49">
        <f>PlanGrid[[#This Row],[kWh/yr]]/'Schedule-Building Info'!$B$6</f>
        <v>0.24309723889555823</v>
      </c>
      <c r="L1162" s="50">
        <f>CONVERT(PlanGrid[[#This Row],[kWh/yr]],"Wh","BTU")</f>
        <v>50439.983691713795</v>
      </c>
      <c r="M1162" s="38">
        <f>PlanGrid[[#This Row],[kBtu/yr]]/'Schedule-Building Info'!$B$6</f>
        <v>0.82948220973398334</v>
      </c>
      <c r="N1162" t="s">
        <v>1090</v>
      </c>
      <c r="O1162">
        <v>0</v>
      </c>
      <c r="P1162" t="str">
        <f>VLOOKUP(PlanGrid[[#This Row],[Title]],'Spec Wattages'!$A$1:$C$973,3,FALSE)</f>
        <v>Lighting</v>
      </c>
      <c r="Q1162" t="s">
        <v>821</v>
      </c>
      <c r="R1162" t="s">
        <v>1052</v>
      </c>
      <c r="S1162" t="s">
        <v>11</v>
      </c>
    </row>
    <row r="1163" spans="1:19" x14ac:dyDescent="0.25">
      <c r="A1163">
        <v>823</v>
      </c>
      <c r="B1163">
        <v>12</v>
      </c>
      <c r="C1163" t="s">
        <v>652</v>
      </c>
      <c r="D1163" t="s">
        <v>654</v>
      </c>
      <c r="E1163" s="50">
        <v>270</v>
      </c>
      <c r="F1163" s="38">
        <v>15</v>
      </c>
      <c r="G1163" s="39">
        <v>1</v>
      </c>
      <c r="H1163" s="58">
        <f>PlanGrid[[#This Row],[Spec Wattage]]*PlanGrid[[#This Row],[Equipment Count]]</f>
        <v>4050</v>
      </c>
      <c r="I1163" s="50">
        <f>((PlanGrid[[#This Row],[Demand Watt]]*PlanGrid[[#This Row],[Utilization %]]*'Schedule-Building Info'!$N$16)/1000)</f>
        <v>22173.75</v>
      </c>
      <c r="J1163" s="57">
        <f>PlanGrid[[#This Row],[kWh/yr]]*' Elec Utility (kWh)'!$M$7</f>
        <v>2364.0175508410111</v>
      </c>
      <c r="K1163" s="38">
        <f>PlanGrid[[#This Row],[kWh/yr]]/'Schedule-Building Info'!$B$6</f>
        <v>0.36464585834333735</v>
      </c>
      <c r="L1163" s="50">
        <f>CONVERT(PlanGrid[[#This Row],[kWh/yr]],"Wh","BTU")</f>
        <v>75659.975537570703</v>
      </c>
      <c r="M1163" s="38">
        <f>PlanGrid[[#This Row],[kBtu/yr]]/'Schedule-Building Info'!$B$6</f>
        <v>1.2442233146009751</v>
      </c>
      <c r="N1163" t="s">
        <v>1090</v>
      </c>
      <c r="O1163">
        <v>0</v>
      </c>
      <c r="P1163" t="s">
        <v>88</v>
      </c>
      <c r="Q1163" t="s">
        <v>915</v>
      </c>
      <c r="R1163" t="s">
        <v>1088</v>
      </c>
      <c r="S1163" t="s">
        <v>11</v>
      </c>
    </row>
    <row r="1164" spans="1:19" x14ac:dyDescent="0.25">
      <c r="A1164">
        <v>803</v>
      </c>
      <c r="B1164">
        <v>12</v>
      </c>
      <c r="C1164" t="s">
        <v>652</v>
      </c>
      <c r="D1164" t="s">
        <v>653</v>
      </c>
      <c r="E1164" s="50">
        <v>270</v>
      </c>
      <c r="F1164" s="38">
        <v>24</v>
      </c>
      <c r="G1164" s="39">
        <v>1</v>
      </c>
      <c r="H1164" s="58">
        <f>PlanGrid[[#This Row],[Spec Wattage]]*PlanGrid[[#This Row],[Equipment Count]]</f>
        <v>6480</v>
      </c>
      <c r="I1164" s="50">
        <f>((PlanGrid[[#This Row],[Demand Watt]]*PlanGrid[[#This Row],[Utilization %]]*'Schedule-Building Info'!$N$16)/1000)</f>
        <v>35478</v>
      </c>
      <c r="J1164" s="57">
        <f>PlanGrid[[#This Row],[kWh/yr]]*' Elec Utility (kWh)'!$M$7</f>
        <v>3782.4280813456176</v>
      </c>
      <c r="K1164" s="38">
        <f>PlanGrid[[#This Row],[kWh/yr]]/'Schedule-Building Info'!$B$6</f>
        <v>0.58343337334933976</v>
      </c>
      <c r="L1164" s="50">
        <f>CONVERT(PlanGrid[[#This Row],[kWh/yr]],"Wh","BTU")</f>
        <v>121055.96086011312</v>
      </c>
      <c r="M1164" s="38">
        <f>PlanGrid[[#This Row],[kBtu/yr]]/'Schedule-Building Info'!$B$6</f>
        <v>1.9907573033615602</v>
      </c>
      <c r="N1164" t="s">
        <v>1090</v>
      </c>
      <c r="O1164">
        <v>0</v>
      </c>
      <c r="P1164" t="s">
        <v>88</v>
      </c>
      <c r="Q1164" t="s">
        <v>1023</v>
      </c>
      <c r="R1164" t="s">
        <v>728</v>
      </c>
      <c r="S1164" t="s">
        <v>11</v>
      </c>
    </row>
    <row r="1165" spans="1:19" x14ac:dyDescent="0.25">
      <c r="A1165">
        <v>881</v>
      </c>
      <c r="B1165" t="s">
        <v>20</v>
      </c>
      <c r="C1165" t="s">
        <v>416</v>
      </c>
      <c r="D1165" t="s">
        <v>417</v>
      </c>
      <c r="E1165" s="50">
        <f>VLOOKUP(PlanGrid[[#This Row],[Title]],'Spec Wattages'!$A$1:$C$973,2,FALSE)</f>
        <v>50</v>
      </c>
      <c r="F1165" s="38">
        <v>71</v>
      </c>
      <c r="G1165" s="39">
        <v>0.9</v>
      </c>
      <c r="H1165" s="58">
        <f>PlanGrid[[#This Row],[Spec Wattage]]*PlanGrid[[#This Row],[Equipment Count]]</f>
        <v>3550</v>
      </c>
      <c r="I1165" s="50">
        <f>((PlanGrid[[#This Row],[Demand Watt]]*PlanGrid[[#This Row],[Utilization %]]*'Schedule-Building Info'!$N$16)/1000)</f>
        <v>17492.625</v>
      </c>
      <c r="J1165" s="57">
        <f>PlanGrid[[#This Row],[kWh/yr]]*' Elec Utility (kWh)'!$M$7</f>
        <v>1864.9471789967977</v>
      </c>
      <c r="K1165" s="38">
        <f>PlanGrid[[#This Row],[kWh/yr]]/'Schedule-Building Info'!$B$6</f>
        <v>0.28766506602641057</v>
      </c>
      <c r="L1165" s="50">
        <f>CONVERT(PlanGrid[[#This Row],[kWh/yr]],"Wh","BTU")</f>
        <v>59687.314035194664</v>
      </c>
      <c r="M1165" s="38">
        <f>PlanGrid[[#This Row],[kBtu/yr]]/'Schedule-Building Info'!$B$6</f>
        <v>0.9815539481852138</v>
      </c>
      <c r="N1165" t="s">
        <v>1089</v>
      </c>
      <c r="O1165">
        <v>0</v>
      </c>
      <c r="P1165" t="str">
        <f>VLOOKUP(PlanGrid[[#This Row],[Title]],'Spec Wattages'!$A$1:$C$973,3,FALSE)</f>
        <v>Plug Load</v>
      </c>
      <c r="Q1165" t="s">
        <v>678</v>
      </c>
      <c r="R1165" t="s">
        <v>679</v>
      </c>
      <c r="S1165" t="s">
        <v>11</v>
      </c>
    </row>
    <row r="1166" spans="1:19" x14ac:dyDescent="0.25">
      <c r="A1166">
        <v>910</v>
      </c>
      <c r="B1166" t="s">
        <v>20</v>
      </c>
      <c r="C1166" t="s">
        <v>416</v>
      </c>
      <c r="D1166" t="s">
        <v>431</v>
      </c>
      <c r="E1166" s="50">
        <f>VLOOKUP(PlanGrid[[#This Row],[Title]],'Spec Wattages'!$A$1:$C$973,2,FALSE)</f>
        <v>50</v>
      </c>
      <c r="F1166" s="38">
        <v>196</v>
      </c>
      <c r="G1166" s="39">
        <v>0.9</v>
      </c>
      <c r="H1166" s="50">
        <f>PlanGrid[[#This Row],[Spec Wattage]]*PlanGrid[[#This Row],[Equipment Count]]</f>
        <v>9800</v>
      </c>
      <c r="I1166" s="50">
        <f>((PlanGrid[[#This Row],[Demand Watt]]*PlanGrid[[#This Row],[Utilization %]]*'Schedule-Building Info'!$N$16)/1000)</f>
        <v>48289.5</v>
      </c>
      <c r="J1166" s="57">
        <f>PlanGrid[[#This Row],[kWh/yr]]*' Elec Utility (kWh)'!$M$7</f>
        <v>5148.3048884982018</v>
      </c>
      <c r="K1166" s="49">
        <f>PlanGrid[[#This Row],[kWh/yr]]/'Schedule-Building Info'!$B$6</f>
        <v>0.79411764705882348</v>
      </c>
      <c r="L1166" s="50">
        <f>CONVERT(PlanGrid[[#This Row],[kWh/yr]],"Wh","BTU")</f>
        <v>164770.61339293173</v>
      </c>
      <c r="M1166" s="38">
        <f>PlanGrid[[#This Row],[kBtu/yr]]/'Schedule-Building Info'!$B$6</f>
        <v>2.7096418851310125</v>
      </c>
      <c r="N1166" t="s">
        <v>1089</v>
      </c>
      <c r="O1166">
        <v>2</v>
      </c>
      <c r="P1166" t="str">
        <f>VLOOKUP(PlanGrid[[#This Row],[Title]],'Spec Wattages'!$A$1:$C$973,3,FALSE)</f>
        <v>Plug Load</v>
      </c>
      <c r="Q1166" t="s">
        <v>698</v>
      </c>
      <c r="R1166" t="s">
        <v>690</v>
      </c>
      <c r="S1166" t="s">
        <v>11</v>
      </c>
    </row>
    <row r="1167" spans="1:19" x14ac:dyDescent="0.25">
      <c r="A1167">
        <v>908</v>
      </c>
      <c r="B1167" t="s">
        <v>15</v>
      </c>
      <c r="C1167" t="s">
        <v>16</v>
      </c>
      <c r="D1167" t="s">
        <v>430</v>
      </c>
      <c r="E1167" s="50">
        <f>VLOOKUP(PlanGrid[[#This Row],[Title]],'Spec Wattages'!$A$1:$C$973,2,FALSE)</f>
        <v>21</v>
      </c>
      <c r="F1167" s="38">
        <v>196</v>
      </c>
      <c r="G1167" s="39">
        <v>1</v>
      </c>
      <c r="H1167" s="50">
        <f>PlanGrid[[#This Row],[Spec Wattage]]*PlanGrid[[#This Row],[Equipment Count]]</f>
        <v>4116</v>
      </c>
      <c r="I1167" s="50">
        <f>((PlanGrid[[#This Row],[Demand Watt]]*PlanGrid[[#This Row],[Utilization %]]*'Schedule-Building Info'!$N$16)/1000)</f>
        <v>22535.1</v>
      </c>
      <c r="J1167" s="57">
        <f>PlanGrid[[#This Row],[kWh/yr]]*' Elec Utility (kWh)'!$M$7</f>
        <v>2402.5422812991605</v>
      </c>
      <c r="K1167" s="49">
        <f>PlanGrid[[#This Row],[kWh/yr]]/'Schedule-Building Info'!$B$6</f>
        <v>0.37058823529411761</v>
      </c>
      <c r="L1167" s="50">
        <f>CONVERT(PlanGrid[[#This Row],[kWh/yr]],"Wh","BTU")</f>
        <v>76892.952916701484</v>
      </c>
      <c r="M1167" s="38">
        <f>PlanGrid[[#This Row],[kBtu/yr]]/'Schedule-Building Info'!$B$6</f>
        <v>1.2644995463944726</v>
      </c>
      <c r="N1167" t="s">
        <v>1089</v>
      </c>
      <c r="O1167">
        <v>0</v>
      </c>
      <c r="P1167" t="str">
        <f>VLOOKUP(PlanGrid[[#This Row],[Title]],'Spec Wattages'!$A$1:$C$973,3,FALSE)</f>
        <v>Plug Load</v>
      </c>
      <c r="Q1167" t="s">
        <v>696</v>
      </c>
      <c r="R1167" t="s">
        <v>697</v>
      </c>
      <c r="S1167" t="s">
        <v>11</v>
      </c>
    </row>
    <row r="1168" spans="1:19" x14ac:dyDescent="0.25">
      <c r="A1168">
        <v>952</v>
      </c>
      <c r="B1168" t="s">
        <v>15</v>
      </c>
      <c r="C1168" t="s">
        <v>16</v>
      </c>
      <c r="D1168" t="s">
        <v>442</v>
      </c>
      <c r="E1168" s="50">
        <f>VLOOKUP(PlanGrid[[#This Row],[Title]],'Spec Wattages'!$A$1:$C$973,2,FALSE)</f>
        <v>21</v>
      </c>
      <c r="F1168" s="38">
        <v>12</v>
      </c>
      <c r="G1168" s="39">
        <v>1</v>
      </c>
      <c r="H1168" s="50">
        <f>PlanGrid[[#This Row],[Spec Wattage]]*PlanGrid[[#This Row],[Equipment Count]]</f>
        <v>252</v>
      </c>
      <c r="I1168" s="50">
        <f>((PlanGrid[[#This Row],[Demand Watt]]*PlanGrid[[#This Row],[Utilization %]]*'Schedule-Building Info'!$N$16)/1000)</f>
        <v>1379.7</v>
      </c>
      <c r="J1168" s="57">
        <f>PlanGrid[[#This Row],[kWh/yr]]*' Elec Utility (kWh)'!$M$7</f>
        <v>147.0944253856629</v>
      </c>
      <c r="K1168" s="49">
        <f>PlanGrid[[#This Row],[kWh/yr]]/'Schedule-Building Info'!$B$6</f>
        <v>2.26890756302521E-2</v>
      </c>
      <c r="L1168" s="50">
        <f>CONVERT(PlanGrid[[#This Row],[kWh/yr]],"Wh","BTU")</f>
        <v>4707.7318112266212</v>
      </c>
      <c r="M1168" s="38">
        <f>PlanGrid[[#This Row],[kBtu/yr]]/'Schedule-Building Info'!$B$6</f>
        <v>7.7418339575171788E-2</v>
      </c>
      <c r="N1168" t="s">
        <v>1089</v>
      </c>
      <c r="O1168">
        <v>0</v>
      </c>
      <c r="P1168" t="str">
        <f>VLOOKUP(PlanGrid[[#This Row],[Title]],'Spec Wattages'!$A$1:$C$973,3,FALSE)</f>
        <v>Plug Load</v>
      </c>
      <c r="Q1168" t="s">
        <v>734</v>
      </c>
      <c r="R1168" t="s">
        <v>736</v>
      </c>
      <c r="S1168" t="s">
        <v>11</v>
      </c>
    </row>
    <row r="1169" spans="1:19" x14ac:dyDescent="0.25">
      <c r="A1169">
        <v>962</v>
      </c>
      <c r="B1169" t="s">
        <v>15</v>
      </c>
      <c r="C1169" t="s">
        <v>16</v>
      </c>
      <c r="D1169">
        <v>3</v>
      </c>
      <c r="E1169" s="50">
        <f>VLOOKUP(PlanGrid[[#This Row],[Title]],'Spec Wattages'!$A$1:$C$973,2,FALSE)</f>
        <v>21</v>
      </c>
      <c r="F1169" s="38">
        <v>3</v>
      </c>
      <c r="G1169" s="39">
        <v>1</v>
      </c>
      <c r="H1169" s="50">
        <f>PlanGrid[[#This Row],[Spec Wattage]]*PlanGrid[[#This Row],[Equipment Count]]</f>
        <v>63</v>
      </c>
      <c r="I1169" s="50">
        <f>((PlanGrid[[#This Row],[Demand Watt]]*PlanGrid[[#This Row],[Utilization %]]*'Schedule-Building Info'!$N$16)/1000)</f>
        <v>344.92500000000001</v>
      </c>
      <c r="J1169" s="57">
        <f>PlanGrid[[#This Row],[kWh/yr]]*' Elec Utility (kWh)'!$M$7</f>
        <v>36.773606346415725</v>
      </c>
      <c r="K1169" s="49">
        <f>PlanGrid[[#This Row],[kWh/yr]]/'Schedule-Building Info'!$B$6</f>
        <v>5.672268907563025E-3</v>
      </c>
      <c r="L1169" s="50">
        <f>CONVERT(PlanGrid[[#This Row],[kWh/yr]],"Wh","BTU")</f>
        <v>1176.9329528066553</v>
      </c>
      <c r="M1169" s="38">
        <f>PlanGrid[[#This Row],[kBtu/yr]]/'Schedule-Building Info'!$B$6</f>
        <v>1.9354584893792947E-2</v>
      </c>
      <c r="N1169" t="s">
        <v>1089</v>
      </c>
      <c r="O1169">
        <v>0</v>
      </c>
      <c r="P1169" t="str">
        <f>VLOOKUP(PlanGrid[[#This Row],[Title]],'Spec Wattages'!$A$1:$C$973,3,FALSE)</f>
        <v>Plug Load</v>
      </c>
      <c r="Q1169" t="s">
        <v>740</v>
      </c>
      <c r="R1169" t="s">
        <v>740</v>
      </c>
      <c r="S1169" t="s">
        <v>51</v>
      </c>
    </row>
    <row r="1170" spans="1:19" x14ac:dyDescent="0.25">
      <c r="A1170">
        <v>978</v>
      </c>
      <c r="B1170" t="s">
        <v>15</v>
      </c>
      <c r="C1170" t="s">
        <v>16</v>
      </c>
      <c r="D1170">
        <v>3</v>
      </c>
      <c r="E1170" s="50">
        <f>VLOOKUP(PlanGrid[[#This Row],[Title]],'Spec Wattages'!$A$1:$C$973,2,FALSE)</f>
        <v>21</v>
      </c>
      <c r="F1170" s="38">
        <v>3</v>
      </c>
      <c r="G1170" s="39">
        <v>1</v>
      </c>
      <c r="H1170" s="50">
        <f>PlanGrid[[#This Row],[Spec Wattage]]*PlanGrid[[#This Row],[Equipment Count]]</f>
        <v>63</v>
      </c>
      <c r="I1170" s="50">
        <f>((PlanGrid[[#This Row],[Demand Watt]]*PlanGrid[[#This Row],[Utilization %]]*'Schedule-Building Info'!$N$16)/1000)</f>
        <v>344.92500000000001</v>
      </c>
      <c r="J1170" s="57">
        <f>PlanGrid[[#This Row],[kWh/yr]]*' Elec Utility (kWh)'!$M$7</f>
        <v>36.773606346415725</v>
      </c>
      <c r="K1170" s="49">
        <f>PlanGrid[[#This Row],[kWh/yr]]/'Schedule-Building Info'!$B$6</f>
        <v>5.672268907563025E-3</v>
      </c>
      <c r="L1170" s="50">
        <f>CONVERT(PlanGrid[[#This Row],[kWh/yr]],"Wh","BTU")</f>
        <v>1176.9329528066553</v>
      </c>
      <c r="M1170" s="38">
        <f>PlanGrid[[#This Row],[kBtu/yr]]/'Schedule-Building Info'!$B$6</f>
        <v>1.9354584893792947E-2</v>
      </c>
      <c r="N1170" t="s">
        <v>1089</v>
      </c>
      <c r="O1170">
        <v>0</v>
      </c>
      <c r="P1170" t="str">
        <f>VLOOKUP(PlanGrid[[#This Row],[Title]],'Spec Wattages'!$A$1:$C$973,3,FALSE)</f>
        <v>Plug Load</v>
      </c>
      <c r="Q1170" t="s">
        <v>750</v>
      </c>
      <c r="R1170" t="s">
        <v>750</v>
      </c>
      <c r="S1170" t="s">
        <v>51</v>
      </c>
    </row>
    <row r="1171" spans="1:19" x14ac:dyDescent="0.25">
      <c r="A1171">
        <v>992</v>
      </c>
      <c r="B1171" t="s">
        <v>15</v>
      </c>
      <c r="C1171" t="s">
        <v>16</v>
      </c>
      <c r="D1171">
        <v>3</v>
      </c>
      <c r="E1171" s="50">
        <f>VLOOKUP(PlanGrid[[#This Row],[Title]],'Spec Wattages'!$A$1:$C$973,2,FALSE)</f>
        <v>21</v>
      </c>
      <c r="F1171" s="38">
        <v>3</v>
      </c>
      <c r="G1171" s="39">
        <v>1</v>
      </c>
      <c r="H1171" s="50">
        <f>PlanGrid[[#This Row],[Spec Wattage]]*PlanGrid[[#This Row],[Equipment Count]]</f>
        <v>63</v>
      </c>
      <c r="I1171" s="50">
        <f>((PlanGrid[[#This Row],[Demand Watt]]*PlanGrid[[#This Row],[Utilization %]]*'Schedule-Building Info'!$N$16)/1000)</f>
        <v>344.92500000000001</v>
      </c>
      <c r="J1171" s="57">
        <f>PlanGrid[[#This Row],[kWh/yr]]*' Elec Utility (kWh)'!$M$7</f>
        <v>36.773606346415725</v>
      </c>
      <c r="K1171" s="49">
        <f>PlanGrid[[#This Row],[kWh/yr]]/'Schedule-Building Info'!$B$6</f>
        <v>5.672268907563025E-3</v>
      </c>
      <c r="L1171" s="50">
        <f>CONVERT(PlanGrid[[#This Row],[kWh/yr]],"Wh","BTU")</f>
        <v>1176.9329528066553</v>
      </c>
      <c r="M1171" s="38">
        <f>PlanGrid[[#This Row],[kBtu/yr]]/'Schedule-Building Info'!$B$6</f>
        <v>1.9354584893792947E-2</v>
      </c>
      <c r="N1171" t="s">
        <v>1089</v>
      </c>
      <c r="O1171">
        <v>0</v>
      </c>
      <c r="P1171" t="str">
        <f>VLOOKUP(PlanGrid[[#This Row],[Title]],'Spec Wattages'!$A$1:$C$973,3,FALSE)</f>
        <v>Plug Load</v>
      </c>
      <c r="Q1171" t="s">
        <v>734</v>
      </c>
      <c r="R1171" t="s">
        <v>739</v>
      </c>
      <c r="S1171" t="s">
        <v>51</v>
      </c>
    </row>
    <row r="1172" spans="1:19" x14ac:dyDescent="0.25">
      <c r="A1172">
        <v>1016</v>
      </c>
      <c r="B1172" t="s">
        <v>15</v>
      </c>
      <c r="C1172" t="s">
        <v>16</v>
      </c>
      <c r="D1172">
        <v>3</v>
      </c>
      <c r="E1172" s="50">
        <f>VLOOKUP(PlanGrid[[#This Row],[Title]],'Spec Wattages'!$A$1:$C$973,2,FALSE)</f>
        <v>21</v>
      </c>
      <c r="F1172" s="38">
        <v>3</v>
      </c>
      <c r="G1172" s="39">
        <v>1</v>
      </c>
      <c r="H1172" s="50">
        <f>PlanGrid[[#This Row],[Spec Wattage]]*PlanGrid[[#This Row],[Equipment Count]]</f>
        <v>63</v>
      </c>
      <c r="I1172" s="50">
        <f>((PlanGrid[[#This Row],[Demand Watt]]*PlanGrid[[#This Row],[Utilization %]]*'Schedule-Building Info'!$N$16)/1000)</f>
        <v>344.92500000000001</v>
      </c>
      <c r="J1172" s="57">
        <f>PlanGrid[[#This Row],[kWh/yr]]*' Elec Utility (kWh)'!$M$7</f>
        <v>36.773606346415725</v>
      </c>
      <c r="K1172" s="49">
        <f>PlanGrid[[#This Row],[kWh/yr]]/'Schedule-Building Info'!$B$6</f>
        <v>5.672268907563025E-3</v>
      </c>
      <c r="L1172" s="50">
        <f>CONVERT(PlanGrid[[#This Row],[kWh/yr]],"Wh","BTU")</f>
        <v>1176.9329528066553</v>
      </c>
      <c r="M1172" s="38">
        <f>PlanGrid[[#This Row],[kBtu/yr]]/'Schedule-Building Info'!$B$6</f>
        <v>1.9354584893792947E-2</v>
      </c>
      <c r="N1172" t="s">
        <v>1089</v>
      </c>
      <c r="O1172">
        <v>0</v>
      </c>
      <c r="P1172" t="str">
        <f>VLOOKUP(PlanGrid[[#This Row],[Title]],'Spec Wattages'!$A$1:$C$973,3,FALSE)</f>
        <v>Plug Load</v>
      </c>
      <c r="Q1172" t="s">
        <v>760</v>
      </c>
      <c r="R1172" t="s">
        <v>760</v>
      </c>
      <c r="S1172" t="s">
        <v>51</v>
      </c>
    </row>
    <row r="1173" spans="1:19" x14ac:dyDescent="0.25">
      <c r="A1173">
        <v>882</v>
      </c>
      <c r="B1173" t="s">
        <v>15</v>
      </c>
      <c r="C1173" t="s">
        <v>16</v>
      </c>
      <c r="D1173" t="s">
        <v>418</v>
      </c>
      <c r="E1173" s="50">
        <f>VLOOKUP(PlanGrid[[#This Row],[Title]],'Spec Wattages'!$A$1:$C$973,2,FALSE)</f>
        <v>21</v>
      </c>
      <c r="F1173" s="38">
        <v>71</v>
      </c>
      <c r="G1173" s="39">
        <v>0.75</v>
      </c>
      <c r="H1173" s="58">
        <f>PlanGrid[[#This Row],[Spec Wattage]]*PlanGrid[[#This Row],[Equipment Count]]</f>
        <v>1491</v>
      </c>
      <c r="I1173" s="50">
        <f>((PlanGrid[[#This Row],[Demand Watt]]*PlanGrid[[#This Row],[Utilization %]]*'Schedule-Building Info'!$N$16)/1000)</f>
        <v>6122.4187499999998</v>
      </c>
      <c r="J1173" s="57">
        <f>PlanGrid[[#This Row],[kWh/yr]]*' Elec Utility (kWh)'!$M$7</f>
        <v>652.73151264887917</v>
      </c>
      <c r="K1173" s="38">
        <f>PlanGrid[[#This Row],[kWh/yr]]/'Schedule-Building Info'!$B$6</f>
        <v>0.1006827731092437</v>
      </c>
      <c r="L1173" s="50">
        <f>CONVERT(PlanGrid[[#This Row],[kWh/yr]],"Wh","BTU")</f>
        <v>20890.559912318131</v>
      </c>
      <c r="M1173" s="38">
        <f>PlanGrid[[#This Row],[kBtu/yr]]/'Schedule-Building Info'!$B$6</f>
        <v>0.34354388186482482</v>
      </c>
      <c r="N1173" t="s">
        <v>1089</v>
      </c>
      <c r="O1173">
        <v>0</v>
      </c>
      <c r="P1173" t="str">
        <f>VLOOKUP(PlanGrid[[#This Row],[Title]],'Spec Wattages'!$A$1:$C$973,3,FALSE)</f>
        <v>Plug Load</v>
      </c>
      <c r="Q1173" t="s">
        <v>679</v>
      </c>
      <c r="R1173" t="s">
        <v>679</v>
      </c>
      <c r="S1173" t="s">
        <v>11</v>
      </c>
    </row>
    <row r="1174" spans="1:19" x14ac:dyDescent="0.25">
      <c r="E1174" s="53"/>
      <c r="F1174" s="38">
        <f>SUBTOTAL(109,PlanGrid[Equipment Count])</f>
        <v>2359</v>
      </c>
      <c r="G1174" s="53"/>
      <c r="H1174" s="54">
        <f>SUBTOTAL(109,PlanGrid[Demand Watt])</f>
        <v>591171</v>
      </c>
      <c r="I1174" s="54">
        <f>SUBTOTAL(109,PlanGrid[kWh/yr])</f>
        <v>1024842.8024999915</v>
      </c>
      <c r="J1174" s="411">
        <f>SUBTOTAL(109,PlanGrid[Annual Elec $])</f>
        <v>109261.91428888196</v>
      </c>
      <c r="K1174" s="49">
        <f>SUBTOTAL(109,K4:K301)</f>
        <v>5.0431332533013311</v>
      </c>
      <c r="L1174" s="358">
        <f>SUBTOTAL(109,PlanGrid[kBtu/yr])</f>
        <v>3496908.7938217251</v>
      </c>
      <c r="M1174" s="48">
        <f>SUBTOTAL(109,PlanGrid[kBtu/ft2-yr])</f>
        <v>57.506434801127661</v>
      </c>
    </row>
    <row r="1175" spans="1:19" x14ac:dyDescent="0.25">
      <c r="L1175"/>
    </row>
    <row r="1176" spans="1:19" x14ac:dyDescent="0.25">
      <c r="D1176" s="51"/>
      <c r="L1176"/>
    </row>
    <row r="1177" spans="1:19" ht="15.75" thickBot="1" x14ac:dyDescent="0.3">
      <c r="D1177" s="51"/>
      <c r="F1177" s="231" t="s">
        <v>1127</v>
      </c>
      <c r="L1177"/>
    </row>
    <row r="1178" spans="1:19" ht="15.75" thickBot="1" x14ac:dyDescent="0.3">
      <c r="D1178" s="51"/>
      <c r="F1178" s="626" t="s">
        <v>1128</v>
      </c>
      <c r="G1178" s="627"/>
    </row>
    <row r="1179" spans="1:19" x14ac:dyDescent="0.25">
      <c r="D1179" s="51"/>
      <c r="F1179" s="359" t="s">
        <v>1129</v>
      </c>
      <c r="G1179" s="360">
        <v>30</v>
      </c>
    </row>
    <row r="1180" spans="1:19" ht="15.75" thickBot="1" x14ac:dyDescent="0.3">
      <c r="D1180" s="51"/>
      <c r="F1180" s="44" t="s">
        <v>1130</v>
      </c>
      <c r="G1180" s="361">
        <f>G1179*745.7</f>
        <v>22371</v>
      </c>
    </row>
    <row r="1181" spans="1:19" x14ac:dyDescent="0.25">
      <c r="D1181" s="51"/>
    </row>
    <row r="1182" spans="1:19" ht="15.75" thickBot="1" x14ac:dyDescent="0.3">
      <c r="D1182" s="51" t="s">
        <v>1248</v>
      </c>
    </row>
    <row r="1183" spans="1:19" ht="15.75" thickBot="1" x14ac:dyDescent="0.3">
      <c r="D1183" s="51" t="s">
        <v>1246</v>
      </c>
      <c r="F1183" s="626" t="s">
        <v>1131</v>
      </c>
      <c r="G1183" s="627"/>
    </row>
    <row r="1184" spans="1:19" x14ac:dyDescent="0.25">
      <c r="D1184" s="51">
        <v>40</v>
      </c>
      <c r="E1184" t="s">
        <v>1247</v>
      </c>
      <c r="F1184" s="359" t="s">
        <v>1132</v>
      </c>
      <c r="G1184" s="362">
        <v>388267.44999999955</v>
      </c>
    </row>
    <row r="1185" spans="4:9" x14ac:dyDescent="0.25">
      <c r="F1185" s="43" t="s">
        <v>1133</v>
      </c>
      <c r="G1185" s="363">
        <f>($F$987*0.003412142)</f>
        <v>6.8242839999999999E-3</v>
      </c>
    </row>
    <row r="1186" spans="4:9" ht="15.75" thickBot="1" x14ac:dyDescent="0.3">
      <c r="D1186" s="51"/>
      <c r="F1186" s="44" t="s">
        <v>1134</v>
      </c>
      <c r="G1186" s="364">
        <f>$F$988/12</f>
        <v>0.16666666666666666</v>
      </c>
    </row>
    <row r="1187" spans="4:9" ht="15.75" thickBot="1" x14ac:dyDescent="0.3">
      <c r="D1187" s="51"/>
    </row>
    <row r="1188" spans="4:9" ht="15.75" thickBot="1" x14ac:dyDescent="0.3">
      <c r="D1188" s="51"/>
      <c r="F1188" s="626" t="s">
        <v>1224</v>
      </c>
      <c r="G1188" s="627"/>
      <c r="H1188" s="63"/>
      <c r="I1188" s="240"/>
    </row>
    <row r="1189" spans="4:9" x14ac:dyDescent="0.25">
      <c r="D1189" s="51"/>
      <c r="F1189" s="395" t="s">
        <v>1226</v>
      </c>
      <c r="G1189" s="360">
        <f>76.2+201.4+131.4+81+67.2+173.4+17.6+22.8+16.2+18.1+18.5+20+12.3+23+19.2+17.4+17.8+14.4+16.3+110.5</f>
        <v>1074.6999999999998</v>
      </c>
    </row>
    <row r="1190" spans="4:9" x14ac:dyDescent="0.25">
      <c r="D1190" s="51"/>
      <c r="F1190" s="276" t="s">
        <v>1225</v>
      </c>
      <c r="G1190" s="363">
        <f>G1189*'Schedule-Building Info'!N16</f>
        <v>5883982.4999999991</v>
      </c>
    </row>
    <row r="1191" spans="4:9" x14ac:dyDescent="0.25">
      <c r="D1191" s="51"/>
      <c r="F1191" s="396" t="s">
        <v>1230</v>
      </c>
      <c r="G1191" s="397" t="str">
        <f>IF(('17G0157D_EnergyAudit2'!G1190/' Elec Utility (kWh)'!M4)&lt;0.05, "Good",  IF((1-(('17G0157D_EnergyAudit2'!G1190/' Elec Utility (kWh)'!M4))&gt;0.05), "Good", "Use kWh"))</f>
        <v>Use kWh</v>
      </c>
    </row>
    <row r="1192" spans="4:9" x14ac:dyDescent="0.25">
      <c r="D1192" s="51"/>
      <c r="F1192" s="276" t="s">
        <v>1227</v>
      </c>
      <c r="G1192" s="398">
        <v>4.4999999999999998E-2</v>
      </c>
    </row>
    <row r="1193" spans="4:9" x14ac:dyDescent="0.25">
      <c r="D1193" s="297"/>
      <c r="F1193" s="399" t="s">
        <v>1228</v>
      </c>
      <c r="G1193" s="400">
        <f>IF(G1191="Good",(G1190*G1192),(' Elec Utility (kWh)'!M4*'17G0157D_EnergyAudit2'!G1192))</f>
        <v>48406.5</v>
      </c>
      <c r="H1193" s="63"/>
    </row>
    <row r="1194" spans="4:9" ht="15.75" thickBot="1" x14ac:dyDescent="0.3">
      <c r="D1194" s="51"/>
      <c r="F1194" s="401" t="s">
        <v>1229</v>
      </c>
      <c r="G1194" s="190">
        <f>G1193*' Elec Utility (kWh)'!M7</f>
        <v>5160.7786492941159</v>
      </c>
    </row>
    <row r="1195" spans="4:9" x14ac:dyDescent="0.25">
      <c r="D1195" s="51"/>
    </row>
    <row r="1196" spans="4:9" x14ac:dyDescent="0.25">
      <c r="D1196" s="51"/>
    </row>
    <row r="1197" spans="4:9" x14ac:dyDescent="0.25">
      <c r="D1197" s="51"/>
    </row>
    <row r="1204" spans="7:8" x14ac:dyDescent="0.25">
      <c r="G1204" t="s">
        <v>1232</v>
      </c>
      <c r="H1204" s="7">
        <v>145</v>
      </c>
    </row>
    <row r="1205" spans="7:8" x14ac:dyDescent="0.25">
      <c r="G1205" t="s">
        <v>1233</v>
      </c>
      <c r="H1205" s="7">
        <v>144</v>
      </c>
    </row>
    <row r="1206" spans="7:8" x14ac:dyDescent="0.25">
      <c r="H1206" s="7">
        <f>H1204*H1205</f>
        <v>20880</v>
      </c>
    </row>
  </sheetData>
  <mergeCells count="3">
    <mergeCell ref="F1178:G1178"/>
    <mergeCell ref="F1183:G1183"/>
    <mergeCell ref="F1188:G1188"/>
  </mergeCells>
  <conditionalFormatting sqref="I8:I316">
    <cfRule type="colorScale" priority="5">
      <colorScale>
        <cfvo type="min"/>
        <cfvo type="percentile" val="50"/>
        <cfvo type="max"/>
        <color rgb="FF63BE7B"/>
        <color rgb="FFFFEB84"/>
        <color rgb="FFF8696B"/>
      </colorScale>
    </cfRule>
  </conditionalFormatting>
  <conditionalFormatting sqref="I2:I1173">
    <cfRule type="colorScale" priority="8">
      <colorScale>
        <cfvo type="min"/>
        <cfvo type="percentile" val="50"/>
        <cfvo type="max"/>
        <color rgb="FF63BE7B"/>
        <color rgb="FFFCFCFF"/>
        <color rgb="FFF8696B"/>
      </colorScale>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80"/>
  <sheetViews>
    <sheetView tabSelected="1" workbookViewId="0">
      <selection activeCell="E135" sqref="E135"/>
    </sheetView>
  </sheetViews>
  <sheetFormatPr defaultRowHeight="15" x14ac:dyDescent="0.25"/>
  <cols>
    <col min="1" max="1" width="4.5703125" style="86" bestFit="1" customWidth="1"/>
    <col min="2" max="2" width="14.140625" style="86" customWidth="1"/>
    <col min="3" max="3" width="12.5703125" style="86" bestFit="1" customWidth="1"/>
    <col min="4" max="4" width="15.5703125" style="86" customWidth="1"/>
    <col min="5" max="5" width="13.7109375" style="86" customWidth="1"/>
    <col min="6" max="6" width="16.28515625" style="86" bestFit="1" customWidth="1"/>
    <col min="7" max="7" width="9.140625" style="86"/>
    <col min="8" max="8" width="11.5703125" style="86" bestFit="1" customWidth="1"/>
    <col min="9" max="9" width="9.5703125" style="86" customWidth="1"/>
    <col min="10" max="10" width="9.7109375" style="86" bestFit="1" customWidth="1"/>
    <col min="11" max="16384" width="9.140625" style="86"/>
  </cols>
  <sheetData>
    <row r="1" spans="1:14" x14ac:dyDescent="0.25">
      <c r="B1" s="637" t="s">
        <v>1126</v>
      </c>
      <c r="C1" s="637"/>
      <c r="D1" s="637"/>
      <c r="E1" s="637"/>
      <c r="L1" s="86" t="s">
        <v>1343</v>
      </c>
      <c r="N1" s="86" t="s">
        <v>1352</v>
      </c>
    </row>
    <row r="2" spans="1:14" ht="15.75" thickBot="1" x14ac:dyDescent="0.3">
      <c r="B2" s="638" t="s">
        <v>1125</v>
      </c>
      <c r="C2" s="638"/>
      <c r="D2" s="639"/>
      <c r="E2" s="639"/>
      <c r="N2" s="86" t="s">
        <v>1353</v>
      </c>
    </row>
    <row r="3" spans="1:14" ht="15.75" thickBot="1" x14ac:dyDescent="0.3">
      <c r="A3" s="283">
        <v>1.1000000000000001</v>
      </c>
      <c r="B3" s="626" t="s">
        <v>275</v>
      </c>
      <c r="C3" s="627"/>
      <c r="D3" s="357"/>
      <c r="E3" s="160"/>
      <c r="F3" s="159"/>
      <c r="H3" s="567"/>
      <c r="I3" s="568"/>
      <c r="J3" s="158" t="s">
        <v>274</v>
      </c>
    </row>
    <row r="4" spans="1:14" ht="15.75" thickBot="1" x14ac:dyDescent="0.3">
      <c r="B4" s="294" t="s">
        <v>273</v>
      </c>
      <c r="C4" s="90">
        <v>175</v>
      </c>
      <c r="D4" s="356"/>
      <c r="E4" s="133"/>
      <c r="F4" s="291"/>
      <c r="H4" s="630"/>
      <c r="I4" s="631"/>
      <c r="J4" s="156">
        <f>H4/H8</f>
        <v>0</v>
      </c>
    </row>
    <row r="5" spans="1:14" ht="15.75" thickBot="1" x14ac:dyDescent="0.3">
      <c r="B5" s="281" t="s">
        <v>272</v>
      </c>
      <c r="C5" s="282" t="s">
        <v>271</v>
      </c>
      <c r="D5" s="284" t="s">
        <v>270</v>
      </c>
      <c r="E5" s="285" t="s">
        <v>269</v>
      </c>
      <c r="F5" s="355" t="s">
        <v>1124</v>
      </c>
      <c r="H5" s="632" t="s">
        <v>268</v>
      </c>
      <c r="I5" s="634"/>
      <c r="J5" s="147"/>
    </row>
    <row r="6" spans="1:14" ht="15.75" thickBot="1" x14ac:dyDescent="0.3">
      <c r="B6" s="59" t="s">
        <v>116</v>
      </c>
      <c r="C6" s="155">
        <f>2000*F6</f>
        <v>178000</v>
      </c>
      <c r="D6" s="100">
        <v>16</v>
      </c>
      <c r="E6" s="353">
        <f>C6+(D6*F6*$C$4)</f>
        <v>427200</v>
      </c>
      <c r="F6" s="354">
        <v>89</v>
      </c>
      <c r="H6" s="628">
        <f>' Elec Utility (kWh)'!L4</f>
        <v>114347.76000000001</v>
      </c>
      <c r="I6" s="629"/>
      <c r="J6" s="138">
        <f>H6/H8</f>
        <v>1</v>
      </c>
    </row>
    <row r="7" spans="1:14" ht="15.75" thickBot="1" x14ac:dyDescent="0.3">
      <c r="B7" s="142" t="s">
        <v>267</v>
      </c>
      <c r="C7" s="154">
        <v>0</v>
      </c>
      <c r="D7" s="111">
        <v>0</v>
      </c>
      <c r="E7" s="353">
        <f>C7+(D7*F7*$C$4)</f>
        <v>0</v>
      </c>
      <c r="F7" s="352">
        <v>0</v>
      </c>
      <c r="H7" s="567" t="s">
        <v>266</v>
      </c>
      <c r="I7" s="568"/>
      <c r="J7" s="143"/>
    </row>
    <row r="8" spans="1:14" ht="15.75" thickBot="1" x14ac:dyDescent="0.3">
      <c r="B8" s="142" t="s">
        <v>265</v>
      </c>
      <c r="C8" s="154">
        <v>0</v>
      </c>
      <c r="D8" s="111">
        <v>0</v>
      </c>
      <c r="E8" s="353">
        <f>C8+(D8*F8*$C$4)</f>
        <v>0</v>
      </c>
      <c r="F8" s="352">
        <v>0</v>
      </c>
      <c r="H8" s="630">
        <f>SUM(H6,H4)</f>
        <v>114347.76000000001</v>
      </c>
      <c r="I8" s="631"/>
      <c r="J8" s="88"/>
    </row>
    <row r="9" spans="1:14" x14ac:dyDescent="0.25">
      <c r="B9" s="142" t="s">
        <v>103</v>
      </c>
      <c r="C9" s="154"/>
      <c r="D9" s="111"/>
      <c r="E9" s="353">
        <f>C9+(D9*F9*$C$4)</f>
        <v>0</v>
      </c>
      <c r="F9" s="352">
        <v>6</v>
      </c>
    </row>
    <row r="10" spans="1:14" ht="15.75" thickBot="1" x14ac:dyDescent="0.3">
      <c r="B10" s="153" t="s">
        <v>264</v>
      </c>
      <c r="C10" s="351">
        <f>20000*F10</f>
        <v>0</v>
      </c>
      <c r="D10" s="350">
        <v>0</v>
      </c>
      <c r="E10" s="349">
        <f>C10+(D10*F10*$C$4)</f>
        <v>0</v>
      </c>
      <c r="F10" s="348">
        <v>0</v>
      </c>
    </row>
    <row r="11" spans="1:14" ht="15.75" thickBot="1" x14ac:dyDescent="0.3">
      <c r="B11" s="632" t="s">
        <v>218</v>
      </c>
      <c r="C11" s="633"/>
      <c r="D11" s="633"/>
      <c r="E11" s="97">
        <f>SUM(E6:E10)</f>
        <v>427200</v>
      </c>
      <c r="F11" s="347"/>
    </row>
    <row r="12" spans="1:14" ht="15.75" thickBot="1" x14ac:dyDescent="0.3"/>
    <row r="13" spans="1:14" ht="15.75" thickBot="1" x14ac:dyDescent="0.3">
      <c r="A13" s="283">
        <v>1.2</v>
      </c>
      <c r="B13" s="632" t="s">
        <v>263</v>
      </c>
      <c r="C13" s="633"/>
      <c r="D13" s="633"/>
      <c r="E13" s="633"/>
      <c r="F13" s="634"/>
      <c r="G13" s="152"/>
      <c r="H13" s="151"/>
      <c r="L13" s="86" t="s">
        <v>1344</v>
      </c>
    </row>
    <row r="14" spans="1:14" x14ac:dyDescent="0.25">
      <c r="B14" s="635" t="s">
        <v>262</v>
      </c>
      <c r="C14" s="636"/>
      <c r="D14" s="346">
        <v>0.35</v>
      </c>
      <c r="E14" s="290" t="s">
        <v>261</v>
      </c>
      <c r="F14" s="278" t="s">
        <v>260</v>
      </c>
      <c r="G14" s="135"/>
      <c r="H14" s="143"/>
      <c r="L14" s="86" t="s">
        <v>1344</v>
      </c>
    </row>
    <row r="15" spans="1:14" ht="15.75" thickBot="1" x14ac:dyDescent="0.3">
      <c r="B15" s="647" t="s">
        <v>259</v>
      </c>
      <c r="C15" s="648"/>
      <c r="D15" s="150">
        <f>H4*D14</f>
        <v>0</v>
      </c>
      <c r="E15" s="149"/>
      <c r="F15" s="148">
        <f>H4-D15</f>
        <v>0</v>
      </c>
      <c r="G15" s="135"/>
      <c r="H15" s="143"/>
      <c r="L15" s="86" t="s">
        <v>1344</v>
      </c>
    </row>
    <row r="16" spans="1:14" ht="15.75" thickBot="1" x14ac:dyDescent="0.3">
      <c r="A16" s="283"/>
      <c r="B16" s="136"/>
      <c r="C16" s="135"/>
      <c r="D16" s="135"/>
      <c r="E16" s="135"/>
      <c r="F16" s="135"/>
      <c r="G16" s="135"/>
      <c r="H16" s="147"/>
      <c r="L16" s="86" t="s">
        <v>1344</v>
      </c>
    </row>
    <row r="17" spans="1:12" ht="15.75" thickBot="1" x14ac:dyDescent="0.3">
      <c r="B17" s="626" t="s">
        <v>258</v>
      </c>
      <c r="C17" s="649"/>
      <c r="D17" s="649"/>
      <c r="E17" s="649"/>
      <c r="F17" s="649"/>
      <c r="G17" s="649"/>
      <c r="H17" s="627"/>
      <c r="L17" s="86" t="s">
        <v>1344</v>
      </c>
    </row>
    <row r="18" spans="1:12" ht="15.75" thickBot="1" x14ac:dyDescent="0.3">
      <c r="B18" s="626" t="s">
        <v>257</v>
      </c>
      <c r="C18" s="627"/>
      <c r="D18" s="345">
        <v>16508.080993217784</v>
      </c>
      <c r="E18" s="146"/>
      <c r="F18" s="145">
        <f>SUM('[2] Elec Utility (kWh)'!G2:G13)-D18</f>
        <v>25412.902109700797</v>
      </c>
      <c r="G18" s="650"/>
      <c r="H18" s="629"/>
      <c r="L18" s="86" t="s">
        <v>1344</v>
      </c>
    </row>
    <row r="19" spans="1:12" ht="15.75" thickBot="1" x14ac:dyDescent="0.3">
      <c r="B19" s="136"/>
      <c r="C19" s="135"/>
      <c r="D19" s="135"/>
      <c r="E19" s="135"/>
      <c r="F19" s="135"/>
      <c r="G19" s="135"/>
      <c r="H19" s="143"/>
      <c r="L19" s="86" t="s">
        <v>1344</v>
      </c>
    </row>
    <row r="20" spans="1:12" ht="15.75" thickBot="1" x14ac:dyDescent="0.3">
      <c r="B20" s="626" t="s">
        <v>198</v>
      </c>
      <c r="C20" s="627"/>
      <c r="D20" s="292"/>
      <c r="E20" s="97">
        <f>SUM(D15,F18)</f>
        <v>25412.902109700797</v>
      </c>
      <c r="F20" s="89"/>
      <c r="G20" s="89"/>
      <c r="H20" s="88"/>
      <c r="L20" s="86" t="s">
        <v>1344</v>
      </c>
    </row>
    <row r="21" spans="1:12" ht="15.75" thickBot="1" x14ac:dyDescent="0.3"/>
    <row r="22" spans="1:12" ht="15.75" thickBot="1" x14ac:dyDescent="0.3">
      <c r="A22" s="283">
        <v>1.3</v>
      </c>
      <c r="B22" s="567" t="s">
        <v>256</v>
      </c>
      <c r="C22" s="625"/>
      <c r="D22" s="625"/>
      <c r="E22" s="625"/>
      <c r="F22" s="568"/>
      <c r="L22" s="86" t="s">
        <v>1345</v>
      </c>
    </row>
    <row r="23" spans="1:12" ht="15.75" thickBot="1" x14ac:dyDescent="0.3">
      <c r="B23" s="59" t="s">
        <v>255</v>
      </c>
      <c r="C23" s="144">
        <v>122500</v>
      </c>
      <c r="D23" s="640" t="s">
        <v>254</v>
      </c>
      <c r="E23" s="135"/>
      <c r="F23" s="143"/>
      <c r="I23" s="344"/>
      <c r="L23" s="86" t="s">
        <v>1345</v>
      </c>
    </row>
    <row r="24" spans="1:12" ht="15.75" thickBot="1" x14ac:dyDescent="0.3">
      <c r="B24" s="142" t="s">
        <v>253</v>
      </c>
      <c r="C24" s="141">
        <v>107187.5</v>
      </c>
      <c r="D24" s="641"/>
      <c r="E24" s="625" t="s">
        <v>252</v>
      </c>
      <c r="F24" s="568"/>
      <c r="L24" s="86" t="s">
        <v>1345</v>
      </c>
    </row>
    <row r="25" spans="1:12" ht="15.75" thickBot="1" x14ac:dyDescent="0.3">
      <c r="B25" s="279" t="s">
        <v>251</v>
      </c>
      <c r="C25" s="140">
        <f>(C23/C24)^3</f>
        <v>1.4927113702623904</v>
      </c>
      <c r="D25" s="641"/>
      <c r="E25" s="643">
        <v>100</v>
      </c>
      <c r="F25" s="644"/>
      <c r="L25" s="86" t="s">
        <v>1345</v>
      </c>
    </row>
    <row r="26" spans="1:12" ht="15.75" thickBot="1" x14ac:dyDescent="0.3">
      <c r="B26" s="139" t="s">
        <v>250</v>
      </c>
      <c r="C26" s="138" t="str">
        <f>MID(C25,2,4)</f>
        <v>.492</v>
      </c>
      <c r="D26" s="641"/>
      <c r="E26" s="625" t="s">
        <v>249</v>
      </c>
      <c r="F26" s="568"/>
      <c r="L26" s="86" t="s">
        <v>1345</v>
      </c>
    </row>
    <row r="27" spans="1:12" ht="15.75" thickBot="1" x14ac:dyDescent="0.3">
      <c r="B27" s="567" t="s">
        <v>248</v>
      </c>
      <c r="C27" s="568"/>
      <c r="D27" s="642"/>
      <c r="E27" s="645">
        <f>4675*0.5*0.25</f>
        <v>584.375</v>
      </c>
      <c r="F27" s="646"/>
      <c r="L27" s="86" t="s">
        <v>1345</v>
      </c>
    </row>
    <row r="28" spans="1:12" ht="15.75" thickBot="1" x14ac:dyDescent="0.3">
      <c r="B28" s="661">
        <v>3168.3485335330406</v>
      </c>
      <c r="C28" s="662"/>
      <c r="D28" s="137">
        <v>1300</v>
      </c>
      <c r="E28" s="567" t="s">
        <v>247</v>
      </c>
      <c r="F28" s="568"/>
      <c r="L28" s="86" t="s">
        <v>1345</v>
      </c>
    </row>
    <row r="29" spans="1:12" ht="15.75" thickBot="1" x14ac:dyDescent="0.3">
      <c r="B29" s="136"/>
      <c r="C29" s="135"/>
      <c r="D29" s="135"/>
      <c r="E29" s="663">
        <v>12641.131715330735</v>
      </c>
      <c r="F29" s="664"/>
      <c r="L29" s="86" t="s">
        <v>1345</v>
      </c>
    </row>
    <row r="30" spans="1:12" ht="15.75" thickBot="1" x14ac:dyDescent="0.3">
      <c r="B30" s="567" t="s">
        <v>246</v>
      </c>
      <c r="C30" s="568"/>
      <c r="D30" s="134"/>
      <c r="E30" s="567" t="s">
        <v>245</v>
      </c>
      <c r="F30" s="568"/>
      <c r="L30" s="86" t="s">
        <v>1345</v>
      </c>
    </row>
    <row r="31" spans="1:12" ht="15.75" thickBot="1" x14ac:dyDescent="0.3">
      <c r="B31" s="630">
        <f>B28-(B28*C26)</f>
        <v>1609.5210550347847</v>
      </c>
      <c r="C31" s="631"/>
      <c r="D31" s="133"/>
      <c r="E31" s="665">
        <f>SUM(B31,E25,D28)</f>
        <v>3009.5210550347847</v>
      </c>
      <c r="F31" s="666"/>
      <c r="L31" s="86" t="s">
        <v>1345</v>
      </c>
    </row>
    <row r="32" spans="1:12" ht="15.75" thickBot="1" x14ac:dyDescent="0.3"/>
    <row r="33" spans="1:12" ht="15.75" thickBot="1" x14ac:dyDescent="0.3">
      <c r="A33" s="283">
        <v>1.4</v>
      </c>
      <c r="B33" s="651" t="s">
        <v>244</v>
      </c>
      <c r="C33" s="652"/>
      <c r="D33" s="652"/>
      <c r="E33" s="653"/>
      <c r="L33" s="86" t="s">
        <v>1344</v>
      </c>
    </row>
    <row r="34" spans="1:12" ht="15.75" thickBot="1" x14ac:dyDescent="0.3">
      <c r="B34" s="132">
        <v>0.15</v>
      </c>
      <c r="C34" s="654" t="s">
        <v>243</v>
      </c>
      <c r="D34" s="655"/>
      <c r="E34" s="627"/>
      <c r="L34" s="86" t="s">
        <v>1344</v>
      </c>
    </row>
    <row r="35" spans="1:12" x14ac:dyDescent="0.25">
      <c r="B35" s="656" t="s">
        <v>242</v>
      </c>
      <c r="C35" s="657"/>
      <c r="D35" s="658"/>
      <c r="E35" s="131">
        <f>H4</f>
        <v>0</v>
      </c>
      <c r="L35" s="86" t="s">
        <v>1344</v>
      </c>
    </row>
    <row r="36" spans="1:12" x14ac:dyDescent="0.25">
      <c r="B36" s="586" t="s">
        <v>241</v>
      </c>
      <c r="C36" s="587"/>
      <c r="D36" s="659"/>
      <c r="E36" s="130">
        <f>'FIM Calculations'!E35-SUM('FIM Calculations'!D15)</f>
        <v>0</v>
      </c>
      <c r="L36" s="86" t="s">
        <v>1344</v>
      </c>
    </row>
    <row r="37" spans="1:12" ht="15.75" thickBot="1" x14ac:dyDescent="0.3">
      <c r="B37" s="586" t="s">
        <v>240</v>
      </c>
      <c r="C37" s="587"/>
      <c r="D37" s="659"/>
      <c r="E37" s="129">
        <f>E36-(E36*0.15)</f>
        <v>0</v>
      </c>
      <c r="L37" s="86" t="s">
        <v>1344</v>
      </c>
    </row>
    <row r="38" spans="1:12" ht="15.75" thickBot="1" x14ac:dyDescent="0.3">
      <c r="B38" s="647" t="s">
        <v>239</v>
      </c>
      <c r="C38" s="660"/>
      <c r="D38" s="648"/>
      <c r="E38" s="97">
        <f>E36-E37</f>
        <v>0</v>
      </c>
      <c r="L38" s="86" t="s">
        <v>1344</v>
      </c>
    </row>
    <row r="39" spans="1:12" ht="15.75" thickBot="1" x14ac:dyDescent="0.3">
      <c r="B39" s="667" t="s">
        <v>238</v>
      </c>
      <c r="C39" s="668"/>
      <c r="D39" s="668"/>
      <c r="E39" s="95">
        <f>H8-E20-E31-E38</f>
        <v>85925.336835264432</v>
      </c>
      <c r="L39" s="86" t="s">
        <v>1344</v>
      </c>
    </row>
    <row r="40" spans="1:12" ht="15.75" thickBot="1" x14ac:dyDescent="0.3"/>
    <row r="41" spans="1:12" x14ac:dyDescent="0.25">
      <c r="A41" s="283">
        <v>1.5</v>
      </c>
      <c r="B41" s="656" t="s">
        <v>237</v>
      </c>
      <c r="C41" s="657"/>
      <c r="D41" s="657"/>
      <c r="E41" s="658"/>
      <c r="L41" s="86" t="s">
        <v>1346</v>
      </c>
    </row>
    <row r="42" spans="1:12" x14ac:dyDescent="0.25">
      <c r="B42" s="108">
        <v>0.05</v>
      </c>
      <c r="C42" s="587" t="s">
        <v>234</v>
      </c>
      <c r="D42" s="587"/>
      <c r="E42" s="659"/>
      <c r="L42" s="86" t="s">
        <v>1346</v>
      </c>
    </row>
    <row r="43" spans="1:12" x14ac:dyDescent="0.25">
      <c r="B43" s="586" t="s">
        <v>233</v>
      </c>
      <c r="C43" s="587"/>
      <c r="D43" s="587"/>
      <c r="E43" s="107">
        <f>($H$4-$E$38-$D$15)*B42</f>
        <v>0</v>
      </c>
      <c r="L43" s="86" t="s">
        <v>1346</v>
      </c>
    </row>
    <row r="44" spans="1:12" x14ac:dyDescent="0.25">
      <c r="B44" s="128">
        <v>3168</v>
      </c>
      <c r="C44" s="587" t="s">
        <v>232</v>
      </c>
      <c r="D44" s="587"/>
      <c r="E44" s="659"/>
      <c r="L44" s="86" t="s">
        <v>1346</v>
      </c>
    </row>
    <row r="45" spans="1:12" ht="15.75" thickBot="1" x14ac:dyDescent="0.3">
      <c r="B45" s="647" t="s">
        <v>231</v>
      </c>
      <c r="C45" s="660"/>
      <c r="D45" s="660"/>
      <c r="E45" s="127">
        <f>B44*B42</f>
        <v>158.4</v>
      </c>
      <c r="L45" s="86" t="s">
        <v>1346</v>
      </c>
    </row>
    <row r="46" spans="1:12" ht="15.75" thickBot="1" x14ac:dyDescent="0.3">
      <c r="B46" s="567" t="s">
        <v>230</v>
      </c>
      <c r="C46" s="625"/>
      <c r="D46" s="568"/>
      <c r="E46" s="97">
        <f>SUM(E43,E45)</f>
        <v>158.4</v>
      </c>
      <c r="L46" s="86" t="s">
        <v>1346</v>
      </c>
    </row>
    <row r="47" spans="1:12" ht="15.75" thickBot="1" x14ac:dyDescent="0.3">
      <c r="B47" s="567" t="s">
        <v>236</v>
      </c>
      <c r="C47" s="625"/>
      <c r="D47" s="568"/>
      <c r="E47" s="95">
        <f>$E$39-E46</f>
        <v>85766.936835264438</v>
      </c>
      <c r="L47" s="86" t="s">
        <v>1346</v>
      </c>
    </row>
    <row r="48" spans="1:12" ht="15.75" thickBot="1" x14ac:dyDescent="0.3"/>
    <row r="49" spans="1:12" ht="15.75" thickBot="1" x14ac:dyDescent="0.3">
      <c r="A49" s="283">
        <v>1.6</v>
      </c>
      <c r="B49" s="567" t="s">
        <v>235</v>
      </c>
      <c r="C49" s="625"/>
      <c r="D49" s="625"/>
      <c r="E49" s="568"/>
      <c r="L49" s="86" t="s">
        <v>1348</v>
      </c>
    </row>
    <row r="50" spans="1:12" x14ac:dyDescent="0.25">
      <c r="B50" s="108">
        <v>0.05</v>
      </c>
      <c r="C50" s="587" t="s">
        <v>234</v>
      </c>
      <c r="D50" s="587"/>
      <c r="E50" s="659"/>
      <c r="L50" s="86" t="s">
        <v>1347</v>
      </c>
    </row>
    <row r="51" spans="1:12" x14ac:dyDescent="0.25">
      <c r="B51" s="586" t="s">
        <v>233</v>
      </c>
      <c r="C51" s="587"/>
      <c r="D51" s="587"/>
      <c r="E51" s="107">
        <f>($H$4-$E$38-$D$15-$E$43)*B50</f>
        <v>0</v>
      </c>
      <c r="L51" s="86" t="s">
        <v>1347</v>
      </c>
    </row>
    <row r="52" spans="1:12" x14ac:dyDescent="0.25">
      <c r="B52" s="128">
        <f>B44-E45</f>
        <v>3009.6</v>
      </c>
      <c r="C52" s="587" t="s">
        <v>232</v>
      </c>
      <c r="D52" s="587"/>
      <c r="E52" s="659"/>
      <c r="L52" s="86" t="s">
        <v>1347</v>
      </c>
    </row>
    <row r="53" spans="1:12" ht="15.75" thickBot="1" x14ac:dyDescent="0.3">
      <c r="B53" s="647" t="s">
        <v>231</v>
      </c>
      <c r="C53" s="660"/>
      <c r="D53" s="660"/>
      <c r="E53" s="127">
        <f>B52*B50</f>
        <v>150.47999999999999</v>
      </c>
      <c r="L53" s="86" t="s">
        <v>1347</v>
      </c>
    </row>
    <row r="54" spans="1:12" ht="15.75" thickBot="1" x14ac:dyDescent="0.3">
      <c r="B54" s="567" t="s">
        <v>230</v>
      </c>
      <c r="C54" s="625"/>
      <c r="D54" s="568"/>
      <c r="E54" s="97">
        <f>SUM(E51,E53)</f>
        <v>150.47999999999999</v>
      </c>
      <c r="L54" s="86" t="s">
        <v>1347</v>
      </c>
    </row>
    <row r="55" spans="1:12" ht="15.75" thickBot="1" x14ac:dyDescent="0.3">
      <c r="B55" s="567" t="s">
        <v>229</v>
      </c>
      <c r="C55" s="625"/>
      <c r="D55" s="568"/>
      <c r="E55" s="95">
        <f>E47-E54</f>
        <v>85616.456835264442</v>
      </c>
      <c r="L55" s="86" t="s">
        <v>1347</v>
      </c>
    </row>
    <row r="56" spans="1:12" ht="15.75" thickBot="1" x14ac:dyDescent="0.3"/>
    <row r="57" spans="1:12" ht="15.75" thickBot="1" x14ac:dyDescent="0.3">
      <c r="A57" s="283">
        <v>1.7</v>
      </c>
      <c r="B57" s="626" t="s">
        <v>228</v>
      </c>
      <c r="C57" s="649"/>
      <c r="D57" s="649"/>
      <c r="E57" s="627"/>
      <c r="L57" s="86" t="s">
        <v>1347</v>
      </c>
    </row>
    <row r="58" spans="1:12" x14ac:dyDescent="0.25">
      <c r="B58" s="673" t="s">
        <v>227</v>
      </c>
      <c r="C58" s="674"/>
      <c r="D58" s="674"/>
      <c r="E58" s="126">
        <v>5525</v>
      </c>
      <c r="L58" s="86" t="s">
        <v>1347</v>
      </c>
    </row>
    <row r="59" spans="1:12" ht="15.75" thickBot="1" x14ac:dyDescent="0.3">
      <c r="B59" s="675" t="s">
        <v>226</v>
      </c>
      <c r="C59" s="676"/>
      <c r="D59" s="676"/>
      <c r="E59" s="125">
        <f>E58/H6</f>
        <v>4.8317518419250187E-2</v>
      </c>
      <c r="L59" s="86" t="s">
        <v>1347</v>
      </c>
    </row>
    <row r="60" spans="1:12" ht="15.75" thickBot="1" x14ac:dyDescent="0.3">
      <c r="B60" s="567" t="s">
        <v>225</v>
      </c>
      <c r="C60" s="625"/>
      <c r="D60" s="625"/>
      <c r="E60" s="97">
        <f>0.1*E59*J6*E55</f>
        <v>413.67747301288284</v>
      </c>
      <c r="L60" s="86" t="s">
        <v>1347</v>
      </c>
    </row>
    <row r="61" spans="1:12" ht="15.75" thickBot="1" x14ac:dyDescent="0.3">
      <c r="B61" s="567" t="s">
        <v>224</v>
      </c>
      <c r="C61" s="625"/>
      <c r="D61" s="568"/>
      <c r="E61" s="287">
        <f>E55-E60</f>
        <v>85202.77936225156</v>
      </c>
      <c r="L61" s="86" t="s">
        <v>1347</v>
      </c>
    </row>
    <row r="62" spans="1:12" ht="15.75" thickBot="1" x14ac:dyDescent="0.3"/>
    <row r="63" spans="1:12" ht="15.75" thickBot="1" x14ac:dyDescent="0.3">
      <c r="A63" s="283">
        <v>1.8</v>
      </c>
      <c r="B63" s="626" t="s">
        <v>223</v>
      </c>
      <c r="C63" s="649"/>
      <c r="D63" s="649"/>
      <c r="E63" s="627"/>
    </row>
    <row r="64" spans="1:12" ht="15.75" thickBot="1" x14ac:dyDescent="0.3">
      <c r="B64" s="124">
        <v>0.03</v>
      </c>
      <c r="C64" s="669" t="s">
        <v>222</v>
      </c>
      <c r="D64" s="669"/>
      <c r="E64" s="670"/>
    </row>
    <row r="65" spans="1:12" ht="15.75" thickBot="1" x14ac:dyDescent="0.3">
      <c r="B65" s="671" t="s">
        <v>221</v>
      </c>
      <c r="C65" s="638"/>
      <c r="D65" s="672"/>
      <c r="E65" s="123">
        <f>H8*E59*B64*J6</f>
        <v>165.75</v>
      </c>
    </row>
    <row r="66" spans="1:12" ht="15.75" thickBot="1" x14ac:dyDescent="0.3">
      <c r="B66" s="567" t="s">
        <v>220</v>
      </c>
      <c r="C66" s="625"/>
      <c r="D66" s="568"/>
      <c r="E66" s="95">
        <f>E61-E65</f>
        <v>85037.02936225156</v>
      </c>
    </row>
    <row r="67" spans="1:12" ht="15.75" thickBot="1" x14ac:dyDescent="0.3"/>
    <row r="68" spans="1:12" ht="15.75" thickBot="1" x14ac:dyDescent="0.3">
      <c r="B68" s="682" t="s">
        <v>219</v>
      </c>
      <c r="C68" s="683"/>
      <c r="D68" s="683"/>
      <c r="E68" s="684"/>
    </row>
    <row r="69" spans="1:12" x14ac:dyDescent="0.25">
      <c r="B69" s="122" t="s">
        <v>218</v>
      </c>
      <c r="C69" s="121">
        <f>E11</f>
        <v>427200</v>
      </c>
      <c r="D69" s="118"/>
      <c r="E69" s="117"/>
    </row>
    <row r="70" spans="1:12" x14ac:dyDescent="0.25">
      <c r="B70" s="120" t="s">
        <v>217</v>
      </c>
      <c r="C70" s="119">
        <f>H8-E66</f>
        <v>29310.730637748449</v>
      </c>
      <c r="D70" s="118"/>
      <c r="E70" s="117"/>
    </row>
    <row r="71" spans="1:12" ht="15.75" thickBot="1" x14ac:dyDescent="0.3">
      <c r="B71" s="116" t="s">
        <v>216</v>
      </c>
      <c r="C71" s="115">
        <f>C69/C70</f>
        <v>14.57486697550355</v>
      </c>
      <c r="D71" s="114"/>
      <c r="E71" s="113"/>
    </row>
    <row r="72" spans="1:12" ht="15.75" thickBot="1" x14ac:dyDescent="0.3"/>
    <row r="73" spans="1:12" ht="15.75" thickBot="1" x14ac:dyDescent="0.3">
      <c r="A73" s="283">
        <v>1.9</v>
      </c>
      <c r="B73" s="632" t="s">
        <v>215</v>
      </c>
      <c r="C73" s="633"/>
      <c r="D73" s="633"/>
      <c r="E73" s="634"/>
      <c r="L73" s="86" t="s">
        <v>1349</v>
      </c>
    </row>
    <row r="74" spans="1:12" x14ac:dyDescent="0.25">
      <c r="B74" s="109" t="s">
        <v>194</v>
      </c>
      <c r="C74" s="101">
        <v>8000</v>
      </c>
      <c r="D74" s="100"/>
      <c r="E74" s="99"/>
      <c r="L74" s="86" t="s">
        <v>1349</v>
      </c>
    </row>
    <row r="75" spans="1:12" x14ac:dyDescent="0.25">
      <c r="B75" s="108">
        <v>0.05</v>
      </c>
      <c r="C75" s="587" t="s">
        <v>204</v>
      </c>
      <c r="D75" s="587"/>
      <c r="E75" s="659"/>
      <c r="L75" s="86" t="s">
        <v>1349</v>
      </c>
    </row>
    <row r="76" spans="1:12" x14ac:dyDescent="0.25">
      <c r="B76" s="108">
        <v>0.03</v>
      </c>
      <c r="C76" s="587" t="s">
        <v>210</v>
      </c>
      <c r="D76" s="587"/>
      <c r="E76" s="659"/>
      <c r="L76" s="86" t="s">
        <v>1349</v>
      </c>
    </row>
    <row r="77" spans="1:12" x14ac:dyDescent="0.25">
      <c r="B77" s="586" t="s">
        <v>203</v>
      </c>
      <c r="C77" s="587"/>
      <c r="D77" s="587"/>
      <c r="E77" s="107">
        <f>E66*B75*$J$4</f>
        <v>0</v>
      </c>
      <c r="L77" s="86" t="s">
        <v>1349</v>
      </c>
    </row>
    <row r="78" spans="1:12" ht="15.75" thickBot="1" x14ac:dyDescent="0.3">
      <c r="B78" s="675" t="s">
        <v>209</v>
      </c>
      <c r="C78" s="676"/>
      <c r="D78" s="676"/>
      <c r="E78" s="106">
        <f>B76*$E$59*E66</f>
        <v>123.26334697586726</v>
      </c>
      <c r="L78" s="86" t="s">
        <v>1349</v>
      </c>
    </row>
    <row r="79" spans="1:12" ht="15.75" thickBot="1" x14ac:dyDescent="0.3">
      <c r="B79" s="626" t="s">
        <v>208</v>
      </c>
      <c r="C79" s="649"/>
      <c r="D79" s="677"/>
      <c r="E79" s="97">
        <f>SUM(E77:E78)</f>
        <v>123.26334697586726</v>
      </c>
      <c r="L79" s="86" t="s">
        <v>1349</v>
      </c>
    </row>
    <row r="80" spans="1:12" ht="15.75" thickBot="1" x14ac:dyDescent="0.3">
      <c r="B80" s="567" t="s">
        <v>197</v>
      </c>
      <c r="C80" s="625"/>
      <c r="D80" s="568"/>
      <c r="E80" s="105">
        <f>ROUNDUP(C74/E79,-0.1)</f>
        <v>65</v>
      </c>
      <c r="L80" s="86" t="s">
        <v>1349</v>
      </c>
    </row>
    <row r="81" spans="1:12" ht="15.75" thickBot="1" x14ac:dyDescent="0.3">
      <c r="B81" s="567" t="s">
        <v>214</v>
      </c>
      <c r="C81" s="625"/>
      <c r="D81" s="568"/>
      <c r="E81" s="95">
        <f>E66-E79</f>
        <v>84913.766015275687</v>
      </c>
      <c r="L81" s="86" t="s">
        <v>1349</v>
      </c>
    </row>
    <row r="82" spans="1:12" ht="15.75" thickBot="1" x14ac:dyDescent="0.3"/>
    <row r="83" spans="1:12" x14ac:dyDescent="0.25">
      <c r="A83" s="87">
        <v>1.1000000000000001</v>
      </c>
      <c r="B83" s="656" t="s">
        <v>213</v>
      </c>
      <c r="C83" s="657"/>
      <c r="D83" s="657"/>
      <c r="E83" s="658"/>
      <c r="L83" s="86" t="s">
        <v>1349</v>
      </c>
    </row>
    <row r="84" spans="1:12" x14ac:dyDescent="0.25">
      <c r="B84" s="280" t="s">
        <v>194</v>
      </c>
      <c r="C84" s="112">
        <v>2500</v>
      </c>
      <c r="D84" s="111"/>
      <c r="E84" s="110"/>
      <c r="L84" s="86" t="s">
        <v>1349</v>
      </c>
    </row>
    <row r="85" spans="1:12" ht="15.75" thickBot="1" x14ac:dyDescent="0.3">
      <c r="B85" s="98">
        <v>0.03</v>
      </c>
      <c r="C85" s="676" t="s">
        <v>204</v>
      </c>
      <c r="D85" s="676"/>
      <c r="E85" s="678"/>
      <c r="L85" s="86" t="s">
        <v>1349</v>
      </c>
    </row>
    <row r="86" spans="1:12" ht="15.75" thickBot="1" x14ac:dyDescent="0.3">
      <c r="B86" s="679" t="s">
        <v>203</v>
      </c>
      <c r="C86" s="680"/>
      <c r="D86" s="681"/>
      <c r="E86" s="97">
        <f>E81*B85*$J$4</f>
        <v>0</v>
      </c>
      <c r="L86" s="86" t="s">
        <v>1349</v>
      </c>
    </row>
    <row r="87" spans="1:12" ht="15.75" thickBot="1" x14ac:dyDescent="0.3">
      <c r="B87" s="671" t="s">
        <v>197</v>
      </c>
      <c r="C87" s="638"/>
      <c r="D87" s="672"/>
      <c r="E87" s="96" t="e">
        <f>ROUNDUP(C84/E86,-0.1)</f>
        <v>#DIV/0!</v>
      </c>
      <c r="L87" s="86" t="s">
        <v>1349</v>
      </c>
    </row>
    <row r="88" spans="1:12" ht="15.75" thickBot="1" x14ac:dyDescent="0.3">
      <c r="B88" s="567" t="s">
        <v>212</v>
      </c>
      <c r="C88" s="625"/>
      <c r="D88" s="568"/>
      <c r="E88" s="95">
        <f>E81-E86</f>
        <v>84913.766015275687</v>
      </c>
      <c r="L88" s="86" t="s">
        <v>1349</v>
      </c>
    </row>
    <row r="89" spans="1:12" ht="15.75" thickBot="1" x14ac:dyDescent="0.3"/>
    <row r="90" spans="1:12" ht="15.75" thickBot="1" x14ac:dyDescent="0.3">
      <c r="A90" s="87">
        <v>1.1100000000000001</v>
      </c>
      <c r="B90" s="567" t="s">
        <v>211</v>
      </c>
      <c r="C90" s="625"/>
      <c r="D90" s="625"/>
      <c r="E90" s="568"/>
      <c r="L90" s="86" t="s">
        <v>1350</v>
      </c>
    </row>
    <row r="91" spans="1:12" x14ac:dyDescent="0.25">
      <c r="B91" s="109" t="s">
        <v>194</v>
      </c>
      <c r="C91" s="101">
        <v>6500</v>
      </c>
      <c r="D91" s="100"/>
      <c r="E91" s="99"/>
      <c r="L91" s="86" t="s">
        <v>1350</v>
      </c>
    </row>
    <row r="92" spans="1:12" x14ac:dyDescent="0.25">
      <c r="B92" s="108">
        <v>0.05</v>
      </c>
      <c r="C92" s="587" t="s">
        <v>204</v>
      </c>
      <c r="D92" s="587"/>
      <c r="E92" s="659"/>
      <c r="L92" s="86" t="s">
        <v>1350</v>
      </c>
    </row>
    <row r="93" spans="1:12" x14ac:dyDescent="0.25">
      <c r="B93" s="108">
        <v>0.05</v>
      </c>
      <c r="C93" s="587" t="s">
        <v>210</v>
      </c>
      <c r="D93" s="587"/>
      <c r="E93" s="659"/>
      <c r="L93" s="86" t="s">
        <v>1350</v>
      </c>
    </row>
    <row r="94" spans="1:12" x14ac:dyDescent="0.25">
      <c r="B94" s="586" t="s">
        <v>203</v>
      </c>
      <c r="C94" s="587"/>
      <c r="D94" s="587"/>
      <c r="E94" s="107">
        <f>E88*B92*$J$4</f>
        <v>0</v>
      </c>
      <c r="L94" s="86" t="s">
        <v>1350</v>
      </c>
    </row>
    <row r="95" spans="1:12" ht="15.75" thickBot="1" x14ac:dyDescent="0.3">
      <c r="B95" s="675" t="s">
        <v>209</v>
      </c>
      <c r="C95" s="676"/>
      <c r="D95" s="676"/>
      <c r="E95" s="106">
        <f>B93*$E$59*E88</f>
        <v>205.14112267454919</v>
      </c>
      <c r="L95" s="86" t="s">
        <v>1350</v>
      </c>
    </row>
    <row r="96" spans="1:12" ht="15.75" thickBot="1" x14ac:dyDescent="0.3">
      <c r="B96" s="626" t="s">
        <v>208</v>
      </c>
      <c r="C96" s="649"/>
      <c r="D96" s="677"/>
      <c r="E96" s="97">
        <f>SUM(E94:E95)</f>
        <v>205.14112267454919</v>
      </c>
      <c r="L96" s="86" t="s">
        <v>1350</v>
      </c>
    </row>
    <row r="97" spans="1:12" ht="15.75" thickBot="1" x14ac:dyDescent="0.3">
      <c r="B97" s="567" t="s">
        <v>197</v>
      </c>
      <c r="C97" s="625"/>
      <c r="D97" s="568"/>
      <c r="E97" s="105">
        <f>ROUNDUP(C91/E96,-0.1)</f>
        <v>32</v>
      </c>
      <c r="L97" s="86" t="s">
        <v>1350</v>
      </c>
    </row>
    <row r="98" spans="1:12" ht="15.75" thickBot="1" x14ac:dyDescent="0.3">
      <c r="B98" s="567" t="s">
        <v>207</v>
      </c>
      <c r="C98" s="625"/>
      <c r="D98" s="568"/>
      <c r="E98" s="95">
        <f>E88-E96</f>
        <v>84708.624892601132</v>
      </c>
      <c r="L98" s="86" t="s">
        <v>1350</v>
      </c>
    </row>
    <row r="99" spans="1:12" ht="15.75" thickBot="1" x14ac:dyDescent="0.3"/>
    <row r="100" spans="1:12" ht="15.75" thickBot="1" x14ac:dyDescent="0.3">
      <c r="A100" s="87">
        <v>1.1200000000000001</v>
      </c>
      <c r="B100" s="626" t="s">
        <v>206</v>
      </c>
      <c r="C100" s="649"/>
      <c r="D100" s="655"/>
      <c r="E100" s="685"/>
    </row>
    <row r="101" spans="1:12" ht="15.75" thickBot="1" x14ac:dyDescent="0.3">
      <c r="B101" s="294" t="s">
        <v>194</v>
      </c>
      <c r="C101" s="104">
        <v>5000</v>
      </c>
      <c r="D101" s="103"/>
      <c r="E101" s="102"/>
    </row>
    <row r="102" spans="1:12" ht="15.75" thickBot="1" x14ac:dyDescent="0.3"/>
    <row r="103" spans="1:12" ht="15.75" thickBot="1" x14ac:dyDescent="0.3">
      <c r="A103" s="87">
        <v>1.1299999999999999</v>
      </c>
      <c r="B103" s="567" t="s">
        <v>205</v>
      </c>
      <c r="C103" s="625"/>
      <c r="D103" s="625"/>
      <c r="E103" s="568"/>
      <c r="L103" s="86" t="s">
        <v>1351</v>
      </c>
    </row>
    <row r="104" spans="1:12" x14ac:dyDescent="0.25">
      <c r="B104" s="286" t="s">
        <v>194</v>
      </c>
      <c r="C104" s="101">
        <v>2500</v>
      </c>
      <c r="D104" s="100"/>
      <c r="E104" s="99"/>
      <c r="L104" s="86" t="s">
        <v>1351</v>
      </c>
    </row>
    <row r="105" spans="1:12" ht="15.75" thickBot="1" x14ac:dyDescent="0.3">
      <c r="B105" s="98">
        <v>0.25</v>
      </c>
      <c r="C105" s="676" t="s">
        <v>204</v>
      </c>
      <c r="D105" s="676"/>
      <c r="E105" s="678"/>
      <c r="L105" s="86" t="s">
        <v>1351</v>
      </c>
    </row>
    <row r="106" spans="1:12" ht="15.75" thickBot="1" x14ac:dyDescent="0.3">
      <c r="B106" s="679" t="s">
        <v>203</v>
      </c>
      <c r="C106" s="680"/>
      <c r="D106" s="681"/>
      <c r="E106" s="97">
        <f>E98*B105*$J$4</f>
        <v>0</v>
      </c>
      <c r="L106" s="86" t="s">
        <v>1351</v>
      </c>
    </row>
    <row r="107" spans="1:12" ht="15.75" thickBot="1" x14ac:dyDescent="0.3">
      <c r="B107" s="671" t="s">
        <v>197</v>
      </c>
      <c r="C107" s="638"/>
      <c r="D107" s="672"/>
      <c r="E107" s="96" t="e">
        <f>ROUNDUP(C104/E106,-0.1)</f>
        <v>#DIV/0!</v>
      </c>
      <c r="L107" s="86" t="s">
        <v>1351</v>
      </c>
    </row>
    <row r="108" spans="1:12" ht="15.75" thickBot="1" x14ac:dyDescent="0.3">
      <c r="B108" s="567" t="s">
        <v>202</v>
      </c>
      <c r="C108" s="625"/>
      <c r="D108" s="568"/>
      <c r="E108" s="95">
        <f>E98-E106</f>
        <v>84708.624892601132</v>
      </c>
      <c r="L108" s="86" t="s">
        <v>1351</v>
      </c>
    </row>
    <row r="109" spans="1:12" ht="15.75" thickBot="1" x14ac:dyDescent="0.3"/>
    <row r="110" spans="1:12" ht="15.75" thickBot="1" x14ac:dyDescent="0.3">
      <c r="A110" s="87">
        <v>1.1399999999999999</v>
      </c>
      <c r="B110" s="626" t="s">
        <v>201</v>
      </c>
      <c r="C110" s="649"/>
      <c r="D110" s="649"/>
      <c r="E110" s="627"/>
      <c r="L110" s="86" t="s">
        <v>1351</v>
      </c>
    </row>
    <row r="111" spans="1:12" x14ac:dyDescent="0.25">
      <c r="B111" s="673" t="s">
        <v>194</v>
      </c>
      <c r="C111" s="674"/>
      <c r="D111" s="674"/>
      <c r="E111" s="161">
        <v>8000</v>
      </c>
      <c r="L111" s="86" t="s">
        <v>1351</v>
      </c>
    </row>
    <row r="112" spans="1:12" x14ac:dyDescent="0.25">
      <c r="B112" s="94">
        <v>0.25</v>
      </c>
      <c r="C112" s="587" t="s">
        <v>200</v>
      </c>
      <c r="D112" s="587"/>
      <c r="E112" s="659"/>
      <c r="L112" s="86" t="s">
        <v>1351</v>
      </c>
    </row>
    <row r="113" spans="1:12" ht="15" customHeight="1" thickBot="1" x14ac:dyDescent="0.3">
      <c r="B113" s="686" t="s">
        <v>199</v>
      </c>
      <c r="C113" s="687"/>
      <c r="D113" s="687"/>
      <c r="E113" s="688"/>
      <c r="L113" s="86" t="s">
        <v>1351</v>
      </c>
    </row>
    <row r="114" spans="1:12" ht="15.75" thickBot="1" x14ac:dyDescent="0.3">
      <c r="B114" s="626" t="s">
        <v>198</v>
      </c>
      <c r="C114" s="649"/>
      <c r="D114" s="649"/>
      <c r="E114" s="93">
        <f>2000</f>
        <v>2000</v>
      </c>
      <c r="L114" s="86" t="s">
        <v>1351</v>
      </c>
    </row>
    <row r="115" spans="1:12" ht="15.75" thickBot="1" x14ac:dyDescent="0.3">
      <c r="B115" s="626" t="s">
        <v>197</v>
      </c>
      <c r="C115" s="649"/>
      <c r="D115" s="649"/>
      <c r="E115" s="92">
        <f>E111/E114</f>
        <v>4</v>
      </c>
      <c r="L115" s="86" t="s">
        <v>1351</v>
      </c>
    </row>
    <row r="116" spans="1:12" ht="15.75" thickBot="1" x14ac:dyDescent="0.3">
      <c r="B116" s="689" t="s">
        <v>196</v>
      </c>
      <c r="C116" s="669"/>
      <c r="D116" s="669"/>
      <c r="E116" s="91">
        <f>E108-E114</f>
        <v>82708.624892601132</v>
      </c>
      <c r="L116" s="86" t="s">
        <v>1351</v>
      </c>
    </row>
    <row r="117" spans="1:12" ht="15.75" thickBot="1" x14ac:dyDescent="0.3"/>
    <row r="118" spans="1:12" ht="15.75" thickBot="1" x14ac:dyDescent="0.3">
      <c r="A118" s="87">
        <v>1.1499999999999999</v>
      </c>
      <c r="B118" s="567" t="s">
        <v>195</v>
      </c>
      <c r="C118" s="625"/>
      <c r="D118" s="625"/>
      <c r="E118" s="568"/>
      <c r="L118" s="86" t="s">
        <v>1351</v>
      </c>
    </row>
    <row r="119" spans="1:12" ht="15.75" thickBot="1" x14ac:dyDescent="0.3">
      <c r="B119" s="294" t="s">
        <v>194</v>
      </c>
      <c r="C119" s="90">
        <v>500</v>
      </c>
      <c r="D119" s="89"/>
      <c r="E119" s="88"/>
      <c r="L119" s="86" t="s">
        <v>1351</v>
      </c>
    </row>
    <row r="120" spans="1:12" ht="15.75" thickBot="1" x14ac:dyDescent="0.3"/>
    <row r="121" spans="1:12" ht="15.75" thickBot="1" x14ac:dyDescent="0.3">
      <c r="A121" s="87">
        <v>1.1599999999999999</v>
      </c>
      <c r="B121" s="651" t="s">
        <v>276</v>
      </c>
      <c r="C121" s="652"/>
      <c r="D121" s="625"/>
      <c r="E121" s="568"/>
    </row>
    <row r="122" spans="1:12" ht="15.75" thickBot="1" x14ac:dyDescent="0.3">
      <c r="B122" s="281" t="s">
        <v>194</v>
      </c>
      <c r="C122" s="93">
        <v>5000</v>
      </c>
    </row>
    <row r="123" spans="1:12" ht="15.75" thickBot="1" x14ac:dyDescent="0.3"/>
    <row r="124" spans="1:12" ht="15.75" thickBot="1" x14ac:dyDescent="0.3">
      <c r="A124" s="87">
        <v>1.17</v>
      </c>
      <c r="B124" s="651" t="s">
        <v>277</v>
      </c>
      <c r="C124" s="652"/>
      <c r="D124" s="625"/>
      <c r="E124" s="568"/>
    </row>
    <row r="125" spans="1:12" ht="15.75" thickBot="1" x14ac:dyDescent="0.3">
      <c r="B125" s="281" t="s">
        <v>194</v>
      </c>
      <c r="C125" s="93">
        <v>7500</v>
      </c>
    </row>
    <row r="126" spans="1:12" ht="15.75" thickBot="1" x14ac:dyDescent="0.3"/>
    <row r="127" spans="1:12" ht="15.75" thickBot="1" x14ac:dyDescent="0.3">
      <c r="A127" s="87">
        <v>1.18</v>
      </c>
      <c r="B127" s="651" t="s">
        <v>278</v>
      </c>
      <c r="C127" s="652"/>
      <c r="D127" s="625"/>
      <c r="E127" s="568"/>
    </row>
    <row r="128" spans="1:12" ht="15.75" thickBot="1" x14ac:dyDescent="0.3">
      <c r="B128" s="288" t="s">
        <v>194</v>
      </c>
      <c r="C128" s="162">
        <v>2500</v>
      </c>
      <c r="D128" s="135"/>
      <c r="E128" s="143"/>
    </row>
    <row r="129" spans="1:5" ht="15.75" thickBot="1" x14ac:dyDescent="0.3">
      <c r="B129" s="654" t="s">
        <v>198</v>
      </c>
      <c r="C129" s="655"/>
      <c r="D129" s="655"/>
      <c r="E129" s="162">
        <v>600</v>
      </c>
    </row>
    <row r="130" spans="1:5" ht="15.75" thickBot="1" x14ac:dyDescent="0.3">
      <c r="B130" s="626" t="s">
        <v>279</v>
      </c>
      <c r="C130" s="649"/>
      <c r="D130" s="649"/>
      <c r="E130" s="293">
        <f>ROUNDUP((C128/E129),-0.1)</f>
        <v>5</v>
      </c>
    </row>
    <row r="131" spans="1:5" ht="15.75" thickBot="1" x14ac:dyDescent="0.3"/>
    <row r="132" spans="1:5" ht="15.75" thickBot="1" x14ac:dyDescent="0.3">
      <c r="A132" s="87">
        <v>1.19</v>
      </c>
      <c r="B132" s="567" t="s">
        <v>280</v>
      </c>
      <c r="C132" s="625"/>
      <c r="D132" s="625"/>
      <c r="E132" s="568"/>
    </row>
    <row r="133" spans="1:5" ht="15.75" thickBot="1" x14ac:dyDescent="0.3">
      <c r="B133" s="163" t="s">
        <v>194</v>
      </c>
      <c r="C133" s="164">
        <v>5000</v>
      </c>
      <c r="D133" s="135"/>
      <c r="E133" s="143"/>
    </row>
    <row r="134" spans="1:5" ht="15.75" thickBot="1" x14ac:dyDescent="0.3">
      <c r="B134" s="654" t="s">
        <v>198</v>
      </c>
      <c r="C134" s="655"/>
      <c r="D134" s="655"/>
      <c r="E134" s="162">
        <v>300</v>
      </c>
    </row>
    <row r="135" spans="1:5" ht="15.75" thickBot="1" x14ac:dyDescent="0.3">
      <c r="B135" s="626" t="s">
        <v>279</v>
      </c>
      <c r="C135" s="649"/>
      <c r="D135" s="649"/>
      <c r="E135" s="293">
        <f>ROUNDUP((C133/E134),-0.1)</f>
        <v>17</v>
      </c>
    </row>
    <row r="136" spans="1:5" ht="15.75" thickBot="1" x14ac:dyDescent="0.3"/>
    <row r="137" spans="1:5" ht="15.75" thickBot="1" x14ac:dyDescent="0.3">
      <c r="A137" s="283">
        <v>1.2</v>
      </c>
      <c r="B137" s="567" t="s">
        <v>281</v>
      </c>
      <c r="C137" s="625"/>
      <c r="D137" s="625"/>
      <c r="E137" s="568"/>
    </row>
    <row r="138" spans="1:5" ht="15.75" thickBot="1" x14ac:dyDescent="0.3">
      <c r="B138" s="294" t="s">
        <v>194</v>
      </c>
      <c r="C138" s="90">
        <v>3000</v>
      </c>
    </row>
    <row r="139" spans="1:5" ht="15.75" thickBot="1" x14ac:dyDescent="0.3"/>
    <row r="140" spans="1:5" ht="15.75" thickBot="1" x14ac:dyDescent="0.3">
      <c r="A140" s="87">
        <v>1.21</v>
      </c>
      <c r="B140" s="567" t="s">
        <v>282</v>
      </c>
      <c r="C140" s="625"/>
      <c r="D140" s="625"/>
      <c r="E140" s="568"/>
    </row>
    <row r="141" spans="1:5" ht="15.75" thickBot="1" x14ac:dyDescent="0.3">
      <c r="B141" s="124">
        <v>0.05</v>
      </c>
      <c r="C141" s="669" t="s">
        <v>222</v>
      </c>
      <c r="D141" s="669"/>
      <c r="E141" s="670"/>
    </row>
    <row r="142" spans="1:5" ht="15.75" thickBot="1" x14ac:dyDescent="0.3">
      <c r="B142" s="671" t="s">
        <v>221</v>
      </c>
      <c r="C142" s="638"/>
      <c r="D142" s="672"/>
      <c r="E142" s="123">
        <f>B141*E129</f>
        <v>30</v>
      </c>
    </row>
    <row r="143" spans="1:5" ht="15.75" thickBot="1" x14ac:dyDescent="0.3"/>
    <row r="144" spans="1:5" ht="15.75" thickBot="1" x14ac:dyDescent="0.3">
      <c r="A144" s="87">
        <v>1.22</v>
      </c>
      <c r="B144" s="567" t="s">
        <v>283</v>
      </c>
      <c r="C144" s="625"/>
      <c r="D144" s="625"/>
      <c r="E144" s="568"/>
    </row>
    <row r="145" spans="1:5" x14ac:dyDescent="0.25">
      <c r="B145" s="165">
        <v>0.03</v>
      </c>
      <c r="C145" s="674" t="s">
        <v>204</v>
      </c>
      <c r="D145" s="674"/>
      <c r="E145" s="696"/>
    </row>
    <row r="146" spans="1:5" x14ac:dyDescent="0.25">
      <c r="B146" s="108">
        <v>0.03</v>
      </c>
      <c r="C146" s="587" t="s">
        <v>210</v>
      </c>
      <c r="D146" s="587"/>
      <c r="E146" s="659"/>
    </row>
    <row r="147" spans="1:5" x14ac:dyDescent="0.25">
      <c r="B147" s="586" t="s">
        <v>203</v>
      </c>
      <c r="C147" s="587"/>
      <c r="D147" s="587"/>
      <c r="E147" s="107">
        <f>$H$8*B145*$J$4</f>
        <v>0</v>
      </c>
    </row>
    <row r="148" spans="1:5" ht="15.75" thickBot="1" x14ac:dyDescent="0.3">
      <c r="B148" s="675" t="s">
        <v>284</v>
      </c>
      <c r="C148" s="676"/>
      <c r="D148" s="676"/>
      <c r="E148" s="106">
        <f>B146*$E$59*$H$6</f>
        <v>165.75</v>
      </c>
    </row>
    <row r="149" spans="1:5" ht="15.75" thickBot="1" x14ac:dyDescent="0.3">
      <c r="B149" s="626" t="s">
        <v>198</v>
      </c>
      <c r="C149" s="649"/>
      <c r="D149" s="677"/>
      <c r="E149" s="97">
        <f>SUM(E147:E148)</f>
        <v>165.75</v>
      </c>
    </row>
    <row r="151" spans="1:5" ht="15.75" thickBot="1" x14ac:dyDescent="0.3"/>
    <row r="152" spans="1:5" ht="15" customHeight="1" x14ac:dyDescent="0.25">
      <c r="B152" s="690" t="s">
        <v>345</v>
      </c>
      <c r="C152" s="691"/>
      <c r="D152" s="691"/>
      <c r="E152" s="692"/>
    </row>
    <row r="153" spans="1:5" ht="15.75" thickBot="1" x14ac:dyDescent="0.3">
      <c r="B153" s="693"/>
      <c r="C153" s="694"/>
      <c r="D153" s="694"/>
      <c r="E153" s="695"/>
    </row>
    <row r="154" spans="1:5" ht="15.75" thickBot="1" x14ac:dyDescent="0.3"/>
    <row r="155" spans="1:5" ht="15.75" thickBot="1" x14ac:dyDescent="0.3">
      <c r="A155" s="283">
        <v>3.1</v>
      </c>
      <c r="B155" s="567" t="s">
        <v>346</v>
      </c>
      <c r="C155" s="625"/>
      <c r="D155" s="625"/>
      <c r="E155" s="568"/>
    </row>
    <row r="156" spans="1:5" x14ac:dyDescent="0.25">
      <c r="B156" s="165">
        <v>0.02</v>
      </c>
      <c r="C156" s="674" t="s">
        <v>204</v>
      </c>
      <c r="D156" s="674"/>
      <c r="E156" s="696"/>
    </row>
    <row r="157" spans="1:5" x14ac:dyDescent="0.25">
      <c r="B157" s="108">
        <v>0.02</v>
      </c>
      <c r="C157" s="587" t="s">
        <v>210</v>
      </c>
      <c r="D157" s="587"/>
      <c r="E157" s="659"/>
    </row>
    <row r="158" spans="1:5" x14ac:dyDescent="0.25">
      <c r="B158" s="586" t="s">
        <v>203</v>
      </c>
      <c r="C158" s="587"/>
      <c r="D158" s="587"/>
      <c r="E158" s="107">
        <f>$H$8*B156*$J$4</f>
        <v>0</v>
      </c>
    </row>
    <row r="159" spans="1:5" ht="15.75" thickBot="1" x14ac:dyDescent="0.3">
      <c r="B159" s="675" t="s">
        <v>284</v>
      </c>
      <c r="C159" s="676"/>
      <c r="D159" s="676"/>
      <c r="E159" s="106">
        <f>B157*$E$59*$H$6</f>
        <v>110.5</v>
      </c>
    </row>
    <row r="160" spans="1:5" ht="15.75" thickBot="1" x14ac:dyDescent="0.3">
      <c r="B160" s="626" t="s">
        <v>198</v>
      </c>
      <c r="C160" s="649"/>
      <c r="D160" s="677"/>
      <c r="E160" s="97">
        <f>SUM(E158:E159)</f>
        <v>110.5</v>
      </c>
    </row>
    <row r="161" spans="1:12" ht="15.75" thickBot="1" x14ac:dyDescent="0.3"/>
    <row r="162" spans="1:12" ht="15.75" thickBot="1" x14ac:dyDescent="0.3">
      <c r="A162" s="283">
        <v>4.0999999999999996</v>
      </c>
      <c r="B162" s="626" t="s">
        <v>347</v>
      </c>
      <c r="C162" s="649"/>
      <c r="D162" s="649"/>
      <c r="E162" s="627"/>
      <c r="L162" s="86" t="s">
        <v>1344</v>
      </c>
    </row>
    <row r="163" spans="1:12" ht="15.75" thickBot="1" x14ac:dyDescent="0.3">
      <c r="B163" s="294" t="s">
        <v>194</v>
      </c>
      <c r="C163" s="90">
        <v>5000</v>
      </c>
      <c r="D163" s="89"/>
      <c r="E163" s="88"/>
      <c r="L163" s="86" t="s">
        <v>1344</v>
      </c>
    </row>
    <row r="164" spans="1:12" ht="15.75" thickBot="1" x14ac:dyDescent="0.3"/>
    <row r="165" spans="1:12" ht="15.75" thickBot="1" x14ac:dyDescent="0.3">
      <c r="A165" s="283">
        <v>4.2</v>
      </c>
      <c r="B165" s="626" t="s">
        <v>348</v>
      </c>
      <c r="C165" s="649"/>
      <c r="D165" s="649"/>
      <c r="E165" s="627"/>
    </row>
    <row r="166" spans="1:12" x14ac:dyDescent="0.25">
      <c r="B166" s="165">
        <v>0.25</v>
      </c>
      <c r="C166" s="697" t="s">
        <v>349</v>
      </c>
      <c r="D166" s="697"/>
      <c r="E166" s="698"/>
    </row>
    <row r="167" spans="1:12" ht="15.75" thickBot="1" x14ac:dyDescent="0.3">
      <c r="B167" s="675" t="s">
        <v>350</v>
      </c>
      <c r="C167" s="676"/>
      <c r="D167" s="676"/>
      <c r="E167" s="238">
        <v>3226.1547292264822</v>
      </c>
    </row>
    <row r="168" spans="1:12" ht="15.75" thickBot="1" x14ac:dyDescent="0.3">
      <c r="B168" s="626" t="s">
        <v>351</v>
      </c>
      <c r="C168" s="649"/>
      <c r="D168" s="677"/>
      <c r="E168" s="97">
        <f>E167*B166</f>
        <v>806.53868230662056</v>
      </c>
    </row>
    <row r="169" spans="1:12" ht="15.75" thickBot="1" x14ac:dyDescent="0.3"/>
    <row r="170" spans="1:12" ht="15.75" thickBot="1" x14ac:dyDescent="0.3">
      <c r="A170" s="283">
        <v>4.3</v>
      </c>
      <c r="B170" s="626" t="s">
        <v>352</v>
      </c>
      <c r="C170" s="649"/>
      <c r="D170" s="649"/>
      <c r="E170" s="627"/>
      <c r="L170" s="86" t="s">
        <v>1344</v>
      </c>
    </row>
    <row r="171" spans="1:12" x14ac:dyDescent="0.25">
      <c r="B171" s="165">
        <v>0.25</v>
      </c>
      <c r="C171" s="674" t="s">
        <v>353</v>
      </c>
      <c r="D171" s="674"/>
      <c r="E171" s="696"/>
      <c r="L171" s="86" t="s">
        <v>1344</v>
      </c>
    </row>
    <row r="172" spans="1:12" ht="15.75" thickBot="1" x14ac:dyDescent="0.3">
      <c r="B172" s="675" t="s">
        <v>354</v>
      </c>
      <c r="C172" s="676"/>
      <c r="D172" s="676"/>
      <c r="E172" s="238">
        <v>3000</v>
      </c>
      <c r="L172" s="86" t="s">
        <v>1344</v>
      </c>
    </row>
    <row r="173" spans="1:12" ht="15.75" thickBot="1" x14ac:dyDescent="0.3">
      <c r="B173" s="626" t="s">
        <v>355</v>
      </c>
      <c r="C173" s="649"/>
      <c r="D173" s="677"/>
      <c r="E173" s="97">
        <f>E172*B171</f>
        <v>750</v>
      </c>
      <c r="L173" s="86" t="s">
        <v>1344</v>
      </c>
    </row>
    <row r="174" spans="1:12" ht="15.75" thickBot="1" x14ac:dyDescent="0.3"/>
    <row r="175" spans="1:12" ht="15.75" thickBot="1" x14ac:dyDescent="0.3">
      <c r="A175" s="283">
        <v>4.4000000000000004</v>
      </c>
      <c r="B175" s="626" t="s">
        <v>356</v>
      </c>
      <c r="C175" s="649"/>
      <c r="D175" s="649"/>
      <c r="E175" s="627"/>
      <c r="L175" s="86" t="s">
        <v>1344</v>
      </c>
    </row>
    <row r="176" spans="1:12" x14ac:dyDescent="0.25">
      <c r="B176" s="165">
        <v>0.25</v>
      </c>
      <c r="C176" s="674" t="s">
        <v>353</v>
      </c>
      <c r="D176" s="674"/>
      <c r="E176" s="696"/>
      <c r="L176" s="86" t="s">
        <v>1344</v>
      </c>
    </row>
    <row r="177" spans="1:12" ht="15.75" thickBot="1" x14ac:dyDescent="0.3">
      <c r="B177" s="675" t="s">
        <v>354</v>
      </c>
      <c r="C177" s="676"/>
      <c r="D177" s="676"/>
      <c r="E177" s="238">
        <v>900</v>
      </c>
      <c r="G177" s="86" t="s">
        <v>1354</v>
      </c>
      <c r="L177" s="86" t="s">
        <v>1344</v>
      </c>
    </row>
    <row r="178" spans="1:12" ht="15.75" thickBot="1" x14ac:dyDescent="0.3">
      <c r="B178" s="626" t="s">
        <v>355</v>
      </c>
      <c r="C178" s="649"/>
      <c r="D178" s="677"/>
      <c r="E178" s="97">
        <f>E177*B176</f>
        <v>225</v>
      </c>
      <c r="L178" s="86" t="s">
        <v>1344</v>
      </c>
    </row>
    <row r="180" spans="1:12" x14ac:dyDescent="0.25">
      <c r="A180" s="283">
        <v>4.5</v>
      </c>
    </row>
  </sheetData>
  <mergeCells count="135">
    <mergeCell ref="B177:D177"/>
    <mergeCell ref="B178:D178"/>
    <mergeCell ref="B170:E170"/>
    <mergeCell ref="C171:E171"/>
    <mergeCell ref="B172:D172"/>
    <mergeCell ref="B173:D173"/>
    <mergeCell ref="B175:E175"/>
    <mergeCell ref="C176:E176"/>
    <mergeCell ref="B160:D160"/>
    <mergeCell ref="B162:E162"/>
    <mergeCell ref="B165:E165"/>
    <mergeCell ref="C166:E166"/>
    <mergeCell ref="B167:D167"/>
    <mergeCell ref="B168:D168"/>
    <mergeCell ref="B152:E153"/>
    <mergeCell ref="B155:E155"/>
    <mergeCell ref="C156:E156"/>
    <mergeCell ref="C157:E157"/>
    <mergeCell ref="B158:D158"/>
    <mergeCell ref="B159:D159"/>
    <mergeCell ref="B144:E144"/>
    <mergeCell ref="C145:E145"/>
    <mergeCell ref="C146:E146"/>
    <mergeCell ref="B147:D147"/>
    <mergeCell ref="B148:D148"/>
    <mergeCell ref="B149:D149"/>
    <mergeCell ref="B134:D134"/>
    <mergeCell ref="B135:D135"/>
    <mergeCell ref="B137:E137"/>
    <mergeCell ref="B140:E140"/>
    <mergeCell ref="C141:E141"/>
    <mergeCell ref="B142:D142"/>
    <mergeCell ref="B121:E121"/>
    <mergeCell ref="B124:E124"/>
    <mergeCell ref="B127:E127"/>
    <mergeCell ref="B129:D129"/>
    <mergeCell ref="B130:D130"/>
    <mergeCell ref="B132:E132"/>
    <mergeCell ref="C112:E112"/>
    <mergeCell ref="B113:E113"/>
    <mergeCell ref="B114:D114"/>
    <mergeCell ref="B115:D115"/>
    <mergeCell ref="B116:D116"/>
    <mergeCell ref="B118:E118"/>
    <mergeCell ref="C105:E105"/>
    <mergeCell ref="B106:D106"/>
    <mergeCell ref="B107:D107"/>
    <mergeCell ref="B108:D108"/>
    <mergeCell ref="B110:E110"/>
    <mergeCell ref="B111:D111"/>
    <mergeCell ref="B95:D95"/>
    <mergeCell ref="B96:D96"/>
    <mergeCell ref="B97:D97"/>
    <mergeCell ref="B98:D98"/>
    <mergeCell ref="B100:E100"/>
    <mergeCell ref="B103:E103"/>
    <mergeCell ref="B87:D87"/>
    <mergeCell ref="B88:D88"/>
    <mergeCell ref="B90:E90"/>
    <mergeCell ref="C92:E92"/>
    <mergeCell ref="C93:E93"/>
    <mergeCell ref="B94:D94"/>
    <mergeCell ref="B79:D79"/>
    <mergeCell ref="B80:D80"/>
    <mergeCell ref="B81:D81"/>
    <mergeCell ref="B83:E83"/>
    <mergeCell ref="C85:E85"/>
    <mergeCell ref="B86:D86"/>
    <mergeCell ref="B68:E68"/>
    <mergeCell ref="B73:E73"/>
    <mergeCell ref="C75:E75"/>
    <mergeCell ref="C76:E76"/>
    <mergeCell ref="B77:D77"/>
    <mergeCell ref="B78:D78"/>
    <mergeCell ref="B60:D60"/>
    <mergeCell ref="B61:D61"/>
    <mergeCell ref="B63:E63"/>
    <mergeCell ref="C64:E64"/>
    <mergeCell ref="B65:D65"/>
    <mergeCell ref="B66:D66"/>
    <mergeCell ref="B53:D53"/>
    <mergeCell ref="B54:D54"/>
    <mergeCell ref="B55:D55"/>
    <mergeCell ref="B57:E57"/>
    <mergeCell ref="B58:D58"/>
    <mergeCell ref="B59:D59"/>
    <mergeCell ref="B46:D46"/>
    <mergeCell ref="B47:D47"/>
    <mergeCell ref="B49:E49"/>
    <mergeCell ref="C50:E50"/>
    <mergeCell ref="B51:D51"/>
    <mergeCell ref="C52:E52"/>
    <mergeCell ref="B39:D39"/>
    <mergeCell ref="B41:E41"/>
    <mergeCell ref="C42:E42"/>
    <mergeCell ref="B43:D43"/>
    <mergeCell ref="C44:E44"/>
    <mergeCell ref="B45:D45"/>
    <mergeCell ref="B33:E33"/>
    <mergeCell ref="C34:E34"/>
    <mergeCell ref="B35:D35"/>
    <mergeCell ref="B36:D36"/>
    <mergeCell ref="B37:D37"/>
    <mergeCell ref="B38:D38"/>
    <mergeCell ref="B28:C28"/>
    <mergeCell ref="E28:F28"/>
    <mergeCell ref="E29:F29"/>
    <mergeCell ref="B30:C30"/>
    <mergeCell ref="E30:F30"/>
    <mergeCell ref="B31:C31"/>
    <mergeCell ref="E31:F31"/>
    <mergeCell ref="D23:D27"/>
    <mergeCell ref="E24:F24"/>
    <mergeCell ref="E25:F25"/>
    <mergeCell ref="E26:F26"/>
    <mergeCell ref="B27:C27"/>
    <mergeCell ref="E27:F27"/>
    <mergeCell ref="B15:C15"/>
    <mergeCell ref="B17:H17"/>
    <mergeCell ref="B18:C18"/>
    <mergeCell ref="G18:H18"/>
    <mergeCell ref="B20:C20"/>
    <mergeCell ref="B22:F22"/>
    <mergeCell ref="H6:I6"/>
    <mergeCell ref="H7:I7"/>
    <mergeCell ref="H8:I8"/>
    <mergeCell ref="B11:D11"/>
    <mergeCell ref="B13:F13"/>
    <mergeCell ref="B14:C14"/>
    <mergeCell ref="B1:E1"/>
    <mergeCell ref="B2:E2"/>
    <mergeCell ref="B3:C3"/>
    <mergeCell ref="H3:I3"/>
    <mergeCell ref="H4:I4"/>
    <mergeCell ref="H5:I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61"/>
  <sheetViews>
    <sheetView topLeftCell="E1" workbookViewId="0">
      <pane ySplit="1" topLeftCell="A2" activePane="bottomLeft" state="frozen"/>
      <selection pane="bottomLeft" activeCell="I2" sqref="I2"/>
    </sheetView>
  </sheetViews>
  <sheetFormatPr defaultRowHeight="15" x14ac:dyDescent="0.25"/>
  <cols>
    <col min="1" max="1" width="16.28515625" bestFit="1" customWidth="1"/>
    <col min="2" max="2" width="22.28515625" bestFit="1" customWidth="1"/>
    <col min="3" max="3" width="21.42578125" bestFit="1" customWidth="1"/>
    <col min="4" max="4" width="18.85546875" bestFit="1" customWidth="1"/>
    <col min="5" max="5" width="16.85546875" bestFit="1" customWidth="1"/>
    <col min="6" max="6" width="23" bestFit="1" customWidth="1"/>
    <col min="7" max="7" width="17" bestFit="1" customWidth="1"/>
    <col min="8" max="8" width="12.85546875" bestFit="1" customWidth="1"/>
    <col min="9" max="9" width="12.5703125" bestFit="1" customWidth="1"/>
    <col min="10" max="10" width="26.140625" bestFit="1" customWidth="1"/>
    <col min="11" max="11" width="13.140625" bestFit="1" customWidth="1"/>
    <col min="12" max="12" width="25" bestFit="1" customWidth="1"/>
    <col min="13" max="13" width="28.140625" bestFit="1" customWidth="1"/>
    <col min="14" max="14" width="21.42578125" bestFit="1" customWidth="1"/>
  </cols>
  <sheetData>
    <row r="1" spans="1:15" ht="15" customHeight="1" x14ac:dyDescent="0.25">
      <c r="A1" s="19"/>
      <c r="B1" t="s">
        <v>64</v>
      </c>
      <c r="C1" t="s">
        <v>63</v>
      </c>
      <c r="D1" t="s">
        <v>62</v>
      </c>
      <c r="E1" t="s">
        <v>61</v>
      </c>
      <c r="F1" t="s">
        <v>60</v>
      </c>
      <c r="G1" s="18" t="s">
        <v>359</v>
      </c>
      <c r="H1" s="17" t="s">
        <v>59</v>
      </c>
      <c r="I1" s="17" t="s">
        <v>358</v>
      </c>
    </row>
    <row r="2" spans="1:15" ht="15" customHeight="1" thickBot="1" x14ac:dyDescent="0.3">
      <c r="A2" s="699" t="s">
        <v>58</v>
      </c>
      <c r="B2" s="22">
        <v>43040</v>
      </c>
      <c r="C2" s="22">
        <v>43070</v>
      </c>
      <c r="D2" s="7">
        <v>97900</v>
      </c>
      <c r="E2" s="6">
        <v>10309.08</v>
      </c>
      <c r="F2" t="s">
        <v>12</v>
      </c>
      <c r="G2" s="7">
        <v>3263.333333333333</v>
      </c>
      <c r="H2" s="301">
        <v>0.10530214504596529</v>
      </c>
      <c r="I2" s="176">
        <f>CONVERT(Electric27[[#This Row],[Usage (Required)]],"kWh","BTU")/1000</f>
        <v>334048.66588322551</v>
      </c>
    </row>
    <row r="3" spans="1:15" ht="15" customHeight="1" x14ac:dyDescent="0.25">
      <c r="A3" s="699"/>
      <c r="B3" s="22">
        <v>43009</v>
      </c>
      <c r="C3" s="22">
        <v>43040</v>
      </c>
      <c r="D3" s="7">
        <v>88100</v>
      </c>
      <c r="E3" s="6">
        <v>9260.5</v>
      </c>
      <c r="F3" t="s">
        <v>12</v>
      </c>
      <c r="G3" s="7">
        <v>2841.9354838709678</v>
      </c>
      <c r="H3" s="301">
        <v>0.10511350737797956</v>
      </c>
      <c r="I3" s="176">
        <f>CONVERT(Electric27[[#This Row],[Usage (Required)]],"kWh","BTU")/1000</f>
        <v>300609.67787857167</v>
      </c>
      <c r="J3" s="16" t="s">
        <v>111</v>
      </c>
      <c r="L3" s="298" t="s">
        <v>57</v>
      </c>
      <c r="M3" s="407" t="s">
        <v>56</v>
      </c>
      <c r="N3" s="300" t="s">
        <v>360</v>
      </c>
      <c r="O3" s="299" t="s">
        <v>361</v>
      </c>
    </row>
    <row r="4" spans="1:15" ht="15" customHeight="1" thickBot="1" x14ac:dyDescent="0.3">
      <c r="A4" s="699"/>
      <c r="B4" s="22">
        <v>42979</v>
      </c>
      <c r="C4" s="22">
        <v>43009</v>
      </c>
      <c r="D4" s="7">
        <v>77200</v>
      </c>
      <c r="E4" s="6">
        <v>8092.84</v>
      </c>
      <c r="F4" t="s">
        <v>12</v>
      </c>
      <c r="G4" s="7">
        <v>2573.3333333333335</v>
      </c>
      <c r="H4" s="301">
        <v>0.10482953367875648</v>
      </c>
      <c r="I4" s="176">
        <f>CONVERT(Electric27[[#This Row],[Usage (Required)]],"kWh","BTU")/1000</f>
        <v>263417.33407747711</v>
      </c>
      <c r="J4" s="34">
        <f>MAX(Electric27[Avg Use/Day kWh])</f>
        <v>4442.666666666667</v>
      </c>
      <c r="L4" s="12">
        <f>SUM(E2:E13)</f>
        <v>114347.76000000001</v>
      </c>
      <c r="M4" s="404">
        <f>SUM(D2:D13)</f>
        <v>1075700</v>
      </c>
      <c r="N4" s="405">
        <f>J12+'CEP Utility (Tons)'!T5</f>
        <v>9392213.2097351663</v>
      </c>
      <c r="O4" s="406">
        <f>N4/'Schedule-Building Info'!B6</f>
        <v>154.4543276445126</v>
      </c>
    </row>
    <row r="5" spans="1:15" ht="15" customHeight="1" thickBot="1" x14ac:dyDescent="0.3">
      <c r="A5" s="699"/>
      <c r="B5" s="22">
        <v>42948</v>
      </c>
      <c r="C5" s="22">
        <v>42979</v>
      </c>
      <c r="D5" s="7">
        <v>80800</v>
      </c>
      <c r="E5" s="6">
        <v>8526.32</v>
      </c>
      <c r="F5" t="s">
        <v>12</v>
      </c>
      <c r="G5" s="7">
        <v>2606.4516129032259</v>
      </c>
      <c r="H5" s="301">
        <v>0.10552376237623762</v>
      </c>
      <c r="I5" s="176">
        <f>CONVERT(Electric27[[#This Row],[Usage (Required)]],"kWh","BTU")/1000</f>
        <v>275701.04395673767</v>
      </c>
      <c r="J5" s="35" t="s">
        <v>112</v>
      </c>
    </row>
    <row r="6" spans="1:15" ht="15" customHeight="1" x14ac:dyDescent="0.25">
      <c r="A6" s="699"/>
      <c r="B6" s="22">
        <v>42917</v>
      </c>
      <c r="C6" s="22">
        <v>42948</v>
      </c>
      <c r="D6" s="7">
        <v>80000</v>
      </c>
      <c r="E6" s="6">
        <v>8466</v>
      </c>
      <c r="F6" t="s">
        <v>12</v>
      </c>
      <c r="G6" s="7">
        <v>2580.6451612903224</v>
      </c>
      <c r="H6" s="301">
        <v>0.105825</v>
      </c>
      <c r="I6" s="176">
        <f>CONVERT(Electric27[[#This Row],[Usage (Required)]],"kWh","BTU")/1000</f>
        <v>272971.33065023535</v>
      </c>
      <c r="J6" s="13">
        <f>MIN(G2:G13)</f>
        <v>2573.3333333333335</v>
      </c>
      <c r="L6" s="654" t="s">
        <v>54</v>
      </c>
      <c r="M6" s="685"/>
    </row>
    <row r="7" spans="1:15" ht="15" customHeight="1" thickBot="1" x14ac:dyDescent="0.3">
      <c r="A7" s="699"/>
      <c r="B7" s="22">
        <v>42887</v>
      </c>
      <c r="C7" s="22">
        <v>42917</v>
      </c>
      <c r="D7" s="7">
        <v>77700</v>
      </c>
      <c r="E7" s="6">
        <v>8207.35</v>
      </c>
      <c r="F7" t="s">
        <v>12</v>
      </c>
      <c r="G7" s="7">
        <v>2590</v>
      </c>
      <c r="H7" s="301">
        <v>0.10562870012870013</v>
      </c>
      <c r="I7" s="176">
        <f>CONVERT(Electric27[[#This Row],[Usage (Required)]],"kWh","BTU")/1000</f>
        <v>265123.40489404107</v>
      </c>
      <c r="J7" s="10" t="s">
        <v>55</v>
      </c>
      <c r="L7" s="55"/>
      <c r="M7" s="56">
        <f>AVERAGE(H2:H13)</f>
        <v>0.10661334013601718</v>
      </c>
    </row>
    <row r="8" spans="1:15" ht="15" customHeight="1" x14ac:dyDescent="0.25">
      <c r="A8" s="699"/>
      <c r="B8" s="22">
        <v>42856</v>
      </c>
      <c r="C8" s="22">
        <v>42887</v>
      </c>
      <c r="D8" s="7">
        <v>79800</v>
      </c>
      <c r="E8" s="6">
        <v>9889.24</v>
      </c>
      <c r="F8" t="s">
        <v>12</v>
      </c>
      <c r="G8" s="7">
        <v>2574.1935483870966</v>
      </c>
      <c r="H8" s="301">
        <v>0.12392531328320802</v>
      </c>
      <c r="I8" s="176">
        <f>CONVERT(Electric27[[#This Row],[Usage (Required)]],"kWh","BTU")/1000</f>
        <v>272288.90232360974</v>
      </c>
      <c r="J8" s="11">
        <f>J4/24</f>
        <v>185.11111111111111</v>
      </c>
      <c r="L8" s="8"/>
    </row>
    <row r="9" spans="1:15" ht="15" customHeight="1" x14ac:dyDescent="0.25">
      <c r="A9" s="699"/>
      <c r="B9" s="22">
        <v>42826</v>
      </c>
      <c r="C9" s="22">
        <v>42856</v>
      </c>
      <c r="D9" s="7">
        <v>83400</v>
      </c>
      <c r="E9" s="6">
        <v>8917.1200000000008</v>
      </c>
      <c r="F9" t="s">
        <v>12</v>
      </c>
      <c r="G9" s="7">
        <v>2780</v>
      </c>
      <c r="H9" s="301">
        <v>0.1069199040767386</v>
      </c>
      <c r="I9" s="176">
        <f>CONVERT(Electric27[[#This Row],[Usage (Required)]],"kWh","BTU")/1000</f>
        <v>284572.61220287031</v>
      </c>
      <c r="J9" s="10" t="s">
        <v>53</v>
      </c>
      <c r="L9">
        <v>28511</v>
      </c>
      <c r="M9">
        <f>L9*1.04</f>
        <v>29651.440000000002</v>
      </c>
    </row>
    <row r="10" spans="1:15" ht="15" customHeight="1" x14ac:dyDescent="0.25">
      <c r="A10" s="699"/>
      <c r="B10" s="22">
        <v>42795</v>
      </c>
      <c r="C10" s="22">
        <v>42826</v>
      </c>
      <c r="D10" s="7">
        <v>97700</v>
      </c>
      <c r="E10" s="6">
        <v>10141.49</v>
      </c>
      <c r="F10" t="s">
        <v>12</v>
      </c>
      <c r="G10" s="7">
        <v>3151.6129032258068</v>
      </c>
      <c r="H10" s="301">
        <v>0.10380235414534288</v>
      </c>
      <c r="I10" s="176">
        <f>CONVERT(Electric27[[#This Row],[Usage (Required)]],"kWh","BTU")/1000</f>
        <v>333366.2375565999</v>
      </c>
      <c r="J10" s="402">
        <f>ROUNDUP(J8*1.25,-1)</f>
        <v>240</v>
      </c>
      <c r="M10">
        <f>M9-L9</f>
        <v>1140.4400000000023</v>
      </c>
    </row>
    <row r="11" spans="1:15" ht="15" customHeight="1" x14ac:dyDescent="0.25">
      <c r="A11" s="699"/>
      <c r="B11" s="22">
        <v>42767</v>
      </c>
      <c r="C11" s="22">
        <v>42795</v>
      </c>
      <c r="D11" s="7">
        <v>91700</v>
      </c>
      <c r="E11" s="6">
        <v>10078.66</v>
      </c>
      <c r="F11" t="s">
        <v>12</v>
      </c>
      <c r="G11" s="7">
        <v>3275</v>
      </c>
      <c r="H11" s="301">
        <v>0.10990905125408942</v>
      </c>
      <c r="I11" s="176">
        <f>CONVERT(Electric27[[#This Row],[Usage (Required)]],"kWh","BTU")/1000</f>
        <v>312893.38775783224</v>
      </c>
      <c r="J11" s="403" t="s">
        <v>1234</v>
      </c>
    </row>
    <row r="12" spans="1:15" ht="15" customHeight="1" thickBot="1" x14ac:dyDescent="0.3">
      <c r="A12" s="699"/>
      <c r="B12" s="22">
        <v>42736</v>
      </c>
      <c r="C12" s="22">
        <v>42767</v>
      </c>
      <c r="D12" s="7">
        <v>113800</v>
      </c>
      <c r="E12" s="6">
        <v>12141.08</v>
      </c>
      <c r="F12" t="s">
        <v>12</v>
      </c>
      <c r="G12" s="7">
        <v>3670.9677419354834</v>
      </c>
      <c r="H12" s="301">
        <v>0.10668787346221439</v>
      </c>
      <c r="I12" s="176">
        <f>CONVERT(Electric27[[#This Row],[Usage (Required)]],"kWh","BTU")/1000</f>
        <v>388301.71784995974</v>
      </c>
      <c r="J12" s="9">
        <f>SUM(I2:I13)</f>
        <v>3670440.7547557265</v>
      </c>
      <c r="L12" s="20" t="s">
        <v>65</v>
      </c>
      <c r="M12" t="s">
        <v>67</v>
      </c>
      <c r="N12" t="s">
        <v>68</v>
      </c>
    </row>
    <row r="13" spans="1:15" ht="15" customHeight="1" x14ac:dyDescent="0.25">
      <c r="A13" s="699"/>
      <c r="B13" s="22">
        <v>42705</v>
      </c>
      <c r="C13" s="22">
        <v>42736</v>
      </c>
      <c r="D13" s="7">
        <v>107600</v>
      </c>
      <c r="E13" s="6">
        <v>10318.08</v>
      </c>
      <c r="F13" t="s">
        <v>12</v>
      </c>
      <c r="G13" s="7">
        <v>3470.9677419354834</v>
      </c>
      <c r="H13" s="301">
        <v>9.5892936802973963E-2</v>
      </c>
      <c r="I13" s="176">
        <f>CONVERT(Electric27[[#This Row],[Usage (Required)]],"kWh","BTU")/1000</f>
        <v>367146.43972456653</v>
      </c>
      <c r="J13" s="408">
        <f>J12/'Schedule-Building Info'!B6</f>
        <v>60.360156469531262</v>
      </c>
      <c r="K13" s="2"/>
      <c r="L13" s="2">
        <v>41675</v>
      </c>
      <c r="M13" s="1">
        <v>39610</v>
      </c>
      <c r="N13" s="1">
        <v>3971.45</v>
      </c>
    </row>
    <row r="14" spans="1:15" ht="15" customHeight="1" x14ac:dyDescent="0.25">
      <c r="A14" s="699"/>
      <c r="B14" s="22">
        <v>42675</v>
      </c>
      <c r="C14" s="22">
        <v>42705</v>
      </c>
      <c r="D14" s="7">
        <v>99100</v>
      </c>
      <c r="E14" s="6">
        <v>8919.09</v>
      </c>
      <c r="F14" t="s">
        <v>12</v>
      </c>
      <c r="G14" s="7">
        <v>3303.333333333333</v>
      </c>
      <c r="H14" s="301">
        <v>9.0000908173562044E-2</v>
      </c>
      <c r="I14" s="176">
        <f>CONVERT(Electric27[[#This Row],[Usage (Required)]],"kWh","BTU")/1000</f>
        <v>338143.23584297905</v>
      </c>
      <c r="J14" s="3"/>
      <c r="K14" s="2"/>
      <c r="L14" s="2">
        <v>41703</v>
      </c>
      <c r="M14" s="1">
        <v>34210</v>
      </c>
      <c r="N14" s="1">
        <v>3450.53</v>
      </c>
    </row>
    <row r="15" spans="1:15" ht="15" customHeight="1" x14ac:dyDescent="0.25">
      <c r="A15" s="699"/>
      <c r="B15" s="22">
        <v>42644</v>
      </c>
      <c r="C15" s="22">
        <v>42675</v>
      </c>
      <c r="D15" s="7">
        <v>89800</v>
      </c>
      <c r="E15" s="6">
        <v>8298.5400000000009</v>
      </c>
      <c r="F15" t="s">
        <v>12</v>
      </c>
      <c r="G15" s="7">
        <v>2896.7741935483868</v>
      </c>
      <c r="H15" s="301">
        <v>9.2411358574610233E-2</v>
      </c>
      <c r="I15" s="176">
        <f>CONVERT(Electric27[[#This Row],[Usage (Required)]],"kWh","BTU")/1000</f>
        <v>306410.31865488918</v>
      </c>
      <c r="J15" s="3"/>
      <c r="K15" s="2"/>
      <c r="L15" s="2">
        <v>41733</v>
      </c>
      <c r="M15" s="1">
        <v>33940</v>
      </c>
      <c r="N15" s="1">
        <v>3332.06</v>
      </c>
    </row>
    <row r="16" spans="1:15" ht="15" customHeight="1" x14ac:dyDescent="0.25">
      <c r="A16" s="699"/>
      <c r="B16" s="22">
        <v>42614</v>
      </c>
      <c r="C16" s="22">
        <v>42644</v>
      </c>
      <c r="D16" s="7">
        <v>86300</v>
      </c>
      <c r="E16" s="6">
        <v>7362.76</v>
      </c>
      <c r="F16" t="s">
        <v>12</v>
      </c>
      <c r="G16" s="7">
        <v>2876.6666666666665</v>
      </c>
      <c r="H16" s="301">
        <v>8.5315874855156432E-2</v>
      </c>
      <c r="I16" s="176">
        <f>CONVERT(Electric27[[#This Row],[Usage (Required)]],"kWh","BTU")/1000</f>
        <v>294467.82293894136</v>
      </c>
      <c r="J16" s="68">
        <f>MAX(D2:D13)</f>
        <v>113800</v>
      </c>
      <c r="K16" s="2"/>
      <c r="L16" s="2">
        <v>41765</v>
      </c>
      <c r="M16" s="1">
        <v>31820</v>
      </c>
      <c r="N16" s="1">
        <v>3228.88</v>
      </c>
    </row>
    <row r="17" spans="1:14" ht="15" customHeight="1" x14ac:dyDescent="0.25">
      <c r="A17" s="699"/>
      <c r="B17" s="22">
        <v>42583</v>
      </c>
      <c r="C17" s="22">
        <v>42614</v>
      </c>
      <c r="D17" s="7">
        <v>88100</v>
      </c>
      <c r="E17" s="6">
        <v>7806.85</v>
      </c>
      <c r="F17" t="s">
        <v>12</v>
      </c>
      <c r="G17" s="7">
        <v>2841.9354838709678</v>
      </c>
      <c r="H17" s="301">
        <v>8.8613507377979558E-2</v>
      </c>
      <c r="I17" s="176">
        <f>CONVERT(Electric27[[#This Row],[Usage (Required)]],"kWh","BTU")/1000</f>
        <v>300609.67787857167</v>
      </c>
      <c r="J17" s="3"/>
      <c r="K17" s="2"/>
      <c r="L17" s="2">
        <v>41794</v>
      </c>
      <c r="M17" s="1">
        <v>24290</v>
      </c>
      <c r="N17" s="1">
        <v>2449.91</v>
      </c>
    </row>
    <row r="18" spans="1:14" ht="15" customHeight="1" x14ac:dyDescent="0.25">
      <c r="A18" s="699"/>
      <c r="B18" s="22">
        <v>42552</v>
      </c>
      <c r="C18" s="22">
        <v>42583</v>
      </c>
      <c r="D18" s="7">
        <v>85700</v>
      </c>
      <c r="E18" s="6">
        <v>7371.63</v>
      </c>
      <c r="F18" t="s">
        <v>12</v>
      </c>
      <c r="G18" s="7">
        <v>2764.516129032258</v>
      </c>
      <c r="H18" s="301">
        <v>8.6016686114352384E-2</v>
      </c>
      <c r="I18" s="176">
        <f>CONVERT(Electric27[[#This Row],[Usage (Required)]],"kWh","BTU")/1000</f>
        <v>292420.53795906459</v>
      </c>
      <c r="J18" s="3"/>
      <c r="K18" s="2"/>
      <c r="L18" s="2">
        <v>41823</v>
      </c>
      <c r="M18" s="1">
        <v>23800</v>
      </c>
      <c r="N18" s="1">
        <v>2401.5</v>
      </c>
    </row>
    <row r="19" spans="1:14" ht="15" customHeight="1" x14ac:dyDescent="0.25">
      <c r="A19" s="699"/>
      <c r="B19" s="22">
        <v>42522</v>
      </c>
      <c r="C19" s="22">
        <v>42552</v>
      </c>
      <c r="D19" s="7">
        <v>77200</v>
      </c>
      <c r="E19" s="6">
        <v>6942.56</v>
      </c>
      <c r="F19" t="s">
        <v>12</v>
      </c>
      <c r="G19" s="7">
        <v>2573.3333333333335</v>
      </c>
      <c r="H19" s="301">
        <v>8.9929533678756474E-2</v>
      </c>
      <c r="I19" s="176">
        <f>CONVERT(Electric27[[#This Row],[Usage (Required)]],"kWh","BTU")/1000</f>
        <v>263417.33407747711</v>
      </c>
      <c r="J19" s="3"/>
      <c r="K19" s="2"/>
      <c r="L19" s="2">
        <v>41858</v>
      </c>
      <c r="M19" s="1">
        <v>29090</v>
      </c>
      <c r="N19" s="1">
        <v>2900.88</v>
      </c>
    </row>
    <row r="20" spans="1:14" ht="15" customHeight="1" x14ac:dyDescent="0.25">
      <c r="A20" s="699"/>
      <c r="B20" s="22">
        <v>42491</v>
      </c>
      <c r="C20" s="22">
        <v>42522</v>
      </c>
      <c r="D20" s="7">
        <v>74900</v>
      </c>
      <c r="E20" s="6">
        <v>6743.51</v>
      </c>
      <c r="F20" t="s">
        <v>12</v>
      </c>
      <c r="G20" s="7">
        <v>2416.1290322580644</v>
      </c>
      <c r="H20" s="301">
        <v>9.0033511348464615E-2</v>
      </c>
      <c r="I20" s="176">
        <f>CONVERT(Electric27[[#This Row],[Usage (Required)]],"kWh","BTU")/1000</f>
        <v>255569.40832128283</v>
      </c>
      <c r="J20" s="3"/>
      <c r="K20" s="2"/>
      <c r="L20" s="2">
        <v>41887</v>
      </c>
      <c r="M20" s="1">
        <v>20750</v>
      </c>
      <c r="N20" s="1">
        <v>2048.2800000000002</v>
      </c>
    </row>
    <row r="21" spans="1:14" ht="15" customHeight="1" x14ac:dyDescent="0.25">
      <c r="A21" s="699"/>
      <c r="B21" s="22">
        <v>42461</v>
      </c>
      <c r="C21" s="22">
        <v>42491</v>
      </c>
      <c r="D21" s="7">
        <v>78800</v>
      </c>
      <c r="E21" s="6">
        <v>6944.4</v>
      </c>
      <c r="F21" t="s">
        <v>12</v>
      </c>
      <c r="G21" s="7">
        <v>2626.6666666666665</v>
      </c>
      <c r="H21" s="301">
        <v>8.8126903553299496E-2</v>
      </c>
      <c r="I21" s="176">
        <f>CONVERT(Electric27[[#This Row],[Usage (Required)]],"kWh","BTU")/1000</f>
        <v>268876.76069048181</v>
      </c>
      <c r="J21" s="3"/>
      <c r="K21" s="2"/>
      <c r="L21" s="2">
        <v>41912</v>
      </c>
      <c r="M21" s="1">
        <v>20130</v>
      </c>
      <c r="N21" s="1">
        <v>2193.9</v>
      </c>
    </row>
    <row r="22" spans="1:14" ht="15" customHeight="1" x14ac:dyDescent="0.25">
      <c r="A22" s="699"/>
      <c r="B22" s="22">
        <v>42430</v>
      </c>
      <c r="C22" s="22">
        <v>42461</v>
      </c>
      <c r="D22" s="7">
        <v>87600</v>
      </c>
      <c r="E22" s="6">
        <v>7710.04</v>
      </c>
      <c r="F22" t="s">
        <v>12</v>
      </c>
      <c r="G22" s="7">
        <v>2825.8064516129034</v>
      </c>
      <c r="H22" s="301">
        <v>8.8014155251141549E-2</v>
      </c>
      <c r="I22" s="176">
        <f>CONVERT(Electric27[[#This Row],[Usage (Required)]],"kWh","BTU")/1000</f>
        <v>298903.60706200771</v>
      </c>
      <c r="J22" s="3"/>
      <c r="K22" s="2"/>
      <c r="L22" s="2">
        <v>41918</v>
      </c>
      <c r="M22" s="1">
        <v>5280</v>
      </c>
      <c r="N22" s="1">
        <v>562.32000000000005</v>
      </c>
    </row>
    <row r="23" spans="1:14" ht="15" customHeight="1" x14ac:dyDescent="0.25">
      <c r="A23" s="699"/>
      <c r="B23" s="22">
        <v>42401</v>
      </c>
      <c r="C23" s="22">
        <v>42430</v>
      </c>
      <c r="D23" s="7">
        <v>100100</v>
      </c>
      <c r="E23" s="6">
        <v>9729.7099999999991</v>
      </c>
      <c r="F23" t="s">
        <v>12</v>
      </c>
      <c r="G23" s="7">
        <v>3451.7241379310344</v>
      </c>
      <c r="H23" s="301">
        <v>9.719990009990008E-2</v>
      </c>
      <c r="I23" s="176">
        <f>CONVERT(Electric27[[#This Row],[Usage (Required)]],"kWh","BTU")/1000</f>
        <v>341555.37747610698</v>
      </c>
      <c r="K23" s="2"/>
      <c r="L23" s="2">
        <v>41949</v>
      </c>
      <c r="M23" s="1">
        <v>28800</v>
      </c>
      <c r="N23" s="1">
        <v>2970.38</v>
      </c>
    </row>
    <row r="24" spans="1:14" ht="15" customHeight="1" x14ac:dyDescent="0.25">
      <c r="A24" s="699"/>
      <c r="B24" s="22">
        <v>42371</v>
      </c>
      <c r="C24" s="22">
        <v>42401</v>
      </c>
      <c r="D24" s="7">
        <v>113300</v>
      </c>
      <c r="E24" s="6">
        <v>10739.51</v>
      </c>
      <c r="F24" t="s">
        <v>12</v>
      </c>
      <c r="G24" s="7">
        <v>3776.666666666667</v>
      </c>
      <c r="H24" s="301">
        <v>9.4788261253309802E-2</v>
      </c>
      <c r="I24" s="176">
        <f>CONVERT(Electric27[[#This Row],[Usage (Required)]],"kWh","BTU")/1000</f>
        <v>386595.64703339577</v>
      </c>
      <c r="J24" s="3"/>
      <c r="K24" s="2"/>
      <c r="L24" s="2">
        <v>41978</v>
      </c>
      <c r="M24" s="1">
        <v>32680</v>
      </c>
      <c r="N24" s="1">
        <v>3269.04</v>
      </c>
    </row>
    <row r="25" spans="1:14" ht="15" customHeight="1" x14ac:dyDescent="0.25">
      <c r="A25" s="699"/>
      <c r="B25" s="22">
        <v>42340</v>
      </c>
      <c r="C25" s="22">
        <v>42371</v>
      </c>
      <c r="D25" s="7">
        <v>93600</v>
      </c>
      <c r="E25" s="6">
        <v>8183.9</v>
      </c>
      <c r="F25" t="s">
        <v>12</v>
      </c>
      <c r="G25" s="7">
        <v>3019.3548387096776</v>
      </c>
      <c r="H25" s="301">
        <v>8.743482905982905E-2</v>
      </c>
      <c r="I25" s="176">
        <f>CONVERT(Electric27[[#This Row],[Usage (Required)]],"kWh","BTU")/1000</f>
        <v>319376.45686077536</v>
      </c>
      <c r="J25" s="3"/>
      <c r="K25" s="2"/>
      <c r="L25" s="2">
        <v>42012</v>
      </c>
      <c r="M25" s="1">
        <v>39560</v>
      </c>
      <c r="N25" s="1">
        <v>3998.15</v>
      </c>
    </row>
    <row r="26" spans="1:14" ht="15" customHeight="1" x14ac:dyDescent="0.25">
      <c r="A26" s="699"/>
      <c r="B26" s="22">
        <v>42310</v>
      </c>
      <c r="C26" s="22">
        <v>42340</v>
      </c>
      <c r="D26" s="7">
        <v>87700</v>
      </c>
      <c r="E26" s="6">
        <v>8521.8799999999992</v>
      </c>
      <c r="F26" t="s">
        <v>12</v>
      </c>
      <c r="G26" s="7">
        <v>2923.3333333333335</v>
      </c>
      <c r="H26" s="301">
        <v>9.7170809578107184E-2</v>
      </c>
      <c r="I26" s="176">
        <f>CONVERT(Electric27[[#This Row],[Usage (Required)]],"kWh","BTU")/1000</f>
        <v>299244.82122532051</v>
      </c>
      <c r="J26" s="3"/>
      <c r="K26" s="2"/>
      <c r="L26" s="2">
        <v>42041</v>
      </c>
      <c r="M26" s="1">
        <v>36720</v>
      </c>
      <c r="N26" s="1">
        <v>3648.62</v>
      </c>
    </row>
    <row r="27" spans="1:14" ht="15" customHeight="1" x14ac:dyDescent="0.25">
      <c r="A27" s="699"/>
      <c r="B27" s="22">
        <v>42281</v>
      </c>
      <c r="C27" s="22">
        <v>42310</v>
      </c>
      <c r="D27" s="7">
        <v>82600</v>
      </c>
      <c r="E27" s="6">
        <v>8268.76</v>
      </c>
      <c r="F27" t="s">
        <v>12</v>
      </c>
      <c r="G27" s="7">
        <v>2848.2758620689656</v>
      </c>
      <c r="H27" s="301">
        <v>0.10010605326876512</v>
      </c>
      <c r="I27" s="176">
        <f>CONVERT(Electric27[[#This Row],[Usage (Required)]],"kWh","BTU")/1000</f>
        <v>281842.89889636799</v>
      </c>
      <c r="J27" s="3"/>
      <c r="K27" s="2"/>
      <c r="L27" s="2">
        <v>42068</v>
      </c>
      <c r="M27" s="1">
        <v>32200</v>
      </c>
      <c r="N27" s="1">
        <v>3308.7</v>
      </c>
    </row>
    <row r="28" spans="1:14" ht="15" customHeight="1" x14ac:dyDescent="0.25">
      <c r="A28" s="699"/>
      <c r="B28" s="22">
        <v>42250</v>
      </c>
      <c r="C28" s="22">
        <v>42281</v>
      </c>
      <c r="D28" s="7">
        <v>86800</v>
      </c>
      <c r="E28" s="6">
        <v>8747.42</v>
      </c>
      <c r="F28" t="s">
        <v>12</v>
      </c>
      <c r="G28" s="7">
        <v>2800</v>
      </c>
      <c r="H28" s="301">
        <v>0.10077672811059908</v>
      </c>
      <c r="I28" s="176">
        <f>CONVERT(Electric27[[#This Row],[Usage (Required)]],"kWh","BTU")/1000</f>
        <v>296173.89375550533</v>
      </c>
      <c r="J28" s="3"/>
      <c r="K28" s="2"/>
      <c r="L28" s="2">
        <v>42102</v>
      </c>
      <c r="M28" s="1">
        <v>30520</v>
      </c>
      <c r="N28" s="1">
        <v>3123.42</v>
      </c>
    </row>
    <row r="29" spans="1:14" ht="15" customHeight="1" x14ac:dyDescent="0.25">
      <c r="A29" s="699"/>
      <c r="B29" s="22">
        <v>42220</v>
      </c>
      <c r="C29" s="22">
        <v>42250</v>
      </c>
      <c r="D29" s="7">
        <v>82200</v>
      </c>
      <c r="E29" s="6">
        <v>8360.48</v>
      </c>
      <c r="F29" t="s">
        <v>12</v>
      </c>
      <c r="G29" s="7">
        <v>2740</v>
      </c>
      <c r="H29" s="301">
        <v>0.10170900243309001</v>
      </c>
      <c r="I29" s="176">
        <f>CONVERT(Electric27[[#This Row],[Usage (Required)]],"kWh","BTU")/1000</f>
        <v>280478.04224311688</v>
      </c>
      <c r="J29" s="3"/>
      <c r="K29" s="2"/>
      <c r="L29" s="2">
        <v>42130</v>
      </c>
      <c r="M29" s="1">
        <v>22440</v>
      </c>
      <c r="N29" s="1">
        <v>2314.2600000000002</v>
      </c>
    </row>
    <row r="30" spans="1:14" ht="15" customHeight="1" x14ac:dyDescent="0.25">
      <c r="A30" s="699"/>
      <c r="B30" s="22">
        <v>42193</v>
      </c>
      <c r="C30" s="22">
        <v>42220</v>
      </c>
      <c r="D30" s="7">
        <v>74200</v>
      </c>
      <c r="E30" s="6">
        <v>7039.7</v>
      </c>
      <c r="F30" t="s">
        <v>12</v>
      </c>
      <c r="G30" s="7">
        <v>2748.1481481481478</v>
      </c>
      <c r="H30" s="301">
        <v>9.4874663072776283E-2</v>
      </c>
      <c r="I30" s="176">
        <f>CONVERT(Electric27[[#This Row],[Usage (Required)]],"kWh","BTU")/1000</f>
        <v>253180.90917809328</v>
      </c>
      <c r="J30" s="3"/>
      <c r="K30" s="2"/>
      <c r="L30" s="2">
        <v>42163</v>
      </c>
      <c r="M30" s="1">
        <v>23080</v>
      </c>
      <c r="N30" s="1">
        <v>2300.36</v>
      </c>
    </row>
    <row r="31" spans="1:14" ht="15" customHeight="1" x14ac:dyDescent="0.25">
      <c r="A31" s="699"/>
      <c r="B31" s="22">
        <v>42163</v>
      </c>
      <c r="C31" s="22">
        <v>42193</v>
      </c>
      <c r="D31" s="7">
        <v>83000</v>
      </c>
      <c r="E31" s="6">
        <v>8374.9599999999991</v>
      </c>
      <c r="F31" t="s">
        <v>12</v>
      </c>
      <c r="G31" s="7">
        <v>2766.6666666666665</v>
      </c>
      <c r="H31" s="301">
        <v>0.10090313253012048</v>
      </c>
      <c r="I31" s="176">
        <f>CONVERT(Electric27[[#This Row],[Usage (Required)]],"kWh","BTU")/1000</f>
        <v>283207.75554961915</v>
      </c>
      <c r="J31" s="3"/>
      <c r="K31" s="2"/>
      <c r="L31" s="2">
        <v>42193</v>
      </c>
      <c r="M31" s="1">
        <v>19040</v>
      </c>
      <c r="N31" s="1">
        <v>1959.77</v>
      </c>
    </row>
    <row r="32" spans="1:14" ht="15" customHeight="1" x14ac:dyDescent="0.25">
      <c r="A32" s="699"/>
      <c r="B32" s="22">
        <v>42130</v>
      </c>
      <c r="C32" s="22">
        <v>42163</v>
      </c>
      <c r="D32" s="7">
        <v>95100</v>
      </c>
      <c r="E32" s="6">
        <v>9322.31</v>
      </c>
      <c r="F32" t="s">
        <v>12</v>
      </c>
      <c r="G32" s="7">
        <v>2881.818181818182</v>
      </c>
      <c r="H32" s="301">
        <v>9.8026393270241846E-2</v>
      </c>
      <c r="I32" s="176">
        <f>CONVERT(Electric27[[#This Row],[Usage (Required)]],"kWh","BTU")/1000</f>
        <v>324494.66931046726</v>
      </c>
      <c r="J32" s="3"/>
      <c r="K32" s="2"/>
      <c r="L32" s="2">
        <v>42220</v>
      </c>
      <c r="M32" s="1">
        <v>17640</v>
      </c>
      <c r="N32" s="1">
        <v>1711.75</v>
      </c>
    </row>
    <row r="33" spans="1:14" ht="15" customHeight="1" x14ac:dyDescent="0.25">
      <c r="A33" s="699"/>
      <c r="B33" s="22">
        <v>42102</v>
      </c>
      <c r="C33" s="22">
        <v>42130</v>
      </c>
      <c r="D33" s="7">
        <v>84500</v>
      </c>
      <c r="E33" s="6">
        <v>8576.11</v>
      </c>
      <c r="F33" t="s">
        <v>12</v>
      </c>
      <c r="G33" s="7">
        <v>3017.8571428571427</v>
      </c>
      <c r="H33" s="301">
        <v>0.10149242603550296</v>
      </c>
      <c r="I33" s="176">
        <f>CONVERT(Electric27[[#This Row],[Usage (Required)]],"kWh","BTU")/1000</f>
        <v>288325.96799931105</v>
      </c>
      <c r="J33" s="3"/>
      <c r="K33" s="2"/>
      <c r="L33" s="2">
        <v>42251</v>
      </c>
      <c r="M33" s="1">
        <v>19840</v>
      </c>
      <c r="N33" s="1">
        <v>2055.88</v>
      </c>
    </row>
    <row r="34" spans="1:14" ht="15" customHeight="1" x14ac:dyDescent="0.25">
      <c r="A34" s="699"/>
      <c r="B34" s="22">
        <v>42068</v>
      </c>
      <c r="C34" s="22">
        <v>42102</v>
      </c>
      <c r="D34" s="7">
        <v>109500</v>
      </c>
      <c r="E34" s="6">
        <v>11076.71</v>
      </c>
      <c r="F34" t="s">
        <v>12</v>
      </c>
      <c r="G34" s="7">
        <v>3220.5882352941176</v>
      </c>
      <c r="H34" s="301">
        <v>0.10115716894977168</v>
      </c>
      <c r="I34" s="176">
        <f>CONVERT(Electric27[[#This Row],[Usage (Required)]],"kWh","BTU")/1000</f>
        <v>373629.50882750959</v>
      </c>
      <c r="J34" s="3"/>
      <c r="K34" s="2"/>
      <c r="L34" s="2">
        <v>42283</v>
      </c>
      <c r="M34" s="1">
        <v>21000</v>
      </c>
      <c r="N34" s="1">
        <v>2154.2600000000002</v>
      </c>
    </row>
    <row r="35" spans="1:14" ht="15" customHeight="1" x14ac:dyDescent="0.25">
      <c r="A35" s="699"/>
      <c r="B35" s="22">
        <v>42040</v>
      </c>
      <c r="C35" s="22">
        <v>42068</v>
      </c>
      <c r="D35" s="7">
        <v>102600</v>
      </c>
      <c r="E35" s="6">
        <v>10433.18</v>
      </c>
      <c r="F35" t="s">
        <v>12</v>
      </c>
      <c r="G35" s="7">
        <v>3664.2857142857147</v>
      </c>
      <c r="H35" s="301">
        <v>0.10168791423001948</v>
      </c>
      <c r="I35" s="176">
        <f>CONVERT(Electric27[[#This Row],[Usage (Required)]],"kWh","BTU")/1000</f>
        <v>350085.73155892681</v>
      </c>
      <c r="J35" s="3"/>
      <c r="K35" s="2"/>
      <c r="L35" s="2">
        <v>42310</v>
      </c>
      <c r="M35" s="1">
        <v>21240</v>
      </c>
      <c r="N35" s="1">
        <v>2163.44</v>
      </c>
    </row>
    <row r="36" spans="1:14" ht="15" customHeight="1" x14ac:dyDescent="0.25">
      <c r="A36" s="699"/>
      <c r="B36" s="22">
        <v>42012</v>
      </c>
      <c r="C36" s="22">
        <v>42040</v>
      </c>
      <c r="D36" s="7">
        <v>113300</v>
      </c>
      <c r="E36" s="6">
        <v>11153.46</v>
      </c>
      <c r="F36" t="s">
        <v>12</v>
      </c>
      <c r="G36" s="7">
        <v>4046.4285714285716</v>
      </c>
      <c r="H36" s="301">
        <v>9.8441835834068833E-2</v>
      </c>
      <c r="I36" s="176">
        <f>CONVERT(Electric27[[#This Row],[Usage (Required)]],"kWh","BTU")/1000</f>
        <v>386595.64703339577</v>
      </c>
      <c r="J36" s="3"/>
      <c r="K36" s="2"/>
      <c r="L36" s="2">
        <v>42340</v>
      </c>
      <c r="M36" s="1">
        <v>25120</v>
      </c>
      <c r="N36" s="1">
        <v>2476.65</v>
      </c>
    </row>
    <row r="37" spans="1:14" ht="15" customHeight="1" x14ac:dyDescent="0.25">
      <c r="A37" s="699"/>
      <c r="B37" s="22">
        <v>41978</v>
      </c>
      <c r="C37" s="22">
        <v>42012</v>
      </c>
      <c r="D37" s="7">
        <v>129000</v>
      </c>
      <c r="E37" s="6">
        <v>12924.26</v>
      </c>
      <c r="F37" t="s">
        <v>12</v>
      </c>
      <c r="G37" s="7">
        <v>3794.1176470588234</v>
      </c>
      <c r="H37" s="301">
        <v>0.10018806201550388</v>
      </c>
      <c r="I37" s="176">
        <f>CONVERT(Electric27[[#This Row],[Usage (Required)]],"kWh","BTU")/1000</f>
        <v>440166.27067350445</v>
      </c>
      <c r="J37" s="3"/>
      <c r="K37" s="2"/>
      <c r="L37" s="2">
        <v>42371</v>
      </c>
      <c r="M37" s="1">
        <v>28040</v>
      </c>
      <c r="N37" s="1">
        <v>2486.7399999999998</v>
      </c>
    </row>
    <row r="38" spans="1:14" ht="15" customHeight="1" x14ac:dyDescent="0.25">
      <c r="A38" s="699"/>
      <c r="B38" s="22">
        <v>41948</v>
      </c>
      <c r="C38" s="22">
        <v>41978</v>
      </c>
      <c r="D38" s="7">
        <v>114600</v>
      </c>
      <c r="E38" s="6">
        <v>11338.16</v>
      </c>
      <c r="F38" t="s">
        <v>12</v>
      </c>
      <c r="G38" s="7">
        <v>3820</v>
      </c>
      <c r="H38" s="301">
        <v>9.8936823734729479E-2</v>
      </c>
      <c r="I38" s="176">
        <f>CONVERT(Electric27[[#This Row],[Usage (Required)]],"kWh","BTU")/1000</f>
        <v>391031.43115646212</v>
      </c>
      <c r="J38" s="3"/>
      <c r="K38" s="2"/>
      <c r="L38" s="2">
        <v>42401</v>
      </c>
      <c r="M38" s="1">
        <v>36800</v>
      </c>
      <c r="N38" s="1">
        <v>3494.96</v>
      </c>
    </row>
    <row r="39" spans="1:14" ht="15" customHeight="1" x14ac:dyDescent="0.25">
      <c r="A39" s="699"/>
      <c r="B39" s="22">
        <v>41915</v>
      </c>
      <c r="C39" s="22">
        <v>41948</v>
      </c>
      <c r="D39" s="7">
        <v>106200</v>
      </c>
      <c r="E39" s="6">
        <v>10818.74</v>
      </c>
      <c r="F39" t="s">
        <v>12</v>
      </c>
      <c r="G39" s="7">
        <v>3218.181818181818</v>
      </c>
      <c r="H39" s="301">
        <v>0.1018713747645951</v>
      </c>
      <c r="I39" s="176">
        <f>CONVERT(Electric27[[#This Row],[Usage (Required)]],"kWh","BTU")/1000</f>
        <v>362369.44143818738</v>
      </c>
      <c r="J39" s="3"/>
      <c r="K39" s="2"/>
      <c r="L39" s="2">
        <v>42430</v>
      </c>
      <c r="M39" s="1">
        <v>32400</v>
      </c>
      <c r="N39" s="1">
        <v>3156.04</v>
      </c>
    </row>
    <row r="40" spans="1:14" ht="15" customHeight="1" x14ac:dyDescent="0.25">
      <c r="A40" s="699"/>
      <c r="B40" s="22">
        <v>41887</v>
      </c>
      <c r="C40" s="22">
        <v>41915</v>
      </c>
      <c r="D40" s="7">
        <v>84500</v>
      </c>
      <c r="E40" s="6">
        <v>9049.31</v>
      </c>
      <c r="F40" t="s">
        <v>12</v>
      </c>
      <c r="G40" s="7">
        <v>3017.8571428571427</v>
      </c>
      <c r="H40" s="301">
        <v>0.10709242603550297</v>
      </c>
      <c r="I40" s="176">
        <f>CONVERT(Electric27[[#This Row],[Usage (Required)]],"kWh","BTU")/1000</f>
        <v>288325.96799931105</v>
      </c>
      <c r="J40" s="3"/>
      <c r="K40" s="2"/>
      <c r="L40" s="2">
        <v>42461</v>
      </c>
      <c r="M40" s="1">
        <v>28240</v>
      </c>
      <c r="N40" s="1">
        <v>2492.3000000000002</v>
      </c>
    </row>
    <row r="41" spans="1:14" ht="15" customHeight="1" x14ac:dyDescent="0.25">
      <c r="A41" s="699"/>
      <c r="B41" s="22">
        <v>41857</v>
      </c>
      <c r="C41" s="22">
        <v>41887</v>
      </c>
      <c r="D41" s="7">
        <v>86000</v>
      </c>
      <c r="E41" s="6">
        <v>8331.86</v>
      </c>
      <c r="F41" t="s">
        <v>12</v>
      </c>
      <c r="G41" s="7">
        <v>2866.6666666666665</v>
      </c>
      <c r="H41" s="301">
        <v>9.6882093023255803E-2</v>
      </c>
      <c r="I41" s="176">
        <f>CONVERT(Electric27[[#This Row],[Usage (Required)]],"kWh","BTU")/1000</f>
        <v>293444.180449003</v>
      </c>
      <c r="J41" s="3"/>
      <c r="K41" s="2"/>
      <c r="L41" s="2">
        <v>42491</v>
      </c>
      <c r="M41" s="1">
        <v>24760</v>
      </c>
      <c r="N41" s="1">
        <v>2188.88</v>
      </c>
    </row>
    <row r="42" spans="1:14" ht="15" customHeight="1" x14ac:dyDescent="0.25">
      <c r="A42" s="699"/>
      <c r="B42" s="22">
        <v>41823</v>
      </c>
      <c r="C42" s="22">
        <v>41857</v>
      </c>
      <c r="D42" s="7">
        <v>98800</v>
      </c>
      <c r="E42" s="6">
        <v>9732.4599999999991</v>
      </c>
      <c r="F42" t="s">
        <v>12</v>
      </c>
      <c r="G42" s="7">
        <v>2905.8823529411766</v>
      </c>
      <c r="H42" s="301">
        <v>9.8506680161943319E-2</v>
      </c>
      <c r="I42" s="176">
        <f>CONVERT(Electric27[[#This Row],[Usage (Required)]],"kWh","BTU")/1000</f>
        <v>337119.59335304063</v>
      </c>
      <c r="J42" s="3"/>
      <c r="K42" s="2"/>
      <c r="L42" s="2">
        <v>42522</v>
      </c>
      <c r="M42" s="1">
        <v>22920</v>
      </c>
      <c r="N42" s="1">
        <v>2070.5100000000002</v>
      </c>
    </row>
    <row r="43" spans="1:14" ht="15" customHeight="1" x14ac:dyDescent="0.25">
      <c r="A43" s="699"/>
      <c r="B43" s="22">
        <v>41794</v>
      </c>
      <c r="C43" s="22">
        <v>41823</v>
      </c>
      <c r="D43" s="7">
        <v>85200</v>
      </c>
      <c r="E43" s="6">
        <v>8467.82</v>
      </c>
      <c r="F43" t="s">
        <v>12</v>
      </c>
      <c r="G43" s="7">
        <v>2937.9310344827586</v>
      </c>
      <c r="H43" s="301">
        <v>9.9387558685446006E-2</v>
      </c>
      <c r="I43" s="176">
        <f>CONVERT(Electric27[[#This Row],[Usage (Required)]],"kWh","BTU")/1000</f>
        <v>290714.46714250062</v>
      </c>
      <c r="J43" s="3"/>
      <c r="K43" s="2"/>
      <c r="L43" s="2">
        <v>42552</v>
      </c>
      <c r="M43" s="1">
        <v>18760</v>
      </c>
      <c r="N43" s="1">
        <v>1694.65</v>
      </c>
    </row>
    <row r="44" spans="1:14" ht="15" customHeight="1" x14ac:dyDescent="0.25">
      <c r="A44" s="699"/>
      <c r="B44" s="22">
        <v>41764</v>
      </c>
      <c r="C44" s="22">
        <v>41794</v>
      </c>
      <c r="D44" s="7">
        <v>85500</v>
      </c>
      <c r="E44" s="6">
        <v>8497.4599999999991</v>
      </c>
      <c r="F44" t="s">
        <v>12</v>
      </c>
      <c r="G44" s="7">
        <v>2850</v>
      </c>
      <c r="H44" s="301">
        <v>9.9385497076023399E-2</v>
      </c>
      <c r="I44" s="176">
        <f>CONVERT(Electric27[[#This Row],[Usage (Required)]],"kWh","BTU")/1000</f>
        <v>291738.10963243904</v>
      </c>
      <c r="J44" s="3"/>
      <c r="K44" s="2"/>
      <c r="L44" s="2">
        <v>42583</v>
      </c>
      <c r="M44" s="1">
        <v>17880</v>
      </c>
      <c r="N44" s="1">
        <v>1545.89</v>
      </c>
    </row>
    <row r="45" spans="1:14" ht="15" customHeight="1" x14ac:dyDescent="0.25">
      <c r="A45" s="699"/>
      <c r="B45" s="22">
        <v>41733</v>
      </c>
      <c r="C45" s="22">
        <v>41764</v>
      </c>
      <c r="D45" s="7">
        <v>96200</v>
      </c>
      <c r="E45" s="6">
        <v>9660.44</v>
      </c>
      <c r="F45" t="s">
        <v>12</v>
      </c>
      <c r="G45" s="7">
        <v>3103.2258064516127</v>
      </c>
      <c r="H45" s="301">
        <v>0.10042037422037423</v>
      </c>
      <c r="I45" s="176">
        <f>CONVERT(Electric27[[#This Row],[Usage (Required)]],"kWh","BTU")/1000</f>
        <v>328248.025106908</v>
      </c>
      <c r="J45" s="3"/>
      <c r="K45" s="2"/>
      <c r="L45" s="2">
        <v>42614</v>
      </c>
      <c r="M45" s="1">
        <v>18520</v>
      </c>
      <c r="N45" s="1">
        <v>1649.02</v>
      </c>
    </row>
    <row r="46" spans="1:14" ht="15" customHeight="1" x14ac:dyDescent="0.25">
      <c r="A46" s="699"/>
      <c r="B46" s="22">
        <v>41711</v>
      </c>
      <c r="C46" s="22">
        <v>41733</v>
      </c>
      <c r="D46" s="7">
        <v>78500</v>
      </c>
      <c r="E46" s="6">
        <v>7590.95</v>
      </c>
      <c r="F46" t="s">
        <v>12</v>
      </c>
      <c r="G46" s="7">
        <v>3568.181818181818</v>
      </c>
      <c r="H46" s="301">
        <v>9.6699999999999994E-2</v>
      </c>
      <c r="I46" s="176">
        <f>CONVERT(Electric27[[#This Row],[Usage (Required)]],"kWh","BTU")/1000</f>
        <v>267853.11820054339</v>
      </c>
      <c r="J46" s="3"/>
      <c r="K46" s="2"/>
      <c r="L46" s="2">
        <v>42644</v>
      </c>
      <c r="M46" s="1">
        <v>20200</v>
      </c>
      <c r="N46" s="1">
        <v>1731.04</v>
      </c>
    </row>
    <row r="47" spans="1:14" ht="15" customHeight="1" x14ac:dyDescent="0.25">
      <c r="A47" s="699"/>
      <c r="B47" s="22">
        <v>41703</v>
      </c>
      <c r="C47" s="22">
        <v>41711</v>
      </c>
      <c r="D47" s="7">
        <v>28960</v>
      </c>
      <c r="E47" s="6">
        <v>2850.49</v>
      </c>
      <c r="F47" t="s">
        <v>12</v>
      </c>
      <c r="G47" s="7">
        <v>3620</v>
      </c>
      <c r="H47" s="301">
        <v>9.8428522099447524E-2</v>
      </c>
      <c r="I47" s="176">
        <f>CONVERT(Electric27[[#This Row],[Usage (Required)]],"kWh","BTU")/1000</f>
        <v>98815.621695385198</v>
      </c>
      <c r="J47" s="3"/>
      <c r="K47" s="2"/>
      <c r="L47" s="2">
        <v>42675</v>
      </c>
      <c r="M47" s="1">
        <v>25360</v>
      </c>
      <c r="N47" s="1">
        <v>2350.73</v>
      </c>
    </row>
    <row r="48" spans="1:14" ht="15" customHeight="1" x14ac:dyDescent="0.25">
      <c r="A48" s="699"/>
      <c r="B48" s="22">
        <v>41675</v>
      </c>
      <c r="C48" s="22">
        <v>41703</v>
      </c>
      <c r="D48" s="7">
        <v>109920</v>
      </c>
      <c r="E48" s="6">
        <v>10976.11</v>
      </c>
      <c r="F48" t="s">
        <v>12</v>
      </c>
      <c r="G48" s="7">
        <v>3925.7142857142853</v>
      </c>
      <c r="H48" s="301">
        <v>9.9855440320232886E-2</v>
      </c>
      <c r="I48" s="176">
        <f>CONVERT(Electric27[[#This Row],[Usage (Required)]],"kWh","BTU")/1000</f>
        <v>375062.60831342335</v>
      </c>
      <c r="J48" s="3"/>
      <c r="K48" s="2"/>
      <c r="L48" s="2">
        <v>42705</v>
      </c>
      <c r="M48" s="1">
        <v>29120</v>
      </c>
      <c r="N48" s="1">
        <v>2627.89</v>
      </c>
    </row>
    <row r="49" spans="1:14" x14ac:dyDescent="0.25">
      <c r="A49" s="699"/>
      <c r="B49" s="22">
        <v>41645</v>
      </c>
      <c r="C49" s="22">
        <v>41675</v>
      </c>
      <c r="D49" s="7">
        <v>133280</v>
      </c>
      <c r="E49" s="6">
        <v>13244.78</v>
      </c>
      <c r="F49" t="s">
        <v>12</v>
      </c>
      <c r="G49" s="7">
        <v>4442.666666666667</v>
      </c>
      <c r="H49" s="301">
        <v>9.9375600240096035E-2</v>
      </c>
      <c r="I49" s="176">
        <f>CONVERT(Electric27[[#This Row],[Usage (Required)]],"kWh","BTU")/1000</f>
        <v>454770.23686329206</v>
      </c>
      <c r="J49" s="3"/>
      <c r="K49" s="2"/>
      <c r="L49" s="2">
        <v>42736</v>
      </c>
      <c r="M49" s="1">
        <v>29280</v>
      </c>
      <c r="N49" s="1">
        <v>2815.02</v>
      </c>
    </row>
    <row r="50" spans="1:14" x14ac:dyDescent="0.25">
      <c r="B50" s="22">
        <v>41612</v>
      </c>
      <c r="C50" s="22">
        <v>41645</v>
      </c>
      <c r="D50" s="7">
        <v>127760</v>
      </c>
      <c r="E50" s="6">
        <v>12008.4</v>
      </c>
      <c r="F50" t="s">
        <v>12</v>
      </c>
      <c r="G50" s="7">
        <v>3871.515151515151</v>
      </c>
      <c r="H50" s="301">
        <v>9.3991859737006883E-2</v>
      </c>
      <c r="I50" s="7">
        <f>CONVERT(Electric27[[#This Row],[Usage (Required)]],"kWh","BTU")/1000</f>
        <v>435935.21504842583</v>
      </c>
      <c r="K50" s="2"/>
      <c r="L50" s="2">
        <v>42767</v>
      </c>
      <c r="M50" s="1">
        <v>33840</v>
      </c>
      <c r="N50" s="1">
        <v>3617.34</v>
      </c>
    </row>
    <row r="51" spans="1:14" x14ac:dyDescent="0.25">
      <c r="K51" s="2"/>
      <c r="L51" s="2">
        <v>42795</v>
      </c>
      <c r="M51" s="1">
        <v>27760</v>
      </c>
      <c r="N51" s="1">
        <v>3058.05</v>
      </c>
    </row>
    <row r="52" spans="1:14" x14ac:dyDescent="0.25">
      <c r="K52" s="2"/>
      <c r="L52" s="2">
        <v>42826</v>
      </c>
      <c r="M52" s="1">
        <v>30400</v>
      </c>
      <c r="N52" s="1">
        <v>3162.48</v>
      </c>
    </row>
    <row r="53" spans="1:14" x14ac:dyDescent="0.25">
      <c r="K53" s="2"/>
      <c r="L53" s="2">
        <v>42856</v>
      </c>
      <c r="M53" s="1">
        <v>25040</v>
      </c>
      <c r="N53" s="1">
        <v>2684.27</v>
      </c>
    </row>
    <row r="54" spans="1:14" x14ac:dyDescent="0.25">
      <c r="K54" s="2"/>
      <c r="L54" s="2">
        <v>42887</v>
      </c>
      <c r="M54" s="1">
        <v>23920</v>
      </c>
      <c r="N54" s="1">
        <v>2971.3</v>
      </c>
    </row>
    <row r="55" spans="1:14" x14ac:dyDescent="0.25">
      <c r="K55" s="2"/>
      <c r="L55" s="2">
        <v>42917</v>
      </c>
      <c r="M55" s="1">
        <v>22680</v>
      </c>
      <c r="N55" s="1">
        <v>2402.7399999999998</v>
      </c>
    </row>
    <row r="56" spans="1:14" x14ac:dyDescent="0.25">
      <c r="K56" s="2"/>
      <c r="L56" s="2">
        <v>42948</v>
      </c>
      <c r="M56" s="1">
        <v>21200</v>
      </c>
      <c r="N56" s="1">
        <v>2250.84</v>
      </c>
    </row>
    <row r="57" spans="1:14" x14ac:dyDescent="0.25">
      <c r="K57" s="2"/>
      <c r="L57" s="2">
        <v>42979</v>
      </c>
      <c r="M57" s="1">
        <v>20000</v>
      </c>
      <c r="N57" s="1">
        <v>2118</v>
      </c>
    </row>
    <row r="58" spans="1:14" x14ac:dyDescent="0.25">
      <c r="K58" s="2"/>
      <c r="L58" s="2">
        <v>43009</v>
      </c>
      <c r="M58" s="1">
        <v>21240</v>
      </c>
      <c r="N58" s="1">
        <v>2233.83</v>
      </c>
    </row>
    <row r="59" spans="1:14" x14ac:dyDescent="0.25">
      <c r="K59" s="2"/>
      <c r="L59" s="2">
        <v>43040</v>
      </c>
      <c r="M59" s="1">
        <v>25360</v>
      </c>
      <c r="N59" s="1">
        <v>2672.8</v>
      </c>
    </row>
    <row r="60" spans="1:14" x14ac:dyDescent="0.25">
      <c r="K60" s="2"/>
      <c r="L60" s="2">
        <v>43070</v>
      </c>
      <c r="M60" s="1">
        <v>25160</v>
      </c>
      <c r="N60" s="1">
        <v>2656.83</v>
      </c>
    </row>
    <row r="61" spans="1:14" x14ac:dyDescent="0.25">
      <c r="K61" s="2"/>
      <c r="L61" s="2" t="s">
        <v>66</v>
      </c>
      <c r="M61" s="1">
        <v>1241680</v>
      </c>
      <c r="N61" s="1">
        <v>124126.54000000001</v>
      </c>
    </row>
  </sheetData>
  <mergeCells count="2">
    <mergeCell ref="A2:A49"/>
    <mergeCell ref="L6:M6"/>
  </mergeCells>
  <pageMargins left="0.7" right="0.7" top="0.75" bottom="0.75" header="0.3" footer="0.3"/>
  <pageSetup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64"/>
  <sheetViews>
    <sheetView topLeftCell="J1" workbookViewId="0">
      <pane ySplit="2" topLeftCell="A12" activePane="bottomLeft" state="frozen"/>
      <selection pane="bottomLeft" activeCell="V14" sqref="V14"/>
    </sheetView>
  </sheetViews>
  <sheetFormatPr defaultRowHeight="15" x14ac:dyDescent="0.25"/>
  <cols>
    <col min="1" max="1" width="2.85546875" customWidth="1"/>
    <col min="2" max="2" width="16.140625" customWidth="1"/>
    <col min="3" max="3" width="2.85546875" customWidth="1"/>
    <col min="4" max="4" width="22.28515625" bestFit="1" customWidth="1"/>
    <col min="5" max="5" width="21.42578125" bestFit="1" customWidth="1"/>
    <col min="6" max="6" width="18.5703125" customWidth="1"/>
    <col min="7" max="7" width="16.5703125" customWidth="1"/>
    <col min="8" max="8" width="22.5703125" customWidth="1"/>
    <col min="9" max="9" width="14.7109375" bestFit="1" customWidth="1"/>
    <col min="10" max="10" width="12.42578125" bestFit="1" customWidth="1"/>
    <col min="11" max="11" width="18.85546875" bestFit="1" customWidth="1"/>
    <col min="12" max="15" width="15.28515625" customWidth="1"/>
    <col min="16" max="16" width="22.7109375" bestFit="1" customWidth="1"/>
    <col min="17" max="17" width="25" bestFit="1" customWidth="1"/>
    <col min="18" max="18" width="29.140625" bestFit="1" customWidth="1"/>
    <col min="19" max="19" width="21.42578125" customWidth="1"/>
    <col min="20" max="20" width="16.28515625" bestFit="1" customWidth="1"/>
    <col min="21" max="21" width="16.5703125" bestFit="1" customWidth="1"/>
    <col min="22" max="22" width="11.5703125" bestFit="1" customWidth="1"/>
    <col min="23" max="23" width="10.5703125" customWidth="1"/>
    <col min="24" max="24" width="13.28515625" bestFit="1" customWidth="1"/>
    <col min="25" max="54" width="10.5703125" customWidth="1"/>
    <col min="55" max="64" width="11.5703125" customWidth="1"/>
    <col min="65" max="65" width="23.42578125" bestFit="1" customWidth="1"/>
    <col min="66" max="101" width="10.5703125" bestFit="1" customWidth="1"/>
    <col min="102" max="111" width="11.5703125" bestFit="1" customWidth="1"/>
    <col min="112" max="112" width="26.42578125" bestFit="1" customWidth="1"/>
    <col min="113" max="113" width="28.42578125" bestFit="1" customWidth="1"/>
  </cols>
  <sheetData>
    <row r="1" spans="1:29" x14ac:dyDescent="0.25">
      <c r="F1" t="s">
        <v>100</v>
      </c>
      <c r="G1" t="s">
        <v>101</v>
      </c>
    </row>
    <row r="2" spans="1:29" ht="15" customHeight="1" thickBot="1" x14ac:dyDescent="0.3">
      <c r="A2" s="26"/>
      <c r="B2" s="31"/>
      <c r="C2" s="30"/>
      <c r="D2" t="s">
        <v>64</v>
      </c>
      <c r="E2" t="s">
        <v>63</v>
      </c>
      <c r="F2" t="s">
        <v>62</v>
      </c>
      <c r="G2" t="s">
        <v>61</v>
      </c>
      <c r="H2" t="s">
        <v>60</v>
      </c>
      <c r="I2" t="s">
        <v>71</v>
      </c>
      <c r="J2" t="s">
        <v>59</v>
      </c>
      <c r="K2" t="s">
        <v>106</v>
      </c>
      <c r="L2" t="s">
        <v>107</v>
      </c>
      <c r="M2" t="s">
        <v>104</v>
      </c>
      <c r="N2" t="s">
        <v>108</v>
      </c>
      <c r="O2" t="s">
        <v>105</v>
      </c>
    </row>
    <row r="3" spans="1:29" ht="15" customHeight="1" thickBot="1" x14ac:dyDescent="0.3">
      <c r="A3" s="26"/>
      <c r="B3" s="700" t="s">
        <v>70</v>
      </c>
      <c r="C3" s="27"/>
      <c r="D3" s="306">
        <v>43042</v>
      </c>
      <c r="E3" s="306">
        <v>43073</v>
      </c>
      <c r="F3" s="5">
        <v>15917</v>
      </c>
      <c r="G3" s="4">
        <v>2797.07</v>
      </c>
      <c r="H3" s="3" t="s">
        <v>12</v>
      </c>
      <c r="I3" s="5">
        <v>513.45161290322585</v>
      </c>
      <c r="J3" s="4">
        <v>0.17572846641955142</v>
      </c>
      <c r="K3" s="176">
        <f>AHU1B_CHW[[#This Row],[Usage (Required)]]*3.51685</f>
        <v>55977.70145</v>
      </c>
      <c r="L3" s="176">
        <f>AHU1B_CHW[[#This Row],[Usage (Required)]]*12000</f>
        <v>191004000</v>
      </c>
      <c r="M3" s="302">
        <f>AHU1B_CHW[[#This Row],[End Date (Required)]]-AHU1B_CHW[[#This Row],[Start Date (Required)]]</f>
        <v>31</v>
      </c>
      <c r="N3" s="303">
        <f>AHU1B_CHW[[#This Row],[Demand kWh/mnth]]/(AHU1B_CHW[[#This Row],[Billing Period]]*24)</f>
        <v>75.238846034946235</v>
      </c>
      <c r="O3" s="304">
        <f>AHU1B_CHW[[#This Row],[(kBtu/h)/mnth]]/(AHU1B_CHW[[#This Row],[Billing Period]]*24)</f>
        <v>256725.80645161291</v>
      </c>
      <c r="P3" s="62"/>
    </row>
    <row r="4" spans="1:29" ht="15" customHeight="1" x14ac:dyDescent="0.25">
      <c r="A4" s="26"/>
      <c r="B4" s="701"/>
      <c r="C4" s="27"/>
      <c r="D4" s="306">
        <v>43009</v>
      </c>
      <c r="E4" s="306">
        <v>43042</v>
      </c>
      <c r="F4" s="5">
        <v>22337</v>
      </c>
      <c r="G4" s="4">
        <v>3921.21</v>
      </c>
      <c r="H4" s="3" t="s">
        <v>12</v>
      </c>
      <c r="I4" s="5">
        <v>676.87878787878788</v>
      </c>
      <c r="J4" s="4">
        <v>0.17554774589246541</v>
      </c>
      <c r="K4" s="176">
        <f>AHU1B_CHW[[#This Row],[Usage (Required)]]*3.51685</f>
        <v>78555.878449999989</v>
      </c>
      <c r="L4" s="176">
        <f>AHU1B_CHW[[#This Row],[Usage (Required)]]*12000</f>
        <v>268044000</v>
      </c>
      <c r="M4" s="64">
        <f>AHU1B_CHW[[#This Row],[End Date (Required)]]-AHU1B_CHW[[#This Row],[Start Date (Required)]]</f>
        <v>33</v>
      </c>
      <c r="N4" s="303">
        <f>AHU1B_CHW[[#This Row],[Demand kWh/mnth]]/(AHU1B_CHW[[#This Row],[Billing Period]]*24)</f>
        <v>99.186715214646455</v>
      </c>
      <c r="O4" s="304">
        <f>AHU1B_CHW[[#This Row],[(kBtu/h)/mnth]]/(AHU1B_CHW[[#This Row],[Billing Period]]*24)</f>
        <v>338439.39393939392</v>
      </c>
      <c r="P4" s="62"/>
      <c r="Q4" s="465" t="s">
        <v>57</v>
      </c>
      <c r="R4" s="256" t="s">
        <v>113</v>
      </c>
      <c r="S4" s="466" t="s">
        <v>109</v>
      </c>
      <c r="T4" s="466" t="s">
        <v>105</v>
      </c>
      <c r="U4" s="467" t="s">
        <v>364</v>
      </c>
    </row>
    <row r="5" spans="1:29" ht="15" customHeight="1" thickBot="1" x14ac:dyDescent="0.3">
      <c r="A5" s="26"/>
      <c r="B5" s="701"/>
      <c r="C5" s="27"/>
      <c r="D5" s="306">
        <v>42980</v>
      </c>
      <c r="E5" s="306">
        <v>43009</v>
      </c>
      <c r="F5" s="5">
        <v>37886</v>
      </c>
      <c r="G5" s="4">
        <v>6643.84</v>
      </c>
      <c r="H5" s="3" t="s">
        <v>12</v>
      </c>
      <c r="I5" s="5">
        <v>1306.4137931034484</v>
      </c>
      <c r="J5" s="4">
        <v>0.1753639866969329</v>
      </c>
      <c r="K5" s="176">
        <f>AHU1B_CHW[[#This Row],[Usage (Required)]]*3.51685</f>
        <v>133239.37909999999</v>
      </c>
      <c r="L5" s="176">
        <f>AHU1B_CHW[[#This Row],[Usage (Required)]]*12000</f>
        <v>454632000</v>
      </c>
      <c r="M5" s="64">
        <f>AHU1B_CHW[[#This Row],[End Date (Required)]]-AHU1B_CHW[[#This Row],[Start Date (Required)]]</f>
        <v>29</v>
      </c>
      <c r="N5" s="303">
        <f>AHU1B_CHW[[#This Row],[Demand kWh/mnth]]/(AHU1B_CHW[[#This Row],[Billing Period]]*24)</f>
        <v>191.43588951149425</v>
      </c>
      <c r="O5" s="304">
        <f>AHU1B_CHW[[#This Row],[(kBtu/h)/mnth]]/(AHU1B_CHW[[#This Row],[Billing Period]]*24)</f>
        <v>653206.89655172417</v>
      </c>
      <c r="P5" s="62"/>
      <c r="Q5" s="66">
        <f>SUM(G3:G14)</f>
        <v>56501.81</v>
      </c>
      <c r="R5" s="67">
        <f>SUM(F3:F14)</f>
        <v>348500</v>
      </c>
      <c r="S5" s="67">
        <f>SUM(K3:K14)</f>
        <v>1225622.2249999999</v>
      </c>
      <c r="T5" s="257">
        <f>SUM(O3:O14)</f>
        <v>5721772.4549794393</v>
      </c>
      <c r="U5" s="190">
        <f>SUM(G3:G14)+'[1] Elec Utility (kWh)'!L4</f>
        <v>170849.57</v>
      </c>
      <c r="X5" s="52"/>
    </row>
    <row r="6" spans="1:29" ht="15" customHeight="1" thickBot="1" x14ac:dyDescent="0.3">
      <c r="A6" s="26"/>
      <c r="B6" s="701"/>
      <c r="C6" s="27"/>
      <c r="D6" s="306">
        <v>42949</v>
      </c>
      <c r="E6" s="306">
        <v>42980</v>
      </c>
      <c r="F6" s="5">
        <v>42503</v>
      </c>
      <c r="G6" s="4">
        <v>7452.28</v>
      </c>
      <c r="H6" s="3" t="s">
        <v>12</v>
      </c>
      <c r="I6" s="5">
        <v>1371.0645161290322</v>
      </c>
      <c r="J6" s="4">
        <v>0.17533538809025245</v>
      </c>
      <c r="K6" s="176">
        <f>AHU1B_CHW[[#This Row],[Usage (Required)]]*3.51685</f>
        <v>149476.67554999999</v>
      </c>
      <c r="L6" s="176">
        <f>AHU1B_CHW[[#This Row],[Usage (Required)]]*12000</f>
        <v>510036000</v>
      </c>
      <c r="M6" s="64">
        <f>AHU1B_CHW[[#This Row],[End Date (Required)]]-AHU1B_CHW[[#This Row],[Start Date (Required)]]</f>
        <v>31</v>
      </c>
      <c r="N6" s="303">
        <f>AHU1B_CHW[[#This Row],[Demand kWh/mnth]]/(AHU1B_CHW[[#This Row],[Billing Period]]*24)</f>
        <v>200.90951014784943</v>
      </c>
      <c r="O6" s="304">
        <f>AHU1B_CHW[[#This Row],[(kBtu/h)/mnth]]/(AHU1B_CHW[[#This Row],[Billing Period]]*24)</f>
        <v>685532.25806451612</v>
      </c>
      <c r="P6" s="62"/>
      <c r="Q6" s="475"/>
      <c r="R6" s="365"/>
      <c r="S6" s="476" t="s">
        <v>114</v>
      </c>
      <c r="T6" s="365"/>
      <c r="U6" s="477"/>
      <c r="V6" s="478" t="s">
        <v>1294</v>
      </c>
      <c r="W6" s="329" t="s">
        <v>1295</v>
      </c>
    </row>
    <row r="7" spans="1:29" ht="15" customHeight="1" thickBot="1" x14ac:dyDescent="0.3">
      <c r="A7" s="26"/>
      <c r="B7" s="701"/>
      <c r="C7" s="27"/>
      <c r="D7" s="306">
        <v>42918</v>
      </c>
      <c r="E7" s="306">
        <v>42949</v>
      </c>
      <c r="F7" s="5">
        <v>42281</v>
      </c>
      <c r="G7" s="4">
        <v>7413.4</v>
      </c>
      <c r="H7" s="3" t="s">
        <v>12</v>
      </c>
      <c r="I7" s="5">
        <v>1363.9032258064517</v>
      </c>
      <c r="J7" s="4">
        <v>0.17533643953548875</v>
      </c>
      <c r="K7" s="176">
        <f>AHU1B_CHW[[#This Row],[Usage (Required)]]*3.51685</f>
        <v>148695.93484999999</v>
      </c>
      <c r="L7" s="176">
        <f>AHU1B_CHW[[#This Row],[Usage (Required)]]*12000</f>
        <v>507372000</v>
      </c>
      <c r="M7" s="64">
        <f>AHU1B_CHW[[#This Row],[End Date (Required)]]-AHU1B_CHW[[#This Row],[Start Date (Required)]]</f>
        <v>31</v>
      </c>
      <c r="N7" s="303">
        <f>AHU1B_CHW[[#This Row],[Demand kWh/mnth]]/(AHU1B_CHW[[#This Row],[Billing Period]]*24)</f>
        <v>199.86012748655912</v>
      </c>
      <c r="O7" s="304">
        <f>AHU1B_CHW[[#This Row],[(kBtu/h)/mnth]]/(AHU1B_CHW[[#This Row],[Billing Period]]*24)</f>
        <v>681951.61290322582</v>
      </c>
      <c r="P7" s="62"/>
      <c r="Q7" s="656" t="s">
        <v>54</v>
      </c>
      <c r="R7" s="657"/>
      <c r="S7" s="45" t="s">
        <v>1296</v>
      </c>
      <c r="T7" s="45" t="s">
        <v>1225</v>
      </c>
      <c r="U7" s="14" t="s">
        <v>105</v>
      </c>
      <c r="V7" s="479" t="s">
        <v>1297</v>
      </c>
      <c r="W7" s="480" t="s">
        <v>1298</v>
      </c>
      <c r="X7" s="51"/>
    </row>
    <row r="8" spans="1:29" ht="15" customHeight="1" thickBot="1" x14ac:dyDescent="0.3">
      <c r="A8" s="26"/>
      <c r="B8" s="702"/>
      <c r="C8" s="27"/>
      <c r="D8" s="306">
        <v>42888</v>
      </c>
      <c r="E8" s="306">
        <v>42918</v>
      </c>
      <c r="F8" s="5">
        <v>37397</v>
      </c>
      <c r="G8" s="4">
        <v>6558.21</v>
      </c>
      <c r="H8" s="3" t="s">
        <v>12</v>
      </c>
      <c r="I8" s="5">
        <v>1246.5666666666668</v>
      </c>
      <c r="J8" s="4">
        <v>0.17536727544990241</v>
      </c>
      <c r="K8" s="176">
        <f>AHU1B_CHW[[#This Row],[Usage (Required)]]*3.51685</f>
        <v>131519.63944999999</v>
      </c>
      <c r="L8" s="176">
        <f>AHU1B_CHW[[#This Row],[Usage (Required)]]*12000</f>
        <v>448764000</v>
      </c>
      <c r="M8" s="64">
        <f>AHU1B_CHW[[#This Row],[End Date (Required)]]-AHU1B_CHW[[#This Row],[Start Date (Required)]]</f>
        <v>30</v>
      </c>
      <c r="N8" s="303">
        <f>AHU1B_CHW[[#This Row],[Demand kWh/mnth]]/(AHU1B_CHW[[#This Row],[Billing Period]]*24)</f>
        <v>182.66616590277775</v>
      </c>
      <c r="O8" s="304">
        <f>AHU1B_CHW[[#This Row],[(kBtu/h)/mnth]]/(AHU1B_CHW[[#This Row],[Billing Period]]*24)</f>
        <v>623283.33333333337</v>
      </c>
      <c r="P8" s="62"/>
      <c r="Q8" s="703">
        <f>AVERAGE(J3:J14)</f>
        <v>0.16004997887542505</v>
      </c>
      <c r="R8" s="704"/>
      <c r="S8" s="67">
        <f>SUM(F3:F14)*0.78</f>
        <v>271830</v>
      </c>
      <c r="T8" s="67">
        <f>((S8*'[1]Schedule-Building Info'!N16)*0.825)/1000</f>
        <v>1227822.1312500001</v>
      </c>
      <c r="U8" s="364">
        <f>CONVERT(T8,"Wh","BTU")</f>
        <v>4189503.0121140052</v>
      </c>
      <c r="V8" s="481">
        <f>U8/'[1]Schedule-Building Info'!B6</f>
        <v>68.89610110532989</v>
      </c>
      <c r="W8" s="482">
        <v>68.8</v>
      </c>
      <c r="X8" s="35" t="s">
        <v>1239</v>
      </c>
    </row>
    <row r="9" spans="1:29" ht="15" customHeight="1" thickBot="1" x14ac:dyDescent="0.3">
      <c r="A9" s="26"/>
      <c r="B9" s="29"/>
      <c r="C9" s="27"/>
      <c r="D9" s="306">
        <v>42856</v>
      </c>
      <c r="E9" s="306">
        <v>42888</v>
      </c>
      <c r="F9" s="5">
        <v>35846</v>
      </c>
      <c r="G9" s="4">
        <v>5178.99</v>
      </c>
      <c r="H9" s="3" t="s">
        <v>12</v>
      </c>
      <c r="I9" s="5">
        <v>1120.1875</v>
      </c>
      <c r="J9" s="4">
        <v>0.14447888188361324</v>
      </c>
      <c r="K9" s="176">
        <f>AHU1B_CHW[[#This Row],[Usage (Required)]]*3.51685</f>
        <v>126065.00509999999</v>
      </c>
      <c r="L9" s="176">
        <f>AHU1B_CHW[[#This Row],[Usage (Required)]]*12000</f>
        <v>430152000</v>
      </c>
      <c r="M9" s="64">
        <f>AHU1B_CHW[[#This Row],[End Date (Required)]]-AHU1B_CHW[[#This Row],[Start Date (Required)]]</f>
        <v>32</v>
      </c>
      <c r="N9" s="303">
        <f>AHU1B_CHW[[#This Row],[Demand kWh/mnth]]/(AHU1B_CHW[[#This Row],[Billing Period]]*24)</f>
        <v>164.14714205729166</v>
      </c>
      <c r="O9" s="304">
        <f>AHU1B_CHW[[#This Row],[(kBtu/h)/mnth]]/(AHU1B_CHW[[#This Row],[Billing Period]]*24)</f>
        <v>560093.75</v>
      </c>
      <c r="P9" s="62"/>
      <c r="W9" s="482">
        <v>59.6</v>
      </c>
      <c r="X9" s="403" t="s">
        <v>1299</v>
      </c>
      <c r="AC9" s="239"/>
    </row>
    <row r="10" spans="1:29" ht="15" customHeight="1" thickBot="1" x14ac:dyDescent="0.3">
      <c r="A10" s="26"/>
      <c r="B10" s="28"/>
      <c r="C10" s="27"/>
      <c r="D10" s="306">
        <v>42827</v>
      </c>
      <c r="E10" s="306">
        <v>42856</v>
      </c>
      <c r="F10" s="5">
        <v>30205</v>
      </c>
      <c r="G10" s="4">
        <v>4365.5600000000004</v>
      </c>
      <c r="H10" s="3" t="s">
        <v>12</v>
      </c>
      <c r="I10" s="5">
        <v>1041.5517241379312</v>
      </c>
      <c r="J10" s="4">
        <v>0.14453103790763119</v>
      </c>
      <c r="K10" s="176">
        <f>AHU1B_CHW[[#This Row],[Usage (Required)]]*3.51685</f>
        <v>106226.45425</v>
      </c>
      <c r="L10" s="176">
        <f>AHU1B_CHW[[#This Row],[Usage (Required)]]*12000</f>
        <v>362460000</v>
      </c>
      <c r="M10" s="64">
        <f>AHU1B_CHW[[#This Row],[End Date (Required)]]-AHU1B_CHW[[#This Row],[Start Date (Required)]]</f>
        <v>29</v>
      </c>
      <c r="N10" s="303">
        <f>AHU1B_CHW[[#This Row],[Demand kWh/mnth]]/(AHU1B_CHW[[#This Row],[Billing Period]]*24)</f>
        <v>152.62421587643678</v>
      </c>
      <c r="O10" s="304">
        <f>AHU1B_CHW[[#This Row],[(kBtu/h)/mnth]]/(AHU1B_CHW[[#This Row],[Billing Period]]*24)</f>
        <v>520775.86206896551</v>
      </c>
      <c r="P10" s="62"/>
      <c r="Q10">
        <f>788+387</f>
        <v>1175</v>
      </c>
      <c r="R10" t="s">
        <v>408</v>
      </c>
      <c r="S10" s="254" t="s">
        <v>363</v>
      </c>
      <c r="W10" s="483">
        <f>W8/(SUM(W8,W9))</f>
        <v>0.53582554517133951</v>
      </c>
      <c r="X10" s="403" t="s">
        <v>1300</v>
      </c>
      <c r="AC10" s="239"/>
    </row>
    <row r="11" spans="1:29" ht="15" customHeight="1" thickBot="1" x14ac:dyDescent="0.3">
      <c r="A11" s="26"/>
      <c r="B11" s="700" t="s">
        <v>69</v>
      </c>
      <c r="C11" s="27"/>
      <c r="D11" s="306">
        <v>42795</v>
      </c>
      <c r="E11" s="306">
        <v>42827</v>
      </c>
      <c r="F11" s="5">
        <v>29515</v>
      </c>
      <c r="G11" s="4">
        <v>4266.0600000000004</v>
      </c>
      <c r="H11" s="3" t="s">
        <v>12</v>
      </c>
      <c r="I11" s="5">
        <v>922.34375</v>
      </c>
      <c r="J11" s="4">
        <v>0.14453870913095035</v>
      </c>
      <c r="K11" s="176">
        <f>AHU1B_CHW[[#This Row],[Usage (Required)]]*3.51685</f>
        <v>103799.82775</v>
      </c>
      <c r="L11" s="176">
        <f>AHU1B_CHW[[#This Row],[Usage (Required)]]*12000</f>
        <v>354180000</v>
      </c>
      <c r="M11" s="64">
        <f>AHU1B_CHW[[#This Row],[End Date (Required)]]-AHU1B_CHW[[#This Row],[Start Date (Required)]]</f>
        <v>32</v>
      </c>
      <c r="N11" s="303">
        <f>AHU1B_CHW[[#This Row],[Demand kWh/mnth]]/(AHU1B_CHW[[#This Row],[Billing Period]]*24)</f>
        <v>135.15602571614582</v>
      </c>
      <c r="O11" s="304">
        <f>AHU1B_CHW[[#This Row],[(kBtu/h)/mnth]]/(AHU1B_CHW[[#This Row],[Billing Period]]*24)</f>
        <v>461171.875</v>
      </c>
      <c r="P11" s="62" t="s">
        <v>409</v>
      </c>
      <c r="Q11" s="7">
        <f>(Q10*8760)</f>
        <v>10293000</v>
      </c>
      <c r="R11" t="s">
        <v>410</v>
      </c>
      <c r="S11" s="255">
        <f>U8+'[1] Elec Utility (kWh)'!J12</f>
        <v>7859943.7668697312</v>
      </c>
      <c r="W11" s="484">
        <f>W9/(SUM(W8:W9))</f>
        <v>0.46417445482866043</v>
      </c>
      <c r="X11" s="485" t="s">
        <v>1301</v>
      </c>
      <c r="AC11" s="239"/>
    </row>
    <row r="12" spans="1:29" ht="15" customHeight="1" x14ac:dyDescent="0.25">
      <c r="A12" s="26"/>
      <c r="B12" s="701"/>
      <c r="C12" s="27"/>
      <c r="D12" s="306">
        <v>42768</v>
      </c>
      <c r="E12" s="306">
        <v>42795</v>
      </c>
      <c r="F12" s="5">
        <v>25353</v>
      </c>
      <c r="G12" s="4">
        <v>3665.9</v>
      </c>
      <c r="H12" s="3" t="s">
        <v>12</v>
      </c>
      <c r="I12" s="5">
        <v>939</v>
      </c>
      <c r="J12" s="4">
        <v>0.14459432808740583</v>
      </c>
      <c r="K12" s="176">
        <f>AHU1B_CHW[[#This Row],[Usage (Required)]]*3.51685</f>
        <v>89162.698049999992</v>
      </c>
      <c r="L12" s="176">
        <f>AHU1B_CHW[[#This Row],[Usage (Required)]]*12000</f>
        <v>304236000</v>
      </c>
      <c r="M12" s="64">
        <f>AHU1B_CHW[[#This Row],[End Date (Required)]]-AHU1B_CHW[[#This Row],[Start Date (Required)]]</f>
        <v>27</v>
      </c>
      <c r="N12" s="303">
        <f>AHU1B_CHW[[#This Row],[Demand kWh/mnth]]/(AHU1B_CHW[[#This Row],[Billing Period]]*24)</f>
        <v>137.59675625</v>
      </c>
      <c r="O12" s="304">
        <f>AHU1B_CHW[[#This Row],[(kBtu/h)/mnth]]/(AHU1B_CHW[[#This Row],[Billing Period]]*24)</f>
        <v>469500</v>
      </c>
      <c r="P12" s="62"/>
      <c r="Q12" s="52"/>
      <c r="R12" s="240">
        <f>S11/Q11</f>
        <v>0.76362030184297403</v>
      </c>
      <c r="S12" s="51"/>
      <c r="T12" t="s">
        <v>1331</v>
      </c>
      <c r="V12">
        <f>19*0.78</f>
        <v>14.82</v>
      </c>
      <c r="X12" s="7"/>
      <c r="AC12" s="239"/>
    </row>
    <row r="13" spans="1:29" ht="15" customHeight="1" x14ac:dyDescent="0.25">
      <c r="A13" s="26"/>
      <c r="B13" s="701"/>
      <c r="C13" s="27"/>
      <c r="D13" s="306">
        <v>42738</v>
      </c>
      <c r="E13" s="306">
        <v>42768</v>
      </c>
      <c r="F13" s="5">
        <v>13348</v>
      </c>
      <c r="G13" s="4">
        <v>1934.78</v>
      </c>
      <c r="H13" s="3" t="s">
        <v>12</v>
      </c>
      <c r="I13" s="5">
        <v>444.93333333333334</v>
      </c>
      <c r="J13" s="4">
        <v>0.14494905603835781</v>
      </c>
      <c r="K13" s="176">
        <f>AHU1B_CHW[[#This Row],[Usage (Required)]]*3.51685</f>
        <v>46942.913799999995</v>
      </c>
      <c r="L13" s="176">
        <f>AHU1B_CHW[[#This Row],[Usage (Required)]]*12000</f>
        <v>160176000</v>
      </c>
      <c r="M13" s="64">
        <f>AHU1B_CHW[[#This Row],[End Date (Required)]]-AHU1B_CHW[[#This Row],[Start Date (Required)]]</f>
        <v>30</v>
      </c>
      <c r="N13" s="303">
        <f>AHU1B_CHW[[#This Row],[Demand kWh/mnth]]/(AHU1B_CHW[[#This Row],[Billing Period]]*24)</f>
        <v>65.198491388888883</v>
      </c>
      <c r="O13" s="304">
        <f>AHU1B_CHW[[#This Row],[(kBtu/h)/mnth]]/(AHU1B_CHW[[#This Row],[Billing Period]]*24)</f>
        <v>222466.66666666666</v>
      </c>
      <c r="P13" s="62"/>
      <c r="Q13" s="65"/>
      <c r="S13" s="51"/>
      <c r="T13" t="s">
        <v>1332</v>
      </c>
      <c r="V13" s="7">
        <f>V12*'Schedule-Building Info'!N12</f>
        <v>129823.2</v>
      </c>
      <c r="AC13" s="239"/>
    </row>
    <row r="14" spans="1:29" ht="15" customHeight="1" x14ac:dyDescent="0.25">
      <c r="A14" s="26"/>
      <c r="B14" s="701"/>
      <c r="C14" s="27"/>
      <c r="D14" s="306">
        <v>42706</v>
      </c>
      <c r="E14" s="306">
        <v>42738</v>
      </c>
      <c r="F14" s="5">
        <v>15912</v>
      </c>
      <c r="G14" s="4">
        <v>2304.5100000000002</v>
      </c>
      <c r="H14" s="3" t="s">
        <v>12</v>
      </c>
      <c r="I14" s="5">
        <v>497.25</v>
      </c>
      <c r="J14" s="4">
        <v>0.144828431372549</v>
      </c>
      <c r="K14" s="176">
        <f>AHU1B_CHW[[#This Row],[Usage (Required)]]*3.51685</f>
        <v>55960.117200000001</v>
      </c>
      <c r="L14" s="176">
        <f>AHU1B_CHW[[#This Row],[Usage (Required)]]*12000</f>
        <v>190944000</v>
      </c>
      <c r="M14" s="64">
        <f>AHU1B_CHW[[#This Row],[End Date (Required)]]-AHU1B_CHW[[#This Row],[Start Date (Required)]]</f>
        <v>32</v>
      </c>
      <c r="N14" s="303">
        <f>AHU1B_CHW[[#This Row],[Demand kWh/mnth]]/(AHU1B_CHW[[#This Row],[Billing Period]]*24)</f>
        <v>72.864735937500001</v>
      </c>
      <c r="O14" s="304">
        <f>AHU1B_CHW[[#This Row],[(kBtu/h)/mnth]]/(AHU1B_CHW[[#This Row],[Billing Period]]*24)</f>
        <v>248625</v>
      </c>
      <c r="P14" s="62"/>
      <c r="Q14" s="2"/>
      <c r="R14" s="52"/>
      <c r="S14" s="51"/>
      <c r="T14" t="s">
        <v>1333</v>
      </c>
      <c r="V14" s="240">
        <f>V13/T8</f>
        <v>0.10573453328116168</v>
      </c>
      <c r="AC14" s="239"/>
    </row>
    <row r="15" spans="1:29" ht="15" customHeight="1" x14ac:dyDescent="0.25">
      <c r="A15" s="26"/>
      <c r="B15" s="701"/>
      <c r="C15" s="27"/>
      <c r="D15" s="306">
        <v>42676</v>
      </c>
      <c r="E15" s="306">
        <v>42706</v>
      </c>
      <c r="F15" s="5">
        <v>13851</v>
      </c>
      <c r="G15" s="4">
        <v>2007.31</v>
      </c>
      <c r="H15" s="3" t="s">
        <v>12</v>
      </c>
      <c r="I15" s="5">
        <v>461.7</v>
      </c>
      <c r="J15" s="4">
        <v>0.1449216663056819</v>
      </c>
      <c r="K15" s="176">
        <f>AHU1B_CHW[[#This Row],[Usage (Required)]]*3.51685</f>
        <v>48711.889349999998</v>
      </c>
      <c r="L15" s="176">
        <f>AHU1B_CHW[[#This Row],[Usage (Required)]]*12000</f>
        <v>166212000</v>
      </c>
      <c r="M15" s="64">
        <f>AHU1B_CHW[[#This Row],[End Date (Required)]]-AHU1B_CHW[[#This Row],[Start Date (Required)]]</f>
        <v>30</v>
      </c>
      <c r="N15" s="303">
        <f>AHU1B_CHW[[#This Row],[Demand kWh/mnth]]/(AHU1B_CHW[[#This Row],[Billing Period]]*24)</f>
        <v>67.655401874999995</v>
      </c>
      <c r="O15" s="304">
        <f>AHU1B_CHW[[#This Row],[(kBtu/h)/mnth]]/(AHU1B_CHW[[#This Row],[Billing Period]]*24)</f>
        <v>230850</v>
      </c>
      <c r="P15" s="62"/>
      <c r="Q15" s="20" t="s">
        <v>65</v>
      </c>
      <c r="R15" t="s">
        <v>67</v>
      </c>
      <c r="S15" t="s">
        <v>68</v>
      </c>
      <c r="V15" s="51"/>
      <c r="AC15" s="239"/>
    </row>
    <row r="16" spans="1:29" ht="15" customHeight="1" x14ac:dyDescent="0.25">
      <c r="A16" s="26"/>
      <c r="B16" s="701"/>
      <c r="C16" s="27"/>
      <c r="D16" s="306">
        <v>42645</v>
      </c>
      <c r="E16" s="306">
        <v>42676</v>
      </c>
      <c r="F16" s="5">
        <v>20634</v>
      </c>
      <c r="G16" s="4">
        <v>2985.42</v>
      </c>
      <c r="H16" s="3" t="s">
        <v>12</v>
      </c>
      <c r="I16" s="5">
        <v>665.61290322580646</v>
      </c>
      <c r="J16" s="4">
        <v>0.14468450130851992</v>
      </c>
      <c r="K16" s="176">
        <f>AHU1B_CHW[[#This Row],[Usage (Required)]]*3.51685</f>
        <v>72566.6829</v>
      </c>
      <c r="L16" s="176">
        <f>AHU1B_CHW[[#This Row],[Usage (Required)]]*12000</f>
        <v>247608000</v>
      </c>
      <c r="M16" s="64">
        <f>AHU1B_CHW[[#This Row],[End Date (Required)]]-AHU1B_CHW[[#This Row],[Start Date (Required)]]</f>
        <v>31</v>
      </c>
      <c r="N16" s="303">
        <f>AHU1B_CHW[[#This Row],[Demand kWh/mnth]]/(AHU1B_CHW[[#This Row],[Billing Period]]*24)</f>
        <v>97.535864112903226</v>
      </c>
      <c r="O16" s="304">
        <f>AHU1B_CHW[[#This Row],[(kBtu/h)/mnth]]/(AHU1B_CHW[[#This Row],[Billing Period]]*24)</f>
        <v>332806.45161290321</v>
      </c>
      <c r="P16" s="62"/>
      <c r="Q16" s="2">
        <v>41675</v>
      </c>
      <c r="R16" s="1">
        <v>7795</v>
      </c>
      <c r="S16" s="1">
        <v>993.14</v>
      </c>
      <c r="AC16" s="239"/>
    </row>
    <row r="17" spans="1:29" ht="15" customHeight="1" x14ac:dyDescent="0.25">
      <c r="A17" s="26"/>
      <c r="B17" s="701"/>
      <c r="C17" s="27"/>
      <c r="D17" s="306">
        <v>42615</v>
      </c>
      <c r="E17" s="306">
        <v>42645</v>
      </c>
      <c r="F17" s="5">
        <v>42599</v>
      </c>
      <c r="G17" s="4">
        <v>6152.78</v>
      </c>
      <c r="H17" s="3" t="s">
        <v>12</v>
      </c>
      <c r="I17" s="5">
        <v>1419.9666666666667</v>
      </c>
      <c r="J17" s="4">
        <v>0.14443484588840111</v>
      </c>
      <c r="K17" s="176">
        <f>AHU1B_CHW[[#This Row],[Usage (Required)]]*3.51685</f>
        <v>149814.29314999998</v>
      </c>
      <c r="L17" s="176">
        <f>AHU1B_CHW[[#This Row],[Usage (Required)]]*12000</f>
        <v>511188000</v>
      </c>
      <c r="M17" s="64">
        <f>AHU1B_CHW[[#This Row],[End Date (Required)]]-AHU1B_CHW[[#This Row],[Start Date (Required)]]</f>
        <v>30</v>
      </c>
      <c r="N17" s="303">
        <f>AHU1B_CHW[[#This Row],[Demand kWh/mnth]]/(AHU1B_CHW[[#This Row],[Billing Period]]*24)</f>
        <v>208.07540715277776</v>
      </c>
      <c r="O17" s="304">
        <f>AHU1B_CHW[[#This Row],[(kBtu/h)/mnth]]/(AHU1B_CHW[[#This Row],[Billing Period]]*24)</f>
        <v>709983.33333333337</v>
      </c>
      <c r="P17" s="62"/>
      <c r="Q17" s="2">
        <v>41703</v>
      </c>
      <c r="R17" s="1">
        <v>7738</v>
      </c>
      <c r="S17" s="1">
        <v>986.24</v>
      </c>
      <c r="AC17" s="239"/>
    </row>
    <row r="18" spans="1:29" ht="15" customHeight="1" thickBot="1" x14ac:dyDescent="0.3">
      <c r="A18" s="26"/>
      <c r="B18" s="702"/>
      <c r="C18" s="27"/>
      <c r="D18" s="306">
        <v>42584</v>
      </c>
      <c r="E18" s="306">
        <v>42615</v>
      </c>
      <c r="F18" s="5">
        <v>44317</v>
      </c>
      <c r="G18" s="4">
        <v>6400.51</v>
      </c>
      <c r="H18" s="3" t="s">
        <v>12</v>
      </c>
      <c r="I18" s="5">
        <v>1429.5806451612902</v>
      </c>
      <c r="J18" s="4">
        <v>0.14442561545230947</v>
      </c>
      <c r="K18" s="176">
        <f>AHU1B_CHW[[#This Row],[Usage (Required)]]*3.51685</f>
        <v>155856.24145</v>
      </c>
      <c r="L18" s="176">
        <f>AHU1B_CHW[[#This Row],[Usage (Required)]]*12000</f>
        <v>531804000</v>
      </c>
      <c r="M18" s="64">
        <f>AHU1B_CHW[[#This Row],[End Date (Required)]]-AHU1B_CHW[[#This Row],[Start Date (Required)]]</f>
        <v>31</v>
      </c>
      <c r="N18" s="303">
        <f>AHU1B_CHW[[#This Row],[Demand kWh/mnth]]/(AHU1B_CHW[[#This Row],[Billing Period]]*24)</f>
        <v>209.48419549731182</v>
      </c>
      <c r="O18" s="304">
        <f>AHU1B_CHW[[#This Row],[(kBtu/h)/mnth]]/(AHU1B_CHW[[#This Row],[Billing Period]]*24)</f>
        <v>714790.32258064521</v>
      </c>
      <c r="P18" s="62"/>
      <c r="Q18" s="2">
        <v>41733</v>
      </c>
      <c r="R18" s="1">
        <v>8963</v>
      </c>
      <c r="S18" s="1">
        <v>1134.46</v>
      </c>
    </row>
    <row r="19" spans="1:29" ht="15" customHeight="1" x14ac:dyDescent="0.25">
      <c r="A19" s="26"/>
      <c r="B19" s="25"/>
      <c r="C19" s="24"/>
      <c r="D19" s="306">
        <v>42553</v>
      </c>
      <c r="E19" s="306">
        <v>42584</v>
      </c>
      <c r="F19" s="5">
        <v>45879</v>
      </c>
      <c r="G19" s="4">
        <v>6625.75</v>
      </c>
      <c r="H19" s="3" t="s">
        <v>12</v>
      </c>
      <c r="I19" s="5">
        <v>1479.9677419354839</v>
      </c>
      <c r="J19" s="4">
        <v>0.14441792541249809</v>
      </c>
      <c r="K19" s="176">
        <f>AHU1B_CHW[[#This Row],[Usage (Required)]]*3.51685</f>
        <v>161349.56114999999</v>
      </c>
      <c r="L19" s="176">
        <f>AHU1B_CHW[[#This Row],[Usage (Required)]]*12000</f>
        <v>550548000</v>
      </c>
      <c r="M19" s="64">
        <f>AHU1B_CHW[[#This Row],[End Date (Required)]]-AHU1B_CHW[[#This Row],[Start Date (Required)]]</f>
        <v>31</v>
      </c>
      <c r="N19" s="303">
        <f>AHU1B_CHW[[#This Row],[Demand kWh/mnth]]/(AHU1B_CHW[[#This Row],[Billing Period]]*24)</f>
        <v>216.86768971774194</v>
      </c>
      <c r="O19" s="304">
        <f>AHU1B_CHW[[#This Row],[(kBtu/h)/mnth]]/(AHU1B_CHW[[#This Row],[Billing Period]]*24)</f>
        <v>739983.87096774194</v>
      </c>
      <c r="P19" s="62"/>
      <c r="Q19" s="2">
        <v>41765</v>
      </c>
      <c r="R19" s="1">
        <v>10997</v>
      </c>
      <c r="S19" s="1">
        <v>1380.58</v>
      </c>
    </row>
    <row r="20" spans="1:29" ht="15" customHeight="1" x14ac:dyDescent="0.25">
      <c r="A20" s="26"/>
      <c r="B20" s="25"/>
      <c r="C20" s="24"/>
      <c r="D20" s="306">
        <v>42524</v>
      </c>
      <c r="E20" s="306">
        <v>42553</v>
      </c>
      <c r="F20" s="5">
        <v>35483</v>
      </c>
      <c r="G20" s="4">
        <v>5126.6499999999996</v>
      </c>
      <c r="H20" s="3" t="s">
        <v>12</v>
      </c>
      <c r="I20" s="5">
        <v>1223.5517241379312</v>
      </c>
      <c r="J20" s="4">
        <v>0.14448186455485723</v>
      </c>
      <c r="K20" s="176">
        <f>AHU1B_CHW[[#This Row],[Usage (Required)]]*3.51685</f>
        <v>124788.38854999999</v>
      </c>
      <c r="L20" s="176">
        <f>AHU1B_CHW[[#This Row],[Usage (Required)]]*12000</f>
        <v>425796000</v>
      </c>
      <c r="M20" s="64">
        <f>AHU1B_CHW[[#This Row],[End Date (Required)]]-AHU1B_CHW[[#This Row],[Start Date (Required)]]</f>
        <v>29</v>
      </c>
      <c r="N20" s="303">
        <f>AHU1B_CHW[[#This Row],[Demand kWh/mnth]]/(AHU1B_CHW[[#This Row],[Billing Period]]*24)</f>
        <v>179.29366170977011</v>
      </c>
      <c r="O20" s="304">
        <f>AHU1B_CHW[[#This Row],[(kBtu/h)/mnth]]/(AHU1B_CHW[[#This Row],[Billing Period]]*24)</f>
        <v>611775.86206896557</v>
      </c>
      <c r="P20" s="62"/>
      <c r="Q20" s="2">
        <v>41794</v>
      </c>
      <c r="R20" s="1">
        <v>9709</v>
      </c>
      <c r="S20" s="1">
        <v>1224.73</v>
      </c>
    </row>
    <row r="21" spans="1:29" ht="15" customHeight="1" x14ac:dyDescent="0.25">
      <c r="A21" s="26"/>
      <c r="B21" s="25"/>
      <c r="C21" s="24"/>
      <c r="D21" s="306">
        <v>42494</v>
      </c>
      <c r="E21" s="306">
        <v>42524</v>
      </c>
      <c r="F21" s="5">
        <v>39360</v>
      </c>
      <c r="G21" s="4">
        <v>4843.41</v>
      </c>
      <c r="H21" s="3" t="s">
        <v>12</v>
      </c>
      <c r="I21" s="5">
        <v>1312</v>
      </c>
      <c r="J21" s="4">
        <v>0.12305411585365852</v>
      </c>
      <c r="K21" s="176">
        <f>AHU1B_CHW[[#This Row],[Usage (Required)]]*3.51685</f>
        <v>138423.21599999999</v>
      </c>
      <c r="L21" s="176">
        <f>AHU1B_CHW[[#This Row],[Usage (Required)]]*12000</f>
        <v>472320000</v>
      </c>
      <c r="M21" s="64">
        <f>AHU1B_CHW[[#This Row],[End Date (Required)]]-AHU1B_CHW[[#This Row],[Start Date (Required)]]</f>
        <v>30</v>
      </c>
      <c r="N21" s="303">
        <f>AHU1B_CHW[[#This Row],[Demand kWh/mnth]]/(AHU1B_CHW[[#This Row],[Billing Period]]*24)</f>
        <v>192.25446666666664</v>
      </c>
      <c r="O21" s="304">
        <f>AHU1B_CHW[[#This Row],[(kBtu/h)/mnth]]/(AHU1B_CHW[[#This Row],[Billing Period]]*24)</f>
        <v>656000</v>
      </c>
      <c r="P21" s="62"/>
      <c r="Q21" s="2">
        <v>41823</v>
      </c>
      <c r="R21" s="1">
        <v>10642</v>
      </c>
      <c r="S21" s="1">
        <v>1337.62</v>
      </c>
    </row>
    <row r="22" spans="1:29" ht="15" customHeight="1" x14ac:dyDescent="0.25">
      <c r="A22" s="26"/>
      <c r="B22" s="25"/>
      <c r="C22" s="24"/>
      <c r="D22" s="306">
        <v>42466</v>
      </c>
      <c r="E22" s="306">
        <v>42494</v>
      </c>
      <c r="F22" s="5">
        <v>34860</v>
      </c>
      <c r="G22" s="4">
        <v>4290.8100000000004</v>
      </c>
      <c r="H22" s="3" t="s">
        <v>12</v>
      </c>
      <c r="I22" s="5">
        <v>1245</v>
      </c>
      <c r="J22" s="4">
        <v>0.12308691910499139</v>
      </c>
      <c r="K22" s="176">
        <f>AHU1B_CHW[[#This Row],[Usage (Required)]]*3.51685</f>
        <v>122597.39099999999</v>
      </c>
      <c r="L22" s="176">
        <f>AHU1B_CHW[[#This Row],[Usage (Required)]]*12000</f>
        <v>418320000</v>
      </c>
      <c r="M22" s="64">
        <f>AHU1B_CHW[[#This Row],[End Date (Required)]]-AHU1B_CHW[[#This Row],[Start Date (Required)]]</f>
        <v>28</v>
      </c>
      <c r="N22" s="303">
        <f>AHU1B_CHW[[#This Row],[Demand kWh/mnth]]/(AHU1B_CHW[[#This Row],[Billing Period]]*24)</f>
        <v>182.43659374999999</v>
      </c>
      <c r="O22" s="304">
        <f>AHU1B_CHW[[#This Row],[(kBtu/h)/mnth]]/(AHU1B_CHW[[#This Row],[Billing Period]]*24)</f>
        <v>622500</v>
      </c>
      <c r="P22" s="62"/>
      <c r="Q22" s="2">
        <v>41858</v>
      </c>
      <c r="R22" s="1">
        <v>13504</v>
      </c>
      <c r="S22" s="1">
        <v>1683.92</v>
      </c>
    </row>
    <row r="23" spans="1:29" ht="15" customHeight="1" x14ac:dyDescent="0.25">
      <c r="A23" s="26"/>
      <c r="B23" s="25"/>
      <c r="C23" s="24"/>
      <c r="D23" s="306">
        <v>42466</v>
      </c>
      <c r="E23" s="306">
        <v>42494</v>
      </c>
      <c r="F23" s="5">
        <v>-12251</v>
      </c>
      <c r="G23" s="4">
        <v>-1514.42</v>
      </c>
      <c r="H23" s="3" t="s">
        <v>12</v>
      </c>
      <c r="I23" s="5">
        <v>-437.53571428571433</v>
      </c>
      <c r="J23" s="4">
        <v>0.12361603134438004</v>
      </c>
      <c r="K23" s="176">
        <f>AHU1B_CHW[[#This Row],[Usage (Required)]]*3.51685</f>
        <v>-43084.929349999999</v>
      </c>
      <c r="L23" s="176">
        <f>AHU1B_CHW[[#This Row],[Usage (Required)]]*12000</f>
        <v>-147012000</v>
      </c>
      <c r="M23" s="64">
        <f>AHU1B_CHW[[#This Row],[End Date (Required)]]-AHU1B_CHW[[#This Row],[Start Date (Required)]]</f>
        <v>28</v>
      </c>
      <c r="N23" s="303">
        <f>AHU1B_CHW[[#This Row],[Demand kWh/mnth]]/(AHU1B_CHW[[#This Row],[Billing Period]]*24)</f>
        <v>-64.114478199404758</v>
      </c>
      <c r="O23" s="304">
        <f>AHU1B_CHW[[#This Row],[(kBtu/h)/mnth]]/(AHU1B_CHW[[#This Row],[Billing Period]]*24)</f>
        <v>-218767.85714285713</v>
      </c>
      <c r="P23" s="62"/>
      <c r="Q23" s="2">
        <v>41887</v>
      </c>
      <c r="R23" s="1">
        <v>9892</v>
      </c>
      <c r="S23" s="1">
        <v>1246.8699999999999</v>
      </c>
    </row>
    <row r="24" spans="1:29" ht="15" customHeight="1" x14ac:dyDescent="0.25">
      <c r="A24" s="26"/>
      <c r="B24" s="25"/>
      <c r="C24" s="24"/>
      <c r="D24" s="306">
        <v>42466</v>
      </c>
      <c r="E24" s="306">
        <v>42494</v>
      </c>
      <c r="F24" s="5">
        <v>12251</v>
      </c>
      <c r="G24" s="4">
        <v>1514.42</v>
      </c>
      <c r="H24" s="3" t="s">
        <v>12</v>
      </c>
      <c r="I24" s="5">
        <v>437.53571428571433</v>
      </c>
      <c r="J24" s="4">
        <v>0.12361603134438004</v>
      </c>
      <c r="K24" s="176">
        <f>AHU1B_CHW[[#This Row],[Usage (Required)]]*3.51685</f>
        <v>43084.929349999999</v>
      </c>
      <c r="L24" s="176">
        <f>AHU1B_CHW[[#This Row],[Usage (Required)]]*12000</f>
        <v>147012000</v>
      </c>
      <c r="M24" s="64">
        <f>AHU1B_CHW[[#This Row],[End Date (Required)]]-AHU1B_CHW[[#This Row],[Start Date (Required)]]</f>
        <v>28</v>
      </c>
      <c r="N24" s="303">
        <f>AHU1B_CHW[[#This Row],[Demand kWh/mnth]]/(AHU1B_CHW[[#This Row],[Billing Period]]*24)</f>
        <v>64.114478199404758</v>
      </c>
      <c r="O24" s="304">
        <f>AHU1B_CHW[[#This Row],[(kBtu/h)/mnth]]/(AHU1B_CHW[[#This Row],[Billing Period]]*24)</f>
        <v>218767.85714285713</v>
      </c>
      <c r="P24" s="62"/>
      <c r="Q24" s="2">
        <v>41918</v>
      </c>
      <c r="R24" s="1">
        <v>10139</v>
      </c>
      <c r="S24" s="1">
        <v>1276.76</v>
      </c>
    </row>
    <row r="25" spans="1:29" ht="15" customHeight="1" x14ac:dyDescent="0.25">
      <c r="A25" s="26"/>
      <c r="B25" s="25"/>
      <c r="C25" s="24"/>
      <c r="D25" s="306">
        <v>42433</v>
      </c>
      <c r="E25" s="306">
        <v>42466</v>
      </c>
      <c r="F25" s="5">
        <v>35970</v>
      </c>
      <c r="G25" s="4">
        <v>4427.12</v>
      </c>
      <c r="H25" s="3" t="s">
        <v>12</v>
      </c>
      <c r="I25" s="5">
        <v>1090</v>
      </c>
      <c r="J25" s="4">
        <v>0.1230781206561023</v>
      </c>
      <c r="K25" s="176">
        <f>AHU1B_CHW[[#This Row],[Usage (Required)]]*3.51685</f>
        <v>126501.09449999999</v>
      </c>
      <c r="L25" s="176">
        <f>AHU1B_CHW[[#This Row],[Usage (Required)]]*12000</f>
        <v>431640000</v>
      </c>
      <c r="M25" s="64">
        <f>AHU1B_CHW[[#This Row],[End Date (Required)]]-AHU1B_CHW[[#This Row],[Start Date (Required)]]</f>
        <v>33</v>
      </c>
      <c r="N25" s="303">
        <f>AHU1B_CHW[[#This Row],[Demand kWh/mnth]]/(AHU1B_CHW[[#This Row],[Billing Period]]*24)</f>
        <v>159.72360416666666</v>
      </c>
      <c r="O25" s="304">
        <f>AHU1B_CHW[[#This Row],[(kBtu/h)/mnth]]/(AHU1B_CHW[[#This Row],[Billing Period]]*24)</f>
        <v>545000</v>
      </c>
      <c r="P25" s="62"/>
      <c r="Q25" s="2">
        <v>41949</v>
      </c>
      <c r="R25" s="1">
        <v>8544</v>
      </c>
      <c r="S25" s="1">
        <v>1083.76</v>
      </c>
    </row>
    <row r="26" spans="1:29" ht="15" customHeight="1" x14ac:dyDescent="0.25">
      <c r="A26" s="26"/>
      <c r="B26" s="25"/>
      <c r="C26" s="24"/>
      <c r="D26" s="306">
        <v>42433</v>
      </c>
      <c r="E26" s="306">
        <v>42466</v>
      </c>
      <c r="F26" s="5">
        <v>13772</v>
      </c>
      <c r="G26" s="4">
        <v>1701.2</v>
      </c>
      <c r="H26" s="3" t="s">
        <v>12</v>
      </c>
      <c r="I26" s="5">
        <v>417.33333333333337</v>
      </c>
      <c r="J26" s="4">
        <v>0.12352599477200116</v>
      </c>
      <c r="K26" s="176">
        <f>AHU1B_CHW[[#This Row],[Usage (Required)]]*3.51685</f>
        <v>48434.058199999999</v>
      </c>
      <c r="L26" s="176">
        <f>AHU1B_CHW[[#This Row],[Usage (Required)]]*12000</f>
        <v>165264000</v>
      </c>
      <c r="M26" s="64">
        <f>AHU1B_CHW[[#This Row],[End Date (Required)]]-AHU1B_CHW[[#This Row],[Start Date (Required)]]</f>
        <v>33</v>
      </c>
      <c r="N26" s="303">
        <f>AHU1B_CHW[[#This Row],[Demand kWh/mnth]]/(AHU1B_CHW[[#This Row],[Billing Period]]*24)</f>
        <v>61.154113888888887</v>
      </c>
      <c r="O26" s="304">
        <f>AHU1B_CHW[[#This Row],[(kBtu/h)/mnth]]/(AHU1B_CHW[[#This Row],[Billing Period]]*24)</f>
        <v>208666.66666666666</v>
      </c>
      <c r="P26" s="62"/>
      <c r="Q26" s="2">
        <v>41978</v>
      </c>
      <c r="R26" s="1">
        <v>7417</v>
      </c>
      <c r="S26" s="1">
        <v>947.4</v>
      </c>
    </row>
    <row r="27" spans="1:29" ht="15" customHeight="1" x14ac:dyDescent="0.25">
      <c r="A27" s="26"/>
      <c r="B27" s="25"/>
      <c r="C27" s="24"/>
      <c r="D27" s="306">
        <v>42433</v>
      </c>
      <c r="E27" s="306">
        <v>42466</v>
      </c>
      <c r="F27" s="5">
        <v>-13772</v>
      </c>
      <c r="G27" s="4">
        <v>-1701.2</v>
      </c>
      <c r="H27" s="3" t="s">
        <v>12</v>
      </c>
      <c r="I27" s="5">
        <v>-417.33333333333337</v>
      </c>
      <c r="J27" s="4">
        <v>0.12352599477200116</v>
      </c>
      <c r="K27" s="176">
        <f>AHU1B_CHW[[#This Row],[Usage (Required)]]*3.51685</f>
        <v>-48434.058199999999</v>
      </c>
      <c r="L27" s="176">
        <f>AHU1B_CHW[[#This Row],[Usage (Required)]]*12000</f>
        <v>-165264000</v>
      </c>
      <c r="M27" s="64">
        <f>AHU1B_CHW[[#This Row],[End Date (Required)]]-AHU1B_CHW[[#This Row],[Start Date (Required)]]</f>
        <v>33</v>
      </c>
      <c r="N27" s="303">
        <f>AHU1B_CHW[[#This Row],[Demand kWh/mnth]]/(AHU1B_CHW[[#This Row],[Billing Period]]*24)</f>
        <v>-61.154113888888887</v>
      </c>
      <c r="O27" s="304">
        <f>AHU1B_CHW[[#This Row],[(kBtu/h)/mnth]]/(AHU1B_CHW[[#This Row],[Billing Period]]*24)</f>
        <v>-208666.66666666666</v>
      </c>
      <c r="P27" s="62"/>
      <c r="Q27" s="2">
        <v>42012</v>
      </c>
      <c r="R27" s="1">
        <v>8621</v>
      </c>
      <c r="S27" s="1">
        <v>1093.08</v>
      </c>
    </row>
    <row r="28" spans="1:29" ht="15" customHeight="1" x14ac:dyDescent="0.25">
      <c r="A28" s="26"/>
      <c r="B28" s="25"/>
      <c r="C28" s="24"/>
      <c r="D28" s="306">
        <v>42404</v>
      </c>
      <c r="E28" s="306">
        <v>42433</v>
      </c>
      <c r="F28" s="5">
        <v>27376</v>
      </c>
      <c r="G28" s="4">
        <v>3371.77</v>
      </c>
      <c r="H28" s="3" t="s">
        <v>12</v>
      </c>
      <c r="I28" s="5">
        <v>944</v>
      </c>
      <c r="J28" s="4">
        <v>0.12316518118059613</v>
      </c>
      <c r="K28" s="176">
        <f>AHU1B_CHW[[#This Row],[Usage (Required)]]*3.51685</f>
        <v>96277.285599999988</v>
      </c>
      <c r="L28" s="176">
        <f>AHU1B_CHW[[#This Row],[Usage (Required)]]*12000</f>
        <v>328512000</v>
      </c>
      <c r="M28" s="64">
        <f>AHU1B_CHW[[#This Row],[End Date (Required)]]-AHU1B_CHW[[#This Row],[Start Date (Required)]]</f>
        <v>29</v>
      </c>
      <c r="N28" s="303">
        <f>AHU1B_CHW[[#This Row],[Demand kWh/mnth]]/(AHU1B_CHW[[#This Row],[Billing Period]]*24)</f>
        <v>138.32943333333333</v>
      </c>
      <c r="O28" s="304">
        <f>AHU1B_CHW[[#This Row],[(kBtu/h)/mnth]]/(AHU1B_CHW[[#This Row],[Billing Period]]*24)</f>
        <v>472000</v>
      </c>
      <c r="P28" s="62"/>
      <c r="Q28" s="2">
        <v>42041</v>
      </c>
      <c r="R28" s="1">
        <v>6479</v>
      </c>
      <c r="S28" s="1">
        <v>833.9</v>
      </c>
    </row>
    <row r="29" spans="1:29" ht="15" customHeight="1" x14ac:dyDescent="0.25">
      <c r="A29" s="26"/>
      <c r="B29" s="25"/>
      <c r="C29" s="24"/>
      <c r="D29" s="306">
        <v>42404</v>
      </c>
      <c r="E29" s="306">
        <v>42433</v>
      </c>
      <c r="F29" s="5">
        <v>-11772</v>
      </c>
      <c r="G29" s="4">
        <v>-1455.6</v>
      </c>
      <c r="H29" s="3" t="s">
        <v>12</v>
      </c>
      <c r="I29" s="5">
        <v>-405.93103448275861</v>
      </c>
      <c r="J29" s="4">
        <v>0.1236493374108053</v>
      </c>
      <c r="K29" s="176">
        <f>AHU1B_CHW[[#This Row],[Usage (Required)]]*3.51685</f>
        <v>-41400.358199999995</v>
      </c>
      <c r="L29" s="176">
        <f>AHU1B_CHW[[#This Row],[Usage (Required)]]*12000</f>
        <v>-141264000</v>
      </c>
      <c r="M29" s="64">
        <f>AHU1B_CHW[[#This Row],[End Date (Required)]]-AHU1B_CHW[[#This Row],[Start Date (Required)]]</f>
        <v>29</v>
      </c>
      <c r="N29" s="303">
        <f>AHU1B_CHW[[#This Row],[Demand kWh/mnth]]/(AHU1B_CHW[[#This Row],[Billing Period]]*24)</f>
        <v>-59.483273275862061</v>
      </c>
      <c r="O29" s="304">
        <f>AHU1B_CHW[[#This Row],[(kBtu/h)/mnth]]/(AHU1B_CHW[[#This Row],[Billing Period]]*24)</f>
        <v>-202965.5172413793</v>
      </c>
      <c r="P29" s="62"/>
      <c r="Q29" s="2">
        <v>42068</v>
      </c>
      <c r="R29" s="1">
        <v>5993</v>
      </c>
      <c r="S29" s="1">
        <v>775.09</v>
      </c>
    </row>
    <row r="30" spans="1:29" ht="15" customHeight="1" x14ac:dyDescent="0.25">
      <c r="A30" s="26"/>
      <c r="B30" s="25"/>
      <c r="C30" s="24"/>
      <c r="D30" s="306">
        <v>42404</v>
      </c>
      <c r="E30" s="306">
        <v>42433</v>
      </c>
      <c r="F30" s="5">
        <v>11772</v>
      </c>
      <c r="G30" s="4">
        <v>1455.6</v>
      </c>
      <c r="H30" s="3" t="s">
        <v>12</v>
      </c>
      <c r="I30" s="5">
        <v>405.93103448275861</v>
      </c>
      <c r="J30" s="4">
        <v>0.1236493374108053</v>
      </c>
      <c r="K30" s="176">
        <f>AHU1B_CHW[[#This Row],[Usage (Required)]]*3.51685</f>
        <v>41400.358199999995</v>
      </c>
      <c r="L30" s="176">
        <f>AHU1B_CHW[[#This Row],[Usage (Required)]]*12000</f>
        <v>141264000</v>
      </c>
      <c r="M30" s="64">
        <f>AHU1B_CHW[[#This Row],[End Date (Required)]]-AHU1B_CHW[[#This Row],[Start Date (Required)]]</f>
        <v>29</v>
      </c>
      <c r="N30" s="303">
        <f>AHU1B_CHW[[#This Row],[Demand kWh/mnth]]/(AHU1B_CHW[[#This Row],[Billing Period]]*24)</f>
        <v>59.483273275862061</v>
      </c>
      <c r="O30" s="304">
        <f>AHU1B_CHW[[#This Row],[(kBtu/h)/mnth]]/(AHU1B_CHW[[#This Row],[Billing Period]]*24)</f>
        <v>202965.5172413793</v>
      </c>
      <c r="P30" s="62"/>
      <c r="Q30" s="2">
        <v>42102</v>
      </c>
      <c r="R30" s="1">
        <v>7791</v>
      </c>
      <c r="S30" s="1">
        <v>992.65</v>
      </c>
    </row>
    <row r="31" spans="1:29" ht="15" customHeight="1" x14ac:dyDescent="0.25">
      <c r="A31" s="26"/>
      <c r="B31" s="25"/>
      <c r="C31" s="24"/>
      <c r="D31" s="306">
        <v>42372</v>
      </c>
      <c r="E31" s="306">
        <v>42404</v>
      </c>
      <c r="F31" s="5">
        <v>19519</v>
      </c>
      <c r="G31" s="4">
        <v>2406.9299999999998</v>
      </c>
      <c r="H31" s="3" t="s">
        <v>12</v>
      </c>
      <c r="I31" s="5">
        <v>609.96875</v>
      </c>
      <c r="J31" s="4">
        <v>0.12331215738511193</v>
      </c>
      <c r="K31" s="176">
        <f>AHU1B_CHW[[#This Row],[Usage (Required)]]*3.51685</f>
        <v>68645.395149999997</v>
      </c>
      <c r="L31" s="176">
        <f>AHU1B_CHW[[#This Row],[Usage (Required)]]*12000</f>
        <v>234228000</v>
      </c>
      <c r="M31" s="64">
        <f>AHU1B_CHW[[#This Row],[End Date (Required)]]-AHU1B_CHW[[#This Row],[Start Date (Required)]]</f>
        <v>32</v>
      </c>
      <c r="N31" s="303">
        <f>AHU1B_CHW[[#This Row],[Demand kWh/mnth]]/(AHU1B_CHW[[#This Row],[Billing Period]]*24)</f>
        <v>89.382024934895824</v>
      </c>
      <c r="O31" s="304">
        <f>AHU1B_CHW[[#This Row],[(kBtu/h)/mnth]]/(AHU1B_CHW[[#This Row],[Billing Period]]*24)</f>
        <v>304984.375</v>
      </c>
      <c r="P31" s="62"/>
      <c r="Q31" s="2">
        <v>42121</v>
      </c>
      <c r="R31" s="1">
        <v>5301</v>
      </c>
      <c r="S31" s="1">
        <v>691.36</v>
      </c>
    </row>
    <row r="32" spans="1:29" ht="15" customHeight="1" x14ac:dyDescent="0.25">
      <c r="A32" s="26"/>
      <c r="B32" s="25"/>
      <c r="C32" s="24"/>
      <c r="D32" s="306">
        <v>42342</v>
      </c>
      <c r="E32" s="306">
        <v>42372</v>
      </c>
      <c r="F32" s="5">
        <v>28287</v>
      </c>
      <c r="G32" s="4">
        <v>3501.73</v>
      </c>
      <c r="H32" s="3" t="s">
        <v>12</v>
      </c>
      <c r="I32" s="5">
        <v>942.9</v>
      </c>
      <c r="J32" s="4">
        <v>0.12379290840315341</v>
      </c>
      <c r="K32" s="176">
        <f>AHU1B_CHW[[#This Row],[Usage (Required)]]*3.51685</f>
        <v>99481.135949999996</v>
      </c>
      <c r="L32" s="176">
        <f>AHU1B_CHW[[#This Row],[Usage (Required)]]*12000</f>
        <v>339444000</v>
      </c>
      <c r="M32" s="64">
        <f>AHU1B_CHW[[#This Row],[End Date (Required)]]-AHU1B_CHW[[#This Row],[Start Date (Required)]]</f>
        <v>30</v>
      </c>
      <c r="N32" s="303">
        <f>AHU1B_CHW[[#This Row],[Demand kWh/mnth]]/(AHU1B_CHW[[#This Row],[Billing Period]]*24)</f>
        <v>138.168244375</v>
      </c>
      <c r="O32" s="304">
        <f>AHU1B_CHW[[#This Row],[(kBtu/h)/mnth]]/(AHU1B_CHW[[#This Row],[Billing Period]]*24)</f>
        <v>471450</v>
      </c>
      <c r="P32" s="62"/>
      <c r="Q32" s="2">
        <v>42130</v>
      </c>
      <c r="R32" s="1">
        <v>2669</v>
      </c>
      <c r="S32" s="1">
        <v>322.95</v>
      </c>
    </row>
    <row r="33" spans="1:19" ht="15" customHeight="1" x14ac:dyDescent="0.25">
      <c r="A33" s="26"/>
      <c r="B33" s="25"/>
      <c r="C33" s="24"/>
      <c r="D33" s="306">
        <v>42311</v>
      </c>
      <c r="E33" s="306">
        <v>42342</v>
      </c>
      <c r="F33" s="5">
        <v>32699</v>
      </c>
      <c r="G33" s="4">
        <v>4035.58</v>
      </c>
      <c r="H33" s="3" t="s">
        <v>12</v>
      </c>
      <c r="I33" s="5">
        <v>1054.8064516129032</v>
      </c>
      <c r="J33" s="4">
        <v>0.1234160066057066</v>
      </c>
      <c r="K33" s="176">
        <f>AHU1B_CHW[[#This Row],[Usage (Required)]]*3.51685</f>
        <v>114997.47815</v>
      </c>
      <c r="L33" s="176">
        <f>AHU1B_CHW[[#This Row],[Usage (Required)]]*12000</f>
        <v>392388000</v>
      </c>
      <c r="M33" s="64">
        <f>AHU1B_CHW[[#This Row],[End Date (Required)]]-AHU1B_CHW[[#This Row],[Start Date (Required)]]</f>
        <v>31</v>
      </c>
      <c r="N33" s="303">
        <f>AHU1B_CHW[[#This Row],[Demand kWh/mnth]]/(AHU1B_CHW[[#This Row],[Billing Period]]*24)</f>
        <v>154.56650288978494</v>
      </c>
      <c r="O33" s="304">
        <f>AHU1B_CHW[[#This Row],[(kBtu/h)/mnth]]/(AHU1B_CHW[[#This Row],[Billing Period]]*24)</f>
        <v>527403.22580645164</v>
      </c>
      <c r="P33" s="62"/>
      <c r="Q33" s="2">
        <v>42163</v>
      </c>
      <c r="R33" s="1">
        <v>9557</v>
      </c>
      <c r="S33" s="1">
        <v>1206.3399999999999</v>
      </c>
    </row>
    <row r="34" spans="1:19" ht="15" customHeight="1" x14ac:dyDescent="0.25">
      <c r="A34" s="26"/>
      <c r="B34" s="25"/>
      <c r="C34" s="24"/>
      <c r="D34" s="306">
        <v>42281</v>
      </c>
      <c r="E34" s="306">
        <v>42311</v>
      </c>
      <c r="F34" s="5">
        <v>37922</v>
      </c>
      <c r="G34" s="4">
        <v>4667.5600000000004</v>
      </c>
      <c r="H34" s="3" t="s">
        <v>12</v>
      </c>
      <c r="I34" s="5">
        <v>1264.0666666666668</v>
      </c>
      <c r="J34" s="4">
        <v>0.12308317071884393</v>
      </c>
      <c r="K34" s="176">
        <f>AHU1B_CHW[[#This Row],[Usage (Required)]]*3.51685</f>
        <v>133365.98569999999</v>
      </c>
      <c r="L34" s="176">
        <f>AHU1B_CHW[[#This Row],[Usage (Required)]]*12000</f>
        <v>455064000</v>
      </c>
      <c r="M34" s="64">
        <f>AHU1B_CHW[[#This Row],[End Date (Required)]]-AHU1B_CHW[[#This Row],[Start Date (Required)]]</f>
        <v>30</v>
      </c>
      <c r="N34" s="303">
        <f>AHU1B_CHW[[#This Row],[Demand kWh/mnth]]/(AHU1B_CHW[[#This Row],[Billing Period]]*24)</f>
        <v>185.23053569444443</v>
      </c>
      <c r="O34" s="304">
        <f>AHU1B_CHW[[#This Row],[(kBtu/h)/mnth]]/(AHU1B_CHW[[#This Row],[Billing Period]]*24)</f>
        <v>632033.33333333337</v>
      </c>
      <c r="P34" s="62"/>
      <c r="Q34" s="2">
        <v>42193</v>
      </c>
      <c r="R34" s="1">
        <v>9543</v>
      </c>
      <c r="S34" s="1">
        <v>1204.6400000000001</v>
      </c>
    </row>
    <row r="35" spans="1:19" ht="15" customHeight="1" x14ac:dyDescent="0.25">
      <c r="A35" s="26"/>
      <c r="B35" s="25"/>
      <c r="C35" s="24"/>
      <c r="D35" s="306">
        <v>42250</v>
      </c>
      <c r="E35" s="306">
        <v>42281</v>
      </c>
      <c r="F35" s="5">
        <v>49124</v>
      </c>
      <c r="G35" s="4">
        <v>6023</v>
      </c>
      <c r="H35" s="3" t="s">
        <v>12</v>
      </c>
      <c r="I35" s="5">
        <v>1584.6451612903224</v>
      </c>
      <c r="J35" s="4">
        <v>0.12260809380343619</v>
      </c>
      <c r="K35" s="176">
        <f>AHU1B_CHW[[#This Row],[Usage (Required)]]*3.51685</f>
        <v>172761.73939999999</v>
      </c>
      <c r="L35" s="176">
        <f>AHU1B_CHW[[#This Row],[Usage (Required)]]*12000</f>
        <v>589488000</v>
      </c>
      <c r="M35" s="64">
        <f>AHU1B_CHW[[#This Row],[End Date (Required)]]-AHU1B_CHW[[#This Row],[Start Date (Required)]]</f>
        <v>31</v>
      </c>
      <c r="N35" s="303">
        <f>AHU1B_CHW[[#This Row],[Demand kWh/mnth]]/(AHU1B_CHW[[#This Row],[Billing Period]]*24)</f>
        <v>232.20663897849462</v>
      </c>
      <c r="O35" s="304">
        <f>AHU1B_CHW[[#This Row],[(kBtu/h)/mnth]]/(AHU1B_CHW[[#This Row],[Billing Period]]*24)</f>
        <v>792322.58064516133</v>
      </c>
      <c r="P35" s="62"/>
      <c r="Q35" s="2">
        <v>42220</v>
      </c>
      <c r="R35" s="1">
        <v>8981</v>
      </c>
      <c r="S35" s="1">
        <v>1165.7</v>
      </c>
    </row>
    <row r="36" spans="1:19" ht="15" customHeight="1" x14ac:dyDescent="0.25">
      <c r="A36" s="26"/>
      <c r="B36" s="25"/>
      <c r="C36" s="24"/>
      <c r="D36" s="306">
        <v>42220</v>
      </c>
      <c r="E36" s="306">
        <v>42250</v>
      </c>
      <c r="F36" s="5">
        <v>48814</v>
      </c>
      <c r="G36" s="4">
        <v>5985.49</v>
      </c>
      <c r="H36" s="3" t="s">
        <v>12</v>
      </c>
      <c r="I36" s="5">
        <v>1627.1333333333334</v>
      </c>
      <c r="J36" s="4">
        <v>0.12261830622362437</v>
      </c>
      <c r="K36" s="176">
        <f>AHU1B_CHW[[#This Row],[Usage (Required)]]*3.51685</f>
        <v>171671.5159</v>
      </c>
      <c r="L36" s="176">
        <f>AHU1B_CHW[[#This Row],[Usage (Required)]]*12000</f>
        <v>585768000</v>
      </c>
      <c r="M36" s="64">
        <f>AHU1B_CHW[[#This Row],[End Date (Required)]]-AHU1B_CHW[[#This Row],[Start Date (Required)]]</f>
        <v>30</v>
      </c>
      <c r="N36" s="303">
        <f>AHU1B_CHW[[#This Row],[Demand kWh/mnth]]/(AHU1B_CHW[[#This Row],[Billing Period]]*24)</f>
        <v>238.43266097222221</v>
      </c>
      <c r="O36" s="304">
        <f>AHU1B_CHW[[#This Row],[(kBtu/h)/mnth]]/(AHU1B_CHW[[#This Row],[Billing Period]]*24)</f>
        <v>813566.66666666663</v>
      </c>
      <c r="P36" s="62"/>
      <c r="Q36" s="2">
        <v>42251</v>
      </c>
      <c r="R36" s="1">
        <v>10407</v>
      </c>
      <c r="S36" s="1">
        <v>1338.25</v>
      </c>
    </row>
    <row r="37" spans="1:19" ht="15" customHeight="1" x14ac:dyDescent="0.25">
      <c r="A37" s="26"/>
      <c r="B37" s="25"/>
      <c r="C37" s="24"/>
      <c r="D37" s="306">
        <v>42193</v>
      </c>
      <c r="E37" s="306">
        <v>42220</v>
      </c>
      <c r="F37" s="5">
        <v>43001</v>
      </c>
      <c r="G37" s="4">
        <v>5282.12</v>
      </c>
      <c r="H37" s="3" t="s">
        <v>12</v>
      </c>
      <c r="I37" s="5">
        <v>1592.6296296296298</v>
      </c>
      <c r="J37" s="4">
        <v>0.12283714332224832</v>
      </c>
      <c r="K37" s="176">
        <f>AHU1B_CHW[[#This Row],[Usage (Required)]]*3.51685</f>
        <v>151228.06685</v>
      </c>
      <c r="L37" s="176">
        <f>AHU1B_CHW[[#This Row],[Usage (Required)]]*12000</f>
        <v>516012000</v>
      </c>
      <c r="M37" s="64">
        <f>AHU1B_CHW[[#This Row],[End Date (Required)]]-AHU1B_CHW[[#This Row],[Start Date (Required)]]</f>
        <v>27</v>
      </c>
      <c r="N37" s="303">
        <f>AHU1B_CHW[[#This Row],[Demand kWh/mnth]]/(AHU1B_CHW[[#This Row],[Billing Period]]*24)</f>
        <v>233.37664637345679</v>
      </c>
      <c r="O37" s="304">
        <f>AHU1B_CHW[[#This Row],[(kBtu/h)/mnth]]/(AHU1B_CHW[[#This Row],[Billing Period]]*24)</f>
        <v>796314.81481481483</v>
      </c>
      <c r="P37" s="62"/>
      <c r="Q37" s="2">
        <v>42283</v>
      </c>
      <c r="R37" s="1">
        <v>9972</v>
      </c>
      <c r="S37" s="1">
        <v>1285.6099999999999</v>
      </c>
    </row>
    <row r="38" spans="1:19" ht="15" customHeight="1" x14ac:dyDescent="0.25">
      <c r="A38" s="26"/>
      <c r="B38" s="25"/>
      <c r="C38" s="24"/>
      <c r="D38" s="306">
        <v>42163</v>
      </c>
      <c r="E38" s="306">
        <v>42193</v>
      </c>
      <c r="F38" s="5">
        <v>48103</v>
      </c>
      <c r="G38" s="4">
        <v>5870.4</v>
      </c>
      <c r="H38" s="3" t="s">
        <v>12</v>
      </c>
      <c r="I38" s="5">
        <v>1603.4333333333334</v>
      </c>
      <c r="J38" s="4">
        <v>0.12203812652017544</v>
      </c>
      <c r="K38" s="176">
        <f>AHU1B_CHW[[#This Row],[Usage (Required)]]*3.51685</f>
        <v>169171.03555</v>
      </c>
      <c r="L38" s="176">
        <f>AHU1B_CHW[[#This Row],[Usage (Required)]]*12000</f>
        <v>577236000</v>
      </c>
      <c r="M38" s="64">
        <f>AHU1B_CHW[[#This Row],[End Date (Required)]]-AHU1B_CHW[[#This Row],[Start Date (Required)]]</f>
        <v>30</v>
      </c>
      <c r="N38" s="303">
        <f>AHU1B_CHW[[#This Row],[Demand kWh/mnth]]/(AHU1B_CHW[[#This Row],[Billing Period]]*24)</f>
        <v>234.95977159722221</v>
      </c>
      <c r="O38" s="304">
        <f>AHU1B_CHW[[#This Row],[(kBtu/h)/mnth]]/(AHU1B_CHW[[#This Row],[Billing Period]]*24)</f>
        <v>801716.66666666663</v>
      </c>
      <c r="P38" s="62"/>
      <c r="Q38" s="2">
        <v>42311</v>
      </c>
      <c r="R38" s="1">
        <v>8035</v>
      </c>
      <c r="S38" s="1">
        <v>1051.24</v>
      </c>
    </row>
    <row r="39" spans="1:19" ht="15" customHeight="1" x14ac:dyDescent="0.25">
      <c r="A39" s="26"/>
      <c r="B39" s="25"/>
      <c r="C39" s="24"/>
      <c r="D39" s="306">
        <v>42130</v>
      </c>
      <c r="E39" s="306">
        <v>42163</v>
      </c>
      <c r="F39" s="5">
        <v>48127</v>
      </c>
      <c r="G39" s="4">
        <v>5873.31</v>
      </c>
      <c r="H39" s="3" t="s">
        <v>12</v>
      </c>
      <c r="I39" s="5">
        <v>1458.3939393939393</v>
      </c>
      <c r="J39" s="4">
        <v>0.12203773349678974</v>
      </c>
      <c r="K39" s="176">
        <f>AHU1B_CHW[[#This Row],[Usage (Required)]]*3.51685</f>
        <v>169255.43995</v>
      </c>
      <c r="L39" s="176">
        <f>AHU1B_CHW[[#This Row],[Usage (Required)]]*12000</f>
        <v>577524000</v>
      </c>
      <c r="M39" s="64">
        <f>AHU1B_CHW[[#This Row],[End Date (Required)]]-AHU1B_CHW[[#This Row],[Start Date (Required)]]</f>
        <v>33</v>
      </c>
      <c r="N39" s="303">
        <f>AHU1B_CHW[[#This Row],[Demand kWh/mnth]]/(AHU1B_CHW[[#This Row],[Billing Period]]*24)</f>
        <v>213.70636357323232</v>
      </c>
      <c r="O39" s="304">
        <f>AHU1B_CHW[[#This Row],[(kBtu/h)/mnth]]/(AHU1B_CHW[[#This Row],[Billing Period]]*24)</f>
        <v>729196.96969696973</v>
      </c>
      <c r="P39" s="62"/>
      <c r="Q39" s="2">
        <v>42342</v>
      </c>
      <c r="R39" s="1">
        <v>8214</v>
      </c>
      <c r="S39" s="1">
        <v>1072.8900000000001</v>
      </c>
    </row>
    <row r="40" spans="1:19" ht="15" customHeight="1" x14ac:dyDescent="0.25">
      <c r="A40" s="26"/>
      <c r="B40" s="25"/>
      <c r="C40" s="24"/>
      <c r="D40" s="306">
        <v>42102</v>
      </c>
      <c r="E40" s="306">
        <v>42130</v>
      </c>
      <c r="F40" s="5">
        <v>39753</v>
      </c>
      <c r="G40" s="4">
        <v>4860.05</v>
      </c>
      <c r="H40" s="3" t="s">
        <v>12</v>
      </c>
      <c r="I40" s="5">
        <v>1419.75</v>
      </c>
      <c r="J40" s="4">
        <v>0.12225618192337684</v>
      </c>
      <c r="K40" s="176">
        <f>AHU1B_CHW[[#This Row],[Usage (Required)]]*3.51685</f>
        <v>139805.33804999999</v>
      </c>
      <c r="L40" s="176">
        <f>AHU1B_CHW[[#This Row],[Usage (Required)]]*12000</f>
        <v>477036000</v>
      </c>
      <c r="M40" s="64">
        <f>AHU1B_CHW[[#This Row],[End Date (Required)]]-AHU1B_CHW[[#This Row],[Start Date (Required)]]</f>
        <v>28</v>
      </c>
      <c r="N40" s="303">
        <f>AHU1B_CHW[[#This Row],[Demand kWh/mnth]]/(AHU1B_CHW[[#This Row],[Billing Period]]*24)</f>
        <v>208.04365781249999</v>
      </c>
      <c r="O40" s="304">
        <f>AHU1B_CHW[[#This Row],[(kBtu/h)/mnth]]/(AHU1B_CHW[[#This Row],[Billing Period]]*24)</f>
        <v>709875</v>
      </c>
      <c r="P40" s="62"/>
      <c r="Q40" s="2">
        <v>42372</v>
      </c>
      <c r="R40" s="1">
        <v>8015</v>
      </c>
      <c r="S40" s="1">
        <v>1048.82</v>
      </c>
    </row>
    <row r="41" spans="1:19" ht="15" customHeight="1" x14ac:dyDescent="0.25">
      <c r="A41" s="26"/>
      <c r="B41" s="25"/>
      <c r="C41" s="24"/>
      <c r="D41" s="306">
        <v>42068</v>
      </c>
      <c r="E41" s="306">
        <v>42102</v>
      </c>
      <c r="F41" s="5">
        <v>41802</v>
      </c>
      <c r="G41" s="4">
        <v>5107.9799999999996</v>
      </c>
      <c r="H41" s="3" t="s">
        <v>12</v>
      </c>
      <c r="I41" s="5">
        <v>1229.4705882352941</v>
      </c>
      <c r="J41" s="4">
        <v>0.12219463183579732</v>
      </c>
      <c r="K41" s="176">
        <f>AHU1B_CHW[[#This Row],[Usage (Required)]]*3.51685</f>
        <v>147011.36369999999</v>
      </c>
      <c r="L41" s="176">
        <f>AHU1B_CHW[[#This Row],[Usage (Required)]]*12000</f>
        <v>501624000</v>
      </c>
      <c r="M41" s="64">
        <f>AHU1B_CHW[[#This Row],[End Date (Required)]]-AHU1B_CHW[[#This Row],[Start Date (Required)]]</f>
        <v>34</v>
      </c>
      <c r="N41" s="303">
        <f>AHU1B_CHW[[#This Row],[Demand kWh/mnth]]/(AHU1B_CHW[[#This Row],[Billing Period]]*24)</f>
        <v>180.16098492647058</v>
      </c>
      <c r="O41" s="304">
        <f>AHU1B_CHW[[#This Row],[(kBtu/h)/mnth]]/(AHU1B_CHW[[#This Row],[Billing Period]]*24)</f>
        <v>614735.29411764711</v>
      </c>
      <c r="P41" s="62"/>
      <c r="Q41" s="2">
        <v>42405</v>
      </c>
      <c r="R41" s="1">
        <v>7224</v>
      </c>
      <c r="S41" s="1">
        <v>897.11</v>
      </c>
    </row>
    <row r="42" spans="1:19" ht="15" customHeight="1" x14ac:dyDescent="0.25">
      <c r="A42" s="26"/>
      <c r="B42" s="25"/>
      <c r="C42" s="24"/>
      <c r="D42" s="306">
        <v>42040</v>
      </c>
      <c r="E42" s="306">
        <v>42068</v>
      </c>
      <c r="F42" s="5">
        <v>26145</v>
      </c>
      <c r="G42" s="4">
        <v>3213.48</v>
      </c>
      <c r="H42" s="3" t="s">
        <v>12</v>
      </c>
      <c r="I42" s="5">
        <v>933.75</v>
      </c>
      <c r="J42" s="4">
        <v>0.12290992541594951</v>
      </c>
      <c r="K42" s="176">
        <f>AHU1B_CHW[[#This Row],[Usage (Required)]]*3.51685</f>
        <v>91948.043249999988</v>
      </c>
      <c r="L42" s="176">
        <f>AHU1B_CHW[[#This Row],[Usage (Required)]]*12000</f>
        <v>313740000</v>
      </c>
      <c r="M42" s="64">
        <f>AHU1B_CHW[[#This Row],[End Date (Required)]]-AHU1B_CHW[[#This Row],[Start Date (Required)]]</f>
        <v>28</v>
      </c>
      <c r="N42" s="303">
        <f>AHU1B_CHW[[#This Row],[Demand kWh/mnth]]/(AHU1B_CHW[[#This Row],[Billing Period]]*24)</f>
        <v>136.82744531249998</v>
      </c>
      <c r="O42" s="304">
        <f>AHU1B_CHW[[#This Row],[(kBtu/h)/mnth]]/(AHU1B_CHW[[#This Row],[Billing Period]]*24)</f>
        <v>466875</v>
      </c>
      <c r="P42" s="62"/>
      <c r="Q42" s="2">
        <v>42433</v>
      </c>
      <c r="R42" s="1">
        <v>5836</v>
      </c>
      <c r="S42" s="1">
        <v>726.66</v>
      </c>
    </row>
    <row r="43" spans="1:19" ht="15" customHeight="1" x14ac:dyDescent="0.25">
      <c r="A43" s="26"/>
      <c r="B43" s="25"/>
      <c r="C43" s="24"/>
      <c r="D43" s="306">
        <v>42013</v>
      </c>
      <c r="E43" s="306">
        <v>42040</v>
      </c>
      <c r="F43" s="5">
        <v>20210</v>
      </c>
      <c r="G43" s="4">
        <v>2495.35</v>
      </c>
      <c r="H43" s="3" t="s">
        <v>12</v>
      </c>
      <c r="I43" s="5">
        <v>748.51851851851859</v>
      </c>
      <c r="J43" s="4">
        <v>0.1234710539336962</v>
      </c>
      <c r="K43" s="176">
        <f>AHU1B_CHW[[#This Row],[Usage (Required)]]*3.51685</f>
        <v>71075.538499999995</v>
      </c>
      <c r="L43" s="176">
        <f>AHU1B_CHW[[#This Row],[Usage (Required)]]*12000</f>
        <v>242520000</v>
      </c>
      <c r="M43" s="64">
        <f>AHU1B_CHW[[#This Row],[End Date (Required)]]-AHU1B_CHW[[#This Row],[Start Date (Required)]]</f>
        <v>27</v>
      </c>
      <c r="N43" s="303">
        <f>AHU1B_CHW[[#This Row],[Demand kWh/mnth]]/(AHU1B_CHW[[#This Row],[Billing Period]]*24)</f>
        <v>109.68447299382716</v>
      </c>
      <c r="O43" s="304">
        <f>AHU1B_CHW[[#This Row],[(kBtu/h)/mnth]]/(AHU1B_CHW[[#This Row],[Billing Period]]*24)</f>
        <v>374259.25925925927</v>
      </c>
      <c r="P43" s="62"/>
      <c r="Q43" s="2">
        <v>42466</v>
      </c>
      <c r="R43" s="1">
        <v>8313</v>
      </c>
      <c r="S43" s="1">
        <v>1030.8399999999999</v>
      </c>
    </row>
    <row r="44" spans="1:19" ht="15" customHeight="1" x14ac:dyDescent="0.25">
      <c r="A44" s="26"/>
      <c r="B44" s="25"/>
      <c r="C44" s="24"/>
      <c r="D44" s="306">
        <v>41978</v>
      </c>
      <c r="E44" s="306">
        <v>42013</v>
      </c>
      <c r="F44" s="5">
        <v>29750</v>
      </c>
      <c r="G44" s="4">
        <v>3649.69</v>
      </c>
      <c r="H44" s="3" t="s">
        <v>12</v>
      </c>
      <c r="I44" s="5">
        <v>850</v>
      </c>
      <c r="J44" s="4">
        <v>0.12267865546218489</v>
      </c>
      <c r="K44" s="176">
        <f>AHU1B_CHW[[#This Row],[Usage (Required)]]*3.51685</f>
        <v>104626.28749999999</v>
      </c>
      <c r="L44" s="176">
        <f>AHU1B_CHW[[#This Row],[Usage (Required)]]*12000</f>
        <v>357000000</v>
      </c>
      <c r="M44" s="64">
        <f>AHU1B_CHW[[#This Row],[End Date (Required)]]-AHU1B_CHW[[#This Row],[Start Date (Required)]]</f>
        <v>35</v>
      </c>
      <c r="N44" s="303">
        <f>AHU1B_CHW[[#This Row],[Demand kWh/mnth]]/(AHU1B_CHW[[#This Row],[Billing Period]]*24)</f>
        <v>124.55510416666665</v>
      </c>
      <c r="O44" s="304">
        <f>AHU1B_CHW[[#This Row],[(kBtu/h)/mnth]]/(AHU1B_CHW[[#This Row],[Billing Period]]*24)</f>
        <v>425000</v>
      </c>
      <c r="P44" s="62"/>
      <c r="Q44" s="2">
        <v>42493</v>
      </c>
      <c r="R44" s="1">
        <v>6840</v>
      </c>
      <c r="S44" s="1">
        <v>849.95</v>
      </c>
    </row>
    <row r="45" spans="1:19" ht="15" customHeight="1" x14ac:dyDescent="0.25">
      <c r="A45" s="26"/>
      <c r="B45" s="25"/>
      <c r="C45" s="24"/>
      <c r="D45" s="306">
        <v>41948</v>
      </c>
      <c r="E45" s="306">
        <v>41978</v>
      </c>
      <c r="F45" s="5">
        <v>28410</v>
      </c>
      <c r="G45" s="4">
        <v>3487.55</v>
      </c>
      <c r="H45" s="3" t="s">
        <v>12</v>
      </c>
      <c r="I45" s="5">
        <v>947</v>
      </c>
      <c r="J45" s="4">
        <v>0.122757831749384</v>
      </c>
      <c r="K45" s="176">
        <f>AHU1B_CHW[[#This Row],[Usage (Required)]]*3.51685</f>
        <v>99913.708499999993</v>
      </c>
      <c r="L45" s="176">
        <f>AHU1B_CHW[[#This Row],[Usage (Required)]]*12000</f>
        <v>340920000</v>
      </c>
      <c r="M45" s="64">
        <f>AHU1B_CHW[[#This Row],[End Date (Required)]]-AHU1B_CHW[[#This Row],[Start Date (Required)]]</f>
        <v>30</v>
      </c>
      <c r="N45" s="303">
        <f>AHU1B_CHW[[#This Row],[Demand kWh/mnth]]/(AHU1B_CHW[[#This Row],[Billing Period]]*24)</f>
        <v>138.76903958333332</v>
      </c>
      <c r="O45" s="304">
        <f>AHU1B_CHW[[#This Row],[(kBtu/h)/mnth]]/(AHU1B_CHW[[#This Row],[Billing Period]]*24)</f>
        <v>473500</v>
      </c>
      <c r="P45" s="62"/>
      <c r="Q45" s="2">
        <v>42524</v>
      </c>
      <c r="R45" s="1">
        <v>8223</v>
      </c>
      <c r="S45" s="1">
        <v>1019.78</v>
      </c>
    </row>
    <row r="46" spans="1:19" ht="15" customHeight="1" x14ac:dyDescent="0.25">
      <c r="A46" s="26"/>
      <c r="B46" s="25"/>
      <c r="C46" s="24"/>
      <c r="D46" s="306">
        <v>41915</v>
      </c>
      <c r="E46" s="306">
        <v>41948</v>
      </c>
      <c r="F46" s="5">
        <v>17819</v>
      </c>
      <c r="G46" s="4">
        <v>2206.04</v>
      </c>
      <c r="H46" s="3" t="s">
        <v>12</v>
      </c>
      <c r="I46" s="5">
        <v>539.969696969697</v>
      </c>
      <c r="J46" s="4">
        <v>0.12380268252988384</v>
      </c>
      <c r="K46" s="176">
        <f>AHU1B_CHW[[#This Row],[Usage (Required)]]*3.51685</f>
        <v>62666.75015</v>
      </c>
      <c r="L46" s="176">
        <f>AHU1B_CHW[[#This Row],[Usage (Required)]]*12000</f>
        <v>213828000</v>
      </c>
      <c r="M46" s="64">
        <f>AHU1B_CHW[[#This Row],[End Date (Required)]]-AHU1B_CHW[[#This Row],[Start Date (Required)]]</f>
        <v>33</v>
      </c>
      <c r="N46" s="303">
        <f>AHU1B_CHW[[#This Row],[Demand kWh/mnth]]/(AHU1B_CHW[[#This Row],[Billing Period]]*24)</f>
        <v>79.124684532828283</v>
      </c>
      <c r="O46" s="304">
        <f>AHU1B_CHW[[#This Row],[(kBtu/h)/mnth]]/(AHU1B_CHW[[#This Row],[Billing Period]]*24)</f>
        <v>269984.84848484851</v>
      </c>
      <c r="P46" s="62"/>
      <c r="Q46" s="2">
        <v>42554</v>
      </c>
      <c r="R46" s="1">
        <v>9049</v>
      </c>
      <c r="S46" s="1">
        <v>1314.87</v>
      </c>
    </row>
    <row r="47" spans="1:19" ht="15" customHeight="1" x14ac:dyDescent="0.25">
      <c r="A47" s="26"/>
      <c r="B47" s="25"/>
      <c r="C47" s="24"/>
      <c r="D47" s="306">
        <v>41887</v>
      </c>
      <c r="E47" s="306">
        <v>41915</v>
      </c>
      <c r="F47" s="5">
        <v>19572</v>
      </c>
      <c r="G47" s="4">
        <v>2418.15</v>
      </c>
      <c r="H47" s="3" t="s">
        <v>12</v>
      </c>
      <c r="I47" s="5">
        <v>699</v>
      </c>
      <c r="J47" s="4">
        <v>0.12355150214592274</v>
      </c>
      <c r="K47" s="176">
        <f>AHU1B_CHW[[#This Row],[Usage (Required)]]*3.51685</f>
        <v>68831.788199999995</v>
      </c>
      <c r="L47" s="176">
        <f>AHU1B_CHW[[#This Row],[Usage (Required)]]*12000</f>
        <v>234864000</v>
      </c>
      <c r="M47" s="64">
        <f>AHU1B_CHW[[#This Row],[End Date (Required)]]-AHU1B_CHW[[#This Row],[Start Date (Required)]]</f>
        <v>28</v>
      </c>
      <c r="N47" s="303">
        <f>AHU1B_CHW[[#This Row],[Demand kWh/mnth]]/(AHU1B_CHW[[#This Row],[Billing Period]]*24)</f>
        <v>102.42825624999999</v>
      </c>
      <c r="O47" s="304">
        <f>AHU1B_CHW[[#This Row],[(kBtu/h)/mnth]]/(AHU1B_CHW[[#This Row],[Billing Period]]*24)</f>
        <v>349500</v>
      </c>
      <c r="P47" s="62"/>
      <c r="Q47" s="2">
        <v>42584</v>
      </c>
      <c r="R47" s="1">
        <v>9313</v>
      </c>
      <c r="S47" s="1">
        <v>1352.93</v>
      </c>
    </row>
    <row r="48" spans="1:19" ht="15" customHeight="1" x14ac:dyDescent="0.25">
      <c r="A48" s="26"/>
      <c r="B48" s="25"/>
      <c r="C48" s="24"/>
      <c r="D48" s="306">
        <v>41857</v>
      </c>
      <c r="E48" s="306">
        <v>41887</v>
      </c>
      <c r="F48" s="5">
        <v>30449</v>
      </c>
      <c r="G48" s="4">
        <v>3734.27</v>
      </c>
      <c r="H48" s="3" t="s">
        <v>12</v>
      </c>
      <c r="I48" s="5">
        <v>1014.9666666666667</v>
      </c>
      <c r="J48" s="4">
        <v>0.12264015238595684</v>
      </c>
      <c r="K48" s="176">
        <f>AHU1B_CHW[[#This Row],[Usage (Required)]]*3.51685</f>
        <v>107084.56564999999</v>
      </c>
      <c r="L48" s="176">
        <f>AHU1B_CHW[[#This Row],[Usage (Required)]]*12000</f>
        <v>365388000</v>
      </c>
      <c r="M48" s="64">
        <f>AHU1B_CHW[[#This Row],[End Date (Required)]]-AHU1B_CHW[[#This Row],[Start Date (Required)]]</f>
        <v>30</v>
      </c>
      <c r="N48" s="303">
        <f>AHU1B_CHW[[#This Row],[Demand kWh/mnth]]/(AHU1B_CHW[[#This Row],[Billing Period]]*24)</f>
        <v>148.72856340277775</v>
      </c>
      <c r="O48" s="304">
        <f>AHU1B_CHW[[#This Row],[(kBtu/h)/mnth]]/(AHU1B_CHW[[#This Row],[Billing Period]]*24)</f>
        <v>507483.33333333331</v>
      </c>
      <c r="P48" s="62"/>
      <c r="Q48" s="2">
        <v>42614</v>
      </c>
      <c r="R48" s="1">
        <v>9306</v>
      </c>
      <c r="S48" s="1">
        <v>1351.93</v>
      </c>
    </row>
    <row r="49" spans="1:19" ht="15" customHeight="1" x14ac:dyDescent="0.25">
      <c r="A49" s="26"/>
      <c r="B49" s="25"/>
      <c r="C49" s="24"/>
      <c r="D49" s="306">
        <v>41823</v>
      </c>
      <c r="E49" s="306">
        <v>41857</v>
      </c>
      <c r="F49" s="5">
        <v>52145</v>
      </c>
      <c r="G49" s="4">
        <v>6359.48</v>
      </c>
      <c r="H49" s="3" t="s">
        <v>12</v>
      </c>
      <c r="I49" s="5">
        <v>1533.6764705882354</v>
      </c>
      <c r="J49" s="4">
        <v>0.12195761818007481</v>
      </c>
      <c r="K49" s="176">
        <f>AHU1B_CHW[[#This Row],[Usage (Required)]]*3.51685</f>
        <v>183386.14324999999</v>
      </c>
      <c r="L49" s="176">
        <f>AHU1B_CHW[[#This Row],[Usage (Required)]]*12000</f>
        <v>625740000</v>
      </c>
      <c r="M49" s="64">
        <f>AHU1B_CHW[[#This Row],[End Date (Required)]]-AHU1B_CHW[[#This Row],[Start Date (Required)]]</f>
        <v>34</v>
      </c>
      <c r="N49" s="303">
        <f>AHU1B_CHW[[#This Row],[Demand kWh/mnth]]/(AHU1B_CHW[[#This Row],[Billing Period]]*24)</f>
        <v>224.73792064950979</v>
      </c>
      <c r="O49" s="304">
        <f>AHU1B_CHW[[#This Row],[(kBtu/h)/mnth]]/(AHU1B_CHW[[#This Row],[Billing Period]]*24)</f>
        <v>766838.23529411759</v>
      </c>
      <c r="P49" s="62"/>
      <c r="Q49" s="2">
        <v>42645</v>
      </c>
      <c r="R49" s="1">
        <v>9451</v>
      </c>
      <c r="S49" s="1">
        <v>1372.83</v>
      </c>
    </row>
    <row r="50" spans="1:19" x14ac:dyDescent="0.25">
      <c r="B50" s="23"/>
      <c r="C50" s="23"/>
      <c r="D50" s="306">
        <v>41794</v>
      </c>
      <c r="E50" s="306">
        <v>41823</v>
      </c>
      <c r="F50" s="5">
        <v>38352</v>
      </c>
      <c r="G50" s="4">
        <v>4690.53</v>
      </c>
      <c r="H50" s="3" t="s">
        <v>12</v>
      </c>
      <c r="I50" s="5">
        <v>1322.4827586206898</v>
      </c>
      <c r="J50" s="4">
        <v>0.12230209637046308</v>
      </c>
      <c r="K50" s="176">
        <f>AHU1B_CHW[[#This Row],[Usage (Required)]]*3.51685</f>
        <v>134878.23119999998</v>
      </c>
      <c r="L50" s="176">
        <f>AHU1B_CHW[[#This Row],[Usage (Required)]]*12000</f>
        <v>460224000</v>
      </c>
      <c r="M50" s="64">
        <f>AHU1B_CHW[[#This Row],[End Date (Required)]]-AHU1B_CHW[[#This Row],[Start Date (Required)]]</f>
        <v>29</v>
      </c>
      <c r="N50" s="303">
        <f>AHU1B_CHW[[#This Row],[Demand kWh/mnth]]/(AHU1B_CHW[[#This Row],[Billing Period]]*24)</f>
        <v>193.7905620689655</v>
      </c>
      <c r="O50" s="304">
        <f>AHU1B_CHW[[#This Row],[(kBtu/h)/mnth]]/(AHU1B_CHW[[#This Row],[Billing Period]]*24)</f>
        <v>661241.37931034481</v>
      </c>
      <c r="P50" s="62"/>
      <c r="Q50" s="2">
        <v>42675</v>
      </c>
      <c r="R50" s="1">
        <v>8373</v>
      </c>
      <c r="S50" s="1">
        <v>1217.3900000000001</v>
      </c>
    </row>
    <row r="51" spans="1:19" x14ac:dyDescent="0.25">
      <c r="D51" s="306">
        <v>41764</v>
      </c>
      <c r="E51" s="306">
        <v>41794</v>
      </c>
      <c r="F51" s="5">
        <v>34994</v>
      </c>
      <c r="G51" s="4">
        <v>4284.21</v>
      </c>
      <c r="H51" s="3" t="s">
        <v>12</v>
      </c>
      <c r="I51" s="5">
        <v>1166.4666666666667</v>
      </c>
      <c r="J51" s="4">
        <v>0.1224269874835686</v>
      </c>
      <c r="K51" s="176">
        <f>AHU1B_CHW[[#This Row],[Usage (Required)]]*3.51685</f>
        <v>123068.6489</v>
      </c>
      <c r="L51" s="176">
        <f>AHU1B_CHW[[#This Row],[Usage (Required)]]*12000</f>
        <v>419928000</v>
      </c>
      <c r="M51" s="305">
        <f>AHU1B_CHW[[#This Row],[End Date (Required)]]-AHU1B_CHW[[#This Row],[Start Date (Required)]]</f>
        <v>30</v>
      </c>
      <c r="N51" s="303">
        <f>AHU1B_CHW[[#This Row],[Demand kWh/mnth]]/(AHU1B_CHW[[#This Row],[Billing Period]]*24)</f>
        <v>170.92867902777778</v>
      </c>
      <c r="O51" s="304">
        <f>AHU1B_CHW[[#This Row],[(kBtu/h)/mnth]]/(AHU1B_CHW[[#This Row],[Billing Period]]*24)</f>
        <v>583233.33333333337</v>
      </c>
      <c r="Q51" s="2">
        <v>42706</v>
      </c>
      <c r="R51" s="1">
        <v>7160</v>
      </c>
      <c r="S51" s="1">
        <v>1042.47</v>
      </c>
    </row>
    <row r="52" spans="1:19" x14ac:dyDescent="0.25">
      <c r="D52" s="306">
        <v>41733</v>
      </c>
      <c r="E52" s="306">
        <v>41764</v>
      </c>
      <c r="F52" s="5">
        <v>33228</v>
      </c>
      <c r="G52" s="4">
        <v>4070.53</v>
      </c>
      <c r="H52" s="3" t="s">
        <v>12</v>
      </c>
      <c r="I52" s="5">
        <v>1071.8709677419354</v>
      </c>
      <c r="J52" s="4">
        <v>0.12250300951005176</v>
      </c>
      <c r="K52" s="176">
        <f>AHU1B_CHW[[#This Row],[Usage (Required)]]*3.51685</f>
        <v>116857.8918</v>
      </c>
      <c r="L52" s="176">
        <f>AHU1B_CHW[[#This Row],[Usage (Required)]]*12000</f>
        <v>398736000</v>
      </c>
      <c r="M52" s="305">
        <f>AHU1B_CHW[[#This Row],[End Date (Required)]]-AHU1B_CHW[[#This Row],[Start Date (Required)]]</f>
        <v>31</v>
      </c>
      <c r="N52" s="303">
        <f>AHU1B_CHW[[#This Row],[Demand kWh/mnth]]/(AHU1B_CHW[[#This Row],[Billing Period]]*24)</f>
        <v>157.06705887096774</v>
      </c>
      <c r="O52" s="304">
        <f>AHU1B_CHW[[#This Row],[(kBtu/h)/mnth]]/(AHU1B_CHW[[#This Row],[Billing Period]]*24)</f>
        <v>535935.48387096776</v>
      </c>
      <c r="Q52" s="2">
        <v>42738</v>
      </c>
      <c r="R52" s="1">
        <v>7825</v>
      </c>
      <c r="S52" s="1">
        <v>1138.3599999999999</v>
      </c>
    </row>
    <row r="53" spans="1:19" x14ac:dyDescent="0.25">
      <c r="D53" s="306">
        <v>41703</v>
      </c>
      <c r="E53" s="306">
        <v>41733</v>
      </c>
      <c r="F53" s="5">
        <v>28552</v>
      </c>
      <c r="G53" s="4">
        <v>3504.73</v>
      </c>
      <c r="H53" s="3" t="s">
        <v>12</v>
      </c>
      <c r="I53" s="5">
        <v>951.73333333333323</v>
      </c>
      <c r="J53" s="4">
        <v>0.12274901933314653</v>
      </c>
      <c r="K53" s="176">
        <f>AHU1B_CHW[[#This Row],[Usage (Required)]]*3.51685</f>
        <v>100413.10119999999</v>
      </c>
      <c r="L53" s="176">
        <f>AHU1B_CHW[[#This Row],[Usage (Required)]]*12000</f>
        <v>342624000</v>
      </c>
      <c r="M53" s="305">
        <f>AHU1B_CHW[[#This Row],[End Date (Required)]]-AHU1B_CHW[[#This Row],[Start Date (Required)]]</f>
        <v>30</v>
      </c>
      <c r="N53" s="303">
        <f>AHU1B_CHW[[#This Row],[Demand kWh/mnth]]/(AHU1B_CHW[[#This Row],[Billing Period]]*24)</f>
        <v>139.46264055555554</v>
      </c>
      <c r="O53" s="304">
        <f>AHU1B_CHW[[#This Row],[(kBtu/h)/mnth]]/(AHU1B_CHW[[#This Row],[Billing Period]]*24)</f>
        <v>475866.66666666669</v>
      </c>
      <c r="Q53" s="2">
        <v>42768</v>
      </c>
      <c r="R53" s="1">
        <v>6646</v>
      </c>
      <c r="S53" s="1">
        <v>968.35</v>
      </c>
    </row>
    <row r="54" spans="1:19" x14ac:dyDescent="0.25">
      <c r="D54" s="306">
        <v>41675</v>
      </c>
      <c r="E54" s="306">
        <v>41703</v>
      </c>
      <c r="F54" s="5">
        <v>26724</v>
      </c>
      <c r="G54" s="4">
        <v>3283.54</v>
      </c>
      <c r="H54" s="3" t="s">
        <v>12</v>
      </c>
      <c r="I54" s="5">
        <v>954.42857142857133</v>
      </c>
      <c r="J54" s="4">
        <v>0.12286858254752282</v>
      </c>
      <c r="K54" s="176">
        <f>AHU1B_CHW[[#This Row],[Usage (Required)]]*3.51685</f>
        <v>93984.299399999989</v>
      </c>
      <c r="L54" s="176">
        <f>AHU1B_CHW[[#This Row],[Usage (Required)]]*12000</f>
        <v>320688000</v>
      </c>
      <c r="M54" s="305">
        <f>AHU1B_CHW[[#This Row],[End Date (Required)]]-AHU1B_CHW[[#This Row],[Start Date (Required)]]</f>
        <v>28</v>
      </c>
      <c r="N54" s="303">
        <f>AHU1B_CHW[[#This Row],[Demand kWh/mnth]]/(AHU1B_CHW[[#This Row],[Billing Period]]*24)</f>
        <v>139.85758839285714</v>
      </c>
      <c r="O54" s="304">
        <f>AHU1B_CHW[[#This Row],[(kBtu/h)/mnth]]/(AHU1B_CHW[[#This Row],[Billing Period]]*24)</f>
        <v>477214.28571428574</v>
      </c>
      <c r="Q54" s="2">
        <v>42795</v>
      </c>
      <c r="R54" s="1">
        <v>6417</v>
      </c>
      <c r="S54" s="1">
        <v>935.33</v>
      </c>
    </row>
    <row r="55" spans="1:19" x14ac:dyDescent="0.25">
      <c r="D55" s="306">
        <v>41645</v>
      </c>
      <c r="E55" s="306">
        <v>41675</v>
      </c>
      <c r="F55" s="5">
        <v>28552</v>
      </c>
      <c r="G55" s="4">
        <v>3504.73</v>
      </c>
      <c r="H55" s="3" t="s">
        <v>12</v>
      </c>
      <c r="I55" s="5">
        <v>951.73333333333323</v>
      </c>
      <c r="J55" s="4">
        <v>0.12274901933314653</v>
      </c>
      <c r="K55" s="176">
        <f>AHU1B_CHW[[#This Row],[Usage (Required)]]*3.51685</f>
        <v>100413.10119999999</v>
      </c>
      <c r="L55" s="176">
        <f>AHU1B_CHW[[#This Row],[Usage (Required)]]*12000</f>
        <v>342624000</v>
      </c>
      <c r="M55" s="305">
        <f>AHU1B_CHW[[#This Row],[End Date (Required)]]-AHU1B_CHW[[#This Row],[Start Date (Required)]]</f>
        <v>30</v>
      </c>
      <c r="N55" s="303">
        <f>AHU1B_CHW[[#This Row],[Demand kWh/mnth]]/(AHU1B_CHW[[#This Row],[Billing Period]]*24)</f>
        <v>139.46264055555554</v>
      </c>
      <c r="O55" s="304">
        <f>AHU1B_CHW[[#This Row],[(kBtu/h)/mnth]]/(AHU1B_CHW[[#This Row],[Billing Period]]*24)</f>
        <v>475866.66666666669</v>
      </c>
      <c r="Q55" s="2">
        <v>42826</v>
      </c>
      <c r="R55" s="1">
        <v>7179</v>
      </c>
      <c r="S55" s="1">
        <v>1045.21</v>
      </c>
    </row>
    <row r="56" spans="1:19" x14ac:dyDescent="0.25">
      <c r="Q56" s="2">
        <v>42857</v>
      </c>
      <c r="R56" s="1">
        <v>7683</v>
      </c>
      <c r="S56" s="1">
        <v>1117.8900000000001</v>
      </c>
    </row>
    <row r="57" spans="1:19" x14ac:dyDescent="0.25">
      <c r="Q57" s="2">
        <v>42888</v>
      </c>
      <c r="R57" s="1">
        <v>8525</v>
      </c>
      <c r="S57" s="1">
        <v>1239.3</v>
      </c>
    </row>
    <row r="58" spans="1:19" x14ac:dyDescent="0.25">
      <c r="Q58" s="2">
        <v>42918</v>
      </c>
      <c r="R58" s="1">
        <v>9009</v>
      </c>
      <c r="S58" s="1">
        <v>1587.48</v>
      </c>
    </row>
    <row r="59" spans="1:19" x14ac:dyDescent="0.25">
      <c r="Q59" s="2">
        <v>42949</v>
      </c>
      <c r="R59" s="1">
        <v>9405</v>
      </c>
      <c r="S59" s="1">
        <v>1656.82</v>
      </c>
    </row>
    <row r="60" spans="1:19" x14ac:dyDescent="0.25">
      <c r="Q60" s="2">
        <v>42980</v>
      </c>
      <c r="R60" s="1">
        <v>9636</v>
      </c>
      <c r="S60" s="1">
        <v>1697.26</v>
      </c>
    </row>
    <row r="61" spans="1:19" x14ac:dyDescent="0.25">
      <c r="Q61" s="2">
        <v>43009</v>
      </c>
      <c r="R61" s="1">
        <v>8837</v>
      </c>
      <c r="S61" s="1">
        <v>1557.36</v>
      </c>
    </row>
    <row r="62" spans="1:19" x14ac:dyDescent="0.25">
      <c r="Q62" s="2">
        <v>43042</v>
      </c>
      <c r="R62" s="1">
        <v>8915</v>
      </c>
      <c r="S62" s="1">
        <v>1571.02</v>
      </c>
    </row>
    <row r="63" spans="1:19" x14ac:dyDescent="0.25">
      <c r="Q63" s="2">
        <v>43070</v>
      </c>
      <c r="R63" s="1">
        <v>5829</v>
      </c>
      <c r="S63" s="1">
        <v>1030.6600000000001</v>
      </c>
    </row>
    <row r="64" spans="1:19" x14ac:dyDescent="0.25">
      <c r="Q64" s="2" t="s">
        <v>66</v>
      </c>
      <c r="R64" s="1">
        <v>399912</v>
      </c>
      <c r="S64" s="1">
        <v>55099.80000000001</v>
      </c>
    </row>
  </sheetData>
  <mergeCells count="4">
    <mergeCell ref="B3:B8"/>
    <mergeCell ref="Q7:R7"/>
    <mergeCell ref="Q8:R8"/>
    <mergeCell ref="B11:B18"/>
  </mergeCells>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l a n G r i d & 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 i : t y p e = " S a n d b o x E d i t o r M e a s u r e G r i d K e y " & g t ; & l t ; T a b l e N a m e & g t ; P l a n G r i d & l t ; / T a b l e N a m e & g t ; & l t ; / K e y & g t ; & l t ; M a i n t a i n e r 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 k W h y r & l t ; / K e y & g t ; & l t ; / D i a g r a m O b j e c t K e y & g t ; & l t ; D i a g r a m O b j e c t K e y & g t ; & l t ; K e y & g t ; M e a s u r e s \ S u m   o f   k W h y r \ T a g I n f o \ F o r m u l a & l t ; / K e y & g t ; & l t ; / D i a g r a m O b j e c t K e y & g t ; & l t ; D i a g r a m O b j e c t K e y & g t ; & l t ; K e y & g t ; M e a s u r e s \ S u m   o f   k W h y r \ T a g I n f o \ V a l u e & l t ; / K e y & g t ; & l t ; / D i a g r a m O b j e c t K e y & g t ; & l t ; D i a g r a m O b j e c t K e y & g t ; & l t ; K e y & g t ; M e a s u r e s \ S u m   o f   k B t u y r & l t ; / K e y & g t ; & l t ; / D i a g r a m O b j e c t K e y & g t ; & l t ; D i a g r a m O b j e c t K e y & g t ; & l t ; K e y & g t ; M e a s u r e s \ S u m   o f   k B t u y r \ T a g I n f o \ F o r m u l a & l t ; / K e y & g t ; & l t ; / D i a g r a m O b j e c t K e y & g t ; & l t ; D i a g r a m O b j e c t K e y & g t ; & l t ; K e y & g t ; M e a s u r e s \ S u m   o f   k B t u y r \ T a g I n f o \ V a l u e & l t ; / K e y & g t ; & l t ; / D i a g r a m O b j e c t K e y & g t ; & l t ; D i a g r a m O b j e c t K e y & g t ; & l t ; K e y & g t ; M e a s u r e s \ S u m   o f   W f t 2 & l t ; / K e y & g t ; & l t ; / D i a g r a m O b j e c t K e y & g t ; & l t ; D i a g r a m O b j e c t K e y & g t ; & l t ; K e y & g t ; M e a s u r e s \ S u m   o f   W f t 2 \ T a g I n f o \ F o r m u l a & l t ; / K e y & g t ; & l t ; / D i a g r a m O b j e c t K e y & g t ; & l t ; D i a g r a m O b j e c t K e y & g t ; & l t ; K e y & g t ; M e a s u r e s \ S u m   o f   W f t 2 \ T a g I n f o \ V a l u e & l t ; / K e y & g t ; & l t ; / D i a g r a m O b j e c t K e y & g t ; & l t ; D i a g r a m O b j e c t K e y & g t ; & l t ; K e y & g t ; M e a s u r e s \ S u m   o f   k B t u f t 2 - y r & l t ; / K e y & g t ; & l t ; / D i a g r a m O b j e c t K e y & g t ; & l t ; D i a g r a m O b j e c t K e y & g t ; & l t ; K e y & g t ; M e a s u r e s \ S u m   o f   k B t u f t 2 - y r \ T a g I n f o \ F o r m u l a & l t ; / K e y & g t ; & l t ; / D i a g r a m O b j e c t K e y & g t ; & l t ; D i a g r a m O b j e c t K e y & g t ; & l t ; K e y & g t ; M e a s u r e s \ S u m   o f   k B t u f t 2 - y r \ T a g I n f o \ V a l u e & l t ; / K e y & g t ; & l t ; / D i a g r a m O b j e c t K e y & g t ; & l t ; D i a g r a m O b j e c t K e y & g t ; & l t ; K e y & g t ; M e a s u r e s \ S u m   o f   D e m a n d   W a t t & l t ; / K e y & g t ; & l t ; / D i a g r a m O b j e c t K e y & g t ; & l t ; D i a g r a m O b j e c t K e y & g t ; & l t ; K e y & g t ; M e a s u r e s \ S u m   o f   D e m a n d   W a t t \ T a g I n f o \ F o r m u l a & l t ; / K e y & g t ; & l t ; / D i a g r a m O b j e c t K e y & g t ; & l t ; D i a g r a m O b j e c t K e y & g t ; & l t ; K e y & g t ; M e a s u r e s \ S u m   o f   D e m a n d   W a t t \ T a g I n f o \ V a l u e & l t ; / K e y & g t ; & l t ; / D i a g r a m O b j e c t K e y & g t ; & l t ; D i a g r a m O b j e c t K e y & g t ; & l t ; K e y & g t ; C o l u m n s \ I s s u e   # & l t ; / K e y & g t ; & l t ; / D i a g r a m O b j e c t K e y & g t ; & l t ; D i a g r a m O b j e c t K e y & g t ; & l t ; K e y & g t ; C o l u m n s \ S t a m p & l t ; / K e y & g t ; & l t ; / D i a g r a m O b j e c t K e y & g t ; & l t ; D i a g r a m O b j e c t K e y & g t ; & l t ; K e y & g t ; C o l u m n s \ T i t l e & l t ; / K e y & g t ; & l t ; / D i a g r a m O b j e c t K e y & g t ; & l t ; D i a g r a m O b j e c t K e y & g t ; & l t ; K e y & g t ; C o l u m n s \ D e s c r i p t i o n & l t ; / K e y & g t ; & l t ; / D i a g r a m O b j e c t K e y & g t ; & l t ; D i a g r a m O b j e c t K e y & g t ; & l t ; K e y & g t ; C o l u m n s \ S p e c   W a t t a g e & l t ; / K e y & g t ; & l t ; / D i a g r a m O b j e c t K e y & g t ; & l t ; D i a g r a m O b j e c t K e y & g t ; & l t ; K e y & g t ; C o l u m n s \ E q u i p m e n t   C o u n t & l t ; / K e y & g t ; & l t ; / D i a g r a m O b j e c t K e y & g t ; & l t ; D i a g r a m O b j e c t K e y & g t ; & l t ; K e y & g t ; C o l u m n s \ U t i l i z a t i o n   % & l t ; / K e y & g t ; & l t ; / D i a g r a m O b j e c t K e y & g t ; & l t ; D i a g r a m O b j e c t K e y & g t ; & l t ; K e y & g t ; C o l u m n s \ D e m a n d   W a t t & l t ; / K e y & g t ; & l t ; / D i a g r a m O b j e c t K e y & g t ; & l t ; D i a g r a m O b j e c t K e y & g t ; & l t ; K e y & g t ; C o l u m n s \ k W h / y r & l t ; / K e y & g t ; & l t ; / D i a g r a m O b j e c t K e y & g t ; & l t ; D i a g r a m O b j e c t K e y & g t ; & l t ; K e y & g t ; C o l u m n s \ W / f t 2 & l t ; / K e y & g t ; & l t ; / D i a g r a m O b j e c t K e y & g t ; & l t ; D i a g r a m O b j e c t K e y & g t ; & l t ; K e y & g t ; C o l u m n s \ k B t u / y r & l t ; / K e y & g t ; & l t ; / D i a g r a m O b j e c t K e y & g t ; & l t ; D i a g r a m O b j e c t K e y & g t ; & l t ; K e y & g t ; C o l u m n s \ k B t u / f t 2 - y r & l t ; / K e y & g t ; & l t ; / D i a g r a m O b j e c t K e y & g t ; & l t ; D i a g r a m O b j e c t K e y & g t ; & l t ; K e y & g t ; C o l u m n s \ S h e e t & l t ; / K e y & g t ; & l t ; / D i a g r a m O b j e c t K e y & g t ; & l t ; D i a g r a m O b j e c t K e y & g t ; & l t ; K e y & g t ; C o l u m n s \ #   P h o t o s & l t ; / K e y & g t ; & l t ; / D i a g r a m O b j e c t K e y & g t ; & l t ; D i a g r a m O b j e c t K e y & g t ; & l t ; K e y & g t ; C o l u m n s \ C o l o r & l t ; / K e y & g t ; & l t ; / D i a g r a m O b j e c t K e y & g t ; & l t ; D i a g r a m O b j e c t K e y & g t ; & l t ; K e y & g t ; C o l u m n s \ A r c h i v e d & l t ; / K e y & g t ; & l t ; / D i a g r a m O b j e c t K e y & g t ; & l t ; D i a g r a m O b j e c t K e y & g t ; & l t ; K e y & g t ; C o l u m n s \ D a t e & l t ; / K e y & g t ; & l t ; / D i a g r a m O b j e c t K e y & g t ; & l t ; D i a g r a m O b j e c t K e y & g t ; & l t ; K e y & g t ; C o l u m n s \ L a s t   U p d a t e d & l t ; / K e y & g t ; & l t ; / D i a g r a m O b j e c t K e y & g t ; & l t ; D i a g r a m O b j e c t K e y & g t ; & l t ; K e y & g t ; C o l u m n s \ C r e a t e d   B y & l t ; / K e y & g t ; & l t ; / D i a g r a m O b j e c t K e y & g t ; & l t ; D i a g r a m O b j e c t K e y & g t ; & l t ; K e y & g t ; L i n k s \ & a m p ; l t ; C o l u m n s \ S u m   o f   k W h y r & a m p ; g t ; - & a m p ; l t ; M e a s u r e s \ k W h / y r & a m p ; g t ; & l t ; / K e y & g t ; & l t ; / D i a g r a m O b j e c t K e y & g t ; & l t ; D i a g r a m O b j e c t K e y & g t ; & l t ; K e y & g t ; L i n k s \ & a m p ; l t ; C o l u m n s \ S u m   o f   k W h y r & a m p ; g t ; - & a m p ; l t ; M e a s u r e s \ k W h / y r & a m p ; g t ; \ C O L U M N & l t ; / K e y & g t ; & l t ; / D i a g r a m O b j e c t K e y & g t ; & l t ; D i a g r a m O b j e c t K e y & g t ; & l t ; K e y & g t ; L i n k s \ & a m p ; l t ; C o l u m n s \ S u m   o f   k W h y r & a m p ; g t ; - & a m p ; l t ; M e a s u r e s \ k W h / y r & a m p ; g t ; \ M E A S U R E & l t ; / K e y & g t ; & l t ; / D i a g r a m O b j e c t K e y & g t ; & l t ; D i a g r a m O b j e c t K e y & g t ; & l t ; K e y & g t ; L i n k s \ & a m p ; l t ; C o l u m n s \ S u m   o f   k B t u y r & a m p ; g t ; - & a m p ; l t ; M e a s u r e s \ k B t u / y r & a m p ; g t ; & l t ; / K e y & g t ; & l t ; / D i a g r a m O b j e c t K e y & g t ; & l t ; D i a g r a m O b j e c t K e y & g t ; & l t ; K e y & g t ; L i n k s \ & a m p ; l t ; C o l u m n s \ S u m   o f   k B t u y r & a m p ; g t ; - & a m p ; l t ; M e a s u r e s \ k B t u / y r & a m p ; g t ; \ C O L U M N & l t ; / K e y & g t ; & l t ; / D i a g r a m O b j e c t K e y & g t ; & l t ; D i a g r a m O b j e c t K e y & g t ; & l t ; K e y & g t ; L i n k s \ & a m p ; l t ; C o l u m n s \ S u m   o f   k B t u y r & a m p ; g t ; - & a m p ; l t ; M e a s u r e s \ k B t u / y r & a m p ; g t ; \ M E A S U R E & l t ; / K e y & g t ; & l t ; / D i a g r a m O b j e c t K e y & g t ; & l t ; D i a g r a m O b j e c t K e y & g t ; & l t ; K e y & g t ; L i n k s \ & a m p ; l t ; C o l u m n s \ S u m   o f   W f t 2 & a m p ; g t ; - & a m p ; l t ; M e a s u r e s \ W / f t 2 & a m p ; g t ; & l t ; / K e y & g t ; & l t ; / D i a g r a m O b j e c t K e y & g t ; & l t ; D i a g r a m O b j e c t K e y & g t ; & l t ; K e y & g t ; L i n k s \ & a m p ; l t ; C o l u m n s \ S u m   o f   W f t 2 & a m p ; g t ; - & a m p ; l t ; M e a s u r e s \ W / f t 2 & a m p ; g t ; \ C O L U M N & l t ; / K e y & g t ; & l t ; / D i a g r a m O b j e c t K e y & g t ; & l t ; D i a g r a m O b j e c t K e y & g t ; & l t ; K e y & g t ; L i n k s \ & a m p ; l t ; C o l u m n s \ S u m   o f   W f t 2 & a m p ; g t ; - & a m p ; l t ; M e a s u r e s \ W / f t 2 & a m p ; g t ; \ M E A S U R E & l t ; / K e y & g t ; & l t ; / D i a g r a m O b j e c t K e y & g t ; & l t ; D i a g r a m O b j e c t K e y & g t ; & l t ; K e y & g t ; L i n k s \ & a m p ; l t ; C o l u m n s \ S u m   o f   k B t u f t 2 - y r & a m p ; g t ; - & a m p ; l t ; M e a s u r e s \ k B t u / f t 2 - y r & a m p ; g t ; & l t ; / K e y & g t ; & l t ; / D i a g r a m O b j e c t K e y & g t ; & l t ; D i a g r a m O b j e c t K e y & g t ; & l t ; K e y & g t ; L i n k s \ & a m p ; l t ; C o l u m n s \ S u m   o f   k B t u f t 2 - y r & a m p ; g t ; - & a m p ; l t ; M e a s u r e s \ k B t u / f t 2 - y r & a m p ; g t ; \ C O L U M N & l t ; / K e y & g t ; & l t ; / D i a g r a m O b j e c t K e y & g t ; & l t ; D i a g r a m O b j e c t K e y & g t ; & l t ; K e y & g t ; L i n k s \ & a m p ; l t ; C o l u m n s \ S u m   o f   k B t u f t 2 - y r & a m p ; g t ; - & a m p ; l t ; M e a s u r e s \ k B t u / f t 2 - y r & a m p ; g t ; \ M E A S U R E & l t ; / K e y & g t ; & l t ; / D i a g r a m O b j e c t K e y & g t ; & l t ; D i a g r a m O b j e c t K e y & g t ; & l t ; K e y & g t ; L i n k s \ & a m p ; l t ; C o l u m n s \ S u m   o f   D e m a n d   W a t t & a m p ; g t ; - & a m p ; l t ; M e a s u r e s \ D e m a n d   W a t t & a m p ; g t ; & l t ; / K e y & g t ; & l t ; / D i a g r a m O b j e c t K e y & g t ; & l t ; D i a g r a m O b j e c t K e y & g t ; & l t ; K e y & g t ; L i n k s \ & a m p ; l t ; C o l u m n s \ S u m   o f   D e m a n d   W a t t & a m p ; g t ; - & a m p ; l t ; M e a s u r e s \ D e m a n d   W a t t & a m p ; g t ; \ C O L U M N & l t ; / K e y & g t ; & l t ; / D i a g r a m O b j e c t K e y & g t ; & l t ; D i a g r a m O b j e c t K e y & g t ; & l t ; K e y & g t ; L i n k s \ & a m p ; l t ; C o l u m n s \ S u m   o f   D e m a n d   W a t t & a m p ; g t ; - & a m p ; l t ; M e a s u r e s \ D e m a n d   W a t 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 k W h y r & l t ; / K e y & g t ; & l t ; / a : K e y & g t ; & l t ; a : V a l u e   i : t y p e = " M e a s u r e G r i d N o d e V i e w S t a t e " & g t ; & l t ; C o l u m n & g t ; 8 & l t ; / C o l u m n & g t ; & l t ; L a y e d O u t & g t ; t r u e & l t ; / L a y e d O u t & g t ; & l t ; W a s U I I n v i s i b l e & g t ; t r u e & l t ; / W a s U I I n v i s i b l e & g t ; & l t ; / a : V a l u e & g t ; & l t ; / a : K e y V a l u e O f D i a g r a m O b j e c t K e y a n y T y p e z b w N T n L X & g t ; & l t ; a : K e y V a l u e O f D i a g r a m O b j e c t K e y a n y T y p e z b w N T n L X & g t ; & l t ; a : K e y & g t ; & l t ; K e y & g t ; M e a s u r e s \ S u m   o f   k W h y r \ T a g I n f o \ F o r m u l a & l t ; / K e y & g t ; & l t ; / a : K e y & g t ; & l t ; a : V a l u e   i : t y p e = " M e a s u r e G r i d V i e w S t a t e I D i a g r a m T a g A d d i t i o n a l I n f o " / & g t ; & l t ; / a : K e y V a l u e O f D i a g r a m O b j e c t K e y a n y T y p e z b w N T n L X & g t ; & l t ; a : K e y V a l u e O f D i a g r a m O b j e c t K e y a n y T y p e z b w N T n L X & g t ; & l t ; a : K e y & g t ; & l t ; K e y & g t ; M e a s u r e s \ S u m   o f   k W h y r \ T a g I n f o \ V a l u e & l t ; / K e y & g t ; & l t ; / a : K e y & g t ; & l t ; a : V a l u e   i : t y p e = " M e a s u r e G r i d V i e w S t a t e I D i a g r a m T a g A d d i t i o n a l I n f o " / & g t ; & l t ; / a : K e y V a l u e O f D i a g r a m O b j e c t K e y a n y T y p e z b w N T n L X & g t ; & l t ; a : K e y V a l u e O f D i a g r a m O b j e c t K e y a n y T y p e z b w N T n L X & g t ; & l t ; a : K e y & g t ; & l t ; K e y & g t ; M e a s u r e s \ S u m   o f   k B t u y r & l t ; / K e y & g t ; & l t ; / a : K e y & g t ; & l t ; a : V a l u e   i : t y p e = " M e a s u r e G r i d N o d e V i e w S t a t e " & g t ; & l t ; C o l u m n & g t ; 1 0 & l t ; / C o l u m n & g t ; & l t ; L a y e d O u t & g t ; t r u e & l t ; / L a y e d O u t & g t ; & l t ; W a s U I I n v i s i b l e & g t ; t r u e & l t ; / W a s U I I n v i s i b l e & g t ; & l t ; / a : V a l u e & g t ; & l t ; / a : K e y V a l u e O f D i a g r a m O b j e c t K e y a n y T y p e z b w N T n L X & g t ; & l t ; a : K e y V a l u e O f D i a g r a m O b j e c t K e y a n y T y p e z b w N T n L X & g t ; & l t ; a : K e y & g t ; & l t ; K e y & g t ; M e a s u r e s \ S u m   o f   k B t u y r \ T a g I n f o \ F o r m u l a & l t ; / K e y & g t ; & l t ; / a : K e y & g t ; & l t ; a : V a l u e   i : t y p e = " M e a s u r e G r i d V i e w S t a t e I D i a g r a m T a g A d d i t i o n a l I n f o " / & g t ; & l t ; / a : K e y V a l u e O f D i a g r a m O b j e c t K e y a n y T y p e z b w N T n L X & g t ; & l t ; a : K e y V a l u e O f D i a g r a m O b j e c t K e y a n y T y p e z b w N T n L X & g t ; & l t ; a : K e y & g t ; & l t ; K e y & g t ; M e a s u r e s \ S u m   o f   k B t u y r \ T a g I n f o \ V a l u e & l t ; / K e y & g t ; & l t ; / a : K e y & g t ; & l t ; a : V a l u e   i : t y p e = " M e a s u r e G r i d V i e w S t a t e I D i a g r a m T a g A d d i t i o n a l I n f o " / & g t ; & l t ; / a : K e y V a l u e O f D i a g r a m O b j e c t K e y a n y T y p e z b w N T n L X & g t ; & l t ; a : K e y V a l u e O f D i a g r a m O b j e c t K e y a n y T y p e z b w N T n L X & g t ; & l t ; a : K e y & g t ; & l t ; K e y & g t ; M e a s u r e s \ S u m   o f   W f t 2 & l t ; / K e y & g t ; & l t ; / a : K e y & g t ; & l t ; a : V a l u e   i : t y p e = " M e a s u r e G r i d N o d e V i e w S t a t e " & g t ; & l t ; C o l u m n & g t ; 9 & l t ; / C o l u m n & g t ; & l t ; L a y e d O u t & g t ; t r u e & l t ; / L a y e d O u t & g t ; & l t ; W a s U I I n v i s i b l e & g t ; t r u e & l t ; / W a s U I I n v i s i b l e & g t ; & l t ; / a : V a l u e & g t ; & l t ; / a : K e y V a l u e O f D i a g r a m O b j e c t K e y a n y T y p e z b w N T n L X & g t ; & l t ; a : K e y V a l u e O f D i a g r a m O b j e c t K e y a n y T y p e z b w N T n L X & g t ; & l t ; a : K e y & g t ; & l t ; K e y & g t ; M e a s u r e s \ S u m   o f   W f t 2 \ T a g I n f o \ F o r m u l a & l t ; / K e y & g t ; & l t ; / a : K e y & g t ; & l t ; a : V a l u e   i : t y p e = " M e a s u r e G r i d V i e w S t a t e I D i a g r a m T a g A d d i t i o n a l I n f o " / & g t ; & l t ; / a : K e y V a l u e O f D i a g r a m O b j e c t K e y a n y T y p e z b w N T n L X & g t ; & l t ; a : K e y V a l u e O f D i a g r a m O b j e c t K e y a n y T y p e z b w N T n L X & g t ; & l t ; a : K e y & g t ; & l t ; K e y & g t ; M e a s u r e s \ S u m   o f   W f t 2 \ T a g I n f o \ V a l u e & l t ; / K e y & g t ; & l t ; / a : K e y & g t ; & l t ; a : V a l u e   i : t y p e = " M e a s u r e G r i d V i e w S t a t e I D i a g r a m T a g A d d i t i o n a l I n f o " / & g t ; & l t ; / a : K e y V a l u e O f D i a g r a m O b j e c t K e y a n y T y p e z b w N T n L X & g t ; & l t ; a : K e y V a l u e O f D i a g r a m O b j e c t K e y a n y T y p e z b w N T n L X & g t ; & l t ; a : K e y & g t ; & l t ; K e y & g t ; M e a s u r e s \ S u m   o f   k B t u f t 2 - y r & l t ; / K e y & g t ; & l t ; / a : K e y & g t ; & l t ; a : V a l u e   i : t y p e = " M e a s u r e G r i d N o d e V i e w S t a t e " & g t ; & l t ; C o l u m n & g t ; 1 1 & l t ; / C o l u m n & g t ; & l t ; L a y e d O u t & g t ; t r u e & l t ; / L a y e d O u t & g t ; & l t ; W a s U I I n v i s i b l e & g t ; t r u e & l t ; / W a s U I I n v i s i b l e & g t ; & l t ; / a : V a l u e & g t ; & l t ; / a : K e y V a l u e O f D i a g r a m O b j e c t K e y a n y T y p e z b w N T n L X & g t ; & l t ; a : K e y V a l u e O f D i a g r a m O b j e c t K e y a n y T y p e z b w N T n L X & g t ; & l t ; a : K e y & g t ; & l t ; K e y & g t ; M e a s u r e s \ S u m   o f   k B t u f t 2 - y r \ T a g I n f o \ F o r m u l a & l t ; / K e y & g t ; & l t ; / a : K e y & g t ; & l t ; a : V a l u e   i : t y p e = " M e a s u r e G r i d V i e w S t a t e I D i a g r a m T a g A d d i t i o n a l I n f o " / & g t ; & l t ; / a : K e y V a l u e O f D i a g r a m O b j e c t K e y a n y T y p e z b w N T n L X & g t ; & l t ; a : K e y V a l u e O f D i a g r a m O b j e c t K e y a n y T y p e z b w N T n L X & g t ; & l t ; a : K e y & g t ; & l t ; K e y & g t ; M e a s u r e s \ S u m   o f   k B t u f t 2 - y r \ T a g I n f o \ V a l u e & l t ; / K e y & g t ; & l t ; / a : K e y & g t ; & l t ; a : V a l u e   i : t y p e = " M e a s u r e G r i d V i e w S t a t e I D i a g r a m T a g A d d i t i o n a l I n f o " / & g t ; & l t ; / a : K e y V a l u e O f D i a g r a m O b j e c t K e y a n y T y p e z b w N T n L X & g t ; & l t ; a : K e y V a l u e O f D i a g r a m O b j e c t K e y a n y T y p e z b w N T n L X & g t ; & l t ; a : K e y & g t ; & l t ; K e y & g t ; M e a s u r e s \ S u m   o f   D e m a n d   W a t t & l t ; / K e y & g t ; & l t ; / a : K e y & g t ; & l t ; a : V a l u e   i : t y p e = " M e a s u r e G r i d N o d e V i e w S t a t e " & g t ; & l t ; C o l u m n & g t ; 7 & l t ; / C o l u m n & g t ; & l t ; L a y e d O u t & g t ; t r u e & l t ; / L a y e d O u t & g t ; & l t ; W a s U I I n v i s i b l e & g t ; t r u e & l t ; / W a s U I I n v i s i b l e & g t ; & l t ; / a : V a l u e & g t ; & l t ; / a : K e y V a l u e O f D i a g r a m O b j e c t K e y a n y T y p e z b w N T n L X & g t ; & l t ; a : K e y V a l u e O f D i a g r a m O b j e c t K e y a n y T y p e z b w N T n L X & g t ; & l t ; a : K e y & g t ; & l t ; K e y & g t ; M e a s u r e s \ S u m   o f   D e m a n d   W a t t \ T a g I n f o \ F o r m u l a & l t ; / K e y & g t ; & l t ; / a : K e y & g t ; & l t ; a : V a l u e   i : t y p e = " M e a s u r e G r i d V i e w S t a t e I D i a g r a m T a g A d d i t i o n a l I n f o " / & g t ; & l t ; / a : K e y V a l u e O f D i a g r a m O b j e c t K e y a n y T y p e z b w N T n L X & g t ; & l t ; a : K e y V a l u e O f D i a g r a m O b j e c t K e y a n y T y p e z b w N T n L X & g t ; & l t ; a : K e y & g t ; & l t ; K e y & g t ; M e a s u r e s \ S u m   o f   D e m a n d   W a t t \ T a g I n f o \ V a l u e & l t ; / K e y & g t ; & l t ; / a : K e y & g t ; & l t ; a : V a l u e   i : t y p e = " M e a s u r e G r i d V i e w S t a t e I D i a g r a m T a g A d d i t i o n a l I n f o " / & g t ; & l t ; / a : K e y V a l u e O f D i a g r a m O b j e c t K e y a n y T y p e z b w N T n L X & g t ; & l t ; a : K e y V a l u e O f D i a g r a m O b j e c t K e y a n y T y p e z b w N T n L X & g t ; & l t ; a : K e y & g t ; & l t ; K e y & g t ; C o l u m n s \ I s s u e   # & l t ; / K e y & g t ; & l t ; / a : K e y & g t ; & l t ; a : V a l u e   i : t y p e = " M e a s u r e G r i d N o d e V i e w S t a t e " & g t ; & l t ; L a y e d O u t & g t ; t r u e & l t ; / L a y e d O u t & g t ; & l t ; / a : V a l u e & g t ; & l t ; / a : K e y V a l u e O f D i a g r a m O b j e c t K e y a n y T y p e z b w N T n L X & g t ; & l t ; a : K e y V a l u e O f D i a g r a m O b j e c t K e y a n y T y p e z b w N T n L X & g t ; & l t ; a : K e y & g t ; & l t ; K e y & g t ; C o l u m n s \ S t a m p & l t ; / K e y & g t ; & l t ; / a : K e y & g t ; & l t ; a : V a l u e   i : t y p e = " M e a s u r e G r i d N o d e V i e w S t a t e " & g t ; & l t ; C o l u m n & g t ; 1 & l t ; / C o l u m n & g t ; & l t ; L a y e d O u t & g t ; t r u e & l t ; / L a y e d O u t & g t ; & l t ; / a : V a l u e & g t ; & l t ; / a : K e y V a l u e O f D i a g r a m O b j e c t K e y a n y T y p e z b w N T n L X & g t ; & l t ; a : K e y V a l u e O f D i a g r a m O b j e c t K e y a n y T y p e z b w N T n L X & g t ; & l t ; a : K e y & g t ; & l t ; K e y & g t ; C o l u m n s \ T i t l e & l t ; / K e y & g t ; & l t ; / a : K e y & g t ; & l t ; a : V a l u e   i : t y p e = " M e a s u r e G r i d N o d e V i e w S t a t e " & g t ; & l t ; C o l u m n & g t ; 2 & l t ; / C o l u m n & g t ; & l t ; L a y e d O u t & g t ; t r u e & l t ; / L a y e d O u t & g t ; & l t ; / a : V a l u e & g t ; & l t ; / a : K e y V a l u e O f D i a g r a m O b j e c t K e y a n y T y p e z b w N T n L X & g t ; & l t ; a : K e y V a l u e O f D i a g r a m O b j e c t K e y a n y T y p e z b w N T n L X & g t ; & l t ; a : K e y & g t ; & l t ; K e y & g t ; C o l u m n s \ D e s c r i p t i o n & l t ; / K e y & g t ; & l t ; / a : K e y & g t ; & l t ; a : V a l u e   i : t y p e = " M e a s u r e G r i d N o d e V i e w S t a t e " & g t ; & l t ; C o l u m n & g t ; 3 & l t ; / C o l u m n & g t ; & l t ; L a y e d O u t & g t ; t r u e & l t ; / L a y e d O u t & g t ; & l t ; / a : V a l u e & g t ; & l t ; / a : K e y V a l u e O f D i a g r a m O b j e c t K e y a n y T y p e z b w N T n L X & g t ; & l t ; a : K e y V a l u e O f D i a g r a m O b j e c t K e y a n y T y p e z b w N T n L X & g t ; & l t ; a : K e y & g t ; & l t ; K e y & g t ; C o l u m n s \ S p e c   W a t t a g e & l t ; / K e y & g t ; & l t ; / a : K e y & g t ; & l t ; a : V a l u e   i : t y p e = " M e a s u r e G r i d N o d e V i e w S t a t e " & g t ; & l t ; C o l u m n & g t ; 4 & l t ; / C o l u m n & g t ; & l t ; L a y e d O u t & g t ; t r u e & l t ; / L a y e d O u t & g t ; & l t ; / a : V a l u e & g t ; & l t ; / a : K e y V a l u e O f D i a g r a m O b j e c t K e y a n y T y p e z b w N T n L X & g t ; & l t ; a : K e y V a l u e O f D i a g r a m O b j e c t K e y a n y T y p e z b w N T n L X & g t ; & l t ; a : K e y & g t ; & l t ; K e y & g t ; C o l u m n s \ E q u i p m e n t   C o u n t & l t ; / K e y & g t ; & l t ; / a : K e y & g t ; & l t ; a : V a l u e   i : t y p e = " M e a s u r e G r i d N o d e V i e w S t a t e " & g t ; & l t ; C o l u m n & g t ; 5 & l t ; / C o l u m n & g t ; & l t ; L a y e d O u t & g t ; t r u e & l t ; / L a y e d O u t & g t ; & l t ; / a : V a l u e & g t ; & l t ; / a : K e y V a l u e O f D i a g r a m O b j e c t K e y a n y T y p e z b w N T n L X & g t ; & l t ; a : K e y V a l u e O f D i a g r a m O b j e c t K e y a n y T y p e z b w N T n L X & g t ; & l t ; a : K e y & g t ; & l t ; K e y & g t ; C o l u m n s \ U t i l i z a t i o n   % & l t ; / K e y & g t ; & l t ; / a : K e y & g t ; & l t ; a : V a l u e   i : t y p e = " M e a s u r e G r i d N o d e V i e w S t a t e " & g t ; & l t ; C o l u m n & g t ; 6 & l t ; / C o l u m n & g t ; & l t ; L a y e d O u t & g t ; t r u e & l t ; / L a y e d O u t & g t ; & l t ; / a : V a l u e & g t ; & l t ; / a : K e y V a l u e O f D i a g r a m O b j e c t K e y a n y T y p e z b w N T n L X & g t ; & l t ; a : K e y V a l u e O f D i a g r a m O b j e c t K e y a n y T y p e z b w N T n L X & g t ; & l t ; a : K e y & g t ; & l t ; K e y & g t ; C o l u m n s \ D e m a n d   W a t t & l t ; / K e y & g t ; & l t ; / a : K e y & g t ; & l t ; a : V a l u e   i : t y p e = " M e a s u r e G r i d N o d e V i e w S t a t e " & g t ; & l t ; C o l u m n & g t ; 7 & l t ; / C o l u m n & g t ; & l t ; L a y e d O u t & g t ; t r u e & l t ; / L a y e d O u t & g t ; & l t ; / a : V a l u e & g t ; & l t ; / a : K e y V a l u e O f D i a g r a m O b j e c t K e y a n y T y p e z b w N T n L X & g t ; & l t ; a : K e y V a l u e O f D i a g r a m O b j e c t K e y a n y T y p e z b w N T n L X & g t ; & l t ; a : K e y & g t ; & l t ; K e y & g t ; C o l u m n s \ k W h / y r & l t ; / K e y & g t ; & l t ; / a : K e y & g t ; & l t ; a : V a l u e   i : t y p e = " M e a s u r e G r i d N o d e V i e w S t a t e " & g t ; & l t ; C o l u m n & g t ; 8 & l t ; / C o l u m n & g t ; & l t ; L a y e d O u t & g t ; t r u e & l t ; / L a y e d O u t & g t ; & l t ; / a : V a l u e & g t ; & l t ; / a : K e y V a l u e O f D i a g r a m O b j e c t K e y a n y T y p e z b w N T n L X & g t ; & l t ; a : K e y V a l u e O f D i a g r a m O b j e c t K e y a n y T y p e z b w N T n L X & g t ; & l t ; a : K e y & g t ; & l t ; K e y & g t ; C o l u m n s \ W / f t 2 & l t ; / K e y & g t ; & l t ; / a : K e y & g t ; & l t ; a : V a l u e   i : t y p e = " M e a s u r e G r i d N o d e V i e w S t a t e " & g t ; & l t ; C o l u m n & g t ; 9 & l t ; / C o l u m n & g t ; & l t ; L a y e d O u t & g t ; t r u e & l t ; / L a y e d O u t & g t ; & l t ; / a : V a l u e & g t ; & l t ; / a : K e y V a l u e O f D i a g r a m O b j e c t K e y a n y T y p e z b w N T n L X & g t ; & l t ; a : K e y V a l u e O f D i a g r a m O b j e c t K e y a n y T y p e z b w N T n L X & g t ; & l t ; a : K e y & g t ; & l t ; K e y & g t ; C o l u m n s \ k B t u / y r & l t ; / K e y & g t ; & l t ; / a : K e y & g t ; & l t ; a : V a l u e   i : t y p e = " M e a s u r e G r i d N o d e V i e w S t a t e " & g t ; & l t ; C o l u m n & g t ; 1 0 & l t ; / C o l u m n & g t ; & l t ; L a y e d O u t & g t ; t r u e & l t ; / L a y e d O u t & g t ; & l t ; / a : V a l u e & g t ; & l t ; / a : K e y V a l u e O f D i a g r a m O b j e c t K e y a n y T y p e z b w N T n L X & g t ; & l t ; a : K e y V a l u e O f D i a g r a m O b j e c t K e y a n y T y p e z b w N T n L X & g t ; & l t ; a : K e y & g t ; & l t ; K e y & g t ; C o l u m n s \ k B t u / f t 2 - y r & l t ; / K e y & g t ; & l t ; / a : K e y & g t ; & l t ; a : V a l u e   i : t y p e = " M e a s u r e G r i d N o d e V i e w S t a t e " & g t ; & l t ; C o l u m n & g t ; 1 1 & l t ; / C o l u m n & g t ; & l t ; L a y e d O u t & g t ; t r u e & l t ; / L a y e d O u t & g t ; & l t ; / a : V a l u e & g t ; & l t ; / a : K e y V a l u e O f D i a g r a m O b j e c t K e y a n y T y p e z b w N T n L X & g t ; & l t ; a : K e y V a l u e O f D i a g r a m O b j e c t K e y a n y T y p e z b w N T n L X & g t ; & l t ; a : K e y & g t ; & l t ; K e y & g t ; C o l u m n s \ S h e e t & l t ; / K e y & g t ; & l t ; / a : K e y & g t ; & l t ; a : V a l u e   i : t y p e = " M e a s u r e G r i d N o d e V i e w S t a t e " & g t ; & l t ; C o l u m n & g t ; 1 2 & l t ; / C o l u m n & g t ; & l t ; L a y e d O u t & g t ; t r u e & l t ; / L a y e d O u t & g t ; & l t ; / a : V a l u e & g t ; & l t ; / a : K e y V a l u e O f D i a g r a m O b j e c t K e y a n y T y p e z b w N T n L X & g t ; & l t ; a : K e y V a l u e O f D i a g r a m O b j e c t K e y a n y T y p e z b w N T n L X & g t ; & l t ; a : K e y & g t ; & l t ; K e y & g t ; C o l u m n s \ #   P h o t o s & l t ; / K e y & g t ; & l t ; / a : K e y & g t ; & l t ; a : V a l u e   i : t y p e = " M e a s u r e G r i d N o d e V i e w S t a t e " & g t ; & l t ; C o l u m n & g t ; 1 3 & l t ; / C o l u m n & g t ; & l t ; L a y e d O u t & g t ; t r u e & l t ; / L a y e d O u t & g t ; & l t ; / a : V a l u e & g t ; & l t ; / a : K e y V a l u e O f D i a g r a m O b j e c t K e y a n y T y p e z b w N T n L X & g t ; & l t ; a : K e y V a l u e O f D i a g r a m O b j e c t K e y a n y T y p e z b w N T n L X & g t ; & l t ; a : K e y & g t ; & l t ; K e y & g t ; C o l u m n s \ C o l o r & l t ; / K e y & g t ; & l t ; / a : K e y & g t ; & l t ; a : V a l u e   i : t y p e = " M e a s u r e G r i d N o d e V i e w S t a t e " & g t ; & l t ; C o l u m n & g t ; 1 4 & l t ; / C o l u m n & g t ; & l t ; L a y e d O u t & g t ; t r u e & l t ; / L a y e d O u t & g t ; & l t ; / a : V a l u e & g t ; & l t ; / a : K e y V a l u e O f D i a g r a m O b j e c t K e y a n y T y p e z b w N T n L X & g t ; & l t ; a : K e y V a l u e O f D i a g r a m O b j e c t K e y a n y T y p e z b w N T n L X & g t ; & l t ; a : K e y & g t ; & l t ; K e y & g t ; C o l u m n s \ A r c h i v e d & l t ; / K e y & g t ; & l t ; / a : K e y & g t ; & l t ; a : V a l u e   i : t y p e = " M e a s u r e G r i d N o d e V i e w S t a t e " & g t ; & l t ; C o l u m n & g t ; 1 5 & l t ; / C o l u m n & g t ; & l t ; L a y e d O u t & g t ; t r u e & l t ; / L a y e d O u t & g t ; & l t ; / a : V a l u e & g t ; & l t ; / a : K e y V a l u e O f D i a g r a m O b j e c t K e y a n y T y p e z b w N T n L X & g t ; & l t ; a : K e y V a l u e O f D i a g r a m O b j e c t K e y a n y T y p e z b w N T n L X & g t ; & l t ; a : K e y & g t ; & l t ; K e y & g t ; C o l u m n s \ D a t e & l t ; / K e y & g t ; & l t ; / a : K e y & g t ; & l t ; a : V a l u e   i : t y p e = " M e a s u r e G r i d N o d e V i e w S t a t e " & g t ; & l t ; C o l u m n & g t ; 1 6 & l t ; / C o l u m n & g t ; & l t ; L a y e d O u t & g t ; t r u e & l t ; / L a y e d O u t & g t ; & l t ; / a : V a l u e & g t ; & l t ; / a : K e y V a l u e O f D i a g r a m O b j e c t K e y a n y T y p e z b w N T n L X & g t ; & l t ; a : K e y V a l u e O f D i a g r a m O b j e c t K e y a n y T y p e z b w N T n L X & g t ; & l t ; a : K e y & g t ; & l t ; K e y & g t ; C o l u m n s \ L a s t   U p d a t e d & l t ; / K e y & g t ; & l t ; / a : K e y & g t ; & l t ; a : V a l u e   i : t y p e = " M e a s u r e G r i d N o d e V i e w S t a t e " & g t ; & l t ; C o l u m n & g t ; 1 7 & l t ; / C o l u m n & g t ; & l t ; L a y e d O u t & g t ; t r u e & l t ; / L a y e d O u t & g t ; & l t ; / a : V a l u e & g t ; & l t ; / a : K e y V a l u e O f D i a g r a m O b j e c t K e y a n y T y p e z b w N T n L X & g t ; & l t ; a : K e y V a l u e O f D i a g r a m O b j e c t K e y a n y T y p e z b w N T n L X & g t ; & l t ; a : K e y & g t ; & l t ; K e y & g t ; C o l u m n s \ C r e a t e d   B y & l t ; / K e y & g t ; & l t ; / a : K e y & g t ; & l t ; a : V a l u e   i : t y p e = " M e a s u r e G r i d N o d e V i e w S t a t e " & g t ; & l t ; C o l u m n & g t ; 1 8 & l t ; / C o l u m n & g t ; & l t ; L a y e d O u t & g t ; t r u e & l t ; / L a y e d O u t & g t ; & l t ; / a : V a l u e & g t ; & l t ; / a : K e y V a l u e O f D i a g r a m O b j e c t K e y a n y T y p e z b w N T n L X & g t ; & l t ; a : K e y V a l u e O f D i a g r a m O b j e c t K e y a n y T y p e z b w N T n L X & g t ; & l t ; a : K e y & g t ; & l t ; K e y & g t ; L i n k s \ & a m p ; l t ; C o l u m n s \ S u m   o f   k W h y r & a m p ; g t ; - & a m p ; l t ; M e a s u r e s \ k W h / y r & a m p ; g t ; & l t ; / K e y & g t ; & l t ; / a : K e y & g t ; & l t ; a : V a l u e   i : t y p e = " M e a s u r e G r i d V i e w S t a t e I D i a g r a m L i n k " / & g t ; & l t ; / a : K e y V a l u e O f D i a g r a m O b j e c t K e y a n y T y p e z b w N T n L X & g t ; & l t ; a : K e y V a l u e O f D i a g r a m O b j e c t K e y a n y T y p e z b w N T n L X & g t ; & l t ; a : K e y & g t ; & l t ; K e y & g t ; L i n k s \ & a m p ; l t ; C o l u m n s \ S u m   o f   k W h y r & a m p ; g t ; - & a m p ; l t ; M e a s u r e s \ k W h / y r & a m p ; g t ; \ C O L U M N & l t ; / K e y & g t ; & l t ; / a : K e y & g t ; & l t ; a : V a l u e   i : t y p e = " M e a s u r e G r i d V i e w S t a t e I D i a g r a m L i n k E n d p o i n t " / & g t ; & l t ; / a : K e y V a l u e O f D i a g r a m O b j e c t K e y a n y T y p e z b w N T n L X & g t ; & l t ; a : K e y V a l u e O f D i a g r a m O b j e c t K e y a n y T y p e z b w N T n L X & g t ; & l t ; a : K e y & g t ; & l t ; K e y & g t ; L i n k s \ & a m p ; l t ; C o l u m n s \ S u m   o f   k W h y r & a m p ; g t ; - & a m p ; l t ; M e a s u r e s \ k W h / y r & a m p ; g t ; \ M E A S U R E & l t ; / K e y & g t ; & l t ; / a : K e y & g t ; & l t ; a : V a l u e   i : t y p e = " M e a s u r e G r i d V i e w S t a t e I D i a g r a m L i n k E n d p o i n t " / & g t ; & l t ; / a : K e y V a l u e O f D i a g r a m O b j e c t K e y a n y T y p e z b w N T n L X & g t ; & l t ; a : K e y V a l u e O f D i a g r a m O b j e c t K e y a n y T y p e z b w N T n L X & g t ; & l t ; a : K e y & g t ; & l t ; K e y & g t ; L i n k s \ & a m p ; l t ; C o l u m n s \ S u m   o f   k B t u y r & a m p ; g t ; - & a m p ; l t ; M e a s u r e s \ k B t u / y r & a m p ; g t ; & l t ; / K e y & g t ; & l t ; / a : K e y & g t ; & l t ; a : V a l u e   i : t y p e = " M e a s u r e G r i d V i e w S t a t e I D i a g r a m L i n k " / & g t ; & l t ; / a : K e y V a l u e O f D i a g r a m O b j e c t K e y a n y T y p e z b w N T n L X & g t ; & l t ; a : K e y V a l u e O f D i a g r a m O b j e c t K e y a n y T y p e z b w N T n L X & g t ; & l t ; a : K e y & g t ; & l t ; K e y & g t ; L i n k s \ & a m p ; l t ; C o l u m n s \ S u m   o f   k B t u y r & a m p ; g t ; - & a m p ; l t ; M e a s u r e s \ k B t u / y r & a m p ; g t ; \ C O L U M N & l t ; / K e y & g t ; & l t ; / a : K e y & g t ; & l t ; a : V a l u e   i : t y p e = " M e a s u r e G r i d V i e w S t a t e I D i a g r a m L i n k E n d p o i n t " / & g t ; & l t ; / a : K e y V a l u e O f D i a g r a m O b j e c t K e y a n y T y p e z b w N T n L X & g t ; & l t ; a : K e y V a l u e O f D i a g r a m O b j e c t K e y a n y T y p e z b w N T n L X & g t ; & l t ; a : K e y & g t ; & l t ; K e y & g t ; L i n k s \ & a m p ; l t ; C o l u m n s \ S u m   o f   k B t u y r & a m p ; g t ; - & a m p ; l t ; M e a s u r e s \ k B t u / y r & a m p ; g t ; \ M E A S U R E & l t ; / K e y & g t ; & l t ; / a : K e y & g t ; & l t ; a : V a l u e   i : t y p e = " M e a s u r e G r i d V i e w S t a t e I D i a g r a m L i n k E n d p o i n t " / & g t ; & l t ; / a : K e y V a l u e O f D i a g r a m O b j e c t K e y a n y T y p e z b w N T n L X & g t ; & l t ; a : K e y V a l u e O f D i a g r a m O b j e c t K e y a n y T y p e z b w N T n L X & g t ; & l t ; a : K e y & g t ; & l t ; K e y & g t ; L i n k s \ & a m p ; l t ; C o l u m n s \ S u m   o f   W f t 2 & a m p ; g t ; - & a m p ; l t ; M e a s u r e s \ W / f t 2 & a m p ; g t ; & l t ; / K e y & g t ; & l t ; / a : K e y & g t ; & l t ; a : V a l u e   i : t y p e = " M e a s u r e G r i d V i e w S t a t e I D i a g r a m L i n k " / & g t ; & l t ; / a : K e y V a l u e O f D i a g r a m O b j e c t K e y a n y T y p e z b w N T n L X & g t ; & l t ; a : K e y V a l u e O f D i a g r a m O b j e c t K e y a n y T y p e z b w N T n L X & g t ; & l t ; a : K e y & g t ; & l t ; K e y & g t ; L i n k s \ & a m p ; l t ; C o l u m n s \ S u m   o f   W f t 2 & a m p ; g t ; - & a m p ; l t ; M e a s u r e s \ W / f t 2 & a m p ; g t ; \ C O L U M N & l t ; / K e y & g t ; & l t ; / a : K e y & g t ; & l t ; a : V a l u e   i : t y p e = " M e a s u r e G r i d V i e w S t a t e I D i a g r a m L i n k E n d p o i n t " / & g t ; & l t ; / a : K e y V a l u e O f D i a g r a m O b j e c t K e y a n y T y p e z b w N T n L X & g t ; & l t ; a : K e y V a l u e O f D i a g r a m O b j e c t K e y a n y T y p e z b w N T n L X & g t ; & l t ; a : K e y & g t ; & l t ; K e y & g t ; L i n k s \ & a m p ; l t ; C o l u m n s \ S u m   o f   W f t 2 & a m p ; g t ; - & a m p ; l t ; M e a s u r e s \ W / f t 2 & a m p ; g t ; \ M E A S U R E & l t ; / K e y & g t ; & l t ; / a : K e y & g t ; & l t ; a : V a l u e   i : t y p e = " M e a s u r e G r i d V i e w S t a t e I D i a g r a m L i n k E n d p o i n t " / & g t ; & l t ; / a : K e y V a l u e O f D i a g r a m O b j e c t K e y a n y T y p e z b w N T n L X & g t ; & l t ; a : K e y V a l u e O f D i a g r a m O b j e c t K e y a n y T y p e z b w N T n L X & g t ; & l t ; a : K e y & g t ; & l t ; K e y & g t ; L i n k s \ & a m p ; l t ; C o l u m n s \ S u m   o f   k B t u f t 2 - y r & a m p ; g t ; - & a m p ; l t ; M e a s u r e s \ k B t u / f t 2 - y r & a m p ; g t ; & l t ; / K e y & g t ; & l t ; / a : K e y & g t ; & l t ; a : V a l u e   i : t y p e = " M e a s u r e G r i d V i e w S t a t e I D i a g r a m L i n k " / & g t ; & l t ; / a : K e y V a l u e O f D i a g r a m O b j e c t K e y a n y T y p e z b w N T n L X & g t ; & l t ; a : K e y V a l u e O f D i a g r a m O b j e c t K e y a n y T y p e z b w N T n L X & g t ; & l t ; a : K e y & g t ; & l t ; K e y & g t ; L i n k s \ & a m p ; l t ; C o l u m n s \ S u m   o f   k B t u f t 2 - y r & a m p ; g t ; - & a m p ; l t ; M e a s u r e s \ k B t u / f t 2 - y r & a m p ; g t ; \ C O L U M N & l t ; / K e y & g t ; & l t ; / a : K e y & g t ; & l t ; a : V a l u e   i : t y p e = " M e a s u r e G r i d V i e w S t a t e I D i a g r a m L i n k E n d p o i n t " / & g t ; & l t ; / a : K e y V a l u e O f D i a g r a m O b j e c t K e y a n y T y p e z b w N T n L X & g t ; & l t ; a : K e y V a l u e O f D i a g r a m O b j e c t K e y a n y T y p e z b w N T n L X & g t ; & l t ; a : K e y & g t ; & l t ; K e y & g t ; L i n k s \ & a m p ; l t ; C o l u m n s \ S u m   o f   k B t u f t 2 - y r & a m p ; g t ; - & a m p ; l t ; M e a s u r e s \ k B t u / f t 2 - y r & a m p ; g t ; \ M E A S U R E & l t ; / K e y & g t ; & l t ; / a : K e y & g t ; & l t ; a : V a l u e   i : t y p e = " M e a s u r e G r i d V i e w S t a t e I D i a g r a m L i n k E n d p o i n t " / & g t ; & l t ; / a : K e y V a l u e O f D i a g r a m O b j e c t K e y a n y T y p e z b w N T n L X & g t ; & l t ; a : K e y V a l u e O f D i a g r a m O b j e c t K e y a n y T y p e z b w N T n L X & g t ; & l t ; a : K e y & g t ; & l t ; K e y & g t ; L i n k s \ & a m p ; l t ; C o l u m n s \ S u m   o f   D e m a n d   W a t t & a m p ; g t ; - & a m p ; l t ; M e a s u r e s \ D e m a n d   W a t t & a m p ; g t ; & l t ; / K e y & g t ; & l t ; / a : K e y & g t ; & l t ; a : V a l u e   i : t y p e = " M e a s u r e G r i d V i e w S t a t e I D i a g r a m L i n k " / & g t ; & l t ; / a : K e y V a l u e O f D i a g r a m O b j e c t K e y a n y T y p e z b w N T n L X & g t ; & l t ; a : K e y V a l u e O f D i a g r a m O b j e c t K e y a n y T y p e z b w N T n L X & g t ; & l t ; a : K e y & g t ; & l t ; K e y & g t ; L i n k s \ & a m p ; l t ; C o l u m n s \ S u m   o f   D e m a n d   W a t t & a m p ; g t ; - & a m p ; l t ; M e a s u r e s \ D e m a n d   W a t t & a m p ; g t ; \ C O L U M N & l t ; / K e y & g t ; & l t ; / a : K e y & g t ; & l t ; a : V a l u e   i : t y p e = " M e a s u r e G r i d V i e w S t a t e I D i a g r a m L i n k E n d p o i n t " / & g t ; & l t ; / a : K e y V a l u e O f D i a g r a m O b j e c t K e y a n y T y p e z b w N T n L X & g t ; & l t ; a : K e y V a l u e O f D i a g r a m O b j e c t K e y a n y T y p e z b w N T n L X & g t ; & l t ; a : K e y & g t ; & l t ; K e y & g t ; L i n k s \ & a m p ; l t ; C o l u m n s \ S u m   o f   D e m a n d   W a t t & a m p ; g t ; - & a m p ; l t ; M e a s u r e s \ D e m a n d   W a t t & a m p ; g t ; \ M E A S U R E & l t ; / K e y & g t ; & l t ; / a : K e y & g t ; & l t ; a : V a l u e   i : t y p e = " M e a s u r e G r i d V i e w S t a t e I D i a g r a m L i n k E n d p o i n t " / & g t ; & l t ; / a : K e y V a l u e O f D i a g r a m O b j e c t K e y a n y T y p e z b w N T n L X & g t ; & l t ; / V i e w S t a t e s & g t ; & l t ; / D i a g r a m M a n a g e r . S e r i a l i z a b l e D i a g r a m & g t ; & l t ; D i a g r a m M a n a g e r . S e r i a l i z a b l e D i a g r a m & g t ; & l t ; A d a p t e r   i : t y p e = " M e a s u r e D i a g r a m S a n d b o x A d a p t e r " & g t ; & l t ; T a b l e N a m e & g t ; E l e c t r i c 2 7 & 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 i : t y p e = " S a n d b o x E d i t o r M e a s u r e G r i d K e y " & g t ; & l t ; T a b l e N a m e & g t ; E l e c t r i c 2 7 & l t ; / T a b l e N a m e & g t ; & l t ; / K e y & g t ; & l t ; M a i n t a i n e r 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 r e a d o n l y & l t ; / K e y & g t ; & l t ; / D i a g r a m O b j e c t K e y & g t ; & l t ; D i a g r a m O b j e c t K e y & g t ; & l t ; K e y & g t ; C o l u m n s \ S t a r t   D a t e   ( R e q u i r e d ) & l t ; / K e y & g t ; & l t ; / D i a g r a m O b j e c t K e y & g t ; & l t ; D i a g r a m O b j e c t K e y & g t ; & l t ; K e y & g t ; C o l u m n s \ E n d   D a t e   ( R e q u i r e d ) & l t ; / K e y & g t ; & l t ; / D i a g r a m O b j e c t K e y & g t ; & l t ; D i a g r a m O b j e c t K e y & g t ; & l t ; K e y & g t ; C o l u m n s \ U s a g e   ( R e q u i r e d ) & l t ; / K e y & g t ; & l t ; / D i a g r a m O b j e c t K e y & g t ; & l t ; D i a g r a m O b j e c t K e y & g t ; & l t ; K e y & g t ; C o l u m n s \ C o s t   ( O p t i o n a l ) & l t ; / K e y & g t ; & l t ; / D i a g r a m O b j e c t K e y & g t ; & l t ; D i a g r a m O b j e c t K e y & g t ; & l t ; K e y & g t ; C o l u m n s \ E s t i m a t i o n   ( R e q u i r e d ) & l t ; / K e y & g t ; & l t ; / D i a g r a m O b j e c t K e y & g t ; & l t ; D i a g r a m O b j e c t K e y & g t ; & l t ; K e y & g t ; C o l u m n s \ U s e / D a y   k W h & l t ; / K e y & g t ; & l t ; / D i a g r a m O b j e c t K e y & g t ; & l t ; D i a g r a m O b j e c t K e y & g t ; & l t ; K e y & g t ; C o l u m n s \ U n i t   C o s t & l t ; / K e y & g t ; & l t ; / D i a g r a m O b j e c t K e y & g t ; & l t ; D i a g r a m O b j e c t K e y & g t ; & l t ; K e y & g t ; M e a s u r e s \ S u m   o f   U s a g e   ( R e q u i r e d ) & l t ; / K e y & g t ; & l t ; / D i a g r a m O b j e c t K e y & g t ; & l t ; D i a g r a m O b j e c t K e y & g t ; & l t ; K e y & g t ; M e a s u r e s \ S u m   o f   U s a g e   ( R e q u i r e d ) \ T a g I n f o \ F o r m u l a & l t ; / K e y & g t ; & l t ; / D i a g r a m O b j e c t K e y & g t ; & l t ; D i a g r a m O b j e c t K e y & g t ; & l t ; K e y & g t ; M e a s u r e s \ S u m   o f   U s a g e   ( R e q u i r e d ) \ T a g I n f o \ V a l u e & l t ; / K e y & g t ; & l t ; / D i a g r a m O b j e c t K e y & g t ; & l t ; D i a g r a m O b j e c t K e y & g t ; & l t ; K e y & g t ; M e a s u r e s \ S u m   o f   U n i t   C o s t & l t ; / K e y & g t ; & l t ; / D i a g r a m O b j e c t K e y & g t ; & l t ; D i a g r a m O b j e c t K e y & g t ; & l t ; K e y & g t ; M e a s u r e s \ S u m   o f   U n i t   C o s t \ T a g I n f o \ F o r m u l a & l t ; / K e y & g t ; & l t ; / D i a g r a m O b j e c t K e y & g t ; & l t ; D i a g r a m O b j e c t K e y & g t ; & l t ; K e y & g t ; M e a s u r e s \ S u m   o f   U n i t   C o s t \ T a g I n f o \ V a l u e & l t ; / K e y & g t ; & l t ; / D i a g r a m O b j e c t K e y & g t ; & l t ; D i a g r a m O b j e c t K e y & g t ; & l t ; K e y & g t ; M e a s u r e s \ A v e r a g e   o f   U n i t   C o s t & l t ; / K e y & g t ; & l t ; / D i a g r a m O b j e c t K e y & g t ; & l t ; D i a g r a m O b j e c t K e y & g t ; & l t ; K e y & g t ; M e a s u r e s \ A v e r a g e   o f   U n i t   C o s t \ T a g I n f o \ F o r m u l a & l t ; / K e y & g t ; & l t ; / D i a g r a m O b j e c t K e y & g t ; & l t ; D i a g r a m O b j e c t K e y & g t ; & l t ; K e y & g t ; M e a s u r e s \ A v e r a g e   o f   U n i t   C o s t \ T a g I n f o \ V a l u e & l t ; / K e y & g t ; & l t ; / D i a g r a m O b j e c t K e y & g t ; & l t ; D i a g r a m O b j e c t K e y & g t ; & l t ; K e y & g t ; M e a s u r e s \ S u m   o f   C o s t   ( O p t i o n a l ) & l t ; / K e y & g t ; & l t ; / D i a g r a m O b j e c t K e y & g t ; & l t ; D i a g r a m O b j e c t K e y & g t ; & l t ; K e y & g t ; M e a s u r e s \ S u m   o f   C o s t   ( O p t i o n a l ) \ T a g I n f o \ F o r m u l a & l t ; / K e y & g t ; & l t ; / D i a g r a m O b j e c t K e y & g t ; & l t ; D i a g r a m O b j e c t K e y & g t ; & l t ; K e y & g t ; M e a s u r e s \ S u m   o f   C o s t   ( O p t i o n a l ) \ T a g I n f o \ V a l u e & l t ; / K e y & g t ; & l t ; / D i a g r a m O b j e c t K e y & g t ; & l t ; D i a g r a m O b j e c t K e y & g t ; & l t ; K e y & g t ; L i n k s \ & a m p ; l t ; C o l u m n s \ S u m   o f   U s a g e   ( R e q u i r e d ) & a m p ; g t ; - & a m p ; l t ; M e a s u r e s \ U s a g e   ( R e q u i r e d ) & a m p ; g t ; & l t ; / K e y & g t ; & l t ; / D i a g r a m O b j e c t K e y & g t ; & l t ; D i a g r a m O b j e c t K e y & g t ; & l t ; K e y & g t ; L i n k s \ & a m p ; l t ; C o l u m n s \ S u m   o f   U s a g e   ( R e q u i r e d ) & a m p ; g t ; - & a m p ; l t ; M e a s u r e s \ U s a g e   ( R e q u i r e d ) & a m p ; g t ; \ C O L U M N & l t ; / K e y & g t ; & l t ; / D i a g r a m O b j e c t K e y & g t ; & l t ; D i a g r a m O b j e c t K e y & g t ; & l t ; K e y & g t ; L i n k s \ & a m p ; l t ; C o l u m n s \ S u m   o f   U s a g e   ( R e q u i r e d ) & a m p ; g t ; - & a m p ; l t ; M e a s u r e s \ U s a g e   ( R e q u i r e d ) & a m p ; g t ; \ M E A S U R E & l t ; / K e y & g t ; & l t ; / D i a g r a m O b j e c t K e y & g t ; & l t ; D i a g r a m O b j e c t K e y & g t ; & l t ; K e y & g t ; L i n k s \ & a m p ; l t ; C o l u m n s \ S u m   o f   U n i t   C o s t & a m p ; g t ; - & a m p ; l t ; M e a s u r e s \ U n i t   C o s t & a m p ; g t ; & l t ; / K e y & g t ; & l t ; / D i a g r a m O b j e c t K e y & g t ; & l t ; D i a g r a m O b j e c t K e y & g t ; & l t ; K e y & g t ; L i n k s \ & a m p ; l t ; C o l u m n s \ S u m   o f   U n i t   C o s t & a m p ; g t ; - & a m p ; l t ; M e a s u r e s \ U n i t   C o s t & a m p ; g t ; \ C O L U M N & l t ; / K e y & g t ; & l t ; / D i a g r a m O b j e c t K e y & g t ; & l t ; D i a g r a m O b j e c t K e y & g t ; & l t ; K e y & g t ; L i n k s \ & a m p ; l t ; C o l u m n s \ S u m   o f   U n i t   C o s t & a m p ; g t ; - & a m p ; l t ; M e a s u r e s \ U n i t   C o s t & a m p ; g t ; \ M E A S U R E & l t ; / K e y & g t ; & l t ; / D i a g r a m O b j e c t K e y & g t ; & l t ; D i a g r a m O b j e c t K e y & g t ; & l t ; K e y & g t ; L i n k s \ & a m p ; l t ; C o l u m n s \ A v e r a g e   o f   U n i t   C o s t & a m p ; g t ; - & a m p ; l t ; M e a s u r e s \ U n i t   C o s t & a m p ; g t ; & l t ; / K e y & g t ; & l t ; / D i a g r a m O b j e c t K e y & g t ; & l t ; D i a g r a m O b j e c t K e y & g t ; & l t ; K e y & g t ; L i n k s \ & a m p ; l t ; C o l u m n s \ A v e r a g e   o f   U n i t   C o s t & a m p ; g t ; - & a m p ; l t ; M e a s u r e s \ U n i t   C o s t & a m p ; g t ; \ C O L U M N & l t ; / K e y & g t ; & l t ; / D i a g r a m O b j e c t K e y & g t ; & l t ; D i a g r a m O b j e c t K e y & g t ; & l t ; K e y & g t ; L i n k s \ & a m p ; l t ; C o l u m n s \ A v e r a g e   o f   U n i t   C o s t & a m p ; g t ; - & a m p ; l t ; M e a s u r e s \ U n i t   C o s t & a m p ; g t ; \ M E A S U R E & l t ; / K e y & g t ; & l t ; / D i a g r a m O b j e c t K e y & g t ; & l t ; D i a g r a m O b j e c t K e y & g t ; & l t ; K e y & g t ; L i n k s \ & a m p ; l t ; C o l u m n s \ S u m   o f   C o s t   ( O p t i o n a l ) & a m p ; g t ; - & a m p ; l t ; M e a s u r e s \ C o s t   ( O p t i o n a l ) & a m p ; g t ; & l t ; / K e y & g t ; & l t ; / D i a g r a m O b j e c t K e y & g t ; & l t ; D i a g r a m O b j e c t K e y & g t ; & l t ; K e y & g t ; L i n k s \ & a m p ; l t ; C o l u m n s \ S u m   o f   C o s t   ( O p t i o n a l ) & a m p ; g t ; - & a m p ; l t ; M e a s u r e s \ C o s t   ( O p t i o n a l ) & a m p ; g t ; \ C O L U M N & l t ; / K e y & g t ; & l t ; / D i a g r a m O b j e c t K e y & g t ; & l t ; D i a g r a m O b j e c t K e y & g t ; & l t ; K e y & g t ; L i n k s \ & a m p ; l t ; C o l u m n s \ S u m   o f   C o s t   ( O p t i o n a l ) & a m p ; g t ; - & a m p ; l t ; M e a s u r e s \ C o s t   ( O p t i o n a l ) & 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r t   D a t e   ( R e q u i r e d ) & l t ; / K e y & g t ; & l t ; / a : K e y & g t ; & l t ; a : V a l u e   i : t y p e = " M e a s u r e G r i d N o d e V i e w S t a t e " & g t ; & l t ; L a y e d O u t & g t ; t r u e & l t ; / L a y e d O u t & g t ; & l t ; / a : V a l u e & g t ; & l t ; / a : K e y V a l u e O f D i a g r a m O b j e c t K e y a n y T y p e z b w N T n L X & g t ; & l t ; a : K e y V a l u e O f D i a g r a m O b j e c t K e y a n y T y p e z b w N T n L X & g t ; & l t ; a : K e y & g t ; & l t ; K e y & g t ; C o l u m n s \ E n d   D a t e   ( R e q u i r e d ) & l t ; / K e y & g t ; & l t ; / a : K e y & g t ; & l t ; a : V a l u e   i : t y p e = " M e a s u r e G r i d N o d e V i e w S t a t e " & g t ; & l t ; C o l u m n & g t ; 1 & l t ; / C o l u m n & g t ; & l t ; L a y e d O u t & g t ; t r u e & l t ; / L a y e d O u t & g t ; & l t ; / a : V a l u e & g t ; & l t ; / a : K e y V a l u e O f D i a g r a m O b j e c t K e y a n y T y p e z b w N T n L X & g t ; & l t ; a : K e y V a l u e O f D i a g r a m O b j e c t K e y a n y T y p e z b w N T n L X & g t ; & l t ; a : K e y & g t ; & l t ; K e y & g t ; C o l u m n s \ U s a g e   ( R e q u i r e d ) & l t ; / K e y & g t ; & l t ; / a : K e y & g t ; & l t ; a : V a l u e   i : t y p e = " M e a s u r e G r i d N o d e V i e w S t a t e " & g t ; & l t ; C o l u m n & g t ; 2 & l t ; / C o l u m n & g t ; & l t ; L a y e d O u t & g t ; t r u e & l t ; / L a y e d O u t & g t ; & l t ; / a : V a l u e & g t ; & l t ; / a : K e y V a l u e O f D i a g r a m O b j e c t K e y a n y T y p e z b w N T n L X & g t ; & l t ; a : K e y V a l u e O f D i a g r a m O b j e c t K e y a n y T y p e z b w N T n L X & g t ; & l t ; a : K e y & g t ; & l t ; K e y & g t ; C o l u m n s \ C o s t   ( O p t i o n a l ) & l t ; / K e y & g t ; & l t ; / a : K e y & g t ; & l t ; a : V a l u e   i : t y p e = " M e a s u r e G r i d N o d e V i e w S t a t e " & g t ; & l t ; C o l u m n & g t ; 3 & l t ; / C o l u m n & g t ; & l t ; L a y e d O u t & g t ; t r u e & l t ; / L a y e d O u t & g t ; & l t ; / a : V a l u e & g t ; & l t ; / a : K e y V a l u e O f D i a g r a m O b j e c t K e y a n y T y p e z b w N T n L X & g t ; & l t ; a : K e y V a l u e O f D i a g r a m O b j e c t K e y a n y T y p e z b w N T n L X & g t ; & l t ; a : K e y & g t ; & l t ; K e y & g t ; C o l u m n s \ E s t i m a t i o n   ( R e q u i r e d ) & l t ; / K e y & g t ; & l t ; / a : K e y & g t ; & l t ; a : V a l u e   i : t y p e = " M e a s u r e G r i d N o d e V i e w S t a t e " & g t ; & l t ; C o l u m n & g t ; 4 & l t ; / C o l u m n & g t ; & l t ; L a y e d O u t & g t ; t r u e & l t ; / L a y e d O u t & g t ; & l t ; / a : V a l u e & g t ; & l t ; / a : K e y V a l u e O f D i a g r a m O b j e c t K e y a n y T y p e z b w N T n L X & g t ; & l t ; a : K e y V a l u e O f D i a g r a m O b j e c t K e y a n y T y p e z b w N T n L X & g t ; & l t ; a : K e y & g t ; & l t ; K e y & g t ; C o l u m n s \ U s e / D a y   k W h & l t ; / K e y & g t ; & l t ; / a : K e y & g t ; & l t ; a : V a l u e   i : t y p e = " M e a s u r e G r i d N o d e V i e w S t a t e " & g t ; & l t ; C o l u m n & g t ; 5 & l t ; / C o l u m n & g t ; & l t ; L a y e d O u t & g t ; t r u e & l t ; / L a y e d O u t & g t ; & l t ; / a : V a l u e & g t ; & l t ; / a : K e y V a l u e O f D i a g r a m O b j e c t K e y a n y T y p e z b w N T n L X & g t ; & l t ; a : K e y V a l u e O f D i a g r a m O b j e c t K e y a n y T y p e z b w N T n L X & g t ; & l t ; a : K e y & g t ; & l t ; K e y & g t ; C o l u m n s \ U n i t   C o s t & l t ; / K e y & g t ; & l t ; / a : K e y & g t ; & l t ; a : V a l u e   i : t y p e = " M e a s u r e G r i d N o d e V i e w S t a t e " & g t ; & l t ; C o l u m n & g t ; 6 & l t ; / C o l u m n & g t ; & l t ; L a y e d O u t & g t ; t r u e & l t ; / L a y e d O u t & g t ; & l t ; / a : V a l u e & g t ; & l t ; / a : K e y V a l u e O f D i a g r a m O b j e c t K e y a n y T y p e z b w N T n L X & g t ; & l t ; a : K e y V a l u e O f D i a g r a m O b j e c t K e y a n y T y p e z b w N T n L X & g t ; & l t ; a : K e y & g t ; & l t ; K e y & g t ; M e a s u r e s \ S u m   o f   U s a g e   ( R e q u i r e d ) & l t ; / K e y & g t ; & l t ; / a : K e y & g t ; & l t ; a : V a l u e   i : t y p e = " M e a s u r e G r i d N o d e V i e w S t a t e " / & g t ; & l t ; / a : K e y V a l u e O f D i a g r a m O b j e c t K e y a n y T y p e z b w N T n L X & g t ; & l t ; a : K e y V a l u e O f D i a g r a m O b j e c t K e y a n y T y p e z b w N T n L X & g t ; & l t ; a : K e y & g t ; & l t ; K e y & g t ; M e a s u r e s \ S u m   o f   U s a g e   ( R e q u i r e d ) \ T a g I n f o \ F o r m u l a & l t ; / K e y & g t ; & l t ; / a : K e y & g t ; & l t ; a : V a l u e   i : t y p e = " M e a s u r e G r i d V i e w S t a t e I D i a g r a m T a g A d d i t i o n a l I n f o " / & g t ; & l t ; / a : K e y V a l u e O f D i a g r a m O b j e c t K e y a n y T y p e z b w N T n L X & g t ; & l t ; a : K e y V a l u e O f D i a g r a m O b j e c t K e y a n y T y p e z b w N T n L X & g t ; & l t ; a : K e y & g t ; & l t ; K e y & g t ; M e a s u r e s \ S u m   o f   U s a g e   ( R e q u i r e d ) \ T a g I n f o \ V a l u e & l t ; / K e y & g t ; & l t ; / a : K e y & g t ; & l t ; a : V a l u e   i : t y p e = " M e a s u r e G r i d V i e w S t a t e I D i a g r a m T a g A d d i t i o n a l I n f o " / & g t ; & l t ; / a : K e y V a l u e O f D i a g r a m O b j e c t K e y a n y T y p e z b w N T n L X & g t ; & l t ; a : K e y V a l u e O f D i a g r a m O b j e c t K e y a n y T y p e z b w N T n L X & g t ; & l t ; a : K e y & g t ; & l t ; K e y & g t ; M e a s u r e s \ S u m   o f   U n i t   C o s t & l t ; / K e y & g t ; & l t ; / a : K e y & g t ; & l t ; a : V a l u e   i : t y p e = " M e a s u r e G r i d N o d e V i e w S t a t e " / & g t ; & l t ; / a : K e y V a l u e O f D i a g r a m O b j e c t K e y a n y T y p e z b w N T n L X & g t ; & l t ; a : K e y V a l u e O f D i a g r a m O b j e c t K e y a n y T y p e z b w N T n L X & g t ; & l t ; a : K e y & g t ; & l t ; K e y & g t ; M e a s u r e s \ S u m   o f   U n i t   C o s t \ T a g I n f o \ F o r m u l a & l t ; / K e y & g t ; & l t ; / a : K e y & g t ; & l t ; a : V a l u e   i : t y p e = " M e a s u r e G r i d V i e w S t a t e I D i a g r a m T a g A d d i t i o n a l I n f o " / & g t ; & l t ; / a : K e y V a l u e O f D i a g r a m O b j e c t K e y a n y T y p e z b w N T n L X & g t ; & l t ; a : K e y V a l u e O f D i a g r a m O b j e c t K e y a n y T y p e z b w N T n L X & g t ; & l t ; a : K e y & g t ; & l t ; K e y & g t ; M e a s u r e s \ S u m   o f   U n i t   C o s t \ T a g I n f o \ V a l u e & l t ; / K e y & g t ; & l t ; / a : K e y & g t ; & l t ; a : V a l u e   i : t y p e = " M e a s u r e G r i d V i e w S t a t e I D i a g r a m T a g A d d i t i o n a l I n f o " / & g t ; & l t ; / a : K e y V a l u e O f D i a g r a m O b j e c t K e y a n y T y p e z b w N T n L X & g t ; & l t ; a : K e y V a l u e O f D i a g r a m O b j e c t K e y a n y T y p e z b w N T n L X & g t ; & l t ; a : K e y & g t ; & l t ; K e y & g t ; M e a s u r e s \ A v e r a g e   o f   U n i t   C o s t & l t ; / K e y & g t ; & l t ; / a : K e y & g t ; & l t ; a : V a l u e   i : t y p e = " M e a s u r e G r i d N o d e V i e w S t a t e " / & g t ; & l t ; / a : K e y V a l u e O f D i a g r a m O b j e c t K e y a n y T y p e z b w N T n L X & g t ; & l t ; a : K e y V a l u e O f D i a g r a m O b j e c t K e y a n y T y p e z b w N T n L X & g t ; & l t ; a : K e y & g t ; & l t ; K e y & g t ; M e a s u r e s \ A v e r a g e   o f   U n i t   C o s t \ T a g I n f o \ F o r m u l a & l t ; / K e y & g t ; & l t ; / a : K e y & g t ; & l t ; a : V a l u e   i : t y p e = " M e a s u r e G r i d V i e w S t a t e I D i a g r a m T a g A d d i t i o n a l I n f o " / & g t ; & l t ; / a : K e y V a l u e O f D i a g r a m O b j e c t K e y a n y T y p e z b w N T n L X & g t ; & l t ; a : K e y V a l u e O f D i a g r a m O b j e c t K e y a n y T y p e z b w N T n L X & g t ; & l t ; a : K e y & g t ; & l t ; K e y & g t ; M e a s u r e s \ A v e r a g e   o f   U n i t   C o s t \ T a g I n f o \ V a l u e & l t ; / K e y & g t ; & l t ; / a : K e y & g t ; & l t ; a : V a l u e   i : t y p e = " M e a s u r e G r i d V i e w S t a t e I D i a g r a m T a g A d d i t i o n a l I n f o " / & g t ; & l t ; / a : K e y V a l u e O f D i a g r a m O b j e c t K e y a n y T y p e z b w N T n L X & g t ; & l t ; a : K e y V a l u e O f D i a g r a m O b j e c t K e y a n y T y p e z b w N T n L X & g t ; & l t ; a : K e y & g t ; & l t ; K e y & g t ; M e a s u r e s \ S u m   o f   C o s t   ( O p t i o n a l ) & l t ; / K e y & g t ; & l t ; / a : K e y & g t ; & l t ; a : V a l u e   i : t y p e = " M e a s u r e G r i d N o d e V i e w S t a t e " / & g t ; & l t ; / a : K e y V a l u e O f D i a g r a m O b j e c t K e y a n y T y p e z b w N T n L X & g t ; & l t ; a : K e y V a l u e O f D i a g r a m O b j e c t K e y a n y T y p e z b w N T n L X & g t ; & l t ; a : K e y & g t ; & l t ; K e y & g t ; M e a s u r e s \ S u m   o f   C o s t   ( O p t i o n a l ) \ T a g I n f o \ F o r m u l a & l t ; / K e y & g t ; & l t ; / a : K e y & g t ; & l t ; a : V a l u e   i : t y p e = " M e a s u r e G r i d V i e w S t a t e I D i a g r a m T a g A d d i t i o n a l I n f o " / & g t ; & l t ; / a : K e y V a l u e O f D i a g r a m O b j e c t K e y a n y T y p e z b w N T n L X & g t ; & l t ; a : K e y V a l u e O f D i a g r a m O b j e c t K e y a n y T y p e z b w N T n L X & g t ; & l t ; a : K e y & g t ; & l t ; K e y & g t ; M e a s u r e s \ S u m   o f   C o s t   ( O p t i o n a l ) \ T a g I n f o \ V a l u e & l t ; / K e y & g t ; & l t ; / a : K e y & g t ; & l t ; a : V a l u e   i : t y p e = " M e a s u r e G r i d V i e w S t a t e I D i a g r a m T a g A d d i t i o n a l I n f o " / & g t ; & l t ; / a : K e y V a l u e O f D i a g r a m O b j e c t K e y a n y T y p e z b w N T n L X & g t ; & l t ; a : K e y V a l u e O f D i a g r a m O b j e c t K e y a n y T y p e z b w N T n L X & g t ; & l t ; a : K e y & g t ; & l t ; K e y & g t ; L i n k s \ & a m p ; l t ; C o l u m n s \ S u m   o f   U s a g e   ( R e q u i r e d ) & a m p ; g t ; - & a m p ; l t ; M e a s u r e s \ U s a g e   ( R e q u i r e d ) & a m p ; g t ; & l t ; / K e y & g t ; & l t ; / a : K e y & g t ; & l t ; a : V a l u e   i : t y p e = " M e a s u r e G r i d V i e w S t a t e I D i a g r a m L i n k " / & g t ; & l t ; / a : K e y V a l u e O f D i a g r a m O b j e c t K e y a n y T y p e z b w N T n L X & g t ; & l t ; a : K e y V a l u e O f D i a g r a m O b j e c t K e y a n y T y p e z b w N T n L X & g t ; & l t ; a : K e y & g t ; & l t ; K e y & g t ; L i n k s \ & a m p ; l t ; C o l u m n s \ S u m   o f   U s a g e   ( R e q u i r e d ) & a m p ; g t ; - & a m p ; l t ; M e a s u r e s \ U s a g e   ( R e q u i r e d ) & a m p ; g t ; \ C O L U M N & l t ; / K e y & g t ; & l t ; / a : K e y & g t ; & l t ; a : V a l u e   i : t y p e = " M e a s u r e G r i d V i e w S t a t e I D i a g r a m L i n k E n d p o i n t " / & g t ; & l t ; / a : K e y V a l u e O f D i a g r a m O b j e c t K e y a n y T y p e z b w N T n L X & g t ; & l t ; a : K e y V a l u e O f D i a g r a m O b j e c t K e y a n y T y p e z b w N T n L X & g t ; & l t ; a : K e y & g t ; & l t ; K e y & g t ; L i n k s \ & a m p ; l t ; C o l u m n s \ S u m   o f   U s a g e   ( R e q u i r e d ) & a m p ; g t ; - & a m p ; l t ; M e a s u r e s \ U s a g e   ( R e q u i r e d ) & a m p ; g t ; \ M E A S U R E & l t ; / K e y & g t ; & l t ; / a : K e y & g t ; & l t ; a : V a l u e   i : t y p e = " M e a s u r e G r i d V i e w S t a t e I D i a g r a m L i n k E n d p o i n t " / & g t ; & l t ; / a : K e y V a l u e O f D i a g r a m O b j e c t K e y a n y T y p e z b w N T n L X & g t ; & l t ; a : K e y V a l u e O f D i a g r a m O b j e c t K e y a n y T y p e z b w N T n L X & g t ; & l t ; a : K e y & g t ; & l t ; K e y & g t ; L i n k s \ & a m p ; l t ; C o l u m n s \ S u m   o f   U n i t   C o s t & a m p ; g t ; - & a m p ; l t ; M e a s u r e s \ U n i t   C o s t & a m p ; g t ; & l t ; / K e y & g t ; & l t ; / a : K e y & g t ; & l t ; a : V a l u e   i : t y p e = " M e a s u r e G r i d V i e w S t a t e I D i a g r a m L i n k " / & g t ; & l t ; / a : K e y V a l u e O f D i a g r a m O b j e c t K e y a n y T y p e z b w N T n L X & g t ; & l t ; a : K e y V a l u e O f D i a g r a m O b j e c t K e y a n y T y p e z b w N T n L X & g t ; & l t ; a : K e y & g t ; & l t ; K e y & g t ; L i n k s \ & a m p ; l t ; C o l u m n s \ S u m   o f   U n i t   C o s t & a m p ; g t ; - & a m p ; l t ; M e a s u r e s \ U n i t   C o s t & a m p ; g t ; \ C O L U M N & l t ; / K e y & g t ; & l t ; / a : K e y & g t ; & l t ; a : V a l u e   i : t y p e = " M e a s u r e G r i d V i e w S t a t e I D i a g r a m L i n k E n d p o i n t " / & g t ; & l t ; / a : K e y V a l u e O f D i a g r a m O b j e c t K e y a n y T y p e z b w N T n L X & g t ; & l t ; a : K e y V a l u e O f D i a g r a m O b j e c t K e y a n y T y p e z b w N T n L X & g t ; & l t ; a : K e y & g t ; & l t ; K e y & g t ; L i n k s \ & a m p ; l t ; C o l u m n s \ S u m   o f   U n i t   C o s t & a m p ; g t ; - & a m p ; l t ; M e a s u r e s \ U n i t   C o s t & a m p ; g t ; \ M E A S U R E & l t ; / K e y & g t ; & l t ; / a : K e y & g t ; & l t ; a : V a l u e   i : t y p e = " M e a s u r e G r i d V i e w S t a t e I D i a g r a m L i n k E n d p o i n t " / & g t ; & l t ; / a : K e y V a l u e O f D i a g r a m O b j e c t K e y a n y T y p e z b w N T n L X & g t ; & l t ; a : K e y V a l u e O f D i a g r a m O b j e c t K e y a n y T y p e z b w N T n L X & g t ; & l t ; a : K e y & g t ; & l t ; K e y & g t ; L i n k s \ & a m p ; l t ; C o l u m n s \ A v e r a g e   o f   U n i t   C o s t & a m p ; g t ; - & a m p ; l t ; M e a s u r e s \ U n i t   C o s t & a m p ; g t ; & l t ; / K e y & g t ; & l t ; / a : K e y & g t ; & l t ; a : V a l u e   i : t y p e = " M e a s u r e G r i d V i e w S t a t e I D i a g r a m L i n k " / & g t ; & l t ; / a : K e y V a l u e O f D i a g r a m O b j e c t K e y a n y T y p e z b w N T n L X & g t ; & l t ; a : K e y V a l u e O f D i a g r a m O b j e c t K e y a n y T y p e z b w N T n L X & g t ; & l t ; a : K e y & g t ; & l t ; K e y & g t ; L i n k s \ & a m p ; l t ; C o l u m n s \ A v e r a g e   o f   U n i t   C o s t & a m p ; g t ; - & a m p ; l t ; M e a s u r e s \ U n i t   C o s t & a m p ; g t ; \ C O L U M N & l t ; / K e y & g t ; & l t ; / a : K e y & g t ; & l t ; a : V a l u e   i : t y p e = " M e a s u r e G r i d V i e w S t a t e I D i a g r a m L i n k E n d p o i n t " / & g t ; & l t ; / a : K e y V a l u e O f D i a g r a m O b j e c t K e y a n y T y p e z b w N T n L X & g t ; & l t ; a : K e y V a l u e O f D i a g r a m O b j e c t K e y a n y T y p e z b w N T n L X & g t ; & l t ; a : K e y & g t ; & l t ; K e y & g t ; L i n k s \ & a m p ; l t ; C o l u m n s \ A v e r a g e   o f   U n i t   C o s t & a m p ; g t ; - & a m p ; l t ; M e a s u r e s \ U n i t   C o s t & a m p ; g t ; \ M E A S U R E & l t ; / K e y & g t ; & l t ; / a : K e y & g t ; & l t ; a : V a l u e   i : t y p e = " M e a s u r e G r i d V i e w S t a t e I D i a g r a m L i n k E n d p o i n t " / & g t ; & l t ; / a : K e y V a l u e O f D i a g r a m O b j e c t K e y a n y T y p e z b w N T n L X & g t ; & l t ; a : K e y V a l u e O f D i a g r a m O b j e c t K e y a n y T y p e z b w N T n L X & g t ; & l t ; a : K e y & g t ; & l t ; K e y & g t ; L i n k s \ & a m p ; l t ; C o l u m n s \ S u m   o f   C o s t   ( O p t i o n a l ) & a m p ; g t ; - & a m p ; l t ; M e a s u r e s \ C o s t   ( O p t i o n a l ) & a m p ; g t ; & l t ; / K e y & g t ; & l t ; / a : K e y & g t ; & l t ; a : V a l u e   i : t y p e = " M e a s u r e G r i d V i e w S t a t e I D i a g r a m L i n k " / & g t ; & l t ; / a : K e y V a l u e O f D i a g r a m O b j e c t K e y a n y T y p e z b w N T n L X & g t ; & l t ; a : K e y V a l u e O f D i a g r a m O b j e c t K e y a n y T y p e z b w N T n L X & g t ; & l t ; a : K e y & g t ; & l t ; K e y & g t ; L i n k s \ & a m p ; l t ; C o l u m n s \ S u m   o f   C o s t   ( O p t i o n a l ) & a m p ; g t ; - & a m p ; l t ; M e a s u r e s \ C o s t   ( O p t i o n a l ) & a m p ; g t ; \ C O L U M N & l t ; / K e y & g t ; & l t ; / a : K e y & g t ; & l t ; a : V a l u e   i : t y p e = " M e a s u r e G r i d V i e w S t a t e I D i a g r a m L i n k E n d p o i n t " / & g t ; & l t ; / a : K e y V a l u e O f D i a g r a m O b j e c t K e y a n y T y p e z b w N T n L X & g t ; & l t ; a : K e y V a l u e O f D i a g r a m O b j e c t K e y a n y T y p e z b w N T n L X & g t ; & l t ; a : K e y & g t ; & l t ; K e y & g t ; L i n k s \ & a m p ; l t ; C o l u m n s \ S u m   o f   C o s t   ( O p t i o n a l ) & a m p ; g t ; - & a m p ; l t ; M e a s u r e s \ C o s t   ( O p t i o n a l ) & a m p ; g t ; \ M E A S U R E & l t ; / K e y & g t ; & l t ; / a : K e y & g t ; & l t ; a : V a l u e 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 T a g s \ T a b l e s \ & a m p ; l t ; T a b l e s \ A H U 1 C _ C H W & a m p ; g t ; & l t ; / K e y & g t ; & l t ; / D i a g r a m O b j e c t K e y & g t ; & l t ; D i a g r a m O b j e c t K e y & g t ; & l t ; K e y & g t ; D y n a m i c   T a g s \ T a b l e s \ & a m p ; l t ; T a b l e s \ P l a n G r i d & a m p ; g t ; & l t ; / K e y & g t ; & l t ; / D i a g r a m O b j e c t K e y & g t ; & l t ; D i a g r a m O b j e c t K e y & g t ; & l t ; K e y & g t ; D y n a m i c   T a g s \ T a b l e s \ & a m p ; l t ; T a b l e s \ A H U 1 B _ C H W & a m p ; g t ; & l t ; / K e y & g t ; & l t ; / D i a g r a m O b j e c t K e y & g t ; & l t ; D i a g r a m O b j e c t K e y & g t ; & l t ; K e y & g t ; D y n a m i c   T a g s \ T a b l e s \ & a m p ; l t ; T a b l e s \ E l e c t r i c 2 7 & a m p ; g t ; & l t ; / K e y & g t ; & l t ; / D i a g r a m O b j e c t K e y & g t ; & l t ; D i a g r a m O b j e c t K e y & g t ; & l t ; K e y & g t ; T a b l e s \ A H U 1 C _ C H W & l t ; / K e y & g t ; & l t ; / D i a g r a m O b j e c t K e y & g t ; & l t ; D i a g r a m O b j e c t K e y & g t ; & l t ; K e y & g t ; T a b l e s \ A H U 1 C _ C H W \ C o l u m n s \ S t a r t   D a t e   ( R e q u i r e d ) & l t ; / K e y & g t ; & l t ; / D i a g r a m O b j e c t K e y & g t ; & l t ; D i a g r a m O b j e c t K e y & g t ; & l t ; K e y & g t ; T a b l e s \ A H U 1 C _ C H W \ C o l u m n s \ E n d   D a t e   ( R e q u i r e d ) & l t ; / K e y & g t ; & l t ; / D i a g r a m O b j e c t K e y & g t ; & l t ; D i a g r a m O b j e c t K e y & g t ; & l t ; K e y & g t ; T a b l e s \ A H U 1 C _ C H W \ C o l u m n s \ U s a g e   ( R e q u i r e d ) & l t ; / K e y & g t ; & l t ; / D i a g r a m O b j e c t K e y & g t ; & l t ; D i a g r a m O b j e c t K e y & g t ; & l t ; K e y & g t ; T a b l e s \ A H U 1 C _ C H W \ C o l u m n s \ C o s t   ( O p t i o n a l ) & l t ; / K e y & g t ; & l t ; / D i a g r a m O b j e c t K e y & g t ; & l t ; D i a g r a m O b j e c t K e y & g t ; & l t ; K e y & g t ; T a b l e s \ A H U 1 C _ C H W \ C o l u m n s \ E s t i m a t i o n   ( R e q u i r e d ) & l t ; / K e y & g t ; & l t ; / D i a g r a m O b j e c t K e y & g t ; & l t ; D i a g r a m O b j e c t K e y & g t ; & l t ; K e y & g t ; T a b l e s \ A H U 1 C _ C H W \ C o l u m n s \ U s e / D a y & l t ; / K e y & g t ; & l t ; / D i a g r a m O b j e c t K e y & g t ; & l t ; D i a g r a m O b j e c t K e y & g t ; & l t ; K e y & g t ; T a b l e s \ A H U 1 C _ C H W \ C o l u m n s \ U n i t   C o s t & l t ; / K e y & g t ; & l t ; / D i a g r a m O b j e c t K e y & g t ; & l t ; D i a g r a m O b j e c t K e y & g t ; & l t ; K e y & g t ; T a b l e s \ A H U 1 C _ C H W \ C o l u m n s \ D e m a n d   W a t t & l t ; / K e y & g t ; & l t ; / D i a g r a m O b j e c t K e y & g t ; & l t ; D i a g r a m O b j e c t K e y & g t ; & l t ; K e y & g t ; T a b l e s \ A H U 1 C _ C H W \ M e a s u r e s \ S u m   o f   D e m a n d   W a t t   3 & l t ; / K e y & g t ; & l t ; / D i a g r a m O b j e c t K e y & g t ; & l t ; D i a g r a m O b j e c t K e y & g t ; & l t ; K e y & g t ; T a b l e s \ A H U 1 C _ C H W \ S u m   o f   D e m a n d   W a t t   3 \ A d d i t i o n a l   I n f o \ I m p l i c i t   C a l c u l a t e d   F i e l d & l t ; / K e y & g t ; & l t ; / D i a g r a m O b j e c t K e y & g t ; & l t ; D i a g r a m O b j e c t K e y & g t ; & l t ; K e y & g t ; T a b l e s \ P l a n G r i d & l t ; / K e y & g t ; & l t ; / D i a g r a m O b j e c t K e y & g t ; & l t ; D i a g r a m O b j e c t K e y & g t ; & l t ; K e y & g t ; T a b l e s \ P l a n G r i d \ C o l u m n s \ I s s u e   # & l t ; / K e y & g t ; & l t ; / D i a g r a m O b j e c t K e y & g t ; & l t ; D i a g r a m O b j e c t K e y & g t ; & l t ; K e y & g t ; T a b l e s \ P l a n G r i d \ C o l u m n s \ S t a m p & l t ; / K e y & g t ; & l t ; / D i a g r a m O b j e c t K e y & g t ; & l t ; D i a g r a m O b j e c t K e y & g t ; & l t ; K e y & g t ; T a b l e s \ P l a n G r i d \ C o l u m n s \ T i t l e & l t ; / K e y & g t ; & l t ; / D i a g r a m O b j e c t K e y & g t ; & l t ; D i a g r a m O b j e c t K e y & g t ; & l t ; K e y & g t ; T a b l e s \ P l a n G r i d \ C o l u m n s \ D e s c r i p t i o n & l t ; / K e y & g t ; & l t ; / D i a g r a m O b j e c t K e y & g t ; & l t ; D i a g r a m O b j e c t K e y & g t ; & l t ; K e y & g t ; T a b l e s \ P l a n G r i d \ C o l u m n s \ S p e c   W a t t a g e & l t ; / K e y & g t ; & l t ; / D i a g r a m O b j e c t K e y & g t ; & l t ; D i a g r a m O b j e c t K e y & g t ; & l t ; K e y & g t ; T a b l e s \ P l a n G r i d \ C o l u m n s \ E q u i p m e n t   C o u n t & l t ; / K e y & g t ; & l t ; / D i a g r a m O b j e c t K e y & g t ; & l t ; D i a g r a m O b j e c t K e y & g t ; & l t ; K e y & g t ; T a b l e s \ P l a n G r i d \ C o l u m n s \ U t i l i z a t i o n   % & l t ; / K e y & g t ; & l t ; / D i a g r a m O b j e c t K e y & g t ; & l t ; D i a g r a m O b j e c t K e y & g t ; & l t ; K e y & g t ; T a b l e s \ P l a n G r i d \ C o l u m n s \ D e m a n d   W a t t & l t ; / K e y & g t ; & l t ; / D i a g r a m O b j e c t K e y & g t ; & l t ; D i a g r a m O b j e c t K e y & g t ; & l t ; K e y & g t ; T a b l e s \ P l a n G r i d \ C o l u m n s \ k W h / y r & l t ; / K e y & g t ; & l t ; / D i a g r a m O b j e c t K e y & g t ; & l t ; D i a g r a m O b j e c t K e y & g t ; & l t ; K e y & g t ; T a b l e s \ P l a n G r i d \ C o l u m n s \ W / f t 2 & l t ; / K e y & g t ; & l t ; / D i a g r a m O b j e c t K e y & g t ; & l t ; D i a g r a m O b j e c t K e y & g t ; & l t ; K e y & g t ; T a b l e s \ P l a n G r i d \ C o l u m n s \ k B t u / y r & l t ; / K e y & g t ; & l t ; / D i a g r a m O b j e c t K e y & g t ; & l t ; D i a g r a m O b j e c t K e y & g t ; & l t ; K e y & g t ; T a b l e s \ P l a n G r i d \ C o l u m n s \ k B t u / f t 2 - y r & l t ; / K e y & g t ; & l t ; / D i a g r a m O b j e c t K e y & g t ; & l t ; D i a g r a m O b j e c t K e y & g t ; & l t ; K e y & g t ; T a b l e s \ P l a n G r i d \ C o l u m n s \ S h e e t & l t ; / K e y & g t ; & l t ; / D i a g r a m O b j e c t K e y & g t ; & l t ; D i a g r a m O b j e c t K e y & g t ; & l t ; K e y & g t ; T a b l e s \ P l a n G r i d \ C o l u m n s \ #   P h o t o s & l t ; / K e y & g t ; & l t ; / D i a g r a m O b j e c t K e y & g t ; & l t ; D i a g r a m O b j e c t K e y & g t ; & l t ; K e y & g t ; T a b l e s \ P l a n G r i d \ C o l u m n s \ C o l o r & l t ; / K e y & g t ; & l t ; / D i a g r a m O b j e c t K e y & g t ; & l t ; D i a g r a m O b j e c t K e y & g t ; & l t ; K e y & g t ; T a b l e s \ P l a n G r i d \ C o l u m n s \ A r c h i v e d & l t ; / K e y & g t ; & l t ; / D i a g r a m O b j e c t K e y & g t ; & l t ; D i a g r a m O b j e c t K e y & g t ; & l t ; K e y & g t ; T a b l e s \ P l a n G r i d \ C o l u m n s \ D a t e & l t ; / K e y & g t ; & l t ; / D i a g r a m O b j e c t K e y & g t ; & l t ; D i a g r a m O b j e c t K e y & g t ; & l t ; K e y & g t ; T a b l e s \ P l a n G r i d \ C o l u m n s \ L a s t   U p d a t e d & l t ; / K e y & g t ; & l t ; / D i a g r a m O b j e c t K e y & g t ; & l t ; D i a g r a m O b j e c t K e y & g t ; & l t ; K e y & g t ; T a b l e s \ P l a n G r i d \ C o l u m n s \ C r e a t e d   B y & l t ; / K e y & g t ; & l t ; / D i a g r a m O b j e c t K e y & g t ; & l t ; D i a g r a m O b j e c t K e y & g t ; & l t ; K e y & g t ; T a b l e s \ P l a n G r i d \ M e a s u r e s \ S u m   o f   k W h y r & l t ; / K e y & g t ; & l t ; / D i a g r a m O b j e c t K e y & g t ; & l t ; D i a g r a m O b j e c t K e y & g t ; & l t ; K e y & g t ; T a b l e s \ P l a n G r i d \ S u m   o f   k W h y r \ A d d i t i o n a l   I n f o \ I m p l i c i t   C a l c u l a t e d   F i e l d & l t ; / K e y & g t ; & l t ; / D i a g r a m O b j e c t K e y & g t ; & l t ; D i a g r a m O b j e c t K e y & g t ; & l t ; K e y & g t ; T a b l e s \ P l a n G r i d \ M e a s u r e s \ S u m   o f   k B t u y r & l t ; / K e y & g t ; & l t ; / D i a g r a m O b j e c t K e y & g t ; & l t ; D i a g r a m O b j e c t K e y & g t ; & l t ; K e y & g t ; T a b l e s \ P l a n G r i d \ S u m   o f   k B t u y r \ A d d i t i o n a l   I n f o \ I m p l i c i t   C a l c u l a t e d   F i e l d & l t ; / K e y & g t ; & l t ; / D i a g r a m O b j e c t K e y & g t ; & l t ; D i a g r a m O b j e c t K e y & g t ; & l t ; K e y & g t ; T a b l e s \ P l a n G r i d \ M e a s u r e s \ S u m   o f   W f t 2 & l t ; / K e y & g t ; & l t ; / D i a g r a m O b j e c t K e y & g t ; & l t ; D i a g r a m O b j e c t K e y & g t ; & l t ; K e y & g t ; T a b l e s \ P l a n G r i d \ S u m   o f   W f t 2 \ A d d i t i o n a l   I n f o \ I m p l i c i t   C a l c u l a t e d   F i e l d & l t ; / K e y & g t ; & l t ; / D i a g r a m O b j e c t K e y & g t ; & l t ; D i a g r a m O b j e c t K e y & g t ; & l t ; K e y & g t ; T a b l e s \ P l a n G r i d \ M e a s u r e s \ S u m   o f   k B t u f t 2 - y r & l t ; / K e y & g t ; & l t ; / D i a g r a m O b j e c t K e y & g t ; & l t ; D i a g r a m O b j e c t K e y & g t ; & l t ; K e y & g t ; T a b l e s \ P l a n G r i d \ S u m   o f   k B t u f t 2 - y r \ A d d i t i o n a l   I n f o \ I m p l i c i t   C a l c u l a t e d   F i e l d & l t ; / K e y & g t ; & l t ; / D i a g r a m O b j e c t K e y & g t ; & l t ; D i a g r a m O b j e c t K e y & g t ; & l t ; K e y & g t ; T a b l e s \ P l a n G r i d \ M e a s u r e s \ S u m   o f   D e m a n d   W a t t & l t ; / K e y & g t ; & l t ; / D i a g r a m O b j e c t K e y & g t ; & l t ; D i a g r a m O b j e c t K e y & g t ; & l t ; K e y & g t ; T a b l e s \ P l a n G r i d \ S u m   o f   D e m a n d   W a t t \ A d d i t i o n a l   I n f o \ I m p l i c i t   C a l c u l a t e d   F i e l d & l t ; / K e y & g t ; & l t ; / D i a g r a m O b j e c t K e y & g t ; & l t ; D i a g r a m O b j e c t K e y & g t ; & l t ; K e y & g t ; T a b l e s \ A H U 1 B _ C H W & l t ; / K e y & g t ; & l t ; / D i a g r a m O b j e c t K e y & g t ; & l t ; D i a g r a m O b j e c t K e y & g t ; & l t ; K e y & g t ; T a b l e s \ A H U 1 B _ C H W \ C o l u m n s \ S t a r t   D a t e   ( R e q u i r e d ) & l t ; / K e y & g t ; & l t ; / D i a g r a m O b j e c t K e y & g t ; & l t ; D i a g r a m O b j e c t K e y & g t ; & l t ; K e y & g t ; T a b l e s \ A H U 1 B _ C H W \ C o l u m n s \ E n d   D a t e   ( R e q u i r e d ) & l t ; / K e y & g t ; & l t ; / D i a g r a m O b j e c t K e y & g t ; & l t ; D i a g r a m O b j e c t K e y & g t ; & l t ; K e y & g t ; T a b l e s \ A H U 1 B _ C H W \ C o l u m n s \ U s a g e   ( R e q u i r e d ) & l t ; / K e y & g t ; & l t ; / D i a g r a m O b j e c t K e y & g t ; & l t ; D i a g r a m O b j e c t K e y & g t ; & l t ; K e y & g t ; T a b l e s \ A H U 1 B _ C H W \ C o l u m n s \ C o s t   ( O p t i o n a l ) & l t ; / K e y & g t ; & l t ; / D i a g r a m O b j e c t K e y & g t ; & l t ; D i a g r a m O b j e c t K e y & g t ; & l t ; K e y & g t ; T a b l e s \ A H U 1 B _ C H W \ C o l u m n s \ E s t i m a t i o n   ( R e q u i r e d ) & l t ; / K e y & g t ; & l t ; / D i a g r a m O b j e c t K e y & g t ; & l t ; D i a g r a m O b j e c t K e y & g t ; & l t ; K e y & g t ; T a b l e s \ A H U 1 B _ C H W \ C o l u m n s \ U s e / D a y & l t ; / K e y & g t ; & l t ; / D i a g r a m O b j e c t K e y & g t ; & l t ; D i a g r a m O b j e c t K e y & g t ; & l t ; K e y & g t ; T a b l e s \ A H U 1 B _ C H W \ C o l u m n s \ U n i t   C o s t & l t ; / K e y & g t ; & l t ; / D i a g r a m O b j e c t K e y & g t ; & l t ; D i a g r a m O b j e c t K e y & g t ; & l t ; K e y & g t ; T a b l e s \ A H U 1 B _ C H W \ C o l u m n s \ D e m a n d   W a t t & l t ; / K e y & g t ; & l t ; / D i a g r a m O b j e c t K e y & g t ; & l t ; D i a g r a m O b j e c t K e y & g t ; & l t ; K e y & g t ; T a b l e s \ A H U 1 B _ C H W \ M e a s u r e s \ S u m   o f   D e m a n d   W a t t   2 & l t ; / K e y & g t ; & l t ; / D i a g r a m O b j e c t K e y & g t ; & l t ; D i a g r a m O b j e c t K e y & g t ; & l t ; K e y & g t ; T a b l e s \ A H U 1 B _ C H W \ S u m   o f   D e m a n d   W a t t   2 \ A d d i t i o n a l   I n f o \ I m p l i c i t   C a l c u l a t e d   F i e l d & l t ; / K e y & g t ; & l t ; / D i a g r a m O b j e c t K e y & g t ; & l t ; D i a g r a m O b j e c t K e y & g t ; & l t ; K e y & g t ; T a b l e s \ E l e c t r i c 2 7 & l t ; / K e y & g t ; & l t ; / D i a g r a m O b j e c t K e y & g t ; & l t ; D i a g r a m O b j e c t K e y & g t ; & l t ; K e y & g t ; T a b l e s \ E l e c t r i c 2 7 \ C o l u m n s \ S t a r t   D a t e   ( R e q u i r e d ) & l t ; / K e y & g t ; & l t ; / D i a g r a m O b j e c t K e y & g t ; & l t ; D i a g r a m O b j e c t K e y & g t ; & l t ; K e y & g t ; T a b l e s \ E l e c t r i c 2 7 \ C o l u m n s \ E n d   D a t e   ( R e q u i r e d ) & l t ; / K e y & g t ; & l t ; / D i a g r a m O b j e c t K e y & g t ; & l t ; D i a g r a m O b j e c t K e y & g t ; & l t ; K e y & g t ; T a b l e s \ E l e c t r i c 2 7 \ C o l u m n s \ U s a g e   ( R e q u i r e d ) & l t ; / K e y & g t ; & l t ; / D i a g r a m O b j e c t K e y & g t ; & l t ; D i a g r a m O b j e c t K e y & g t ; & l t ; K e y & g t ; T a b l e s \ E l e c t r i c 2 7 \ C o l u m n s \ C o s t   ( O p t i o n a l ) & l t ; / K e y & g t ; & l t ; / D i a g r a m O b j e c t K e y & g t ; & l t ; D i a g r a m O b j e c t K e y & g t ; & l t ; K e y & g t ; T a b l e s \ E l e c t r i c 2 7 \ C o l u m n s \ E s t i m a t i o n   ( R e q u i r e d ) & l t ; / K e y & g t ; & l t ; / D i a g r a m O b j e c t K e y & g t ; & l t ; D i a g r a m O b j e c t K e y & g t ; & l t ; K e y & g t ; T a b l e s \ E l e c t r i c 2 7 \ C o l u m n s \ U s e / D a y   k W h & l t ; / K e y & g t ; & l t ; / D i a g r a m O b j e c t K e y & g t ; & l t ; D i a g r a m O b j e c t K e y & g t ; & l t ; K e y & g t ; T a b l e s \ E l e c t r i c 2 7 \ C o l u m n s \ U n i t   C o s t & l t ; / K e y & g t ; & l t ; / D i a g r a m O b j e c t K e y & g t ; & l t ; D i a g r a m O b j e c t K e y & g t ; & l t ; K e y & g t ; T a b l e s \ E l e c t r i c 2 7 \ M e a s u r e s \ S u m   o f   U s a g e   ( R e q u i r e d ) & l t ; / K e y & g t ; & l t ; / D i a g r a m O b j e c t K e y & g t ; & l t ; D i a g r a m O b j e c t K e y & g t ; & l t ; K e y & g t ; T a b l e s \ E l e c t r i c 2 7 \ S u m   o f   U s a g e   ( R e q u i r e d ) \ A d d i t i o n a l   I n f o \ I m p l i c i t   C a l c u l a t e d   F i e l d & l t ; / K e y & g t ; & l t ; / D i a g r a m O b j e c t K e y & g t ; & l t ; D i a g r a m O b j e c t K e y & g t ; & l t ; K e y & g t ; T a b l e s \ E l e c t r i c 2 7 \ M e a s u r e s \ S u m   o f   U n i t   C o s t & l t ; / K e y & g t ; & l t ; / D i a g r a m O b j e c t K e y & g t ; & l t ; D i a g r a m O b j e c t K e y & g t ; & l t ; K e y & g t ; T a b l e s \ E l e c t r i c 2 7 \ S u m   o f   U n i t   C o s t \ A d d i t i o n a l   I n f o \ I m p l i c i t   C a l c u l a t e d   F i e l d & l t ; / K e y & g t ; & l t ; / D i a g r a m O b j e c t K e y & g t ; & l t ; D i a g r a m O b j e c t K e y & g t ; & l t ; K e y & g t ; T a b l e s \ E l e c t r i c 2 7 \ M e a s u r e s \ A v e r a g e   o f   U n i t   C o s t & l t ; / K e y & g t ; & l t ; / D i a g r a m O b j e c t K e y & g t ; & l t ; D i a g r a m O b j e c t K e y & g t ; & l t ; K e y & g t ; T a b l e s \ E l e c t r i c 2 7 \ A v e r a g e   o f   U n i t   C o s t \ A d d i t i o n a l   I n f o \ I m p l i c i t   C a l c u l a t e d   F i e l d & l t ; / K e y & g t ; & l t ; / D i a g r a m O b j e c t K e y & g t ; & l t ; D i a g r a m O b j e c t K e y & g t ; & l t ; K e y & g t ; T a b l e s \ E l e c t r i c 2 7 \ M e a s u r e s \ S u m   o f   C o s t   ( O p t i o n a l ) & l t ; / K e y & g t ; & l t ; / D i a g r a m O b j e c t K e y & g t ; & l t ; D i a g r a m O b j e c t K e y & g t ; & l t ; K e y & g t ; T a b l e s \ E l e c t r i c 2 7 \ S u m   o f   C o s t   ( O p t i o n a l ) \ A d d i t i o n a l   I n f o \ I m p l i c i t   C a l c u l a t e d   F i e l d & l t ; / K e y & g t ; & l t ; / D i a g r a m O b j e c t K e y & g t ; & l t ; D i a g r a m O b j e c t K e y & g t ; & l t ; K e y & g t ; R e l a t i o n s h i p s \ & a m p ; l t ; T a b l e s \ P l a n G r i d \ C o l u m n s \ D e m a n d   W a t t & a m p ; g t ; - & a m p ; l t ; T a b l e s \ A H U 1 B _ C H W \ C o l u m n s \ D e m a n d   W a t t & a m p ; g t ; & l t ; / K e y & g t ; & l t ; / D i a g r a m O b j e c t K e y & g t ; & l t ; D i a g r a m O b j e c t K e y & g t ; & l t ; K e y & g t ; R e l a t i o n s h i p s \ & a m p ; l t ; T a b l e s \ P l a n G r i d \ C o l u m n s \ D e m a n d   W a t t & a m p ; g t ; - & a m p ; l t ; T a b l e s \ A H U 1 B _ C H W \ C o l u m n s \ D e m a n d   W a t t & a m p ; g t ; \ F K & l t ; / K e y & g t ; & l t ; / D i a g r a m O b j e c t K e y & g t ; & l t ; D i a g r a m O b j e c t K e y & g t ; & l t ; K e y & g t ; R e l a t i o n s h i p s \ & a m p ; l t ; T a b l e s \ P l a n G r i d \ C o l u m n s \ D e m a n d   W a t t & a m p ; g t ; - & a m p ; l t ; T a b l e s \ A H U 1 B _ C H W \ C o l u m n s \ D e m a n d   W a t t & a m p ; g t ; \ P K & l t ; / K e y & g t ; & l t ; / D i a g r a m O b j e c t K e y & g t ; & l t ; D i a g r a m O b j e c t K e y & g t ; & l t ; K e y & g t ; R e l a t i o n s h i p s \ & a m p ; l t ; T a b l e s \ P l a n G r i d \ C o l u m n s \ D e m a n d   W a t t & a m p ; g t ; - & a m p ; l t ; T a b l e s \ A H U 1 C _ C H W \ C o l u m n s \ D e m a n d   W a t t & a m p ; g t ; & l t ; / K e y & g t ; & l t ; / D i a g r a m O b j e c t K e y & g t ; & l t ; D i a g r a m O b j e c t K e y & g t ; & l t ; K e y & g t ; R e l a t i o n s h i p s \ & a m p ; l t ; T a b l e s \ P l a n G r i d \ C o l u m n s \ D e m a n d   W a t t & a m p ; g t ; - & a m p ; l t ; T a b l e s \ A H U 1 C _ C H W \ C o l u m n s \ D e m a n d   W a t t & a m p ; g t ; \ F K & l t ; / K e y & g t ; & l t ; / D i a g r a m O b j e c t K e y & g t ; & l t ; D i a g r a m O b j e c t K e y & g t ; & l t ; K e y & g t ; R e l a t i o n s h i p s \ & a m p ; l t ; T a b l e s \ P l a n G r i d \ C o l u m n s \ D e m a n d   W a t t & a m p ; g t ; - & a m p ; l t ; T a b l e s \ A H U 1 C _ C H W \ C o l u m n s \ D e m a n d   W a t t & a m p ; g t ; \ P K & l t ; / K e y & g t ; & l t ; / D i a g r a m O b j e c t K e y & g t ; & l t ; D i a g r a m O b j e c t K e y & g t ; & l t ; K e y & g t ; R e l a t i o n s h i p s \ & a m p ; l t ; T a b l e s \ P l a n G r i d \ C o l u m n s \ k W h / y r & a m p ; g t ; - & a m p ; l t ; T a b l e s \ E l e c t r i c 2 7 \ C o l u m n s \ U n i t   C o s t & a m p ; g t ; & l t ; / K e y & g t ; & l t ; / D i a g r a m O b j e c t K e y & g t ; & l t ; D i a g r a m O b j e c t K e y & g t ; & l t ; K e y & g t ; R e l a t i o n s h i p s \ & a m p ; l t ; T a b l e s \ P l a n G r i d \ C o l u m n s \ k W h / y r & a m p ; g t ; - & a m p ; l t ; T a b l e s \ E l e c t r i c 2 7 \ C o l u m n s \ U n i t   C o s t & a m p ; g t ; \ F K & l t ; / K e y & g t ; & l t ; / D i a g r a m O b j e c t K e y & g t ; & l t ; D i a g r a m O b j e c t K e y & g t ; & l t ; K e y & g t ; R e l a t i o n s h i p s \ & a m p ; l t ; T a b l e s \ P l a n G r i d \ C o l u m n s \ k W h / y r & a m p ; g t ; - & a m p ; l t ; T a b l e s \ E l e c t r i c 2 7 \ C o l u m n s \ U n i t   C o s t & 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V e r t i c a l O f f s e t & g t ; 1 1 . 9 8 9 9 7 3 3 2 7 0 5 5 1 6 8 & l t ; / S c r o l l V e r t i c 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 T a g s \ T a b l e s \ & a m p ; l t ; T a b l e s \ A H U 1 C _ C H W & a m p ; g t ; & l t ; / K e y & g t ; & l t ; / a : K e y & g t ; & l t ; a : V a l u e   i : t y p e = " D i a g r a m D i s p l a y T a g V i e w S t a t e " & g t ; & l t ; I s N o t F i l t e r e d O u t & g t ; t r u e & l t ; / I s N o t F i l t e r e d O u t & g t ; & l t ; / a : V a l u e & g t ; & l t ; / a : K e y V a l u e O f D i a g r a m O b j e c t K e y a n y T y p e z b w N T n L X & g t ; & l t ; a : K e y V a l u e O f D i a g r a m O b j e c t K e y a n y T y p e z b w N T n L X & g t ; & l t ; a : K e y & g t ; & l t ; K e y & g t ; D y n a m i c   T a g s \ T a b l e s \ & a m p ; l t ; T a b l e s \ P l a n G r i d & a m p ; g t ; & l t ; / K e y & g t ; & l t ; / a : K e y & g t ; & l t ; a : V a l u e   i : t y p e = " D i a g r a m D i s p l a y T a g V i e w S t a t e " & g t ; & l t ; I s N o t F i l t e r e d O u t & g t ; t r u e & l t ; / I s N o t F i l t e r e d O u t & g t ; & l t ; / a : V a l u e & g t ; & l t ; / a : K e y V a l u e O f D i a g r a m O b j e c t K e y a n y T y p e z b w N T n L X & g t ; & l t ; a : K e y V a l u e O f D i a g r a m O b j e c t K e y a n y T y p e z b w N T n L X & g t ; & l t ; a : K e y & g t ; & l t ; K e y & g t ; D y n a m i c   T a g s \ T a b l e s \ & a m p ; l t ; T a b l e s \ A H U 1 B _ C H W & a m p ; g t ; & l t ; / K e y & g t ; & l t ; / a : K e y & g t ; & l t ; a : V a l u e   i : t y p e = " D i a g r a m D i s p l a y T a g V i e w S t a t e " & g t ; & l t ; I s N o t F i l t e r e d O u t & g t ; t r u e & l t ; / I s N o t F i l t e r e d O u t & g t ; & l t ; / a : V a l u e & g t ; & l t ; / a : K e y V a l u e O f D i a g r a m O b j e c t K e y a n y T y p e z b w N T n L X & g t ; & l t ; a : K e y V a l u e O f D i a g r a m O b j e c t K e y a n y T y p e z b w N T n L X & g t ; & l t ; a : K e y & g t ; & l t ; K e y & g t ; D y n a m i c   T a g s \ T a b l e s \ & a m p ; l t ; T a b l e s \ E l e c t r i c 2 7 & a m p ; g t ; & l t ; / K e y & g t ; & l t ; / a : K e y & g t ; & l t ; a : V a l u e   i : t y p e = " D i a g r a m D i s p l a y T a g V i e w S t a t e " & g t ; & l t ; I s N o t F i l t e r e d O u t & g t ; t r u e & l t ; / I s N o t F i l t e r e d O u t & g t ; & l t ; / a : V a l u e & g t ; & l t ; / a : K e y V a l u e O f D i a g r a m O b j e c t K e y a n y T y p e z b w N T n L X & g t ; & l t ; a : K e y V a l u e O f D i a g r a m O b j e c t K e y a n y T y p e z b w N T n L X & g t ; & l t ; a : K e y & g t ; & l t ; K e y & g t ; T a b l e s \ A H U 1 C _ C H W & l t ; / K e y & g t ; & l t ; / a : K e y & g t ; & l t ; a : V a l u e   i : t y p e = " D i a g r a m D i s p l a y N o d e V i e w S t a t e " & g t ; & l t ; H e i g h t & g t ; 2 5 4 & l t ; / H e i g h t & g t ; & l t ; I s E x p a n d e d & g t ; t r u e & l t ; / I s E x p a n d e d & g t ; & l t ; L a y e d O u t & g t ; t r u e & l t ; / L a y e d O u t & g t ; & l t ; T o p & g t ; 5 . 6 8 4 3 4 1 8 8 6 0 8 0 8 0 1 5 E - 1 4 & l t ; / T o p & g t ; & l t ; W i d t h & g t ; 2 0 0 & l t ; / W i d t h & g t ; & l t ; / a : V a l u e & g t ; & l t ; / a : K e y V a l u e O f D i a g r a m O b j e c t K e y a n y T y p e z b w N T n L X & g t ; & l t ; a : K e y V a l u e O f D i a g r a m O b j e c t K e y a n y T y p e z b w N T n L X & g t ; & l t ; a : K e y & g t ; & l t ; K e y & g t ; T a b l e s \ A H U 1 C _ C H W \ C o l u m n s \ S t a r t   D a t e   ( R e q u i r e d ) & l t ; / K e y & g t ; & l t ; / a : K e y & g t ; & l t ; a : V a l u e   i : t y p e = " D i a g r a m D i s p l a y N o d e V i e w S t a t e " & g t ; & l t ; H e i g h t & g t ; 1 5 0 & l t ; / H e i g h t & g t ; & l t ; I s E x p a n d e d & g t ; t r u e & l t ; / I s E x p a n d e d & g t ; & l t ; W i d t h & g t ; 2 0 0 & l t ; / W i d t h & g t ; & l t ; / a : V a l u e & g t ; & l t ; / a : K e y V a l u e O f D i a g r a m O b j e c t K e y a n y T y p e z b w N T n L X & g t ; & l t ; a : K e y V a l u e O f D i a g r a m O b j e c t K e y a n y T y p e z b w N T n L X & g t ; & l t ; a : K e y & g t ; & l t ; K e y & g t ; T a b l e s \ A H U 1 C _ C H W \ C o l u m n s \ E n d   D a t e   ( R e q u i r e d ) & l t ; / K e y & g t ; & l t ; / a : K e y & g t ; & l t ; a : V a l u e   i : t y p e = " D i a g r a m D i s p l a y N o d e V i e w S t a t e " & g t ; & l t ; H e i g h t & g t ; 1 5 0 & l t ; / H e i g h t & g t ; & l t ; I s E x p a n d e d & g t ; t r u e & l t ; / I s E x p a n d e d & g t ; & l t ; W i d t h & g t ; 2 0 0 & l t ; / W i d t h & g t ; & l t ; / a : V a l u e & g t ; & l t ; / a : K e y V a l u e O f D i a g r a m O b j e c t K e y a n y T y p e z b w N T n L X & g t ; & l t ; a : K e y V a l u e O f D i a g r a m O b j e c t K e y a n y T y p e z b w N T n L X & g t ; & l t ; a : K e y & g t ; & l t ; K e y & g t ; T a b l e s \ A H U 1 C _ C H W \ C o l u m n s \ U s a g e   ( R e q u i r e d ) & l t ; / K e y & g t ; & l t ; / a : K e y & g t ; & l t ; a : V a l u e   i : t y p e = " D i a g r a m D i s p l a y N o d e V i e w S t a t e " & g t ; & l t ; H e i g h t & g t ; 1 5 0 & l t ; / H e i g h t & g t ; & l t ; I s E x p a n d e d & g t ; t r u e & l t ; / I s E x p a n d e d & g t ; & l t ; W i d t h & g t ; 2 0 0 & l t ; / W i d t h & g t ; & l t ; / a : V a l u e & g t ; & l t ; / a : K e y V a l u e O f D i a g r a m O b j e c t K e y a n y T y p e z b w N T n L X & g t ; & l t ; a : K e y V a l u e O f D i a g r a m O b j e c t K e y a n y T y p e z b w N T n L X & g t ; & l t ; a : K e y & g t ; & l t ; K e y & g t ; T a b l e s \ A H U 1 C _ C H W \ C o l u m n s \ C o s t   ( O p t i o n a l ) & l t ; / K e y & g t ; & l t ; / a : K e y & g t ; & l t ; a : V a l u e   i : t y p e = " D i a g r a m D i s p l a y N o d e V i e w S t a t e " & g t ; & l t ; H e i g h t & g t ; 1 5 0 & l t ; / H e i g h t & g t ; & l t ; I s E x p a n d e d & g t ; t r u e & l t ; / I s E x p a n d e d & g t ; & l t ; W i d t h & g t ; 2 0 0 & l t ; / W i d t h & g t ; & l t ; / a : V a l u e & g t ; & l t ; / a : K e y V a l u e O f D i a g r a m O b j e c t K e y a n y T y p e z b w N T n L X & g t ; & l t ; a : K e y V a l u e O f D i a g r a m O b j e c t K e y a n y T y p e z b w N T n L X & g t ; & l t ; a : K e y & g t ; & l t ; K e y & g t ; T a b l e s \ A H U 1 C _ C H W \ C o l u m n s \ E s t i m a t i o n   ( R e q u i r e d ) & l t ; / K e y & g t ; & l t ; / a : K e y & g t ; & l t ; a : V a l u e   i : t y p e = " D i a g r a m D i s p l a y N o d e V i e w S t a t e " & g t ; & l t ; H e i g h t & g t ; 1 5 0 & l t ; / H e i g h t & g t ; & l t ; I s E x p a n d e d & g t ; t r u e & l t ; / I s E x p a n d e d & g t ; & l t ; W i d t h & g t ; 2 0 0 & l t ; / W i d t h & g t ; & l t ; / a : V a l u e & g t ; & l t ; / a : K e y V a l u e O f D i a g r a m O b j e c t K e y a n y T y p e z b w N T n L X & g t ; & l t ; a : K e y V a l u e O f D i a g r a m O b j e c t K e y a n y T y p e z b w N T n L X & g t ; & l t ; a : K e y & g t ; & l t ; K e y & g t ; T a b l e s \ A H U 1 C _ C H W \ C o l u m n s \ U s e / D a y & l t ; / K e y & g t ; & l t ; / a : K e y & g t ; & l t ; a : V a l u e   i : t y p e = " D i a g r a m D i s p l a y N o d e V i e w S t a t e " & g t ; & l t ; H e i g h t & g t ; 1 5 0 & l t ; / H e i g h t & g t ; & l t ; I s E x p a n d e d & g t ; t r u e & l t ; / I s E x p a n d e d & g t ; & l t ; W i d t h & g t ; 2 0 0 & l t ; / W i d t h & g t ; & l t ; / a : V a l u e & g t ; & l t ; / a : K e y V a l u e O f D i a g r a m O b j e c t K e y a n y T y p e z b w N T n L X & g t ; & l t ; a : K e y V a l u e O f D i a g r a m O b j e c t K e y a n y T y p e z b w N T n L X & g t ; & l t ; a : K e y & g t ; & l t ; K e y & g t ; T a b l e s \ A H U 1 C _ C H W \ C o l u m n s \ U n i t   C o s t & l t ; / K e y & g t ; & l t ; / a : K e y & g t ; & l t ; a : V a l u e   i : t y p e = " D i a g r a m D i s p l a y N o d e V i e w S t a t e " & g t ; & l t ; H e i g h t & g t ; 1 5 0 & l t ; / H e i g h t & g t ; & l t ; I s E x p a n d e d & g t ; t r u e & l t ; / I s E x p a n d e d & g t ; & l t ; W i d t h & g t ; 2 0 0 & l t ; / W i d t h & g t ; & l t ; / a : V a l u e & g t ; & l t ; / a : K e y V a l u e O f D i a g r a m O b j e c t K e y a n y T y p e z b w N T n L X & g t ; & l t ; a : K e y V a l u e O f D i a g r a m O b j e c t K e y a n y T y p e z b w N T n L X & g t ; & l t ; a : K e y & g t ; & l t ; K e y & g t ; T a b l e s \ A H U 1 C _ C H W \ C o l u m n s \ D e m a n d   W a t t & l t ; / K e y & g t ; & l t ; / a : K e y & g t ; & l t ; a : V a l u e   i : t y p e = " D i a g r a m D i s p l a y N o d e V i e w S t a t e " & g t ; & l t ; H e i g h t & g t ; 1 5 0 & l t ; / H e i g h t & g t ; & l t ; I s E x p a n d e d & g t ; t r u e & l t ; / I s E x p a n d e d & g t ; & l t ; W i d t h & g t ; 2 0 0 & l t ; / W i d t h & g t ; & l t ; / a : V a l u e & g t ; & l t ; / a : K e y V a l u e O f D i a g r a m O b j e c t K e y a n y T y p e z b w N T n L X & g t ; & l t ; a : K e y V a l u e O f D i a g r a m O b j e c t K e y a n y T y p e z b w N T n L X & g t ; & l t ; a : K e y & g t ; & l t ; K e y & g t ; T a b l e s \ A H U 1 C _ C H W \ M e a s u r e s \ S u m   o f   D e m a n d   W a t t   3 & l t ; / K e y & g t ; & l t ; / a : K e y & g t ; & l t ; a : V a l u e   i : t y p e = " D i a g r a m D i s p l a y N o d e V i e w S t a t e " & g t ; & l t ; H e i g h t & g t ; 1 5 0 & l t ; / H e i g h t & g t ; & l t ; I s E x p a n d e d & g t ; t r u e & l t ; / I s E x p a n d e d & g t ; & l t ; W i d t h & g t ; 2 0 0 & l t ; / W i d t h & g t ; & l t ; / a : V a l u e & g t ; & l t ; / a : K e y V a l u e O f D i a g r a m O b j e c t K e y a n y T y p e z b w N T n L X & g t ; & l t ; a : K e y V a l u e O f D i a g r a m O b j e c t K e y a n y T y p e z b w N T n L X & g t ; & l t ; a : K e y & g t ; & l t ; K e y & g t ; T a b l e s \ A H U 1 C _ C H W \ S u m   o f   D e m a n d   W a t t   3 \ A d d i t i o n a l   I n f o \ I m p l i c i t   C a l c u l a t e d   F i e l d & l t ; / K e y & g t ; & l t ; / a : K e y & g t ; & l t ; a : V a l u e   i : t y p e = " D i a g r a m D i s p l a y V i e w S t a t e I D i a g r a m T a g A d d i t i o n a l I n f o " / & g t ; & l t ; / a : K e y V a l u e O f D i a g r a m O b j e c t K e y a n y T y p e z b w N T n L X & g t ; & l t ; a : K e y V a l u e O f D i a g r a m O b j e c t K e y a n y T y p e z b w N T n L X & g t ; & l t ; a : K e y & g t ; & l t ; K e y & g t ; T a b l e s \ P l a n G r i d & l t ; / K e y & g t ; & l t ; / a : K e y & g t ; & l t ; a : V a l u e   i : t y p e = " D i a g r a m D i s p l a y N o d e V i e w S t a t e " & g t ; & l t ; H e i g h t & g t ; 5 1 2 . 6 5 8 3 1 1 1 0 5 8 7 9 3 1 & l t ; / H e i g h t & g t ; & l t ; I s E x p a n d e d & g t ; t r u e & l t ; / I s E x p a n d e d & g t ; & l t ; L a y e d O u t & g t ; t r u e & l t ; / L a y e d O u t & g t ; & l t ; L e f t & g t ; 3 2 9 . 9 0 3 8 1 0 5 6 7 6 6 5 6 9 & l t ; / L e f t & g t ; & l t ; T a b I n d e x & g t ; 1 & l t ; / T a b I n d e x & g t ; & l t ; T o p & g t ; 2 7 5 . 3 3 1 6 6 2 2 2 1 1 7 5 8 6 & l t ; / T o p & g t ; & l t ; W i d t h & g t ; 2 0 0 & l t ; / W i d t h & g t ; & l t ; / a : V a l u e & g t ; & l t ; / a : K e y V a l u e O f D i a g r a m O b j e c t K e y a n y T y p e z b w N T n L X & g t ; & l t ; a : K e y V a l u e O f D i a g r a m O b j e c t K e y a n y T y p e z b w N T n L X & g t ; & l t ; a : K e y & g t ; & l t ; K e y & g t ; T a b l e s \ P l a n G r i d \ C o l u m n s \ I s s u e   # & l t ; / K e y & g t ; & l t ; / a : K e y & g t ; & l t ; a : V a l u e   i : t y p e = " D i a g r a m D i s p l a y N o d e V i e w S t a t e " & g t ; & l t ; H e i g h t & g t ; 1 5 0 & l t ; / H e i g h t & g t ; & l t ; I s E x p a n d e d & g t ; t r u e & l t ; / I s E x p a n d e d & g t ; & l t ; W i d t h & g t ; 2 0 0 & l t ; / W i d t h & g t ; & l t ; / a : V a l u e & g t ; & l t ; / a : K e y V a l u e O f D i a g r a m O b j e c t K e y a n y T y p e z b w N T n L X & g t ; & l t ; a : K e y V a l u e O f D i a g r a m O b j e c t K e y a n y T y p e z b w N T n L X & g t ; & l t ; a : K e y & g t ; & l t ; K e y & g t ; T a b l e s \ P l a n G r i d \ C o l u m n s \ S t a m p & l t ; / K e y & g t ; & l t ; / a : K e y & g t ; & l t ; a : V a l u e   i : t y p e = " D i a g r a m D i s p l a y N o d e V i e w S t a t e " & g t ; & l t ; H e i g h t & g t ; 1 5 0 & l t ; / H e i g h t & g t ; & l t ; I s E x p a n d e d & g t ; t r u e & l t ; / I s E x p a n d e d & g t ; & l t ; W i d t h & g t ; 2 0 0 & l t ; / W i d t h & g t ; & l t ; / a : V a l u e & g t ; & l t ; / a : K e y V a l u e O f D i a g r a m O b j e c t K e y a n y T y p e z b w N T n L X & g t ; & l t ; a : K e y V a l u e O f D i a g r a m O b j e c t K e y a n y T y p e z b w N T n L X & g t ; & l t ; a : K e y & g t ; & l t ; K e y & g t ; T a b l e s \ P l a n G r i d \ C o l u m n s \ T i t l e & l t ; / K e y & g t ; & l t ; / a : K e y & g t ; & l t ; a : V a l u e   i : t y p e = " D i a g r a m D i s p l a y N o d e V i e w S t a t e " & g t ; & l t ; H e i g h t & g t ; 1 5 0 & l t ; / H e i g h t & g t ; & l t ; I s E x p a n d e d & g t ; t r u e & l t ; / I s E x p a n d e d & g t ; & l t ; W i d t h & g t ; 2 0 0 & l t ; / W i d t h & g t ; & l t ; / a : V a l u e & g t ; & l t ; / a : K e y V a l u e O f D i a g r a m O b j e c t K e y a n y T y p e z b w N T n L X & g t ; & l t ; a : K e y V a l u e O f D i a g r a m O b j e c t K e y a n y T y p e z b w N T n L X & g t ; & l t ; a : K e y & g t ; & l t ; K e y & g t ; T a b l e s \ P l a n G r i d \ C o l u m n s \ D e s c r i p t i o n & l t ; / K e y & g t ; & l t ; / a : K e y & g t ; & l t ; a : V a l u e   i : t y p e = " D i a g r a m D i s p l a y N o d e V i e w S t a t e " & g t ; & l t ; H e i g h t & g t ; 1 5 0 & l t ; / H e i g h t & g t ; & l t ; I s E x p a n d e d & g t ; t r u e & l t ; / I s E x p a n d e d & g t ; & l t ; W i d t h & g t ; 2 0 0 & l t ; / W i d t h & g t ; & l t ; / a : V a l u e & g t ; & l t ; / a : K e y V a l u e O f D i a g r a m O b j e c t K e y a n y T y p e z b w N T n L X & g t ; & l t ; a : K e y V a l u e O f D i a g r a m O b j e c t K e y a n y T y p e z b w N T n L X & g t ; & l t ; a : K e y & g t ; & l t ; K e y & g t ; T a b l e s \ P l a n G r i d \ C o l u m n s \ S p e c   W a t t a g e & l t ; / K e y & g t ; & l t ; / a : K e y & g t ; & l t ; a : V a l u e   i : t y p e = " D i a g r a m D i s p l a y N o d e V i e w S t a t e " & g t ; & l t ; H e i g h t & g t ; 1 5 0 & l t ; / H e i g h t & g t ; & l t ; I s E x p a n d e d & g t ; t r u e & l t ; / I s E x p a n d e d & g t ; & l t ; W i d t h & g t ; 2 0 0 & l t ; / W i d t h & g t ; & l t ; / a : V a l u e & g t ; & l t ; / a : K e y V a l u e O f D i a g r a m O b j e c t K e y a n y T y p e z b w N T n L X & g t ; & l t ; a : K e y V a l u e O f D i a g r a m O b j e c t K e y a n y T y p e z b w N T n L X & g t ; & l t ; a : K e y & g t ; & l t ; K e y & g t ; T a b l e s \ P l a n G r i d \ C o l u m n s \ E q u i p m e n t   C o u n t & l t ; / K e y & g t ; & l t ; / a : K e y & g t ; & l t ; a : V a l u e   i : t y p e = " D i a g r a m D i s p l a y N o d e V i e w S t a t e " & g t ; & l t ; H e i g h t & g t ; 1 5 0 & l t ; / H e i g h t & g t ; & l t ; I s E x p a n d e d & g t ; t r u e & l t ; / I s E x p a n d e d & g t ; & l t ; W i d t h & g t ; 2 0 0 & l t ; / W i d t h & g t ; & l t ; / a : V a l u e & g t ; & l t ; / a : K e y V a l u e O f D i a g r a m O b j e c t K e y a n y T y p e z b w N T n L X & g t ; & l t ; a : K e y V a l u e O f D i a g r a m O b j e c t K e y a n y T y p e z b w N T n L X & g t ; & l t ; a : K e y & g t ; & l t ; K e y & g t ; T a b l e s \ P l a n G r i d \ C o l u m n s \ U t i l i z a t i o n   % & l t ; / K e y & g t ; & l t ; / a : K e y & g t ; & l t ; a : V a l u e   i : t y p e = " D i a g r a m D i s p l a y N o d e V i e w S t a t e " & g t ; & l t ; H e i g h t & g t ; 1 5 0 & l t ; / H e i g h t & g t ; & l t ; I s E x p a n d e d & g t ; t r u e & l t ; / I s E x p a n d e d & g t ; & l t ; W i d t h & g t ; 2 0 0 & l t ; / W i d t h & g t ; & l t ; / a : V a l u e & g t ; & l t ; / a : K e y V a l u e O f D i a g r a m O b j e c t K e y a n y T y p e z b w N T n L X & g t ; & l t ; a : K e y V a l u e O f D i a g r a m O b j e c t K e y a n y T y p e z b w N T n L X & g t ; & l t ; a : K e y & g t ; & l t ; K e y & g t ; T a b l e s \ P l a n G r i d \ C o l u m n s \ D e m a n d   W a t t & l t ; / K e y & g t ; & l t ; / a : K e y & g t ; & l t ; a : V a l u e   i : t y p e = " D i a g r a m D i s p l a y N o d e V i e w S t a t e " & g t ; & l t ; H e i g h t & g t ; 1 5 0 & l t ; / H e i g h t & g t ; & l t ; I s E x p a n d e d & g t ; t r u e & l t ; / I s E x p a n d e d & g t ; & l t ; W i d t h & g t ; 2 0 0 & l t ; / W i d t h & g t ; & l t ; / a : V a l u e & g t ; & l t ; / a : K e y V a l u e O f D i a g r a m O b j e c t K e y a n y T y p e z b w N T n L X & g t ; & l t ; a : K e y V a l u e O f D i a g r a m O b j e c t K e y a n y T y p e z b w N T n L X & g t ; & l t ; a : K e y & g t ; & l t ; K e y & g t ; T a b l e s \ P l a n G r i d \ C o l u m n s \ k W h / y r & l t ; / K e y & g t ; & l t ; / a : K e y & g t ; & l t ; a : V a l u e   i : t y p e = " D i a g r a m D i s p l a y N o d e V i e w S t a t e " & g t ; & l t ; H e i g h t & g t ; 1 5 0 & l t ; / H e i g h t & g t ; & l t ; I s E x p a n d e d & g t ; t r u e & l t ; / I s E x p a n d e d & g t ; & l t ; W i d t h & g t ; 2 0 0 & l t ; / W i d t h & g t ; & l t ; / a : V a l u e & g t ; & l t ; / a : K e y V a l u e O f D i a g r a m O b j e c t K e y a n y T y p e z b w N T n L X & g t ; & l t ; a : K e y V a l u e O f D i a g r a m O b j e c t K e y a n y T y p e z b w N T n L X & g t ; & l t ; a : K e y & g t ; & l t ; K e y & g t ; T a b l e s \ P l a n G r i d \ C o l u m n s \ W / f t 2 & l t ; / K e y & g t ; & l t ; / a : K e y & g t ; & l t ; a : V a l u e   i : t y p e = " D i a g r a m D i s p l a y N o d e V i e w S t a t e " & g t ; & l t ; H e i g h t & g t ; 1 5 0 & l t ; / H e i g h t & g t ; & l t ; I s E x p a n d e d & g t ; t r u e & l t ; / I s E x p a n d e d & g t ; & l t ; W i d t h & g t ; 2 0 0 & l t ; / W i d t h & g t ; & l t ; / a : V a l u e & g t ; & l t ; / a : K e y V a l u e O f D i a g r a m O b j e c t K e y a n y T y p e z b w N T n L X & g t ; & l t ; a : K e y V a l u e O f D i a g r a m O b j e c t K e y a n y T y p e z b w N T n L X & g t ; & l t ; a : K e y & g t ; & l t ; K e y & g t ; T a b l e s \ P l a n G r i d \ C o l u m n s \ k B t u / y r & l t ; / K e y & g t ; & l t ; / a : K e y & g t ; & l t ; a : V a l u e   i : t y p e = " D i a g r a m D i s p l a y N o d e V i e w S t a t e " & g t ; & l t ; H e i g h t & g t ; 1 5 0 & l t ; / H e i g h t & g t ; & l t ; I s E x p a n d e d & g t ; t r u e & l t ; / I s E x p a n d e d & g t ; & l t ; W i d t h & g t ; 2 0 0 & l t ; / W i d t h & g t ; & l t ; / a : V a l u e & g t ; & l t ; / a : K e y V a l u e O f D i a g r a m O b j e c t K e y a n y T y p e z b w N T n L X & g t ; & l t ; a : K e y V a l u e O f D i a g r a m O b j e c t K e y a n y T y p e z b w N T n L X & g t ; & l t ; a : K e y & g t ; & l t ; K e y & g t ; T a b l e s \ P l a n G r i d \ C o l u m n s \ k B t u / f t 2 - y r & l t ; / K e y & g t ; & l t ; / a : K e y & g t ; & l t ; a : V a l u e   i : t y p e = " D i a g r a m D i s p l a y N o d e V i e w S t a t e " & g t ; & l t ; H e i g h t & g t ; 1 5 0 & l t ; / H e i g h t & g t ; & l t ; I s E x p a n d e d & g t ; t r u e & l t ; / I s E x p a n d e d & g t ; & l t ; W i d t h & g t ; 2 0 0 & l t ; / W i d t h & g t ; & l t ; / a : V a l u e & g t ; & l t ; / a : K e y V a l u e O f D i a g r a m O b j e c t K e y a n y T y p e z b w N T n L X & g t ; & l t ; a : K e y V a l u e O f D i a g r a m O b j e c t K e y a n y T y p e z b w N T n L X & g t ; & l t ; a : K e y & g t ; & l t ; K e y & g t ; T a b l e s \ P l a n G r i d \ C o l u m n s \ S h e e t & l t ; / K e y & g t ; & l t ; / a : K e y & g t ; & l t ; a : V a l u e   i : t y p e = " D i a g r a m D i s p l a y N o d e V i e w S t a t e " & g t ; & l t ; H e i g h t & g t ; 1 5 0 & l t ; / H e i g h t & g t ; & l t ; I s E x p a n d e d & g t ; t r u e & l t ; / I s E x p a n d e d & g t ; & l t ; W i d t h & g t ; 2 0 0 & l t ; / W i d t h & g t ; & l t ; / a : V a l u e & g t ; & l t ; / a : K e y V a l u e O f D i a g r a m O b j e c t K e y a n y T y p e z b w N T n L X & g t ; & l t ; a : K e y V a l u e O f D i a g r a m O b j e c t K e y a n y T y p e z b w N T n L X & g t ; & l t ; a : K e y & g t ; & l t ; K e y & g t ; T a b l e s \ P l a n G r i d \ C o l u m n s \ #   P h o t o s & l t ; / K e y & g t ; & l t ; / a : K e y & g t ; & l t ; a : V a l u e   i : t y p e = " D i a g r a m D i s p l a y N o d e V i e w S t a t e " & g t ; & l t ; H e i g h t & g t ; 1 5 0 & l t ; / H e i g h t & g t ; & l t ; I s E x p a n d e d & g t ; t r u e & l t ; / I s E x p a n d e d & g t ; & l t ; W i d t h & g t ; 2 0 0 & l t ; / W i d t h & g t ; & l t ; / a : V a l u e & g t ; & l t ; / a : K e y V a l u e O f D i a g r a m O b j e c t K e y a n y T y p e z b w N T n L X & g t ; & l t ; a : K e y V a l u e O f D i a g r a m O b j e c t K e y a n y T y p e z b w N T n L X & g t ; & l t ; a : K e y & g t ; & l t ; K e y & g t ; T a b l e s \ P l a n G r i d \ C o l u m n s \ C o l o r & l t ; / K e y & g t ; & l t ; / a : K e y & g t ; & l t ; a : V a l u e   i : t y p e = " D i a g r a m D i s p l a y N o d e V i e w S t a t e " & g t ; & l t ; H e i g h t & g t ; 1 5 0 & l t ; / H e i g h t & g t ; & l t ; I s E x p a n d e d & g t ; t r u e & l t ; / I s E x p a n d e d & g t ; & l t ; W i d t h & g t ; 2 0 0 & l t ; / W i d t h & g t ; & l t ; / a : V a l u e & g t ; & l t ; / a : K e y V a l u e O f D i a g r a m O b j e c t K e y a n y T y p e z b w N T n L X & g t ; & l t ; a : K e y V a l u e O f D i a g r a m O b j e c t K e y a n y T y p e z b w N T n L X & g t ; & l t ; a : K e y & g t ; & l t ; K e y & g t ; T a b l e s \ P l a n G r i d \ C o l u m n s \ A r c h i v e d & l t ; / K e y & g t ; & l t ; / a : K e y & g t ; & l t ; a : V a l u e   i : t y p e = " D i a g r a m D i s p l a y N o d e V i e w S t a t e " & g t ; & l t ; H e i g h t & g t ; 1 5 0 & l t ; / H e i g h t & g t ; & l t ; I s E x p a n d e d & g t ; t r u e & l t ; / I s E x p a n d e d & g t ; & l t ; W i d t h & g t ; 2 0 0 & l t ; / W i d t h & g t ; & l t ; / a : V a l u e & g t ; & l t ; / a : K e y V a l u e O f D i a g r a m O b j e c t K e y a n y T y p e z b w N T n L X & g t ; & l t ; a : K e y V a l u e O f D i a g r a m O b j e c t K e y a n y T y p e z b w N T n L X & g t ; & l t ; a : K e y & g t ; & l t ; K e y & g t ; T a b l e s \ P l a n G r i d \ C o l u m n s \ D a t e & l t ; / K e y & g t ; & l t ; / a : K e y & g t ; & l t ; a : V a l u e   i : t y p e = " D i a g r a m D i s p l a y N o d e V i e w S t a t e " & g t ; & l t ; H e i g h t & g t ; 1 5 0 & l t ; / H e i g h t & g t ; & l t ; I s E x p a n d e d & g t ; t r u e & l t ; / I s E x p a n d e d & g t ; & l t ; W i d t h & g t ; 2 0 0 & l t ; / W i d t h & g t ; & l t ; / a : V a l u e & g t ; & l t ; / a : K e y V a l u e O f D i a g r a m O b j e c t K e y a n y T y p e z b w N T n L X & g t ; & l t ; a : K e y V a l u e O f D i a g r a m O b j e c t K e y a n y T y p e z b w N T n L X & g t ; & l t ; a : K e y & g t ; & l t ; K e y & g t ; T a b l e s \ P l a n G r i d \ C o l u m n s \ L a s t   U p d a t e d & l t ; / K e y & g t ; & l t ; / a : K e y & g t ; & l t ; a : V a l u e   i : t y p e = " D i a g r a m D i s p l a y N o d e V i e w S t a t e " & g t ; & l t ; H e i g h t & g t ; 1 5 0 & l t ; / H e i g h t & g t ; & l t ; I s E x p a n d e d & g t ; t r u e & l t ; / I s E x p a n d e d & g t ; & l t ; W i d t h & g t ; 2 0 0 & l t ; / W i d t h & g t ; & l t ; / a : V a l u e & g t ; & l t ; / a : K e y V a l u e O f D i a g r a m O b j e c t K e y a n y T y p e z b w N T n L X & g t ; & l t ; a : K e y V a l u e O f D i a g r a m O b j e c t K e y a n y T y p e z b w N T n L X & g t ; & l t ; a : K e y & g t ; & l t ; K e y & g t ; T a b l e s \ P l a n G r i d \ C o l u m n s \ C r e a t e d   B y & l t ; / K e y & g t ; & l t ; / a : K e y & g t ; & l t ; a : V a l u e   i : t y p e = " D i a g r a m D i s p l a y N o d e V i e w S t a t e " & g t ; & l t ; H e i g h t & g t ; 1 5 0 & l t ; / H e i g h t & g t ; & l t ; I s E x p a n d e d & g t ; t r u e & l t ; / I s E x p a n d e d & g t ; & l t ; W i d t h & g t ; 2 0 0 & l t ; / W i d t h & g t ; & l t ; / a : V a l u e & g t ; & l t ; / a : K e y V a l u e O f D i a g r a m O b j e c t K e y a n y T y p e z b w N T n L X & g t ; & l t ; a : K e y V a l u e O f D i a g r a m O b j e c t K e y a n y T y p e z b w N T n L X & g t ; & l t ; a : K e y & g t ; & l t ; K e y & g t ; T a b l e s \ P l a n G r i d \ M e a s u r e s \ S u m   o f   k W h y r & l t ; / K e y & g t ; & l t ; / a : K e y & g t ; & l t ; a : V a l u e   i : t y p e = " D i a g r a m D i s p l a y N o d e V i e w S t a t e " & g t ; & l t ; H e i g h t & g t ; 1 5 0 & l t ; / H e i g h t & g t ; & l t ; I s E x p a n d e d & g t ; t r u e & l t ; / I s E x p a n d e d & g t ; & l t ; W i d t h & g t ; 2 0 0 & l t ; / W i d t h & g t ; & l t ; / a : V a l u e & g t ; & l t ; / a : K e y V a l u e O f D i a g r a m O b j e c t K e y a n y T y p e z b w N T n L X & g t ; & l t ; a : K e y V a l u e O f D i a g r a m O b j e c t K e y a n y T y p e z b w N T n L X & g t ; & l t ; a : K e y & g t ; & l t ; K e y & g t ; T a b l e s \ P l a n G r i d \ S u m   o f   k W h y r \ A d d i t i o n a l   I n f o \ I m p l i c i t   C a l c u l a t e d   F i e l d & l t ; / K e y & g t ; & l t ; / a : K e y & g t ; & l t ; a : V a l u e   i : t y p e = " D i a g r a m D i s p l a y V i e w S t a t e I D i a g r a m T a g A d d i t i o n a l I n f o " / & g t ; & l t ; / a : K e y V a l u e O f D i a g r a m O b j e c t K e y a n y T y p e z b w N T n L X & g t ; & l t ; a : K e y V a l u e O f D i a g r a m O b j e c t K e y a n y T y p e z b w N T n L X & g t ; & l t ; a : K e y & g t ; & l t ; K e y & g t ; T a b l e s \ P l a n G r i d \ M e a s u r e s \ S u m   o f   k B t u y r & l t ; / K e y & g t ; & l t ; / a : K e y & g t ; & l t ; a : V a l u e   i : t y p e = " D i a g r a m D i s p l a y N o d e V i e w S t a t e " & g t ; & l t ; H e i g h t & g t ; 1 5 0 & l t ; / H e i g h t & g t ; & l t ; I s E x p a n d e d & g t ; t r u e & l t ; / I s E x p a n d e d & g t ; & l t ; W i d t h & g t ; 2 0 0 & l t ; / W i d t h & g t ; & l t ; / a : V a l u e & g t ; & l t ; / a : K e y V a l u e O f D i a g r a m O b j e c t K e y a n y T y p e z b w N T n L X & g t ; & l t ; a : K e y V a l u e O f D i a g r a m O b j e c t K e y a n y T y p e z b w N T n L X & g t ; & l t ; a : K e y & g t ; & l t ; K e y & g t ; T a b l e s \ P l a n G r i d \ S u m   o f   k B t u y r \ A d d i t i o n a l   I n f o \ I m p l i c i t   C a l c u l a t e d   F i e l d & l t ; / K e y & g t ; & l t ; / a : K e y & g t ; & l t ; a : V a l u e   i : t y p e = " D i a g r a m D i s p l a y V i e w S t a t e I D i a g r a m T a g A d d i t i o n a l I n f o " / & g t ; & l t ; / a : K e y V a l u e O f D i a g r a m O b j e c t K e y a n y T y p e z b w N T n L X & g t ; & l t ; a : K e y V a l u e O f D i a g r a m O b j e c t K e y a n y T y p e z b w N T n L X & g t ; & l t ; a : K e y & g t ; & l t ; K e y & g t ; T a b l e s \ P l a n G r i d \ M e a s u r e s \ S u m   o f   W f t 2 & l t ; / K e y & g t ; & l t ; / a : K e y & g t ; & l t ; a : V a l u e   i : t y p e = " D i a g r a m D i s p l a y N o d e V i e w S t a t e " & g t ; & l t ; H e i g h t & g t ; 1 5 0 & l t ; / H e i g h t & g t ; & l t ; I s E x p a n d e d & g t ; t r u e & l t ; / I s E x p a n d e d & g t ; & l t ; W i d t h & g t ; 2 0 0 & l t ; / W i d t h & g t ; & l t ; / a : V a l u e & g t ; & l t ; / a : K e y V a l u e O f D i a g r a m O b j e c t K e y a n y T y p e z b w N T n L X & g t ; & l t ; a : K e y V a l u e O f D i a g r a m O b j e c t K e y a n y T y p e z b w N T n L X & g t ; & l t ; a : K e y & g t ; & l t ; K e y & g t ; T a b l e s \ P l a n G r i d \ S u m   o f   W f t 2 \ A d d i t i o n a l   I n f o \ I m p l i c i t   C a l c u l a t e d   F i e l d & l t ; / K e y & g t ; & l t ; / a : K e y & g t ; & l t ; a : V a l u e   i : t y p e = " D i a g r a m D i s p l a y V i e w S t a t e I D i a g r a m T a g A d d i t i o n a l I n f o " / & g t ; & l t ; / a : K e y V a l u e O f D i a g r a m O b j e c t K e y a n y T y p e z b w N T n L X & g t ; & l t ; a : K e y V a l u e O f D i a g r a m O b j e c t K e y a n y T y p e z b w N T n L X & g t ; & l t ; a : K e y & g t ; & l t ; K e y & g t ; T a b l e s \ P l a n G r i d \ M e a s u r e s \ S u m   o f   k B t u f t 2 - y r & l t ; / K e y & g t ; & l t ; / a : K e y & g t ; & l t ; a : V a l u e   i : t y p e = " D i a g r a m D i s p l a y N o d e V i e w S t a t e " & g t ; & l t ; H e i g h t & g t ; 1 5 0 & l t ; / H e i g h t & g t ; & l t ; I s E x p a n d e d & g t ; t r u e & l t ; / I s E x p a n d e d & g t ; & l t ; W i d t h & g t ; 2 0 0 & l t ; / W i d t h & g t ; & l t ; / a : V a l u e & g t ; & l t ; / a : K e y V a l u e O f D i a g r a m O b j e c t K e y a n y T y p e z b w N T n L X & g t ; & l t ; a : K e y V a l u e O f D i a g r a m O b j e c t K e y a n y T y p e z b w N T n L X & g t ; & l t ; a : K e y & g t ; & l t ; K e y & g t ; T a b l e s \ P l a n G r i d \ S u m   o f   k B t u f t 2 - y r \ A d d i t i o n a l   I n f o \ I m p l i c i t   C a l c u l a t e d   F i e l d & l t ; / K e y & g t ; & l t ; / a : K e y & g t ; & l t ; a : V a l u e   i : t y p e = " D i a g r a m D i s p l a y V i e w S t a t e I D i a g r a m T a g A d d i t i o n a l I n f o " / & g t ; & l t ; / a : K e y V a l u e O f D i a g r a m O b j e c t K e y a n y T y p e z b w N T n L X & g t ; & l t ; a : K e y V a l u e O f D i a g r a m O b j e c t K e y a n y T y p e z b w N T n L X & g t ; & l t ; a : K e y & g t ; & l t ; K e y & g t ; T a b l e s \ P l a n G r i d \ M e a s u r e s \ S u m   o f   D e m a n d   W a t t & l t ; / K e y & g t ; & l t ; / a : K e y & g t ; & l t ; a : V a l u e   i : t y p e = " D i a g r a m D i s p l a y N o d e V i e w S t a t e " & g t ; & l t ; H e i g h t & g t ; 1 5 0 & l t ; / H e i g h t & g t ; & l t ; I s E x p a n d e d & g t ; t r u e & l t ; / I s E x p a n d e d & g t ; & l t ; W i d t h & g t ; 2 0 0 & l t ; / W i d t h & g t ; & l t ; / a : V a l u e & g t ; & l t ; / a : K e y V a l u e O f D i a g r a m O b j e c t K e y a n y T y p e z b w N T n L X & g t ; & l t ; a : K e y V a l u e O f D i a g r a m O b j e c t K e y a n y T y p e z b w N T n L X & g t ; & l t ; a : K e y & g t ; & l t ; K e y & g t ; T a b l e s \ P l a n G r i d \ S u m   o f   D e m a n d   W a t t \ A d d i t i o n a l   I n f o \ I m p l i c i t   C a l c u l a t e d   F i e l d & l t ; / K e y & g t ; & l t ; / a : K e y & g t ; & l t ; a : V a l u e   i : t y p e = " D i a g r a m D i s p l a y V i e w S t a t e I D i a g r a m T a g A d d i t i o n a l I n f o " / & g t ; & l t ; / a : K e y V a l u e O f D i a g r a m O b j e c t K e y a n y T y p e z b w N T n L X & g t ; & l t ; a : K e y V a l u e O f D i a g r a m O b j e c t K e y a n y T y p e z b w N T n L X & g t ; & l t ; a : K e y & g t ; & l t ; K e y & g t ; T a b l e s \ A H U 1 B _ C H W & l t ; / K e y & g t ; & l t ; / a : K e y & g t ; & l t ; a : V a l u e   i : t y p e = " D i a g r a m D i s p l a y N o d e V i e w S t a t e " & g t ; & l t ; H e i g h t & g t ; 2 4 6 . 1 0 3 7 7 0 7 8 5 2 3 0 3 8 & l t ; / H e i g h t & g t ; & l t ; I s E x p a n d e d & g t ; t r u e & l t ; / I s E x p a n d e d & g t ; & l t ; L a y e d O u t & g t ; t r u e & l t ; / L a y e d O u t & g t ; & l t ; L e f t & g t ; 6 5 9 . 8 0 7 6 2 1 1 3 5 3 3 1 6 & l t ; / L e f t & g t ; & l t ; T a b I n d e x & g t ; 3 & l t ; / T a b I n d e x & g t ; & l t ; T o p & g t ; 5 0 6 . 0 9 3 7 4 4 1 1 2 2 8 5 5 5 & l t ; / T o p & g t ; & l t ; W i d t h & g t ; 2 0 0 & l t ; / W i d t h & g t ; & l t ; / a : V a l u e & g t ; & l t ; / a : K e y V a l u e O f D i a g r a m O b j e c t K e y a n y T y p e z b w N T n L X & g t ; & l t ; a : K e y V a l u e O f D i a g r a m O b j e c t K e y a n y T y p e z b w N T n L X & g t ; & l t ; a : K e y & g t ; & l t ; K e y & g t ; T a b l e s \ A H U 1 B _ C H W \ C o l u m n s \ S t a r t   D a t e   ( R e q u i r e d ) & l t ; / K e y & g t ; & l t ; / a : K e y & g t ; & l t ; a : V a l u e   i : t y p e = " D i a g r a m D i s p l a y N o d e V i e w S t a t e " & g t ; & l t ; H e i g h t & g t ; 1 5 0 & l t ; / H e i g h t & g t ; & l t ; I s E x p a n d e d & g t ; t r u e & l t ; / I s E x p a n d e d & g t ; & l t ; W i d t h & g t ; 2 0 0 & l t ; / W i d t h & g t ; & l t ; / a : V a l u e & g t ; & l t ; / a : K e y V a l u e O f D i a g r a m O b j e c t K e y a n y T y p e z b w N T n L X & g t ; & l t ; a : K e y V a l u e O f D i a g r a m O b j e c t K e y a n y T y p e z b w N T n L X & g t ; & l t ; a : K e y & g t ; & l t ; K e y & g t ; T a b l e s \ A H U 1 B _ C H W \ C o l u m n s \ E n d   D a t e   ( R e q u i r e d ) & l t ; / K e y & g t ; & l t ; / a : K e y & g t ; & l t ; a : V a l u e   i : t y p e = " D i a g r a m D i s p l a y N o d e V i e w S t a t e " & g t ; & l t ; H e i g h t & g t ; 1 5 0 & l t ; / H e i g h t & g t ; & l t ; I s E x p a n d e d & g t ; t r u e & l t ; / I s E x p a n d e d & g t ; & l t ; W i d t h & g t ; 2 0 0 & l t ; / W i d t h & g t ; & l t ; / a : V a l u e & g t ; & l t ; / a : K e y V a l u e O f D i a g r a m O b j e c t K e y a n y T y p e z b w N T n L X & g t ; & l t ; a : K e y V a l u e O f D i a g r a m O b j e c t K e y a n y T y p e z b w N T n L X & g t ; & l t ; a : K e y & g t ; & l t ; K e y & g t ; T a b l e s \ A H U 1 B _ C H W \ C o l u m n s \ U s a g e   ( R e q u i r e d ) & l t ; / K e y & g t ; & l t ; / a : K e y & g t ; & l t ; a : V a l u e   i : t y p e = " D i a g r a m D i s p l a y N o d e V i e w S t a t e " & g t ; & l t ; H e i g h t & g t ; 1 5 0 & l t ; / H e i g h t & g t ; & l t ; I s E x p a n d e d & g t ; t r u e & l t ; / I s E x p a n d e d & g t ; & l t ; W i d t h & g t ; 2 0 0 & l t ; / W i d t h & g t ; & l t ; / a : V a l u e & g t ; & l t ; / a : K e y V a l u e O f D i a g r a m O b j e c t K e y a n y T y p e z b w N T n L X & g t ; & l t ; a : K e y V a l u e O f D i a g r a m O b j e c t K e y a n y T y p e z b w N T n L X & g t ; & l t ; a : K e y & g t ; & l t ; K e y & g t ; T a b l e s \ A H U 1 B _ C H W \ C o l u m n s \ C o s t   ( O p t i o n a l ) & l t ; / K e y & g t ; & l t ; / a : K e y & g t ; & l t ; a : V a l u e   i : t y p e = " D i a g r a m D i s p l a y N o d e V i e w S t a t e " & g t ; & l t ; H e i g h t & g t ; 1 5 0 & l t ; / H e i g h t & g t ; & l t ; I s E x p a n d e d & g t ; t r u e & l t ; / I s E x p a n d e d & g t ; & l t ; W i d t h & g t ; 2 0 0 & l t ; / W i d t h & g t ; & l t ; / a : V a l u e & g t ; & l t ; / a : K e y V a l u e O f D i a g r a m O b j e c t K e y a n y T y p e z b w N T n L X & g t ; & l t ; a : K e y V a l u e O f D i a g r a m O b j e c t K e y a n y T y p e z b w N T n L X & g t ; & l t ; a : K e y & g t ; & l t ; K e y & g t ; T a b l e s \ A H U 1 B _ C H W \ C o l u m n s \ E s t i m a t i o n   ( R e q u i r e d ) & l t ; / K e y & g t ; & l t ; / a : K e y & g t ; & l t ; a : V a l u e   i : t y p e = " D i a g r a m D i s p l a y N o d e V i e w S t a t e " & g t ; & l t ; H e i g h t & g t ; 1 5 0 & l t ; / H e i g h t & g t ; & l t ; I s E x p a n d e d & g t ; t r u e & l t ; / I s E x p a n d e d & g t ; & l t ; W i d t h & g t ; 2 0 0 & l t ; / W i d t h & g t ; & l t ; / a : V a l u e & g t ; & l t ; / a : K e y V a l u e O f D i a g r a m O b j e c t K e y a n y T y p e z b w N T n L X & g t ; & l t ; a : K e y V a l u e O f D i a g r a m O b j e c t K e y a n y T y p e z b w N T n L X & g t ; & l t ; a : K e y & g t ; & l t ; K e y & g t ; T a b l e s \ A H U 1 B _ C H W \ C o l u m n s \ U s e / D a y & l t ; / K e y & g t ; & l t ; / a : K e y & g t ; & l t ; a : V a l u e   i : t y p e = " D i a g r a m D i s p l a y N o d e V i e w S t a t e " & g t ; & l t ; H e i g h t & g t ; 1 5 0 & l t ; / H e i g h t & g t ; & l t ; I s E x p a n d e d & g t ; t r u e & l t ; / I s E x p a n d e d & g t ; & l t ; W i d t h & g t ; 2 0 0 & l t ; / W i d t h & g t ; & l t ; / a : V a l u e & g t ; & l t ; / a : K e y V a l u e O f D i a g r a m O b j e c t K e y a n y T y p e z b w N T n L X & g t ; & l t ; a : K e y V a l u e O f D i a g r a m O b j e c t K e y a n y T y p e z b w N T n L X & g t ; & l t ; a : K e y & g t ; & l t ; K e y & g t ; T a b l e s \ A H U 1 B _ C H W \ C o l u m n s \ U n i t   C o s t & l t ; / K e y & g t ; & l t ; / a : K e y & g t ; & l t ; a : V a l u e   i : t y p e = " D i a g r a m D i s p l a y N o d e V i e w S t a t e " & g t ; & l t ; H e i g h t & g t ; 1 5 0 & l t ; / H e i g h t & g t ; & l t ; I s E x p a n d e d & g t ; t r u e & l t ; / I s E x p a n d e d & g t ; & l t ; W i d t h & g t ; 2 0 0 & l t ; / W i d t h & g t ; & l t ; / a : V a l u e & g t ; & l t ; / a : K e y V a l u e O f D i a g r a m O b j e c t K e y a n y T y p e z b w N T n L X & g t ; & l t ; a : K e y V a l u e O f D i a g r a m O b j e c t K e y a n y T y p e z b w N T n L X & g t ; & l t ; a : K e y & g t ; & l t ; K e y & g t ; T a b l e s \ A H U 1 B _ C H W \ C o l u m n s \ D e m a n d   W a t t & l t ; / K e y & g t ; & l t ; / a : K e y & g t ; & l t ; a : V a l u e   i : t y p e = " D i a g r a m D i s p l a y N o d e V i e w S t a t e " & g t ; & l t ; H e i g h t & g t ; 1 5 0 & l t ; / H e i g h t & g t ; & l t ; I s E x p a n d e d & g t ; t r u e & l t ; / I s E x p a n d e d & g t ; & l t ; W i d t h & g t ; 2 0 0 & l t ; / W i d t h & g t ; & l t ; / a : V a l u e & g t ; & l t ; / a : K e y V a l u e O f D i a g r a m O b j e c t K e y a n y T y p e z b w N T n L X & g t ; & l t ; a : K e y V a l u e O f D i a g r a m O b j e c t K e y a n y T y p e z b w N T n L X & g t ; & l t ; a : K e y & g t ; & l t ; K e y & g t ; T a b l e s \ A H U 1 B _ C H W \ M e a s u r e s \ S u m   o f   D e m a n d   W a t t   2 & l t ; / K e y & g t ; & l t ; / a : K e y & g t ; & l t ; a : V a l u e   i : t y p e = " D i a g r a m D i s p l a y N o d e V i e w S t a t e " & g t ; & l t ; H e i g h t & g t ; 1 5 0 & l t ; / H e i g h t & g t ; & l t ; I s E x p a n d e d & g t ; t r u e & l t ; / I s E x p a n d e d & g t ; & l t ; W i d t h & g t ; 2 0 0 & l t ; / W i d t h & g t ; & l t ; / a : V a l u e & g t ; & l t ; / a : K e y V a l u e O f D i a g r a m O b j e c t K e y a n y T y p e z b w N T n L X & g t ; & l t ; a : K e y V a l u e O f D i a g r a m O b j e c t K e y a n y T y p e z b w N T n L X & g t ; & l t ; a : K e y & g t ; & l t ; K e y & g t ; T a b l e s \ A H U 1 B _ C H W \ S u m   o f   D e m a n d   W a t t   2 \ A d d i t i o n a l   I n f o \ I m p l i c i t   C a l c u l a t e d   F i e l d & l t ; / K e y & g t ; & l t ; / a : K e y & g t ; & l t ; a : V a l u e   i : t y p e = " D i a g r a m D i s p l a y V i e w S t a t e I D i a g r a m T a g A d d i t i o n a l I n f o " / & g t ; & l t ; / a : K e y V a l u e O f D i a g r a m O b j e c t K e y a n y T y p e z b w N T n L X & g t ; & l t ; a : K e y V a l u e O f D i a g r a m O b j e c t K e y a n y T y p e z b w N T n L X & g t ; & l t ; a : K e y & g t ; & l t ; K e y & g t ; T a b l e s \ E l e c t r i c 2 7 & l t ; / K e y & g t ; & l t ; / a : K e y & g t ; & l t ; a : V a l u e   i : t y p e = " D i a g r a m D i s p l a y N o d e V i e w S t a t e " & g t ; & l t ; H e i g h t & g t ; 2 4 4 & l t ; / H e i g h t & g t ; & l t ; I s E x p a n d e d & g t ; t r u e & l t ; / I s E x p a n d e d & g t ; & l t ; L a y e d O u t & g t ; t r u e & l t ; / L a y e d O u t & g t ; & l t ; L e f t & g t ; 9 9 6 . 7 1 1 4 3 1 7 0 2 9 9 7 2 9 & l t ; / L e f t & g t ; & l t ; T a b I n d e x & g t ; 2 & l t ; / T a b I n d e x & g t ; & l t ; T o p & g t ; 2 9 1 . 0 7 6 4 9 2 3 5 4 9 6 6 8 3 & l t ; / T o p & g t ; & l t ; W i d t h & g t ; 2 0 0 & l t ; / W i d t h & g t ; & l t ; / a : V a l u e & g t ; & l t ; / a : K e y V a l u e O f D i a g r a m O b j e c t K e y a n y T y p e z b w N T n L X & g t ; & l t ; a : K e y V a l u e O f D i a g r a m O b j e c t K e y a n y T y p e z b w N T n L X & g t ; & l t ; a : K e y & g t ; & l t ; K e y & g t ; T a b l e s \ E l e c t r i c 2 7 \ C o l u m n s \ S t a r t   D a t e   ( R e q u i r e d ) & l t ; / K e y & g t ; & l t ; / a : K e y & g t ; & l t ; a : V a l u e   i : t y p e = " D i a g r a m D i s p l a y N o d e V i e w S t a t e " & g t ; & l t ; H e i g h t & g t ; 1 5 0 & l t ; / H e i g h t & g t ; & l t ; I s E x p a n d e d & g t ; t r u e & l t ; / I s E x p a n d e d & g t ; & l t ; W i d t h & g t ; 2 0 0 & l t ; / W i d t h & g t ; & l t ; / a : V a l u e & g t ; & l t ; / a : K e y V a l u e O f D i a g r a m O b j e c t K e y a n y T y p e z b w N T n L X & g t ; & l t ; a : K e y V a l u e O f D i a g r a m O b j e c t K e y a n y T y p e z b w N T n L X & g t ; & l t ; a : K e y & g t ; & l t ; K e y & g t ; T a b l e s \ E l e c t r i c 2 7 \ C o l u m n s \ E n d   D a t e   ( R e q u i r e d ) & l t ; / K e y & g t ; & l t ; / a : K e y & g t ; & l t ; a : V a l u e   i : t y p e = " D i a g r a m D i s p l a y N o d e V i e w S t a t e " & g t ; & l t ; H e i g h t & g t ; 1 5 0 & l t ; / H e i g h t & g t ; & l t ; I s E x p a n d e d & g t ; t r u e & l t ; / I s E x p a n d e d & g t ; & l t ; W i d t h & g t ; 2 0 0 & l t ; / W i d t h & g t ; & l t ; / a : V a l u e & g t ; & l t ; / a : K e y V a l u e O f D i a g r a m O b j e c t K e y a n y T y p e z b w N T n L X & g t ; & l t ; a : K e y V a l u e O f D i a g r a m O b j e c t K e y a n y T y p e z b w N T n L X & g t ; & l t ; a : K e y & g t ; & l t ; K e y & g t ; T a b l e s \ E l e c t r i c 2 7 \ C o l u m n s \ U s a g e   ( R e q u i r e d ) & l t ; / K e y & g t ; & l t ; / a : K e y & g t ; & l t ; a : V a l u e   i : t y p e = " D i a g r a m D i s p l a y N o d e V i e w S t a t e " & g t ; & l t ; H e i g h t & g t ; 1 5 0 & l t ; / H e i g h t & g t ; & l t ; I s E x p a n d e d & g t ; t r u e & l t ; / I s E x p a n d e d & g t ; & l t ; W i d t h & g t ; 2 0 0 & l t ; / W i d t h & g t ; & l t ; / a : V a l u e & g t ; & l t ; / a : K e y V a l u e O f D i a g r a m O b j e c t K e y a n y T y p e z b w N T n L X & g t ; & l t ; a : K e y V a l u e O f D i a g r a m O b j e c t K e y a n y T y p e z b w N T n L X & g t ; & l t ; a : K e y & g t ; & l t ; K e y & g t ; T a b l e s \ E l e c t r i c 2 7 \ C o l u m n s \ C o s t   ( O p t i o n a l ) & l t ; / K e y & g t ; & l t ; / a : K e y & g t ; & l t ; a : V a l u e   i : t y p e = " D i a g r a m D i s p l a y N o d e V i e w S t a t e " & g t ; & l t ; H e i g h t & g t ; 1 5 0 & l t ; / H e i g h t & g t ; & l t ; I s E x p a n d e d & g t ; t r u e & l t ; / I s E x p a n d e d & g t ; & l t ; W i d t h & g t ; 2 0 0 & l t ; / W i d t h & g t ; & l t ; / a : V a l u e & g t ; & l t ; / a : K e y V a l u e O f D i a g r a m O b j e c t K e y a n y T y p e z b w N T n L X & g t ; & l t ; a : K e y V a l u e O f D i a g r a m O b j e c t K e y a n y T y p e z b w N T n L X & g t ; & l t ; a : K e y & g t ; & l t ; K e y & g t ; T a b l e s \ E l e c t r i c 2 7 \ C o l u m n s \ E s t i m a t i o n   ( R e q u i r e d ) & l t ; / K e y & g t ; & l t ; / a : K e y & g t ; & l t ; a : V a l u e   i : t y p e = " D i a g r a m D i s p l a y N o d e V i e w S t a t e " & g t ; & l t ; H e i g h t & g t ; 1 5 0 & l t ; / H e i g h t & g t ; & l t ; I s E x p a n d e d & g t ; t r u e & l t ; / I s E x p a n d e d & g t ; & l t ; W i d t h & g t ; 2 0 0 & l t ; / W i d t h & g t ; & l t ; / a : V a l u e & g t ; & l t ; / a : K e y V a l u e O f D i a g r a m O b j e c t K e y a n y T y p e z b w N T n L X & g t ; & l t ; a : K e y V a l u e O f D i a g r a m O b j e c t K e y a n y T y p e z b w N T n L X & g t ; & l t ; a : K e y & g t ; & l t ; K e y & g t ; T a b l e s \ E l e c t r i c 2 7 \ C o l u m n s \ U s e / D a y   k W h & l t ; / K e y & g t ; & l t ; / a : K e y & g t ; & l t ; a : V a l u e 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E l e c t r i c 2 7 \ C o l u m n s \ U n i t   C o s t & l t ; / K e y & g t ; & l t ; / a : K e y & g t ; & l t ; a : V a l u e   i : t y p e = " D i a g r a m D i s p l a y N o d e V i e w S t a t e " & g t ; & l t ; H e i g h t & g t ; 1 5 0 & l t ; / H e i g h t & g t ; & l t ; I s E x p a n d e d & g t ; t r u e & l t ; / I s E x p a n d e d & g t ; & l t ; W i d t h & g t ; 2 0 0 & l t ; / W i d t h & g t ; & l t ; / a : V a l u e & g t ; & l t ; / a : K e y V a l u e O f D i a g r a m O b j e c t K e y a n y T y p e z b w N T n L X & g t ; & l t ; a : K e y V a l u e O f D i a g r a m O b j e c t K e y a n y T y p e z b w N T n L X & g t ; & l t ; a : K e y & g t ; & l t ; K e y & g t ; T a b l e s \ E l e c t r i c 2 7 \ M e a s u r e s \ S u m   o f   U s a g e   ( R e q u i r e d ) & l t ; / K e y & g t ; & l t ; / a : K e y & g t ; & l t ; a : V a l u e   i : t y p e = " D i a g r a m D i s p l a y N o d e V i e w S t a t e " & g t ; & l t ; H e i g h t & g t ; 1 5 0 & l t ; / H e i g h t & g t ; & l t ; I s E x p a n d e d & g t ; t r u e & l t ; / I s E x p a n d e d & g t ; & l t ; W i d t h & g t ; 2 0 0 & l t ; / W i d t h & g t ; & l t ; / a : V a l u e & g t ; & l t ; / a : K e y V a l u e O f D i a g r a m O b j e c t K e y a n y T y p e z b w N T n L X & g t ; & l t ; a : K e y V a l u e O f D i a g r a m O b j e c t K e y a n y T y p e z b w N T n L X & g t ; & l t ; a : K e y & g t ; & l t ; K e y & g t ; T a b l e s \ E l e c t r i c 2 7 \ S u m   o f   U s a g e   ( R e q u i r e d ) \ A d d i t i o n a l   I n f o \ I m p l i c i t   C a l c u l a t e d   F i e l d & l t ; / K e y & g t ; & l t ; / a : K e y & g t ; & l t ; a : V a l u e   i : t y p e = " D i a g r a m D i s p l a y V i e w S t a t e I D i a g r a m T a g A d d i t i o n a l I n f o " / & g t ; & l t ; / a : K e y V a l u e O f D i a g r a m O b j e c t K e y a n y T y p e z b w N T n L X & g t ; & l t ; a : K e y V a l u e O f D i a g r a m O b j e c t K e y a n y T y p e z b w N T n L X & g t ; & l t ; a : K e y & g t ; & l t ; K e y & g t ; T a b l e s \ E l e c t r i c 2 7 \ M e a s u r e s \ S u m   o f   U n i t   C o s t & l t ; / K e y & g t ; & l t ; / a : K e y & g t ; & l t ; a : V a l u e   i : t y p e = " D i a g r a m D i s p l a y N o d e V i e w S t a t e " & g t ; & l t ; H e i g h t & g t ; 1 5 0 & l t ; / H e i g h t & g t ; & l t ; I s E x p a n d e d & g t ; t r u e & l t ; / I s E x p a n d e d & g t ; & l t ; W i d t h & g t ; 2 0 0 & l t ; / W i d t h & g t ; & l t ; / a : V a l u e & g t ; & l t ; / a : K e y V a l u e O f D i a g r a m O b j e c t K e y a n y T y p e z b w N T n L X & g t ; & l t ; a : K e y V a l u e O f D i a g r a m O b j e c t K e y a n y T y p e z b w N T n L X & g t ; & l t ; a : K e y & g t ; & l t ; K e y & g t ; T a b l e s \ E l e c t r i c 2 7 \ S u m   o f   U n i t   C o s t \ A d d i t i o n a l   I n f o \ I m p l i c i t   C a l c u l a t e d   F i e l d & l t ; / K e y & g t ; & l t ; / a : K e y & g t ; & l t ; a : V a l u e   i : t y p e = " D i a g r a m D i s p l a y V i e w S t a t e I D i a g r a m T a g A d d i t i o n a l I n f o " / & g t ; & l t ; / a : K e y V a l u e O f D i a g r a m O b j e c t K e y a n y T y p e z b w N T n L X & g t ; & l t ; a : K e y V a l u e O f D i a g r a m O b j e c t K e y a n y T y p e z b w N T n L X & g t ; & l t ; a : K e y & g t ; & l t ; K e y & g t ; T a b l e s \ E l e c t r i c 2 7 \ M e a s u r e s \ A v e r a g e   o f   U n i t   C o s t & l t ; / K e y & g t ; & l t ; / a : K e y & g t ; & l t ; a : V a l u e   i : t y p e = " D i a g r a m D i s p l a y N o d e V i e w S t a t e " & g t ; & l t ; H e i g h t & g t ; 1 5 0 & l t ; / H e i g h t & g t ; & l t ; I s E x p a n d e d & g t ; t r u e & l t ; / I s E x p a n d e d & g t ; & l t ; W i d t h & g t ; 2 0 0 & l t ; / W i d t h & g t ; & l t ; / a : V a l u e & g t ; & l t ; / a : K e y V a l u e O f D i a g r a m O b j e c t K e y a n y T y p e z b w N T n L X & g t ; & l t ; a : K e y V a l u e O f D i a g r a m O b j e c t K e y a n y T y p e z b w N T n L X & g t ; & l t ; a : K e y & g t ; & l t ; K e y & g t ; T a b l e s \ E l e c t r i c 2 7 \ A v e r a g e   o f   U n i t   C o s t \ A d d i t i o n a l   I n f o \ I m p l i c i t   C a l c u l a t e d   F i e l d & l t ; / K e y & g t ; & l t ; / a : K e y & g t ; & l t ; a : V a l u e   i : t y p e = " D i a g r a m D i s p l a y V i e w S t a t e I D i a g r a m T a g A d d i t i o n a l I n f o " / & g t ; & l t ; / a : K e y V a l u e O f D i a g r a m O b j e c t K e y a n y T y p e z b w N T n L X & g t ; & l t ; a : K e y V a l u e O f D i a g r a m O b j e c t K e y a n y T y p e z b w N T n L X & g t ; & l t ; a : K e y & g t ; & l t ; K e y & g t ; T a b l e s \ E l e c t r i c 2 7 \ M e a s u r e s \ S u m   o f   C o s t   ( O p t i o n a l ) & l t ; / K e y & g t ; & l t ; / a : K e y & g t ; & l t ; a : V a l u e   i : t y p e = " D i a g r a m D i s p l a y N o d e V i e w S t a t e " & g t ; & l t ; H e i g h t & g t ; 1 5 0 & l t ; / H e i g h t & g t ; & l t ; I s E x p a n d e d & g t ; t r u e & l t ; / I s E x p a n d e d & g t ; & l t ; W i d t h & g t ; 2 0 0 & l t ; / W i d t h & g t ; & l t ; / a : V a l u e & g t ; & l t ; / a : K e y V a l u e O f D i a g r a m O b j e c t K e y a n y T y p e z b w N T n L X & g t ; & l t ; a : K e y V a l u e O f D i a g r a m O b j e c t K e y a n y T y p e z b w N T n L X & g t ; & l t ; a : K e y & g t ; & l t ; K e y & g t ; T a b l e s \ E l e c t r i c 2 7 \ S u m   o f   C o s t   ( O p t i o n a l ) \ A d d i t i o n a l   I n f o \ I m p l i c i t   C a l c u l a t e d   F i e l d & l t ; / K e y & g t ; & l t ; / a : K e y & g t ; & l t ; a : V a l u e   i : t y p e = " D i a g r a m D i s p l a y V i e w S t a t e I D i a g r a m T a g A d d i t i o n a l I n f o " / & g t ; & l t ; / a : K e y V a l u e O f D i a g r a m O b j e c t K e y a n y T y p e z b w N T n L X & g t ; & l t ; a : K e y V a l u e O f D i a g r a m O b j e c t K e y a n y T y p e z b w N T n L X & g t ; & l t ; a : K e y & g t ; & l t ; K e y & g t ; R e l a t i o n s h i p s \ & a m p ; l t ; T a b l e s \ P l a n G r i d \ C o l u m n s \ D e m a n d   W a t t & a m p ; g t ; - & a m p ; l t ; T a b l e s \ A H U 1 B _ C H W \ C o l u m n s \ D e m a n d   W a t t & a m p ; g t ; & l t ; / K e y & g t ; & l t ; / a : K e y & g t ; & l t ; a : V a l u e   i : t y p e = " D i a g r a m D i s p l a y L i n k V i e w S t a t e " & g t ; & l t ; A u t o m a t i o n P r o p e r t y H e l p e r T e x t & g t ; E n d   p o i n t   1 :   ( 5 3 7 . 9 0 3 8 1 0 5 6 7 6 6 6 , 5 3 7 . 6 6 0 8 1 7 3 5 4 9 6 7 ) .   E n d   p o i n t   2 :   ( 6 5 1 . 8 0 7 6 2 1 1 3 5 3 3 2 , 6 2 9 . 1 4 5 6 2 9 3 5 4 9 6 7 )   & l t ; / A u t o m a t i o n P r o p e r t y H e l p e r T e x t & g t ; & l t ; L a y e d O u t & g t ; t r u e & l t ; / L a y e d O u t & g t ; & l t ; P o i n t s   x m l n s : b = " h t t p : / / s c h e m a s . d a t a c o n t r a c t . o r g / 2 0 0 4 / 0 7 / S y s t e m . W i n d o w s " & g t ; & l t ; b : P o i n t & g t ; & l t ; b : _ x & g t ; 5 3 7 . 9 0 3 8 1 0 5 6 7 6 6 5 6 9 & l t ; / b : _ x & g t ; & l t ; b : _ y & g t ; 5 3 7 . 6 6 0 8 1 7 3 5 4 9 6 6 8 7 & l t ; / b : _ y & g t ; & l t ; / b : P o i n t & g t ; & l t ; b : P o i n t & g t ; & l t ; b : _ x & g t ; 5 9 2 . 8 5 5 7 1 5 7 6 1 6 5 2 8 5 & l t ; / b : _ x & g t ; & l t ; b : _ y & g t ; 5 3 7 . 6 6 0 8 1 7 3 5 4 9 6 6 8 7 & l t ; / b : _ y & g t ; & l t ; / b : P o i n t & g t ; & l t ; b : P o i n t & g t ; & l t ; b : _ x & g t ; 5 9 4 . 8 5 5 7 1 5 7 6 1 6 5 2 8 5 & l t ; / b : _ x & g t ; & l t ; b : _ y & g t ; 5 3 9 . 6 6 0 8 1 7 3 5 4 9 6 6 8 7 & l t ; / b : _ y & g t ; & l t ; / b : P o i n t & g t ; & l t ; b : P o i n t & g t ; & l t ; b : _ x & g t ; 5 9 4 . 8 5 5 7 1 5 7 6 1 6 5 2 8 5 & l t ; / b : _ x & g t ; & l t ; b : _ y & g t ; 6 2 7 . 1 4 5 6 2 9 3 5 4 9 6 6 7 9 & l t ; / b : _ y & g t ; & l t ; / b : P o i n t & g t ; & l t ; b : P o i n t & g t ; & l t ; b : _ x & g t ; 5 9 6 . 8 5 5 7 1 5 7 6 1 6 5 2 8 5 & l t ; / b : _ x & g t ; & l t ; b : _ y & g t ; 6 2 9 . 1 4 5 6 2 9 3 5 4 9 6 6 7 9 & l t ; / b : _ y & g t ; & l t ; / b : P o i n t & g t ; & l t ; b : P o i n t & g t ; & l t ; b : _ x & g t ; 6 5 1 . 8 0 7 6 2 1 1 3 5 3 3 1 6 & l t ; / b : _ x & g t ; & l t ; b : _ y & g t ; 6 2 9 . 1 4 5 6 2 9 3 5 4 9 6 6 7 9 & l t ; / b : _ y & g t ; & l t ; / b : P o i n t & g t ; & l t ; / P o i n t s & g t ; & l t ; / a : V a l u e & g t ; & l t ; / a : K e y V a l u e O f D i a g r a m O b j e c t K e y a n y T y p e z b w N T n L X & g t ; & l t ; a : K e y V a l u e O f D i a g r a m O b j e c t K e y a n y T y p e z b w N T n L X & g t ; & l t ; a : K e y & g t ; & l t ; K e y & g t ; R e l a t i o n s h i p s \ & a m p ; l t ; T a b l e s \ P l a n G r i d \ C o l u m n s \ D e m a n d   W a t t & a m p ; g t ; - & a m p ; l t ; T a b l e s \ A H U 1 B _ C H W \ C o l u m n s \ D e m a n d   W a t t & a m p ; g t ; \ F K & l t ; / K e y & g t ; & l t ; / a : K e y & g t ; & l t ; a : V a l u e   i : t y p e = " D i a g r a m D i s p l a y L i n k E n d p o i n t V i e w S t a t e " & g t ; & l t ; L o c a t i o n   x m l n s : b = " h t t p : / / s c h e m a s . d a t a c o n t r a c t . o r g / 2 0 0 4 / 0 7 / S y s t e m . W i n d o w s " & g t ; & l t ; b : _ x & g t ; 5 2 9 . 9 0 3 8 1 0 5 6 7 6 6 5 6 9 & l t ; / b : _ x & g t ; & l t ; b : _ y & g t ; 5 3 7 . 6 6 0 8 1 7 3 5 4 9 6 6 8 7 & l t ; / b : _ y & g t ; & l t ; / L o c a t i o n & g t ; & l t ; S h a p e R o t a t e A n g l e & g t ; 3 6 0 & l t ; / S h a p e R o t a t e A n g l e & g t ; & l t ; / a : V a l u e & g t ; & l t ; / a : K e y V a l u e O f D i a g r a m O b j e c t K e y a n y T y p e z b w N T n L X & g t ; & l t ; a : K e y V a l u e O f D i a g r a m O b j e c t K e y a n y T y p e z b w N T n L X & g t ; & l t ; a : K e y & g t ; & l t ; K e y & g t ; R e l a t i o n s h i p s \ & a m p ; l t ; T a b l e s \ P l a n G r i d \ C o l u m n s \ D e m a n d   W a t t & a m p ; g t ; - & a m p ; l t ; T a b l e s \ A H U 1 B _ C H W \ C o l u m n s \ D e m a n d   W a t t & a m p ; g t ; \ P K & l t ; / K e y & g t ; & l t ; / a : K e y & g t ; & l t ; a : V a l u e   i : t y p e = " D i a g r a m D i s p l a y L i n k E n d p o i n t V i e w S t a t e " & g t ; & l t ; L o c a t i o n   x m l n s : b = " h t t p : / / s c h e m a s . d a t a c o n t r a c t . o r g / 2 0 0 4 / 0 7 / S y s t e m . W i n d o w s " & g t ; & l t ; b : _ x & g t ; 6 5 9 . 8 0 7 6 2 1 1 3 5 3 3 1 6 & l t ; / b : _ x & g t ; & l t ; b : _ y & g t ; 6 2 9 . 1 4 5 6 2 9 3 5 4 9 6 6 7 9 & l t ; / b : _ y & g t ; & l t ; / L o c a t i o n & g t ; & l t ; S h a p e R o t a t e A n g l e & g t ; 1 8 0 & l t ; / S h a p e R o t a t e A n g l e & g t ; & l t ; / a : V a l u e & g t ; & l t ; / a : K e y V a l u e O f D i a g r a m O b j e c t K e y a n y T y p e z b w N T n L X & g t ; & l t ; a : K e y V a l u e O f D i a g r a m O b j e c t K e y a n y T y p e z b w N T n L X & g t ; & l t ; a : K e y & g t ; & l t ; K e y & g t ; R e l a t i o n s h i p s \ & a m p ; l t ; T a b l e s \ P l a n G r i d \ C o l u m n s \ D e m a n d   W a t t & a m p ; g t ; - & a m p ; l t ; T a b l e s \ A H U 1 C _ C H W \ C o l u m n s \ D e m a n d   W a t t & a m p ; g t ; & l t ; / K e y & g t ; & l t ; / a : K e y & g t ; & l t ; a : V a l u e   i : t y p e = " D i a g r a m D i s p l a y L i n k V i e w S t a t e " & g t ; & l t ; A u t o m a t i o n P r o p e r t y H e l p e r T e x t & g t ; E n d   p o i n t   1 :   ( 4 2 9 . 9 0 3 8 1 0 7 6 1 6 5 3 , 2 6 7 . 3 3 1 6 6 2 2 2 1 1 7 6 ) .   E n d   p o i n t   2 :   ( 9 9 . 9 9 9 9 9 9 7 6 1 6 5 2 8 , 2 6 2 )   & l t ; / A u t o m a t i o n P r o p e r t y H e l p e r T e x t & g t ; & l t ; L a y e d O u t & g t ; t r u e & l t ; / L a y e d O u t & g t ; & l t ; P o i n t s   x m l n s : b = " h t t p : / / s c h e m a s . d a t a c o n t r a c t . o r g / 2 0 0 4 / 0 7 / S y s t e m . W i n d o w s " & g t ; & l t ; b : P o i n t & g t ; & l t ; b : _ x & g t ; 4 2 9 . 9 0 3 8 1 0 7 6 1 6 5 2 7 8 & l t ; / b : _ x & g t ; & l t ; b : _ y & g t ; 2 6 7 . 3 3 1 6 6 2 2 2 1 1 7 5 8 6 & l t ; / b : _ y & g t ; & l t ; / b : P o i n t & g t ; & l t ; b : P o i n t & g t ; & l t ; b : _ x & g t ; 4 2 9 . 9 0 3 8 1 0 7 6 1 6 5 2 7 8 & l t ; / b : _ x & g t ; & l t ; b : _ y & g t ; 2 5 7 . 8 3 1 6 6 2 3 5 4 9 6 6 8 5 & l t ; / b : _ y & g t ; & l t ; / b : P o i n t & g t ; & l t ; b : P o i n t & g t ; & l t ; b : _ x & g t ; 4 2 7 . 9 0 3 8 1 0 7 6 1 6 5 2 7 8 & l t ; / b : _ x & g t ; & l t ; b : _ y & g t ; 2 5 5 . 8 3 1 6 6 2 3 5 4 9 6 6 8 5 & l t ; / b : _ y & g t ; & l t ; / b : P o i n t & g t ; & l t ; b : P o i n t & g t ; & l t ; b : _ x & g t ; 2 6 6 . 9 5 1 9 0 5 2 6 1 6 5 2 7 7 & l t ; / b : _ x & g t ; & l t ; b : _ y & g t ; 2 5 5 . 8 3 1 6 6 2 3 5 4 9 6 6 8 5 & l t ; / b : _ y & g t ; & l t ; / b : P o i n t & g t ; & l t ; b : P o i n t & g t ; & l t ; b : _ x & g t ; 2 6 4 . 9 5 1 9 0 5 2 6 1 6 5 2 7 7 & l t ; / b : _ x & g t ; & l t ; b : _ y & g t ; 2 5 7 . 8 3 1 6 6 2 3 5 4 9 6 6 8 5 & l t ; / b : _ y & g t ; & l t ; / b : P o i n t & g t ; & l t ; b : P o i n t & g t ; & l t ; b : _ x & g t ; 2 6 4 . 9 5 1 9 0 5 2 6 1 6 5 2 7 7 & l t ; / b : _ x & g t ; & l t ; b : _ y & g t ; 2 7 1 . 5 0 0 0 0 0 3 5 4 9 6 6 8 & l t ; / b : _ y & g t ; & l t ; / b : P o i n t & g t ; & l t ; b : P o i n t & g t ; & l t ; b : _ x & g t ; 2 6 2 . 9 5 1 9 0 5 2 6 1 6 5 2 7 7 & l t ; / b : _ x & g t ; & l t ; b : _ y & g t ; 2 7 3 . 5 0 0 0 0 0 3 5 4 9 6 6 8 & l t ; / b : _ y & g t ; & l t ; / b : P o i n t & g t ; & l t ; b : P o i n t & g t ; & l t ; b : _ x & g t ; 1 0 1 . 9 9 9 9 9 9 7 6 1 6 5 2 8 2 & l t ; / b : _ x & g t ; & l t ; b : _ y & g t ; 2 7 3 . 5 0 0 0 0 0 3 5 4 9 6 6 8 & l t ; / b : _ y & g t ; & l t ; / b : P o i n t & g t ; & l t ; b : P o i n t & g t ; & l t ; b : _ x & g t ; 9 9 . 9 9 9 9 9 9 7 6 1 6 5 2 8 1 6 & l t ; / b : _ x & g t ; & l t ; b : _ y & g t ; 2 7 1 . 5 0 0 0 0 0 3 5 4 9 6 6 8 & l t ; / b : _ y & g t ; & l t ; / b : P o i n t & g t ; & l t ; b : P o i n t & g t ; & l t ; b : _ x & g t ; 9 9 . 9 9 9 9 9 9 7 6 1 6 5 2 8 1 6 & l t ; / b : _ x & g t ; & l t ; b : _ y & g t ; 2 6 2 . 0 0 0 0 0 0 0 0 0 0 0 0 1 7 & l t ; / b : _ y & g t ; & l t ; / b : P o i n t & g t ; & l t ; / P o i n t s & g t ; & l t ; / a : V a l u e & g t ; & l t ; / a : K e y V a l u e O f D i a g r a m O b j e c t K e y a n y T y p e z b w N T n L X & g t ; & l t ; a : K e y V a l u e O f D i a g r a m O b j e c t K e y a n y T y p e z b w N T n L X & g t ; & l t ; a : K e y & g t ; & l t ; K e y & g t ; R e l a t i o n s h i p s \ & a m p ; l t ; T a b l e s \ P l a n G r i d \ C o l u m n s \ D e m a n d   W a t t & a m p ; g t ; - & a m p ; l t ; T a b l e s \ A H U 1 C _ C H W \ C o l u m n s \ D e m a n d   W a t t & a m p ; g t ; \ F K & l t ; / K e y & g t ; & l t ; / a : K e y & g t ; & l t ; a : V a l u e   i : t y p e = " D i a g r a m D i s p l a y L i n k E n d p o i n t V i e w S t a t e " & g t ; & l t ; L o c a t i o n   x m l n s : b = " h t t p : / / s c h e m a s . d a t a c o n t r a c t . o r g / 2 0 0 4 / 0 7 / S y s t e m . W i n d o w s " & g t ; & l t ; b : _ x & g t ; 4 2 9 . 9 0 3 8 1 0 7 6 1 6 5 2 7 8 & l t ; / b : _ x & g t ; & l t ; b : _ y & g t ; 2 7 5 . 3 3 1 6 6 2 2 2 1 1 7 5 8 6 & l t ; / b : _ y & g t ; & l t ; / L o c a t i o n & g t ; & l t ; S h a p e R o t a t e A n g l e & g t ; 2 7 0 & l t ; / S h a p e R o t a t e A n g l e & g t ; & l t ; / a : V a l u e & g t ; & l t ; / a : K e y V a l u e O f D i a g r a m O b j e c t K e y a n y T y p e z b w N T n L X & g t ; & l t ; a : K e y V a l u e O f D i a g r a m O b j e c t K e y a n y T y p e z b w N T n L X & g t ; & l t ; a : K e y & g t ; & l t ; K e y & g t ; R e l a t i o n s h i p s \ & a m p ; l t ; T a b l e s \ P l a n G r i d \ C o l u m n s \ D e m a n d   W a t t & a m p ; g t ; - & a m p ; l t ; T a b l e s \ A H U 1 C _ C H W \ C o l u m n s \ D e m a n d   W a t t & a m p ; g t ; \ P K & l t ; / K e y & g t ; & l t ; / a : K e y & g t ; & l t ; a : V a l u e   i : t y p e = " D i a g r a m D i s p l a y L i n k E n d p o i n t V i e w S t a t e " & g t ; & l t ; L o c a t i o n   x m l n s : b = " h t t p : / / s c h e m a s . d a t a c o n t r a c t . o r g / 2 0 0 4 / 0 7 / S y s t e m . W i n d o w s " & g t ; & l t ; b : _ x & g t ; 9 9 . 9 9 9 9 9 9 7 6 1 6 5 2 8 1 6 & l t ; / b : _ x & g t ; & l t ; b : _ y & g t ; 2 5 4 . 0 0 0 0 0 0 0 0 0 0 0 0 1 7 & l t ; / b : _ y & g t ; & l t ; / L o c a t i o n & g t ; & l t ; S h a p e R o t a t e A n g l e & g t ; 9 0 & l t ; / S h a p e R o t a t e A n g l e & g t ; & l t ; / a : V a l u e & g t ; & l t ; / a : K e y V a l u e O f D i a g r a m O b j e c t K e y a n y T y p e z b w N T n L X & g t ; & l t ; a : K e y V a l u e O f D i a g r a m O b j e c t K e y a n y T y p e z b w N T n L X & g t ; & l t ; a : K e y & g t ; & l t ; K e y & g t ; R e l a t i o n s h i p s \ & a m p ; l t ; T a b l e s \ P l a n G r i d \ C o l u m n s \ k W h / y r & a m p ; g t ; - & a m p ; l t ; T a b l e s \ E l e c t r i c 2 7 \ C o l u m n s \ U n i t   C o s t & a m p ; g t ; & l t ; / K e y & g t ; & l t ; / a : K e y & g t ; & l t ; a : V a l u e   i : t y p e = " D i a g r a m D i s p l a y L i n k V i e w S t a t e " & g t ; & l t ; A u t o m a t i o n P r o p e r t y H e l p e r T e x t & g t ; E n d   p o i n t   1 :   ( 5 3 7 . 9 0 3 8 1 0 5 6 7 6 6 6 , 5 2 5 . 6 6 0 8 1 7 3 5 4 9 6 7 ) .   E n d   p o i n t   2 :   ( 9 8 8 . 7 1 1 4 3 1 7 0 2 9 9 7 , 4 1 3 . 0 7 6 4 9 2 3 5 4 9 6 7 )   & l t ; / A u t o m a t i o n P r o p e r t y H e l p e r T e x t & g t ; & l t ; L a y e d O u t & g t ; t r u e & l t ; / L a y e d O u t & g t ; & l t ; P o i n t s   x m l n s : b = " h t t p : / / s c h e m a s . d a t a c o n t r a c t . o r g / 2 0 0 4 / 0 7 / S y s t e m . W i n d o w s " & g t ; & l t ; b : P o i n t & g t ; & l t ; b : _ x & g t ; 5 3 7 . 9 0 3 8 1 0 5 6 7 6 6 5 6 9 & l t ; / b : _ x & g t ; & l t ; b : _ y & g t ; 5 2 5 . 6 6 0 8 1 7 3 5 4 9 6 6 8 7 & l t ; / b : _ y & g t ; & l t ; / b : P o i n t & g t ; & l t ; b : P o i n t & g t ; & l t ; b : _ x & g t ; 6 3 8 . 3 0 7 6 2 0 7 6 6 1 5 2 8 1 & l t ; / b : _ x & g t ; & l t ; b : _ y & g t ; 5 2 5 . 6 6 0 8 1 7 3 5 4 9 6 6 8 7 & l t ; / b : _ y & g t ; & l t ; / b : P o i n t & g t ; & l t ; b : P o i n t & g t ; & l t ; b : _ x & g t ; 6 4 0 . 3 0 7 6 2 0 7 6 6 1 5 2 8 1 & l t ; / b : _ x & g t ; & l t ; b : _ y & g t ; 5 2 3 . 6 6 0 8 1 7 3 5 4 9 6 6 8 7 & l t ; / b : _ y & g t ; & l t ; / b : P o i n t & g t ; & l t ; b : P o i n t & g t ; & l t ; b : _ x & g t ; 6 4 0 . 3 0 7 6 2 0 7 6 6 1 5 2 8 1 & l t ; / b : _ x & g t ; & l t ; b : _ y & g t ; 4 1 5 . 0 7 6 4 9 2 3 5 4 9 6 6 8 3 & l t ; / b : _ y & g t ; & l t ; / b : P o i n t & g t ; & l t ; b : P o i n t & g t ; & l t ; b : _ x & g t ; 6 4 2 . 3 0 7 6 2 0 7 6 6 1 5 2 8 1 & l t ; / b : _ x & g t ; & l t ; b : _ y & g t ; 4 1 3 . 0 7 6 4 9 2 3 5 4 9 6 6 8 3 & l t ; / b : _ y & g t ; & l t ; / b : P o i n t & g t ; & l t ; b : P o i n t & g t ; & l t ; b : _ x & g t ; 9 8 8 . 7 1 1 4 3 1 7 0 2 9 9 7 2 9 & l t ; / b : _ x & g t ; & l t ; b : _ y & g t ; 4 1 3 . 0 7 6 4 9 2 3 5 4 9 6 6 8 3 & l t ; / b : _ y & g t ; & l t ; / b : P o i n t & g t ; & l t ; / P o i n t s & g t ; & l t ; / a : V a l u e & g t ; & l t ; / a : K e y V a l u e O f D i a g r a m O b j e c t K e y a n y T y p e z b w N T n L X & g t ; & l t ; a : K e y V a l u e O f D i a g r a m O b j e c t K e y a n y T y p e z b w N T n L X & g t ; & l t ; a : K e y & g t ; & l t ; K e y & g t ; R e l a t i o n s h i p s \ & a m p ; l t ; T a b l e s \ P l a n G r i d \ C o l u m n s \ k W h / y r & a m p ; g t ; - & a m p ; l t ; T a b l e s \ E l e c t r i c 2 7 \ C o l u m n s \ U n i t   C o s t & a m p ; g t ; \ F K & l t ; / K e y & g t ; & l t ; / a : K e y & g t ; & l t ; a : V a l u e   i : t y p e = " D i a g r a m D i s p l a y L i n k E n d p o i n t V i e w S t a t e " & g t ; & l t ; L o c a t i o n   x m l n s : b = " h t t p : / / s c h e m a s . d a t a c o n t r a c t . o r g / 2 0 0 4 / 0 7 / S y s t e m . W i n d o w s " & g t ; & l t ; b : _ x & g t ; 5 2 9 . 9 0 3 8 1 0 5 6 7 6 6 5 6 9 & l t ; / b : _ x & g t ; & l t ; b : _ y & g t ; 5 2 5 . 6 6 0 8 1 7 3 5 4 9 6 6 8 7 & l t ; / b : _ y & g t ; & l t ; / L o c a t i o n & g t ; & l t ; S h a p e R o t a t e A n g l e & g t ; 3 6 0 & l t ; / S h a p e R o t a t e A n g l e & g t ; & l t ; / a : V a l u e & g t ; & l t ; / a : K e y V a l u e O f D i a g r a m O b j e c t K e y a n y T y p e z b w N T n L X & g t ; & l t ; a : K e y V a l u e O f D i a g r a m O b j e c t K e y a n y T y p e z b w N T n L X & g t ; & l t ; a : K e y & g t ; & l t ; K e y & g t ; R e l a t i o n s h i p s \ & a m p ; l t ; T a b l e s \ P l a n G r i d \ C o l u m n s \ k W h / y r & a m p ; g t ; - & a m p ; l t ; T a b l e s \ E l e c t r i c 2 7 \ C o l u m n s \ U n i t   C o s t & a m p ; g t ; \ P K & l t ; / K e y & g t ; & l t ; / a : K e y & g t ; & l t ; a : V a l u e   i : t y p e = " D i a g r a m D i s p l a y L i n k E n d p o i n t V i e w S t a t e " & g t ; & l t ; L o c a t i o n   x m l n s : b = " h t t p : / / s c h e m a s . d a t a c o n t r a c t . o r g / 2 0 0 4 / 0 7 / S y s t e m . W i n d o w s " & g t ; & l t ; b : _ x & g t ; 9 9 6 . 7 1 1 4 3 1 7 0 2 9 9 7 5 2 & l t ; / b : _ x & g t ; & l t ; b : _ y & g t ; 4 1 3 . 0 7 6 4 9 2 3 5 4 9 6 6 8 3 & l t ; / b : _ y & g t ; & l t ; / L o c a t i o n & g t ; & l t ; S h a p e R o t a t e A n g l e & g t ; 1 8 0 & l t ; / S h a p e R o t a t e A n g l e & g t ; & l t ; / a : V a l u e & g t ; & l t ; / a : K e y V a l u e O f D i a g r a m O b j e c t K e y a n y T y p e z b w N T n L X & g t ; & l t ; / V i e w S t a t e s & g t ; & l t ; / D i a g r a m M a n a g e r . S e r i a l i z a b l e D i a g r a m & g t ; & l t ; / A r r a y O f D i a g r a m M a n a g e r . S e r i a l i z a b l e D i a g r a m & g t ; < / C u s t o m C o n t e n t > < / G e m i n i > 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l a n G r i d - 6 8 f 7 5 f 8 3 - 7 d d 0 - 4 6 f 9 - a 0 0 7 - 9 9 e c b b 8 7 b 6 9 2 & l t ; / K e y & g t ; & l t ; V a l u e   x m l n s : a = " h t t p : / / s c h e m a s . d a t a c o n t r a c t . o r g / 2 0 0 4 / 0 7 / M i c r o s o f t . A n a l y s i s S e r v i c e s . C o m m o n " & g t ; & l t ; a : H a s F o c u s & g t ; t r u e & l t ; / a : H a s F o c u s & g t ; & l t ; a : S i z e A t D p i 9 6 & g t ; 1 0 3 & l t ; / a : S i z e A t D p i 9 6 & g t ; & l t ; a : V i s i b l e & g t ; t r u e & l t ; / a : V i s i b l e & g t ; & l t ; / V a l u e & g t ; & l t ; / K e y V a l u e O f s t r i n g S a n d b o x E d i t o r . M e a s u r e G r i d S t a t e S c d E 3 5 R y & g t ; & l t ; K e y V a l u e O f s t r i n g S a n d b o x E d i t o r . M e a s u r e G r i d S t a t e S c d E 3 5 R y & g t ; & l t ; K e y & g t ; E l e c t r i c 2 7 - 8 c 8 d d 9 8 0 - 8 8 8 9 - 4 a 6 4 - 9 f 6 5 - 8 d d b 1 0 8 3 f 8 5 1 & 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9 b 1 6 2 b f 3 - b 4 e c - 4 7 0 f - 8 a 5 d - 1 2 e 8 8 6 c 0 4 b a d " > < C u s t o m C o n t e n t > < ! [ C D A T A [ < ? x m l   v e r s i o n = " 1 . 0 "   e n c o d i n g = " u t f - 1 6 " ? > < S e t t i n g s > < H S l i c e r s S h a p e > 0 ; 0 ; 0 ; 0 < / H S l i c e r s S h a p e > < V S l i c e r s S h a p e > 0 ; 0 ; 0 ; 0 < / V S l i c e r s S h a p e > < S l i c e r S h e e t N a m e > M u l t i - T a b l e   C o m p a r e < / S l i c e r S h e e t N a m e > < S A H o s t H a s h > 9 1 6 0 1 5 3 3 9 < / 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E l e c t r i c 2 7 - 8 c 8 d d 9 8 0 - 8 8 8 9 - 4 a 6 4 - 9 f 6 5 - 8 d d b 1 0 8 3 f 8 5 1 " > < C u s t o m C o n t e n t > < ! [ C D A T A [ < T a b l e W i d g e t G r i d S e r i a l i z a t i o n   x m l n s : x s i = " h t t p : / / w w w . w 3 . o r g / 2 0 0 1 / X M L S c h e m a - i n s t a n c e "   x m l n s : x s d = " h t t p : / / w w w . w 3 . o r g / 2 0 0 1 / X M L S c h e m a " > < C o l u m n S u g g e s t e d T y p e   / > < C o l u m n F o r m a t   / > < C o l u m n A c c u r a c y   / > < C o l u m n C u r r e n c y S y m b o l   / > < C o l u m n P o s i t i v e P a t t e r n   / > < C o l u m n N e g a t i v e P a t t e r n   / > < C o l u m n W i d t h s > < i t e m > < k e y > < s t r i n g > S t a r t   D a t e   ( R e q u i r e d ) < / s t r i n g > < / k e y > < v a l u e > < i n t > 1 6 7 < / i n t > < / v a l u e > < / i t e m > < i t e m > < k e y > < s t r i n g > E n d   D a t e   ( R e q u i r e d ) < / s t r i n g > < / k e y > < v a l u e > < i n t > 1 6 1 < / i n t > < / v a l u e > < / i t e m > < i t e m > < k e y > < s t r i n g > U s a g e   ( R e q u i r e d ) < / s t r i n g > < / k e y > < v a l u e > < i n t > 1 4 3 < / i n t > < / v a l u e > < / i t e m > < i t e m > < k e y > < s t r i n g > C o s t   ( O p t i o n a l ) < / s t r i n g > < / k e y > < v a l u e > < i n t > 1 2 9 < / i n t > < / v a l u e > < / i t e m > < i t e m > < k e y > < s t r i n g > E s t i m a t i o n   ( R e q u i r e d ) < / s t r i n g > < / k e y > < v a l u e > < i n t > 1 7 0 < / i n t > < / v a l u e > < / i t e m > < i t e m > < k e y > < s t r i n g > U s e / D a y   k W h < / s t r i n g > < / k e y > < v a l u e > < i n t > 1 1 9 < / i n t > < / v a l u e > < / i t e m > < i t e m > < k e y > < s t r i n g > U n i t   C o s t < / s t r i n g > < / k e y > < v a l u e > < i n t > 9 2 < / i n t > < / v a l u e > < / i t e m > < / C o l u m n W i d t h s > < C o l u m n D i s p l a y I n d e x > < i t e m > < k e y > < s t r i n g > S t a r t   D a t e   ( R e q u i r e d ) < / s t r i n g > < / k e y > < v a l u e > < i n t > 0 < / i n t > < / v a l u e > < / i t e m > < i t e m > < k e y > < s t r i n g > E n d   D a t e   ( R e q u i r e d ) < / s t r i n g > < / k e y > < v a l u e > < i n t > 1 < / i n t > < / v a l u e > < / i t e m > < i t e m > < k e y > < s t r i n g > U s a g e   ( R e q u i r e d ) < / s t r i n g > < / k e y > < v a l u e > < i n t > 2 < / i n t > < / v a l u e > < / i t e m > < i t e m > < k e y > < s t r i n g > C o s t   ( O p t i o n a l ) < / s t r i n g > < / k e y > < v a l u e > < i n t > 3 < / i n t > < / v a l u e > < / i t e m > < i t e m > < k e y > < s t r i n g > E s t i m a t i o n   ( R e q u i r e d ) < / s t r i n g > < / k e y > < v a l u e > < i n t > 4 < / i n t > < / v a l u e > < / i t e m > < i t e m > < k e y > < s t r i n g > U s e / D a y   k W h < / s t r i n g > < / k e y > < v a l u e > < i n t > 5 < / i n t > < / v a l u e > < / i t e m > < i t e m > < k e y > < s t r i n g > U n i t   C o s t < / 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C o u n t I n S a n d b o x " > < C u s t o m C o n t e n t > 4 < / C u s t o m C o n t e n t > < / G e m i n i > 
</file>

<file path=customXml/item17.xml>��< ? x m l   v e r s i o n = " 1 . 0 "   e n c o d i n g = " U T F - 1 6 " ? > < G e m i n i   x m l n s = " h t t p : / / g e m i n i / p i v o t c u s t o m i z a t i o n / T a b l e O r d e r " > < C u s t o m C o n t e n t > P l a n G r i d - 6 8 f 7 5 f 8 3 - 7 d d 0 - 4 6 f 9 - a 0 0 7 - 9 9 e c b b 8 7 b 6 9 2 , A H U 1 B _ C H W - 1 6 f d 0 c 4 5 - 0 2 1 c - 4 b 9 d - 8 1 a e - d 2 0 b 9 3 d 4 6 6 a 7 , A H U 1 C _ C H W - e c 1 4 d 0 a c - 7 5 c d - 4 9 c 7 - a 7 9 1 - 2 5 4 1 0 7 a 6 1 f c 4 , E l e c t r i c 2 7 - 8 c 8 d d 9 8 0 - 8 8 8 9 - 4 a 6 4 - 9 f 6 5 - 8 d d b 1 0 8 3 f 8 5 1 < / 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 2 0 1 8 - 0 4 - 0 9 T 1 7 : 4 7 : 2 8 . 4 4 9 9 3 2 6 - 0 4 : 0 0 < / L a s t P r o c e s s e d T i m e > < / D a t a M o d e l i n g S a n d b o x . S e r i a l i z e d S a n d b o x E r r o r C a c h e > ] ] > < / C u s t o m C o n t e n t > < / G e m i n i > 
</file>

<file path=customXml/item2.xml>��< ? x m l   v e r s i o n = " 1 . 0 "   e n c o d i n g = " U T F - 1 6 " ? > < G e m i n i   x m l n s = " h t t p : / / g e m i n i / p i v o t c u s t o m i z a t i o n / P o w e r P i v o t V e r s i o n " > < C u s t o m C o n t e n t > < ! [ C D A T A [ 2 0 1 1 . 1 1 0 . 2 8 3 2 . 2 5 ] ] > < / 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P l a n G r i d - 6 8 f 7 5 f 8 3 - 7 d d 0 - 4 6 f 9 - a 0 0 7 - 9 9 e c b b 8 7 b 6 9 2 " > < C u s t o m C o n t e n t > < ! [ C D A T A [ < T a b l e W i d g e t G r i d S e r i a l i z a t i o n   x m l n s : x s i = " h t t p : / / w w w . w 3 . o r g / 2 0 0 1 / X M L S c h e m a - i n s t a n c e "   x m l n s : x s d = " h t t p : / / w w w . w 3 . o r g / 2 0 0 1 / X M L S c h e m a " > < C o l u m n S u g g e s t e d T y p e   / > < C o l u m n F o r m a t   / > < C o l u m n A c c u r a c y   / > < C o l u m n C u r r e n c y S y m b o l   / > < C o l u m n P o s i t i v e P a t t e r n   / > < C o l u m n N e g a t i v e P a t t e r n   / > < C o l u m n W i d t h s > < i t e m > < k e y > < s t r i n g > I s s u e   # < / s t r i n g > < / k e y > < v a l u e > < i n t > 7 8 < / i n t > < / v a l u e > < / i t e m > < i t e m > < k e y > < s t r i n g > S t a m p < / s t r i n g > < / k e y > < v a l u e > < i n t > 7 5 < / i n t > < / v a l u e > < / i t e m > < i t e m > < k e y > < s t r i n g > T i t l e < / s t r i n g > < / k e y > < v a l u e > < i n t > 6 4 < / i n t > < / v a l u e > < / i t e m > < i t e m > < k e y > < s t r i n g > D e s c r i p t i o n < / s t r i n g > < / k e y > < v a l u e > < i n t > 1 0 6 < / i n t > < / v a l u e > < / i t e m > < i t e m > < k e y > < s t r i n g > S p e c   W a t t a g e < / s t r i n g > < / k e y > < v a l u e > < i n t > 1 1 9 < / i n t > < / v a l u e > < / i t e m > < i t e m > < k e y > < s t r i n g > E q u i p m e n t   C o u n t < / s t r i n g > < / k e y > < v a l u e > < i n t > 1 4 4 < / i n t > < / v a l u e > < / i t e m > < i t e m > < k e y > < s t r i n g > U t i l i z a t i o n   % < / s t r i n g > < / k e y > < v a l u e > < i n t > 1 1 2 < / i n t > < / v a l u e > < / i t e m > < i t e m > < k e y > < s t r i n g > D e m a n d   W a t t < / s t r i n g > < / k e y > < v a l u e > < i n t > 1 2 0 < / i n t > < / v a l u e > < / i t e m > < i t e m > < k e y > < s t r i n g > k W h / y r < / s t r i n g > < / k e y > < v a l u e > < i n t > 8 2 < / i n t > < / v a l u e > < / i t e m > < i t e m > < k e y > < s t r i n g > W / f t 2 < / s t r i n g > < / k e y > < v a l u e > < i n t > 7 1 < / i n t > < / v a l u e > < / i t e m > < i t e m > < k e y > < s t r i n g > k B t u / y r < / s t r i n g > < / k e y > < v a l u e > < i n t > 8 2 < / i n t > < / v a l u e > < / i t e m > < i t e m > < k e y > < s t r i n g > k B t u / f t 2 - y r < / s t r i n g > < / k e y > < v a l u e > < i n t > 1 0 3 < / i n t > < / v a l u e > < / i t e m > < i t e m > < k e y > < s t r i n g > S h e e t < / s t r i n g > < / k e y > < v a l u e > < i n t > 7 2 < / i n t > < / v a l u e > < / i t e m > < i t e m > < k e y > < s t r i n g > #   P h o t o s < / s t r i n g > < / k e y > < v a l u e > < i n t > 8 9 < / i n t > < / v a l u e > < / i t e m > < i t e m > < k e y > < s t r i n g > C o l o r < / s t r i n g > < / k e y > < v a l u e > < i n t > 6 9 < / i n t > < / v a l u e > < / i t e m > < i t e m > < k e y > < s t r i n g > A r c h i v e d < / s t r i n g > < / k e y > < v a l u e > < i n t > 9 1 < / i n t > < / v a l u e > < / i t e m > < i t e m > < k e y > < s t r i n g > D a t e < / s t r i n g > < / k e y > < v a l u e > < i n t > 6 5 < / i n t > < / v a l u e > < / i t e m > < i t e m > < k e y > < s t r i n g > L a s t   U p d a t e d < / s t r i n g > < / k e y > < v a l u e > < i n t > 1 1 6 < / i n t > < / v a l u e > < / i t e m > < i t e m > < k e y > < s t r i n g > C r e a t e d   B y < / s t r i n g > < / k e y > < v a l u e > < i n t > 1 0 3 < / i n t > < / v a l u e > < / i t e m > < / C o l u m n W i d t h s > < C o l u m n D i s p l a y I n d e x > < i t e m > < k e y > < s t r i n g > I s s u e   # < / s t r i n g > < / k e y > < v a l u e > < i n t > 0 < / i n t > < / v a l u e > < / i t e m > < i t e m > < k e y > < s t r i n g > S t a m p < / s t r i n g > < / k e y > < v a l u e > < i n t > 1 < / i n t > < / v a l u e > < / i t e m > < i t e m > < k e y > < s t r i n g > T i t l e < / s t r i n g > < / k e y > < v a l u e > < i n t > 2 < / i n t > < / v a l u e > < / i t e m > < i t e m > < k e y > < s t r i n g > D e s c r i p t i o n < / s t r i n g > < / k e y > < v a l u e > < i n t > 3 < / i n t > < / v a l u e > < / i t e m > < i t e m > < k e y > < s t r i n g > S p e c   W a t t a g e < / s t r i n g > < / k e y > < v a l u e > < i n t > 4 < / i n t > < / v a l u e > < / i t e m > < i t e m > < k e y > < s t r i n g > E q u i p m e n t   C o u n t < / s t r i n g > < / k e y > < v a l u e > < i n t > 5 < / i n t > < / v a l u e > < / i t e m > < i t e m > < k e y > < s t r i n g > U t i l i z a t i o n   % < / s t r i n g > < / k e y > < v a l u e > < i n t > 6 < / i n t > < / v a l u e > < / i t e m > < i t e m > < k e y > < s t r i n g > D e m a n d   W a t t < / s t r i n g > < / k e y > < v a l u e > < i n t > 7 < / i n t > < / v a l u e > < / i t e m > < i t e m > < k e y > < s t r i n g > k W h / y r < / s t r i n g > < / k e y > < v a l u e > < i n t > 8 < / i n t > < / v a l u e > < / i t e m > < i t e m > < k e y > < s t r i n g > W / f t 2 < / s t r i n g > < / k e y > < v a l u e > < i n t > 9 < / i n t > < / v a l u e > < / i t e m > < i t e m > < k e y > < s t r i n g > k B t u / y r < / s t r i n g > < / k e y > < v a l u e > < i n t > 1 0 < / i n t > < / v a l u e > < / i t e m > < i t e m > < k e y > < s t r i n g > k B t u / f t 2 - y r < / s t r i n g > < / k e y > < v a l u e > < i n t > 1 1 < / i n t > < / v a l u e > < / i t e m > < i t e m > < k e y > < s t r i n g > S h e e t < / s t r i n g > < / k e y > < v a l u e > < i n t > 1 2 < / i n t > < / v a l u e > < / i t e m > < i t e m > < k e y > < s t r i n g > #   P h o t o s < / s t r i n g > < / k e y > < v a l u e > < i n t > 1 3 < / i n t > < / v a l u e > < / i t e m > < i t e m > < k e y > < s t r i n g > C o l o r < / s t r i n g > < / k e y > < v a l u e > < i n t > 1 4 < / i n t > < / v a l u e > < / i t e m > < i t e m > < k e y > < s t r i n g > A r c h i v e d < / s t r i n g > < / k e y > < v a l u e > < i n t > 1 5 < / i n t > < / v a l u e > < / i t e m > < i t e m > < k e y > < s t r i n g > D a t e < / s t r i n g > < / k e y > < v a l u e > < i n t > 1 6 < / i n t > < / v a l u e > < / i t e m > < i t e m > < k e y > < s t r i n g > L a s t   U p d a t e d < / s t r i n g > < / k e y > < v a l u e > < i n t > 1 7 < / i n t > < / v a l u e > < / i t e m > < i t e m > < k e y > < s t r i n g > C r e a t e d   B y < / s t r i n g > < / k e y > < v a l u e > < i n t > 1 8 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L i n k e d T a b l e s " > < C u s t o m C o n t e n t > < ! [ C D A T A [ < L i n k e d T a b l e s   x m l n s : x s i = " h t t p : / / w w w . w 3 . o r g / 2 0 0 1 / X M L S c h e m a - i n s t a n c e "   x m l n s : x s d = " h t t p : / / w w w . w 3 . o r g / 2 0 0 1 / X M L S c h e m a " > < L i n k e d T a b l e L i s t > < L i n k e d T a b l e I n f o > < E x c e l T a b l e N a m e > E l e c t r i c 2 7 < / E x c e l T a b l e N a m e > < G e m i n i T a b l e I d > E l e c t r i c 2 7 - 8 c 8 d d 9 8 0 - 8 8 8 9 - 4 a 6 4 - 9 f 6 5 - 8 d d b 1 0 8 3 f 8 5 1 < / G e m i n i T a b l e I d > < L i n k e d C o l u m n L i s t   / > < U p d a t e N e e d e d > t r u e < / U p d a t e N e e d e d > < R o w C o u n t > 0 < / R o w C o u n t > < / L i n k e d T a b l e I n f o > < / L i n k e d T a b l e L i s t > < / L i n k e d T a b l e s > ] ] > < / C u s t o m C o n t e n t > < / G e m i n i > 
</file>

<file path=customXml/item9.xml>��< ? x m l   v e r s i o n = " 1 . 0 "   e n c o d i n g = " U T F - 1 6 " ? > < G e m i n i   x m l n s = " h t t p : / / g e m i n i / p i v o t c u s t o m i z a t i o n / C l i e n t W i n d o w X M L " > < C u s t o m C o n t e n t > E l e c t r i c 2 7 - 8 c 8 d d 9 8 0 - 8 8 8 9 - 4 a 6 4 - 9 f 6 5 - 8 d d b 1 0 8 3 f 8 5 1 < / C u s t o m C o n t e n t > < / G e m i n i > 
</file>

<file path=customXml/itemProps1.xml><?xml version="1.0" encoding="utf-8"?>
<ds:datastoreItem xmlns:ds="http://schemas.openxmlformats.org/officeDocument/2006/customXml" ds:itemID="{CF77CB14-8884-4929-80B9-3C11CB4DD2D5}">
  <ds:schemaRefs/>
</ds:datastoreItem>
</file>

<file path=customXml/itemProps10.xml><?xml version="1.0" encoding="utf-8"?>
<ds:datastoreItem xmlns:ds="http://schemas.openxmlformats.org/officeDocument/2006/customXml" ds:itemID="{F374541C-5567-4AF1-9306-820B3C3A4510}">
  <ds:schemaRefs/>
</ds:datastoreItem>
</file>

<file path=customXml/itemProps11.xml><?xml version="1.0" encoding="utf-8"?>
<ds:datastoreItem xmlns:ds="http://schemas.openxmlformats.org/officeDocument/2006/customXml" ds:itemID="{7737EC27-06FC-4C01-A3B5-4B5812003EF2}">
  <ds:schemaRefs/>
</ds:datastoreItem>
</file>

<file path=customXml/itemProps12.xml><?xml version="1.0" encoding="utf-8"?>
<ds:datastoreItem xmlns:ds="http://schemas.openxmlformats.org/officeDocument/2006/customXml" ds:itemID="{F054B165-B145-43F9-B2B0-84A100EA6149}">
  <ds:schemaRefs/>
</ds:datastoreItem>
</file>

<file path=customXml/itemProps13.xml><?xml version="1.0" encoding="utf-8"?>
<ds:datastoreItem xmlns:ds="http://schemas.openxmlformats.org/officeDocument/2006/customXml" ds:itemID="{A817FC61-F75F-4B15-A61B-E2847E4CB17E}">
  <ds:schemaRefs/>
</ds:datastoreItem>
</file>

<file path=customXml/itemProps14.xml><?xml version="1.0" encoding="utf-8"?>
<ds:datastoreItem xmlns:ds="http://schemas.openxmlformats.org/officeDocument/2006/customXml" ds:itemID="{1A6920E6-1BC1-44CC-A1A1-82133785E487}">
  <ds:schemaRefs/>
</ds:datastoreItem>
</file>

<file path=customXml/itemProps15.xml><?xml version="1.0" encoding="utf-8"?>
<ds:datastoreItem xmlns:ds="http://schemas.openxmlformats.org/officeDocument/2006/customXml" ds:itemID="{5FF63DDF-0EBE-418D-8D27-59CEDFACDD79}">
  <ds:schemaRefs/>
</ds:datastoreItem>
</file>

<file path=customXml/itemProps16.xml><?xml version="1.0" encoding="utf-8"?>
<ds:datastoreItem xmlns:ds="http://schemas.openxmlformats.org/officeDocument/2006/customXml" ds:itemID="{6A3387F9-CF3D-4679-B11F-FE5592FE7B6C}">
  <ds:schemaRefs/>
</ds:datastoreItem>
</file>

<file path=customXml/itemProps17.xml><?xml version="1.0" encoding="utf-8"?>
<ds:datastoreItem xmlns:ds="http://schemas.openxmlformats.org/officeDocument/2006/customXml" ds:itemID="{2D29650F-F9F6-4BB6-9E23-FBA2C985F705}">
  <ds:schemaRefs/>
</ds:datastoreItem>
</file>

<file path=customXml/itemProps18.xml><?xml version="1.0" encoding="utf-8"?>
<ds:datastoreItem xmlns:ds="http://schemas.openxmlformats.org/officeDocument/2006/customXml" ds:itemID="{DB405624-F717-46C1-8EC5-3ABF8B427B01}">
  <ds:schemaRefs/>
</ds:datastoreItem>
</file>

<file path=customXml/itemProps2.xml><?xml version="1.0" encoding="utf-8"?>
<ds:datastoreItem xmlns:ds="http://schemas.openxmlformats.org/officeDocument/2006/customXml" ds:itemID="{378A4744-54E2-4B2F-B069-A4C4A7FF712E}">
  <ds:schemaRefs/>
</ds:datastoreItem>
</file>

<file path=customXml/itemProps3.xml><?xml version="1.0" encoding="utf-8"?>
<ds:datastoreItem xmlns:ds="http://schemas.openxmlformats.org/officeDocument/2006/customXml" ds:itemID="{C647D0F6-9A65-43F4-ABB1-197D54F151E0}">
  <ds:schemaRefs/>
</ds:datastoreItem>
</file>

<file path=customXml/itemProps4.xml><?xml version="1.0" encoding="utf-8"?>
<ds:datastoreItem xmlns:ds="http://schemas.openxmlformats.org/officeDocument/2006/customXml" ds:itemID="{7593B060-F0AA-4EE7-9A0F-3F36AFFCE845}">
  <ds:schemaRefs/>
</ds:datastoreItem>
</file>

<file path=customXml/itemProps5.xml><?xml version="1.0" encoding="utf-8"?>
<ds:datastoreItem xmlns:ds="http://schemas.openxmlformats.org/officeDocument/2006/customXml" ds:itemID="{5F9CA3BA-D3D3-4061-A9C9-44477B0CEC39}">
  <ds:schemaRefs/>
</ds:datastoreItem>
</file>

<file path=customXml/itemProps6.xml><?xml version="1.0" encoding="utf-8"?>
<ds:datastoreItem xmlns:ds="http://schemas.openxmlformats.org/officeDocument/2006/customXml" ds:itemID="{2A8EFAFB-06BB-4A22-B4CD-474CD8948C02}">
  <ds:schemaRefs/>
</ds:datastoreItem>
</file>

<file path=customXml/itemProps7.xml><?xml version="1.0" encoding="utf-8"?>
<ds:datastoreItem xmlns:ds="http://schemas.openxmlformats.org/officeDocument/2006/customXml" ds:itemID="{0154ED93-D230-4BAE-A445-CB81F5293CFC}">
  <ds:schemaRefs/>
</ds:datastoreItem>
</file>

<file path=customXml/itemProps8.xml><?xml version="1.0" encoding="utf-8"?>
<ds:datastoreItem xmlns:ds="http://schemas.openxmlformats.org/officeDocument/2006/customXml" ds:itemID="{0D82BEFE-ADC4-415C-A28F-1C56045B9843}">
  <ds:schemaRefs/>
</ds:datastoreItem>
</file>

<file path=customXml/itemProps9.xml><?xml version="1.0" encoding="utf-8"?>
<ds:datastoreItem xmlns:ds="http://schemas.openxmlformats.org/officeDocument/2006/customXml" ds:itemID="{895AE139-2EB2-459B-9A59-A90F290C99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FIM</vt:lpstr>
      <vt:lpstr>FIM_ImaneUpdate</vt:lpstr>
      <vt:lpstr>Pivot</vt:lpstr>
      <vt:lpstr>Lighting_Pivot</vt:lpstr>
      <vt:lpstr>Electrical Panels</vt:lpstr>
      <vt:lpstr>17G0157D_EnergyAudit2</vt:lpstr>
      <vt:lpstr>FIM Calculations</vt:lpstr>
      <vt:lpstr> Elec Utility (kWh)</vt:lpstr>
      <vt:lpstr>CEP Utility (Tons)</vt:lpstr>
      <vt:lpstr>Schedule-Building Info</vt:lpstr>
      <vt:lpstr>VAV wLowCFM</vt:lpstr>
      <vt:lpstr>Spec Wattages</vt:lpstr>
      <vt:lpstr>62.1_2013_Table6.2.2.1</vt:lpstr>
      <vt:lpstr>FIM!Print_Area</vt:lpstr>
      <vt:lpstr>FIM_ImaneUpdate!Print_Area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Coalson</dc:creator>
  <cp:lastModifiedBy>Mathew Coalson</cp:lastModifiedBy>
  <dcterms:created xsi:type="dcterms:W3CDTF">2018-04-09T14:51:26Z</dcterms:created>
  <dcterms:modified xsi:type="dcterms:W3CDTF">2021-02-26T16:56:10Z</dcterms:modified>
</cp:coreProperties>
</file>