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als01826\Desktop\Coding\hanson-bas\data\"/>
    </mc:Choice>
  </mc:AlternateContent>
  <xr:revisionPtr revIDLastSave="0" documentId="8_{666E1DFE-6F07-46C7-AA95-D81F0FD53130}" xr6:coauthVersionLast="46" xr6:coauthVersionMax="46" xr10:uidLastSave="{00000000-0000-0000-0000-000000000000}"/>
  <bookViews>
    <workbookView xWindow="-120" yWindow="-120" windowWidth="29040" windowHeight="15840" tabRatio="928"/>
  </bookViews>
  <sheets>
    <sheet name="tab1" sheetId="14" r:id="rId1"/>
  </sheets>
  <definedNames>
    <definedName name="_xlnm.Print_Area" localSheetId="0">'tab1'!$A$1:$M$144</definedName>
  </definedNames>
  <calcPr calcId="181029"/>
</workbook>
</file>

<file path=xl/calcChain.xml><?xml version="1.0" encoding="utf-8"?>
<calcChain xmlns="http://schemas.openxmlformats.org/spreadsheetml/2006/main">
  <c r="E118" i="14" l="1"/>
  <c r="D118" i="14" s="1"/>
  <c r="E117" i="14"/>
  <c r="D117" i="14" s="1"/>
  <c r="D131" i="14"/>
  <c r="C125" i="14"/>
  <c r="F125" i="14"/>
  <c r="G137" i="14"/>
  <c r="D130" i="14"/>
  <c r="C124" i="14"/>
  <c r="F124" i="14"/>
  <c r="G136" i="14"/>
  <c r="E142" i="14"/>
  <c r="E143" i="14"/>
  <c r="F118" i="14"/>
  <c r="C22" i="14"/>
  <c r="E22" i="14"/>
  <c r="C33" i="14" s="1"/>
  <c r="E105" i="14"/>
  <c r="G105" i="14" s="1"/>
  <c r="I105" i="14" s="1"/>
  <c r="E109" i="14" s="1"/>
  <c r="C44" i="14"/>
  <c r="D44" i="14"/>
  <c r="E44" i="14"/>
  <c r="E51" i="14" s="1"/>
  <c r="C59" i="14" s="1"/>
  <c r="D51" i="14"/>
  <c r="C67" i="14"/>
  <c r="E85" i="14"/>
  <c r="H85" i="14"/>
  <c r="I85" i="14"/>
  <c r="C93" i="14"/>
  <c r="I93" i="14" s="1"/>
  <c r="F93" i="14"/>
  <c r="C105" i="14"/>
  <c r="F117" i="14"/>
  <c r="F15" i="14"/>
  <c r="E29" i="14"/>
  <c r="D33" i="14" s="1"/>
  <c r="D15" i="14"/>
  <c r="G93" i="14"/>
  <c r="D93" i="14"/>
  <c r="D124" i="14" l="1"/>
  <c r="I124" i="14" s="1"/>
  <c r="C130" i="14" s="1"/>
  <c r="G130" i="14" s="1"/>
  <c r="C136" i="14" s="1"/>
  <c r="K136" i="14" s="1"/>
  <c r="C142" i="14" s="1"/>
  <c r="G142" i="14" s="1"/>
  <c r="G124" i="14"/>
  <c r="D125" i="14"/>
  <c r="I125" i="14" s="1"/>
  <c r="C131" i="14" s="1"/>
  <c r="G131" i="14" s="1"/>
  <c r="C137" i="14" s="1"/>
  <c r="K137" i="14" s="1"/>
  <c r="C143" i="14" s="1"/>
  <c r="G143" i="14" s="1"/>
  <c r="G125" i="14"/>
</calcChain>
</file>

<file path=xl/comments1.xml><?xml version="1.0" encoding="utf-8"?>
<comments xmlns="http://schemas.openxmlformats.org/spreadsheetml/2006/main">
  <authors>
    <author>George Hopkins</author>
  </authors>
  <commentList>
    <comment ref="G142" authorId="0" shapeId="0">
      <text>
        <r>
          <rPr>
            <b/>
            <sz val="8"/>
            <color indexed="81"/>
            <rFont val="Tahoma"/>
            <family val="2"/>
          </rPr>
          <t>If the coil DISCHARGE air temperature is 15 Deg F above the room temperature it may result in potentially poor heating. Increase airflow to reduce discharge air or add separate hydronic or electric perimeter heating device.</t>
        </r>
        <r>
          <rPr>
            <sz val="8"/>
            <color indexed="81"/>
            <rFont val="Tahoma"/>
          </rPr>
          <t xml:space="preserve">
</t>
        </r>
      </text>
    </comment>
    <comment ref="G143" authorId="0" shapeId="0">
      <text>
        <r>
          <rPr>
            <b/>
            <sz val="8"/>
            <color indexed="81"/>
            <rFont val="Tahoma"/>
          </rPr>
          <t>If the coil DISCHARGE air temperature is 15 Deg F above the room temperature it may result in potentially poor heating. Increase airflow to reduce discharge air or add separate hydronic or electric perimeter heating device.</t>
        </r>
      </text>
    </comment>
  </commentList>
</comments>
</file>

<file path=xl/sharedStrings.xml><?xml version="1.0" encoding="utf-8"?>
<sst xmlns="http://schemas.openxmlformats.org/spreadsheetml/2006/main" count="215" uniqueCount="121">
  <si>
    <t>Project Name:</t>
  </si>
  <si>
    <t>Project Number:</t>
  </si>
  <si>
    <t>System:</t>
  </si>
  <si>
    <t>Engineer:</t>
  </si>
  <si>
    <t>Date:</t>
  </si>
  <si>
    <t>1.  Determine what is known.</t>
  </si>
  <si>
    <t>Supply</t>
  </si>
  <si>
    <t>OA</t>
  </si>
  <si>
    <t>Return</t>
  </si>
  <si>
    <t>OA Temp</t>
  </si>
  <si>
    <t>CFM</t>
  </si>
  <si>
    <t>%OA</t>
  </si>
  <si>
    <t>db (F)</t>
  </si>
  <si>
    <t>wb (F)</t>
  </si>
  <si>
    <t>%RH</t>
  </si>
  <si>
    <t>---</t>
  </si>
  <si>
    <t>Fan BHP</t>
  </si>
  <si>
    <t>Load BTUH</t>
  </si>
  <si>
    <t>Airside</t>
  </si>
  <si>
    <t>Sensible</t>
  </si>
  <si>
    <t>Latent</t>
  </si>
  <si>
    <t>delta T*</t>
  </si>
  <si>
    <t>2. Plot OA condition (Point A on chart).</t>
  </si>
  <si>
    <t>Final</t>
  </si>
  <si>
    <t>BTUH</t>
  </si>
  <si>
    <t>Temp</t>
  </si>
  <si>
    <t>* Delta T = BTUH / (1.08 x CFM)</t>
  </si>
  <si>
    <t>Mixed Air Temp</t>
  </si>
  <si>
    <t>%RA</t>
  </si>
  <si>
    <t>+</t>
  </si>
  <si>
    <t>=</t>
  </si>
  <si>
    <t>db</t>
  </si>
  <si>
    <t>wb*</t>
  </si>
  <si>
    <t xml:space="preserve">   * Plot to determine wet bulb.</t>
  </si>
  <si>
    <t>h</t>
  </si>
  <si>
    <t>SHR</t>
  </si>
  <si>
    <t>9a. Draw a line through SHR and 78 deg F / 50% RH point.</t>
  </si>
  <si>
    <t>Room</t>
  </si>
  <si>
    <t/>
  </si>
  <si>
    <t>Fan</t>
  </si>
  <si>
    <t>Discharge</t>
  </si>
  <si>
    <t>delta T</t>
  </si>
  <si>
    <t>Air Temp</t>
  </si>
  <si>
    <t>Coil</t>
  </si>
  <si>
    <t>Leaving</t>
  </si>
  <si>
    <t>a.  Reduce delta T (results in possible higher total CFM).</t>
  </si>
  <si>
    <t>LAT</t>
  </si>
  <si>
    <t>wb</t>
  </si>
  <si>
    <t>Total</t>
  </si>
  <si>
    <t>ent-leav</t>
  </si>
  <si>
    <t>Tons</t>
  </si>
  <si>
    <t>x 4.45 x</t>
  </si>
  <si>
    <t>/ 12000 =</t>
  </si>
  <si>
    <t>CFM / Ton =</t>
  </si>
  <si>
    <t>Plen</t>
  </si>
  <si>
    <t>Delta T*</t>
  </si>
  <si>
    <t>Entering Air</t>
  </si>
  <si>
    <t>Leaving Air</t>
  </si>
  <si>
    <t>Delta h</t>
  </si>
  <si>
    <t>HEATING COIL CALCULATION</t>
  </si>
  <si>
    <t>N/A</t>
  </si>
  <si>
    <t>2. Calculate mixed air temp.  MAT = (RA temp x %RA) + (OA temp x %OA)</t>
  </si>
  <si>
    <t>Coversion</t>
  </si>
  <si>
    <t>4. Calculate total BTUH required for heating coil selection = Ventilation BTUH + Space Heat Loss BTUH * safety = Unit coil minimum required BTUH</t>
  </si>
  <si>
    <t>Space Heat Loss BTUH</t>
  </si>
  <si>
    <t>Ventilation BTUH</t>
  </si>
  <si>
    <t>*</t>
  </si>
  <si>
    <t>Unit coil Min. Required BTUH</t>
  </si>
  <si>
    <t>Coil Min. Required BTUH</t>
  </si>
  <si>
    <t>/</t>
  </si>
  <si>
    <t>CFM*1.085</t>
  </si>
  <si>
    <t>3. Calculate BTUh required for heating = (MAT - LAT)x CFM x 1.08 = BTUH</t>
  </si>
  <si>
    <t>Coil Design LAT</t>
  </si>
  <si>
    <t>Air Temperature Rise Deg F</t>
  </si>
  <si>
    <t>Design CFM</t>
  </si>
  <si>
    <t>or 10 deg min.</t>
  </si>
  <si>
    <t>5. Re-calculate Leaving Air Temperature = Coil BTUH/(1.08 * CFM) = Air Temperaure Rise + MAT (use minimum 10 deg)</t>
  </si>
  <si>
    <t>Unit</t>
  </si>
  <si>
    <t xml:space="preserve">5. Calculate supply fan heat delta T and draw a line delta T distance from UNIT supply air discharge condition Step #4.  See table for fan BTUH. </t>
  </si>
  <si>
    <t>4. Plot the UNIT discharge temperature at delta T distance (from step #1) from room design dry bulb temperature (step #3).</t>
  </si>
  <si>
    <t>6. Plot the COIL discharge condition (Point B on chart) on the COIL leaving dry bulb temperature near the saturation line.</t>
  </si>
  <si>
    <t>7.  Determine h (leaving air).</t>
  </si>
  <si>
    <t>8. Draw a line from Point B straight across and meet with the UNIT discharge air dry bulb temperature to a new Point C.</t>
  </si>
  <si>
    <t>9. Calculate SHR (sensible heat ratio ) = sensible load / (sensible + latent)</t>
  </si>
  <si>
    <t>9b. Draw a parallel line through the UNIT discharge condition Point C to the room dry bulb temperature and plot new Point D the room condition.</t>
  </si>
  <si>
    <t>10. Verify that the room condition is within an acceptable humidity range (typically 40-60% relative humidity).</t>
  </si>
  <si>
    <t>11.  If the room condition is not within an acceptable humidity range:</t>
  </si>
  <si>
    <t>12. Calculate return fan and/or plenum heat delta T, and draw a line delta T distance from Point D to new point E.  See Table for fan BTUH.</t>
  </si>
  <si>
    <t>14. Calculate mixed air temp.  MAT = (RA temp x %RA) + (OA temp x %OA)</t>
  </si>
  <si>
    <t>13. Connect return air condition (Point E) and OA condition (Point A).</t>
  </si>
  <si>
    <t>16.  Calculate total load.  Total Load = Total CFM x 4.45 x (h ent - h leav) = BTUH</t>
  </si>
  <si>
    <t>17.  Check figures.</t>
  </si>
  <si>
    <t>3. Plot Room design dry bulb temperature condition (step #1).</t>
  </si>
  <si>
    <t>15. Plot MAT (Point F) on line AC and determine h (ent air).</t>
  </si>
  <si>
    <t>[DRAW-THRU] [BLOW-THRU] SYSTEM</t>
  </si>
  <si>
    <t>* Brake horsepower = CFM * Total Static Pressure / (6,344 * Fan Efficiency (65%)</t>
  </si>
  <si>
    <t>Estimated</t>
  </si>
  <si>
    <t>Total Static</t>
  </si>
  <si>
    <t>Pressure</t>
  </si>
  <si>
    <t>Brake</t>
  </si>
  <si>
    <t>Horse</t>
  </si>
  <si>
    <t>Power</t>
  </si>
  <si>
    <t>b.  Increase coil delta T (results in lower CFM) and add a Reheat coil in the unit.</t>
  </si>
  <si>
    <t>c.  Increase delta T (lowers total CFM, could reduce coil physical size and increase number of rows).</t>
  </si>
  <si>
    <t>Safety Factor</t>
  </si>
  <si>
    <t xml:space="preserve">Weather Data </t>
  </si>
  <si>
    <t>OA Temp From Location Selected for Load Calculation</t>
  </si>
  <si>
    <t>Room Cooling Design</t>
  </si>
  <si>
    <t>Heating Design</t>
  </si>
  <si>
    <t xml:space="preserve"> Return Air Temperature  db (F)</t>
  </si>
  <si>
    <t>* Airside delta T from HCC-V (usually 17-20 deg F)</t>
  </si>
  <si>
    <t>Maximum</t>
  </si>
  <si>
    <t>Minimum</t>
  </si>
  <si>
    <t>Coil Discharge air Temp Deg F</t>
  </si>
  <si>
    <t>PSYCHROMETRIC AND HEATING ANALYSIS</t>
  </si>
  <si>
    <t>1a. Calculate the supply fan BHP: ENTER THE ESTIMATED SUPPLY FAN TOTAL STATIC PRESSURE</t>
  </si>
  <si>
    <t>1b. Calculate the return fan BHP: ENTER THE ESTIMATED RETURN FAN TOTAL STATIC PRESSURE</t>
  </si>
  <si>
    <t>Hanson Professional Services - 2 story HVAC renovation</t>
  </si>
  <si>
    <t>RTU-1</t>
  </si>
  <si>
    <t>TEC</t>
  </si>
  <si>
    <t>06S1736P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</si>
</sst>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\ ;\(&quot;$&quot;#,##0\)"/>
    <numFmt numFmtId="169" formatCode="0.0%"/>
    <numFmt numFmtId="170" formatCode="0.0"/>
    <numFmt numFmtId="171" formatCode="mm/dd/yy"/>
  </numFmts>
  <fonts count="13" x14ac:knownFonts="1">
    <font>
      <sz val="10"/>
      <name val="Arial"/>
    </font>
    <font>
      <b/>
      <sz val="18"/>
      <name val="Arial"/>
    </font>
    <font>
      <b/>
      <sz val="12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</font>
    <font>
      <sz val="10"/>
      <name val="Arial"/>
      <family val="2"/>
    </font>
    <font>
      <i/>
      <sz val="6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9"/>
        <bgColor indexed="9"/>
      </patternFill>
    </fill>
    <fill>
      <patternFill patternType="solid">
        <fgColor indexed="44"/>
        <bgColor indexed="11"/>
      </patternFill>
    </fill>
    <fill>
      <patternFill patternType="solid">
        <fgColor indexed="55"/>
        <bgColor indexed="11"/>
      </patternFill>
    </fill>
    <fill>
      <patternFill patternType="lightDown">
        <fgColor indexed="44"/>
        <bgColor indexed="44"/>
      </patternFill>
    </fill>
    <fill>
      <patternFill patternType="solid">
        <fgColor indexed="44"/>
        <bgColor indexed="9"/>
      </patternFill>
    </fill>
    <fill>
      <patternFill patternType="solid">
        <fgColor indexed="44"/>
        <bgColor indexed="8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9"/>
      </patternFill>
    </fill>
  </fills>
  <borders count="34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3" fontId="3" fillId="2" borderId="0" applyFont="0" applyFill="0" applyBorder="0" applyAlignment="0" applyProtection="0"/>
    <xf numFmtId="164" fontId="3" fillId="2" borderId="0" applyFont="0" applyFill="0" applyBorder="0" applyAlignment="0" applyProtection="0"/>
    <xf numFmtId="0" fontId="3" fillId="2" borderId="0" applyFont="0" applyFill="0" applyBorder="0" applyAlignment="0" applyProtection="0"/>
    <xf numFmtId="2" fontId="3" fillId="2" borderId="0" applyFont="0" applyFill="0" applyBorder="0" applyAlignment="0" applyProtection="0"/>
    <xf numFmtId="0" fontId="1" fillId="2" borderId="0" applyNumberFormat="0" applyFill="0" applyBorder="0" applyAlignment="0" applyProtection="0"/>
    <xf numFmtId="0" fontId="2" fillId="2" borderId="0" applyNumberFormat="0" applyFill="0" applyBorder="0" applyAlignment="0" applyProtection="0"/>
    <xf numFmtId="0" fontId="3" fillId="2" borderId="1" applyNumberFormat="0" applyFont="0" applyFill="0" applyAlignment="0" applyProtection="0"/>
  </cellStyleXfs>
  <cellXfs count="124">
    <xf numFmtId="0" fontId="0" fillId="2" borderId="0" xfId="0" applyFill="1"/>
    <xf numFmtId="0" fontId="4" fillId="2" borderId="2" xfId="0" applyFont="1" applyFill="1" applyBorder="1"/>
    <xf numFmtId="0" fontId="4" fillId="2" borderId="3" xfId="0" applyFont="1" applyFill="1" applyBorder="1"/>
    <xf numFmtId="0" fontId="0" fillId="2" borderId="3" xfId="0" applyFill="1" applyBorder="1"/>
    <xf numFmtId="0" fontId="0" fillId="3" borderId="3" xfId="0" applyFill="1" applyBorder="1"/>
    <xf numFmtId="0" fontId="5" fillId="2" borderId="3" xfId="0" applyFont="1" applyFill="1" applyBorder="1"/>
    <xf numFmtId="0" fontId="0" fillId="2" borderId="4" xfId="0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0" fillId="2" borderId="0" xfId="0" applyFill="1" applyBorder="1"/>
    <xf numFmtId="0" fontId="0" fillId="3" borderId="0" xfId="0" applyFill="1" applyBorder="1" applyAlignment="1">
      <alignment horizontal="left"/>
    </xf>
    <xf numFmtId="0" fontId="0" fillId="3" borderId="0" xfId="0" applyFill="1" applyBorder="1"/>
    <xf numFmtId="0" fontId="5" fillId="2" borderId="0" xfId="0" applyFont="1" applyFill="1" applyBorder="1"/>
    <xf numFmtId="0" fontId="0" fillId="2" borderId="6" xfId="0" applyFill="1" applyBorder="1"/>
    <xf numFmtId="14" fontId="5" fillId="2" borderId="0" xfId="0" applyNumberFormat="1" applyFont="1" applyFill="1" applyBorder="1" applyAlignment="1">
      <alignment horizontal="left"/>
    </xf>
    <xf numFmtId="0" fontId="7" fillId="2" borderId="0" xfId="0" applyFont="1" applyFill="1" applyBorder="1" applyAlignment="1">
      <alignment horizontal="centerContinuous" vertical="center"/>
    </xf>
    <xf numFmtId="0" fontId="0" fillId="3" borderId="0" xfId="0" applyFill="1" applyBorder="1" applyAlignment="1">
      <alignment horizontal="centerContinuous" vertical="center"/>
    </xf>
    <xf numFmtId="0" fontId="0" fillId="2" borderId="6" xfId="0" applyFill="1" applyBorder="1" applyAlignment="1">
      <alignment horizontal="centerContinuous" vertical="center"/>
    </xf>
    <xf numFmtId="171" fontId="0" fillId="3" borderId="0" xfId="0" applyNumberFormat="1" applyFill="1" applyBorder="1" applyAlignment="1">
      <alignment horizontal="left"/>
    </xf>
    <xf numFmtId="0" fontId="8" fillId="3" borderId="0" xfId="0" applyFont="1" applyFill="1" applyBorder="1" applyAlignment="1">
      <alignment horizontal="centerContinuous" vertical="center"/>
    </xf>
    <xf numFmtId="0" fontId="7" fillId="3" borderId="0" xfId="0" applyFont="1" applyFill="1" applyBorder="1" applyAlignment="1">
      <alignment horizontal="centerContinuous" vertical="center"/>
    </xf>
    <xf numFmtId="0" fontId="8" fillId="2" borderId="6" xfId="0" applyFont="1" applyFill="1" applyBorder="1" applyAlignment="1">
      <alignment horizontal="centerContinuous" vertical="center"/>
    </xf>
    <xf numFmtId="0" fontId="0" fillId="2" borderId="7" xfId="0" applyFill="1" applyBorder="1"/>
    <xf numFmtId="0" fontId="0" fillId="2" borderId="8" xfId="0" applyFill="1" applyBorder="1"/>
    <xf numFmtId="0" fontId="0" fillId="3" borderId="8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11" xfId="0" applyFill="1" applyBorder="1" applyAlignment="1">
      <alignment horizontal="centerContinuous"/>
    </xf>
    <xf numFmtId="0" fontId="0" fillId="3" borderId="12" xfId="0" applyFill="1" applyBorder="1" applyAlignment="1">
      <alignment horizontal="centerContinuous"/>
    </xf>
    <xf numFmtId="0" fontId="0" fillId="3" borderId="11" xfId="0" applyFill="1" applyBorder="1" applyAlignment="1">
      <alignment horizontal="centerContinuous"/>
    </xf>
    <xf numFmtId="0" fontId="0" fillId="2" borderId="13" xfId="0" applyFill="1" applyBorder="1" applyAlignment="1">
      <alignment horizontal="centerContinuous"/>
    </xf>
    <xf numFmtId="0" fontId="0" fillId="2" borderId="12" xfId="0" applyFill="1" applyBorder="1" applyAlignment="1">
      <alignment horizontal="centerContinuous"/>
    </xf>
    <xf numFmtId="0" fontId="0" fillId="2" borderId="1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5" xfId="0" applyFill="1" applyBorder="1"/>
    <xf numFmtId="3" fontId="5" fillId="4" borderId="15" xfId="0" applyNumberFormat="1" applyFont="1" applyFill="1" applyBorder="1"/>
    <xf numFmtId="0" fontId="0" fillId="3" borderId="6" xfId="0" applyFill="1" applyBorder="1"/>
    <xf numFmtId="0" fontId="0" fillId="3" borderId="16" xfId="0" applyFill="1" applyBorder="1" applyAlignment="1">
      <alignment horizontal="center"/>
    </xf>
    <xf numFmtId="170" fontId="5" fillId="4" borderId="15" xfId="0" applyNumberFormat="1" applyFont="1" applyFill="1" applyBorder="1"/>
    <xf numFmtId="0" fontId="0" fillId="3" borderId="0" xfId="0" applyFill="1" applyBorder="1" applyAlignment="1">
      <alignment horizontal="center"/>
    </xf>
    <xf numFmtId="2" fontId="5" fillId="4" borderId="15" xfId="0" applyNumberFormat="1" applyFont="1" applyFill="1" applyBorder="1"/>
    <xf numFmtId="1" fontId="5" fillId="5" borderId="15" xfId="0" applyNumberFormat="1" applyFont="1" applyFill="1" applyBorder="1"/>
    <xf numFmtId="0" fontId="0" fillId="3" borderId="0" xfId="0" applyFill="1"/>
    <xf numFmtId="170" fontId="5" fillId="3" borderId="15" xfId="0" applyNumberFormat="1" applyFont="1" applyFill="1" applyBorder="1" applyAlignment="1">
      <alignment horizontal="center"/>
    </xf>
    <xf numFmtId="170" fontId="5" fillId="4" borderId="15" xfId="0" applyNumberFormat="1" applyFont="1" applyFill="1" applyBorder="1" applyAlignment="1">
      <alignment horizontal="center"/>
    </xf>
    <xf numFmtId="169" fontId="5" fillId="4" borderId="15" xfId="0" applyNumberFormat="1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70" fontId="5" fillId="6" borderId="15" xfId="0" applyNumberFormat="1" applyFont="1" applyFill="1" applyBorder="1" applyAlignment="1">
      <alignment horizontal="center"/>
    </xf>
    <xf numFmtId="0" fontId="0" fillId="3" borderId="17" xfId="0" applyFill="1" applyBorder="1"/>
    <xf numFmtId="0" fontId="9" fillId="2" borderId="0" xfId="0" applyFont="1" applyFill="1" applyBorder="1"/>
    <xf numFmtId="0" fontId="0" fillId="2" borderId="15" xfId="0" applyFill="1" applyBorder="1" applyAlignment="1">
      <alignment horizontal="center" wrapText="1"/>
    </xf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 applyAlignment="1">
      <alignment horizontal="center"/>
    </xf>
    <xf numFmtId="170" fontId="0" fillId="7" borderId="21" xfId="0" applyNumberFormat="1" applyFill="1" applyBorder="1" applyAlignment="1">
      <alignment horizontal="center"/>
    </xf>
    <xf numFmtId="3" fontId="0" fillId="7" borderId="21" xfId="0" applyNumberFormat="1" applyFill="1" applyBorder="1" applyAlignment="1">
      <alignment horizontal="center"/>
    </xf>
    <xf numFmtId="3" fontId="0" fillId="7" borderId="22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23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2" borderId="23" xfId="0" applyFill="1" applyBorder="1" applyAlignment="1">
      <alignment horizontal="center" wrapText="1"/>
    </xf>
    <xf numFmtId="3" fontId="0" fillId="8" borderId="23" xfId="0" applyNumberFormat="1" applyFill="1" applyBorder="1" applyAlignment="1">
      <alignment horizontal="center"/>
    </xf>
    <xf numFmtId="3" fontId="0" fillId="8" borderId="23" xfId="0" applyNumberFormat="1" applyFill="1" applyBorder="1" applyAlignment="1">
      <alignment horizontal="center" wrapText="1"/>
    </xf>
    <xf numFmtId="0" fontId="0" fillId="2" borderId="24" xfId="0" applyFill="1" applyBorder="1"/>
    <xf numFmtId="0" fontId="9" fillId="2" borderId="25" xfId="0" applyFont="1" applyFill="1" applyBorder="1"/>
    <xf numFmtId="0" fontId="0" fillId="3" borderId="25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17" xfId="0" applyFill="1" applyBorder="1"/>
    <xf numFmtId="0" fontId="0" fillId="3" borderId="27" xfId="0" applyFill="1" applyBorder="1"/>
    <xf numFmtId="0" fontId="0" fillId="2" borderId="0" xfId="0" applyFill="1" applyBorder="1" applyAlignment="1">
      <alignment horizontal="center"/>
    </xf>
    <xf numFmtId="0" fontId="0" fillId="2" borderId="28" xfId="0" applyFill="1" applyBorder="1"/>
    <xf numFmtId="0" fontId="0" fillId="2" borderId="29" xfId="0" applyFill="1" applyBorder="1"/>
    <xf numFmtId="0" fontId="0" fillId="3" borderId="29" xfId="0" applyFill="1" applyBorder="1"/>
    <xf numFmtId="0" fontId="0" fillId="2" borderId="30" xfId="0" applyFill="1" applyBorder="1"/>
    <xf numFmtId="3" fontId="0" fillId="3" borderId="23" xfId="0" applyNumberFormat="1" applyFill="1" applyBorder="1" applyAlignment="1">
      <alignment horizontal="center" wrapText="1"/>
    </xf>
    <xf numFmtId="3" fontId="0" fillId="7" borderId="23" xfId="0" applyNumberFormat="1" applyFill="1" applyBorder="1" applyAlignment="1">
      <alignment horizontal="center"/>
    </xf>
    <xf numFmtId="0" fontId="0" fillId="3" borderId="0" xfId="0" quotePrefix="1" applyFill="1" applyBorder="1" applyAlignment="1">
      <alignment horizontal="center"/>
    </xf>
    <xf numFmtId="170" fontId="0" fillId="7" borderId="23" xfId="0" applyNumberFormat="1" applyFill="1" applyBorder="1" applyAlignment="1">
      <alignment horizontal="center" wrapText="1"/>
    </xf>
    <xf numFmtId="0" fontId="0" fillId="2" borderId="22" xfId="0" applyFill="1" applyBorder="1" applyAlignment="1">
      <alignment horizontal="center"/>
    </xf>
    <xf numFmtId="2" fontId="0" fillId="3" borderId="0" xfId="0" applyNumberFormat="1" applyFill="1" applyBorder="1"/>
    <xf numFmtId="0" fontId="9" fillId="3" borderId="0" xfId="0" applyFont="1" applyFill="1" applyBorder="1" applyAlignment="1">
      <alignment horizontal="left"/>
    </xf>
    <xf numFmtId="0" fontId="0" fillId="3" borderId="21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3" fontId="0" fillId="0" borderId="0" xfId="0" applyNumberFormat="1" applyFill="1" applyBorder="1"/>
    <xf numFmtId="170" fontId="0" fillId="0" borderId="0" xfId="0" applyNumberFormat="1" applyFill="1" applyBorder="1"/>
    <xf numFmtId="0" fontId="0" fillId="3" borderId="15" xfId="0" applyFill="1" applyBorder="1" applyAlignment="1">
      <alignment horizontal="center" vertical="top" wrapText="1"/>
    </xf>
    <xf numFmtId="170" fontId="0" fillId="9" borderId="23" xfId="0" applyNumberFormat="1" applyFill="1" applyBorder="1" applyAlignment="1">
      <alignment horizontal="center"/>
    </xf>
    <xf numFmtId="3" fontId="5" fillId="9" borderId="15" xfId="0" applyNumberFormat="1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3" fontId="5" fillId="3" borderId="32" xfId="0" applyNumberFormat="1" applyFont="1" applyFill="1" applyBorder="1" applyAlignment="1">
      <alignment horizontal="center"/>
    </xf>
    <xf numFmtId="9" fontId="5" fillId="7" borderId="13" xfId="0" applyNumberFormat="1" applyFont="1" applyFill="1" applyBorder="1" applyAlignment="1">
      <alignment horizontal="center"/>
    </xf>
    <xf numFmtId="3" fontId="5" fillId="0" borderId="32" xfId="0" applyNumberFormat="1" applyFont="1" applyFill="1" applyBorder="1" applyAlignment="1">
      <alignment horizontal="center"/>
    </xf>
    <xf numFmtId="3" fontId="5" fillId="4" borderId="13" xfId="0" applyNumberFormat="1" applyFont="1" applyFill="1" applyBorder="1" applyAlignment="1">
      <alignment horizontal="center"/>
    </xf>
    <xf numFmtId="170" fontId="5" fillId="3" borderId="12" xfId="0" applyNumberFormat="1" applyFont="1" applyFill="1" applyBorder="1" applyAlignment="1">
      <alignment horizontal="center"/>
    </xf>
    <xf numFmtId="170" fontId="5" fillId="3" borderId="32" xfId="0" applyNumberFormat="1" applyFont="1" applyFill="1" applyBorder="1" applyAlignment="1">
      <alignment horizontal="center"/>
    </xf>
    <xf numFmtId="0" fontId="5" fillId="3" borderId="13" xfId="0" quotePrefix="1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3" fontId="0" fillId="7" borderId="33" xfId="0" applyNumberFormat="1" applyFill="1" applyBorder="1"/>
    <xf numFmtId="170" fontId="0" fillId="7" borderId="22" xfId="0" applyNumberFormat="1" applyFill="1" applyBorder="1"/>
    <xf numFmtId="170" fontId="0" fillId="3" borderId="32" xfId="0" applyNumberFormat="1" applyFill="1" applyBorder="1"/>
    <xf numFmtId="170" fontId="5" fillId="7" borderId="15" xfId="0" applyNumberFormat="1" applyFont="1" applyFill="1" applyBorder="1" applyAlignment="1">
      <alignment horizontal="center"/>
    </xf>
    <xf numFmtId="170" fontId="5" fillId="7" borderId="11" xfId="0" applyNumberFormat="1" applyFont="1" applyFill="1" applyBorder="1" applyAlignment="1">
      <alignment horizontal="center"/>
    </xf>
    <xf numFmtId="170" fontId="5" fillId="4" borderId="12" xfId="0" applyNumberFormat="1" applyFont="1" applyFill="1" applyBorder="1" applyAlignment="1">
      <alignment horizontal="center"/>
    </xf>
    <xf numFmtId="170" fontId="5" fillId="4" borderId="11" xfId="0" applyNumberFormat="1" applyFont="1" applyFill="1" applyBorder="1" applyAlignment="1">
      <alignment horizontal="center"/>
    </xf>
    <xf numFmtId="170" fontId="5" fillId="4" borderId="13" xfId="0" applyNumberFormat="1" applyFont="1" applyFill="1" applyBorder="1" applyAlignment="1">
      <alignment horizontal="center"/>
    </xf>
    <xf numFmtId="2" fontId="5" fillId="3" borderId="32" xfId="0" applyNumberFormat="1" applyFont="1" applyFill="1" applyBorder="1"/>
    <xf numFmtId="169" fontId="5" fillId="7" borderId="12" xfId="0" applyNumberFormat="1" applyFont="1" applyFill="1" applyBorder="1" applyAlignment="1">
      <alignment horizontal="center"/>
    </xf>
    <xf numFmtId="0" fontId="0" fillId="2" borderId="16" xfId="0" applyFill="1" applyBorder="1" applyAlignment="1">
      <alignment horizontal="center" vertical="top" wrapText="1"/>
    </xf>
    <xf numFmtId="3" fontId="5" fillId="4" borderId="11" xfId="0" applyNumberFormat="1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0" fillId="8" borderId="21" xfId="0" applyFill="1" applyBorder="1" applyAlignment="1" applyProtection="1">
      <alignment horizontal="center"/>
    </xf>
    <xf numFmtId="0" fontId="0" fillId="3" borderId="31" xfId="0" applyFill="1" applyBorder="1" applyAlignment="1">
      <alignment horizontal="center" wrapText="1"/>
    </xf>
    <xf numFmtId="4" fontId="0" fillId="0" borderId="32" xfId="0" applyNumberFormat="1" applyFill="1" applyBorder="1" applyAlignment="1">
      <alignment horizontal="center"/>
    </xf>
    <xf numFmtId="4" fontId="0" fillId="0" borderId="32" xfId="0" applyNumberFormat="1" applyFill="1" applyBorder="1" applyAlignment="1">
      <alignment horizontal="center" wrapText="1"/>
    </xf>
    <xf numFmtId="3" fontId="0" fillId="10" borderId="33" xfId="0" applyNumberFormat="1" applyFill="1" applyBorder="1"/>
    <xf numFmtId="0" fontId="0" fillId="2" borderId="11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 wrapText="1"/>
    </xf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2">
    <dxf>
      <fill>
        <patternFill>
          <bgColor indexed="10"/>
        </patternFill>
      </fill>
    </dxf>
    <dxf>
      <font>
        <strike val="0"/>
        <condense val="0"/>
        <extend val="0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  <pageSetUpPr fitToPage="1"/>
  </sheetPr>
  <dimension ref="A1:M144"/>
  <sheetViews>
    <sheetView showGridLines="0" showZeros="0" tabSelected="1" topLeftCell="A106" workbookViewId="0">
      <selection activeCell="J119" sqref="J119"/>
    </sheetView>
  </sheetViews>
  <sheetFormatPr defaultColWidth="10.28515625" defaultRowHeight="12.75" x14ac:dyDescent="0.2"/>
  <cols>
    <col min="1" max="1" width="3.5703125" customWidth="1"/>
    <col min="2" max="2" width="10.7109375" customWidth="1"/>
    <col min="3" max="4" width="10.7109375" style="46" customWidth="1"/>
    <col min="5" max="5" width="10.7109375" customWidth="1"/>
    <col min="6" max="7" width="10.7109375" style="46" customWidth="1"/>
    <col min="8" max="8" width="10.7109375" customWidth="1"/>
    <col min="9" max="9" width="11.5703125" customWidth="1"/>
    <col min="10" max="11" width="10.7109375" customWidth="1"/>
    <col min="12" max="12" width="10.7109375" style="46" customWidth="1"/>
    <col min="13" max="13" width="10.7109375" customWidth="1"/>
  </cols>
  <sheetData>
    <row r="1" spans="1:13" ht="15.75" x14ac:dyDescent="0.25">
      <c r="A1" s="1"/>
      <c r="B1" s="2" t="s">
        <v>114</v>
      </c>
      <c r="C1" s="3"/>
      <c r="D1" s="4"/>
      <c r="E1" s="3"/>
      <c r="F1" s="4"/>
      <c r="G1" s="4"/>
      <c r="H1" s="3"/>
      <c r="I1" s="3"/>
      <c r="J1" s="5"/>
      <c r="K1" s="3"/>
      <c r="L1" s="3"/>
      <c r="M1" s="6"/>
    </row>
    <row r="2" spans="1:13" x14ac:dyDescent="0.2">
      <c r="A2" s="7"/>
      <c r="B2" s="8" t="s">
        <v>0</v>
      </c>
      <c r="C2" s="9"/>
      <c r="D2" s="10" t="s">
        <v>117</v>
      </c>
      <c r="E2" s="9"/>
      <c r="F2" s="11"/>
      <c r="G2" s="11"/>
      <c r="H2" s="9"/>
      <c r="I2" s="9"/>
      <c r="J2" s="12"/>
      <c r="K2" s="9"/>
      <c r="L2" s="11"/>
      <c r="M2" s="13"/>
    </row>
    <row r="3" spans="1:13" x14ac:dyDescent="0.2">
      <c r="A3" s="7"/>
      <c r="B3" s="8" t="s">
        <v>1</v>
      </c>
      <c r="C3" s="9"/>
      <c r="D3" s="10" t="s">
        <v>120</v>
      </c>
      <c r="E3" s="9"/>
      <c r="F3" s="11"/>
      <c r="G3" s="11"/>
      <c r="H3" s="9"/>
      <c r="I3" s="9"/>
      <c r="J3" s="12"/>
      <c r="K3" s="9"/>
      <c r="L3" s="11"/>
      <c r="M3" s="13"/>
    </row>
    <row r="4" spans="1:13" x14ac:dyDescent="0.2">
      <c r="A4" s="7"/>
      <c r="B4" s="8" t="s">
        <v>2</v>
      </c>
      <c r="C4" s="9"/>
      <c r="D4" s="87" t="s">
        <v>118</v>
      </c>
      <c r="E4" s="9"/>
      <c r="F4" s="11"/>
      <c r="G4" s="11"/>
      <c r="H4" s="9"/>
      <c r="I4" s="9"/>
      <c r="J4" s="14"/>
      <c r="K4" s="9"/>
      <c r="L4" s="11"/>
      <c r="M4" s="13"/>
    </row>
    <row r="5" spans="1:13" x14ac:dyDescent="0.2">
      <c r="A5" s="7"/>
      <c r="B5" s="8" t="s">
        <v>3</v>
      </c>
      <c r="C5" s="9"/>
      <c r="D5" s="10" t="s">
        <v>119</v>
      </c>
      <c r="E5" s="9"/>
      <c r="F5" s="11"/>
      <c r="G5" s="11"/>
      <c r="H5" s="9"/>
      <c r="I5" s="9"/>
      <c r="J5" s="12"/>
      <c r="K5" s="15"/>
      <c r="L5" s="16"/>
      <c r="M5" s="17"/>
    </row>
    <row r="6" spans="1:13" x14ac:dyDescent="0.2">
      <c r="A6" s="7"/>
      <c r="B6" s="8" t="s">
        <v>4</v>
      </c>
      <c r="C6" s="9"/>
      <c r="D6" s="18">
        <v>39094</v>
      </c>
      <c r="E6" s="9"/>
      <c r="F6" s="11"/>
      <c r="G6" s="11"/>
      <c r="H6" s="9"/>
      <c r="I6" s="9"/>
      <c r="J6" s="14"/>
      <c r="K6" s="19"/>
      <c r="L6" s="20"/>
      <c r="M6" s="21"/>
    </row>
    <row r="7" spans="1:13" ht="13.5" thickBot="1" x14ac:dyDescent="0.25">
      <c r="A7" s="22"/>
      <c r="B7" s="23"/>
      <c r="C7" s="24"/>
      <c r="D7" s="24"/>
      <c r="E7" s="23"/>
      <c r="F7" s="24"/>
      <c r="G7" s="24"/>
      <c r="H7" s="23"/>
      <c r="I7" s="23"/>
      <c r="J7" s="23"/>
      <c r="K7" s="23"/>
      <c r="L7" s="24"/>
      <c r="M7" s="25"/>
    </row>
    <row r="8" spans="1:13" x14ac:dyDescent="0.2">
      <c r="A8" s="26"/>
      <c r="B8" s="9"/>
      <c r="C8" s="11"/>
      <c r="D8" s="11"/>
      <c r="E8" s="9"/>
      <c r="F8" s="11"/>
      <c r="G8" s="11"/>
      <c r="H8" s="9"/>
      <c r="I8" s="9"/>
      <c r="J8" s="9"/>
      <c r="K8" s="9"/>
      <c r="L8" s="11"/>
      <c r="M8" s="13"/>
    </row>
    <row r="9" spans="1:13" x14ac:dyDescent="0.2">
      <c r="A9" s="26"/>
      <c r="B9" s="53" t="s">
        <v>94</v>
      </c>
      <c r="C9" s="11"/>
      <c r="D9" s="11"/>
      <c r="E9" s="9"/>
      <c r="F9" s="11"/>
      <c r="G9" s="11"/>
      <c r="H9" s="9"/>
      <c r="I9" s="9"/>
      <c r="J9" s="9"/>
      <c r="K9" s="9"/>
      <c r="L9" s="11"/>
      <c r="M9" s="13"/>
    </row>
    <row r="10" spans="1:13" x14ac:dyDescent="0.2">
      <c r="A10" s="26"/>
      <c r="B10" s="9"/>
      <c r="C10" s="11"/>
      <c r="D10" s="11"/>
      <c r="E10" s="9"/>
      <c r="F10" s="11"/>
      <c r="G10" s="11"/>
      <c r="H10" s="9"/>
      <c r="I10" s="9"/>
      <c r="J10" s="9"/>
      <c r="K10" s="9"/>
      <c r="L10" s="11"/>
      <c r="M10" s="13"/>
    </row>
    <row r="11" spans="1:13" x14ac:dyDescent="0.2">
      <c r="A11" s="26"/>
      <c r="B11" s="9" t="s">
        <v>5</v>
      </c>
      <c r="C11" s="11"/>
      <c r="D11" s="11"/>
      <c r="E11" s="9"/>
      <c r="F11" s="11"/>
      <c r="G11" s="11"/>
      <c r="H11" s="9"/>
      <c r="I11" s="9"/>
      <c r="J11" s="9"/>
      <c r="K11" s="9"/>
      <c r="L11" s="11"/>
      <c r="M11" s="13"/>
    </row>
    <row r="12" spans="1:13" x14ac:dyDescent="0.2">
      <c r="A12" s="26"/>
      <c r="B12" s="9"/>
      <c r="C12" s="11"/>
      <c r="D12" s="11"/>
      <c r="E12" s="9"/>
      <c r="F12" s="11"/>
      <c r="G12" s="11" t="s">
        <v>105</v>
      </c>
      <c r="H12" s="9"/>
      <c r="I12" s="9"/>
      <c r="J12" s="9"/>
      <c r="K12" s="9"/>
      <c r="L12" s="11"/>
      <c r="M12" s="13"/>
    </row>
    <row r="13" spans="1:13" ht="42.75" customHeight="1" x14ac:dyDescent="0.2">
      <c r="A13" s="26"/>
      <c r="B13" s="9"/>
      <c r="C13" s="27" t="s">
        <v>6</v>
      </c>
      <c r="D13" s="28"/>
      <c r="E13" s="28" t="s">
        <v>7</v>
      </c>
      <c r="F13" s="28" t="s">
        <v>8</v>
      </c>
      <c r="G13" s="122" t="s">
        <v>106</v>
      </c>
      <c r="H13" s="123"/>
      <c r="I13" s="31" t="s">
        <v>107</v>
      </c>
      <c r="J13" s="32"/>
      <c r="K13" s="33"/>
      <c r="L13" s="11"/>
      <c r="M13" s="13"/>
    </row>
    <row r="14" spans="1:13" ht="13.5" thickBot="1" x14ac:dyDescent="0.25">
      <c r="A14" s="26"/>
      <c r="B14" s="9"/>
      <c r="C14" s="95" t="s">
        <v>10</v>
      </c>
      <c r="D14" s="35" t="s">
        <v>11</v>
      </c>
      <c r="E14" s="41" t="s">
        <v>10</v>
      </c>
      <c r="F14" s="35" t="s">
        <v>10</v>
      </c>
      <c r="G14" s="27" t="s">
        <v>12</v>
      </c>
      <c r="H14" s="28" t="s">
        <v>13</v>
      </c>
      <c r="I14" s="28" t="s">
        <v>12</v>
      </c>
      <c r="J14" s="36" t="s">
        <v>13</v>
      </c>
      <c r="K14" s="27" t="s">
        <v>14</v>
      </c>
      <c r="L14" s="11"/>
      <c r="M14" s="13"/>
    </row>
    <row r="15" spans="1:13" ht="13.5" thickBot="1" x14ac:dyDescent="0.25">
      <c r="A15" s="38"/>
      <c r="B15" s="9"/>
      <c r="C15" s="96">
        <v>11600</v>
      </c>
      <c r="D15" s="97">
        <f>+E15/C15</f>
        <v>0.3461206896551724</v>
      </c>
      <c r="E15" s="98">
        <v>4015</v>
      </c>
      <c r="F15" s="99">
        <f>IF(C15=" ",0,C15-E15)</f>
        <v>7585</v>
      </c>
      <c r="G15" s="101">
        <v>93</v>
      </c>
      <c r="H15" s="101">
        <v>76</v>
      </c>
      <c r="I15" s="101">
        <v>72</v>
      </c>
      <c r="J15" s="102" t="s">
        <v>15</v>
      </c>
      <c r="K15" s="103">
        <v>50</v>
      </c>
      <c r="L15" s="11"/>
      <c r="M15" s="40"/>
    </row>
    <row r="16" spans="1:13" x14ac:dyDescent="0.2">
      <c r="A16" s="38"/>
      <c r="B16" s="9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40"/>
    </row>
    <row r="17" spans="1:13" x14ac:dyDescent="0.2">
      <c r="A17" s="38"/>
      <c r="B17" s="9" t="s">
        <v>115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40"/>
    </row>
    <row r="18" spans="1:13" x14ac:dyDescent="0.2">
      <c r="A18" s="38"/>
      <c r="B18" s="9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40"/>
    </row>
    <row r="19" spans="1:13" x14ac:dyDescent="0.2">
      <c r="A19" s="38"/>
      <c r="B19" s="9"/>
      <c r="C19" s="89" t="s">
        <v>6</v>
      </c>
      <c r="D19" s="89" t="s">
        <v>96</v>
      </c>
      <c r="E19" s="89" t="s">
        <v>99</v>
      </c>
      <c r="F19" s="11"/>
      <c r="G19" s="11"/>
      <c r="H19" s="11"/>
      <c r="I19" s="11"/>
      <c r="J19" s="11"/>
      <c r="K19" s="11"/>
      <c r="L19" s="11"/>
      <c r="M19" s="40"/>
    </row>
    <row r="20" spans="1:13" x14ac:dyDescent="0.2">
      <c r="A20" s="38"/>
      <c r="B20" s="9"/>
      <c r="C20" s="57" t="s">
        <v>10</v>
      </c>
      <c r="D20" s="57" t="s">
        <v>97</v>
      </c>
      <c r="E20" s="57" t="s">
        <v>100</v>
      </c>
      <c r="F20" s="11"/>
      <c r="G20" s="11"/>
      <c r="H20" s="11"/>
      <c r="I20" s="11"/>
      <c r="J20" s="11"/>
      <c r="K20" s="11"/>
      <c r="L20" s="11"/>
      <c r="M20" s="40"/>
    </row>
    <row r="21" spans="1:13" ht="13.5" thickBot="1" x14ac:dyDescent="0.25">
      <c r="A21" s="38"/>
      <c r="B21" s="9"/>
      <c r="C21" s="88"/>
      <c r="D21" s="57" t="s">
        <v>98</v>
      </c>
      <c r="E21" s="88" t="s">
        <v>101</v>
      </c>
      <c r="F21" s="11"/>
      <c r="G21" s="11"/>
      <c r="H21" s="11"/>
      <c r="I21" s="11"/>
      <c r="J21" s="11"/>
      <c r="K21" s="11"/>
      <c r="L21" s="11"/>
      <c r="M21" s="40"/>
    </row>
    <row r="22" spans="1:13" ht="13.5" thickBot="1" x14ac:dyDescent="0.25">
      <c r="A22" s="38"/>
      <c r="B22" s="9"/>
      <c r="C22" s="104">
        <f>+C15</f>
        <v>11600</v>
      </c>
      <c r="D22" s="106">
        <v>4</v>
      </c>
      <c r="E22" s="105">
        <f>+(C22*D22)/(6344*0.65)</f>
        <v>11.252303812202928</v>
      </c>
      <c r="F22" s="11"/>
      <c r="G22" s="11" t="s">
        <v>95</v>
      </c>
      <c r="H22" s="11"/>
      <c r="I22" s="11"/>
      <c r="J22" s="11"/>
      <c r="K22" s="11"/>
      <c r="L22" s="11"/>
      <c r="M22" s="40"/>
    </row>
    <row r="23" spans="1:13" x14ac:dyDescent="0.2">
      <c r="A23" s="38"/>
      <c r="B23" s="9"/>
      <c r="C23" s="90"/>
      <c r="D23" s="91"/>
      <c r="E23" s="91"/>
      <c r="F23" s="11"/>
      <c r="G23" s="11"/>
      <c r="H23" s="11"/>
      <c r="I23" s="11"/>
      <c r="J23" s="11"/>
      <c r="K23" s="11"/>
      <c r="L23" s="11"/>
      <c r="M23" s="40"/>
    </row>
    <row r="24" spans="1:13" x14ac:dyDescent="0.2">
      <c r="A24" s="38"/>
      <c r="B24" s="9" t="s">
        <v>116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40"/>
    </row>
    <row r="25" spans="1:13" x14ac:dyDescent="0.2">
      <c r="A25" s="38"/>
      <c r="B25" s="9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40"/>
    </row>
    <row r="26" spans="1:13" x14ac:dyDescent="0.2">
      <c r="A26" s="38"/>
      <c r="B26" s="9"/>
      <c r="C26" s="89" t="s">
        <v>8</v>
      </c>
      <c r="D26" s="89" t="s">
        <v>96</v>
      </c>
      <c r="E26" s="89" t="s">
        <v>99</v>
      </c>
      <c r="F26" s="11"/>
      <c r="G26" s="11"/>
      <c r="H26" s="11"/>
      <c r="I26" s="11"/>
      <c r="J26" s="11"/>
      <c r="K26" s="11"/>
      <c r="L26" s="11"/>
      <c r="M26" s="40"/>
    </row>
    <row r="27" spans="1:13" x14ac:dyDescent="0.2">
      <c r="A27" s="38"/>
      <c r="B27" s="9"/>
      <c r="C27" s="57" t="s">
        <v>10</v>
      </c>
      <c r="D27" s="57" t="s">
        <v>97</v>
      </c>
      <c r="E27" s="57" t="s">
        <v>100</v>
      </c>
      <c r="F27" s="11"/>
      <c r="G27" s="11"/>
      <c r="H27" s="11"/>
      <c r="I27" s="11"/>
      <c r="J27" s="11"/>
      <c r="K27" s="11"/>
      <c r="L27" s="11"/>
      <c r="M27" s="40"/>
    </row>
    <row r="28" spans="1:13" ht="13.5" thickBot="1" x14ac:dyDescent="0.25">
      <c r="A28" s="38"/>
      <c r="B28" s="9"/>
      <c r="C28" s="88"/>
      <c r="D28" s="57" t="s">
        <v>98</v>
      </c>
      <c r="E28" s="88" t="s">
        <v>101</v>
      </c>
      <c r="F28" s="11"/>
      <c r="G28" s="11"/>
      <c r="H28" s="11"/>
      <c r="I28" s="11"/>
      <c r="J28" s="11"/>
      <c r="K28" s="11"/>
      <c r="L28" s="11"/>
      <c r="M28" s="40"/>
    </row>
    <row r="29" spans="1:13" ht="13.5" thickBot="1" x14ac:dyDescent="0.25">
      <c r="A29" s="38"/>
      <c r="B29" s="9"/>
      <c r="C29" s="121">
        <v>10637</v>
      </c>
      <c r="D29" s="106">
        <v>2.5</v>
      </c>
      <c r="E29" s="105">
        <f>+(C29*D29)/(6344*0.65)</f>
        <v>6.4488553690949653</v>
      </c>
      <c r="F29" s="11"/>
      <c r="G29" s="11" t="s">
        <v>95</v>
      </c>
      <c r="H29" s="11"/>
      <c r="I29" s="11"/>
      <c r="J29" s="11"/>
      <c r="K29" s="11"/>
      <c r="L29" s="11"/>
      <c r="M29" s="40"/>
    </row>
    <row r="30" spans="1:13" x14ac:dyDescent="0.2">
      <c r="A30" s="38"/>
      <c r="B30" s="9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40"/>
    </row>
    <row r="31" spans="1:13" x14ac:dyDescent="0.2">
      <c r="A31" s="38"/>
      <c r="B31" s="9"/>
      <c r="C31" s="29" t="s">
        <v>16</v>
      </c>
      <c r="D31" s="30"/>
      <c r="E31" s="29" t="s">
        <v>17</v>
      </c>
      <c r="F31" s="30"/>
      <c r="G31" s="28" t="s">
        <v>18</v>
      </c>
      <c r="H31" s="11"/>
      <c r="I31" s="11" t="s">
        <v>110</v>
      </c>
      <c r="J31" s="11"/>
      <c r="K31" s="11"/>
      <c r="L31" s="11"/>
      <c r="M31" s="40"/>
    </row>
    <row r="32" spans="1:13" ht="13.5" thickBot="1" x14ac:dyDescent="0.25">
      <c r="A32" s="38"/>
      <c r="B32" s="9"/>
      <c r="C32" s="36" t="s">
        <v>6</v>
      </c>
      <c r="D32" s="37" t="s">
        <v>8</v>
      </c>
      <c r="E32" s="27" t="s">
        <v>19</v>
      </c>
      <c r="F32" s="28" t="s">
        <v>20</v>
      </c>
      <c r="G32" s="41" t="s">
        <v>55</v>
      </c>
      <c r="H32" s="11"/>
      <c r="I32" s="9"/>
      <c r="J32" s="9"/>
      <c r="K32" s="9"/>
      <c r="L32" s="11"/>
      <c r="M32" s="40"/>
    </row>
    <row r="33" spans="1:13" ht="13.5" thickBot="1" x14ac:dyDescent="0.25">
      <c r="A33" s="38"/>
      <c r="B33" s="9"/>
      <c r="C33" s="107">
        <f>+E22</f>
        <v>11.252303812202928</v>
      </c>
      <c r="D33" s="108">
        <f>+E29</f>
        <v>6.4488553690949653</v>
      </c>
      <c r="E33" s="96">
        <v>188349</v>
      </c>
      <c r="F33" s="96">
        <v>30574</v>
      </c>
      <c r="G33" s="103">
        <v>17</v>
      </c>
      <c r="H33" s="11"/>
      <c r="I33" s="11"/>
      <c r="J33" s="11"/>
      <c r="K33" s="11"/>
      <c r="L33" s="11"/>
      <c r="M33" s="40"/>
    </row>
    <row r="34" spans="1:13" x14ac:dyDescent="0.2">
      <c r="A34" s="38"/>
      <c r="B34" s="11"/>
      <c r="C34" s="86"/>
      <c r="D34" s="86"/>
      <c r="E34" s="11"/>
      <c r="F34" s="11"/>
      <c r="G34" s="11"/>
      <c r="H34" s="11"/>
      <c r="I34" s="11"/>
      <c r="J34" s="11"/>
      <c r="K34" s="11"/>
      <c r="L34" s="11"/>
      <c r="M34" s="40"/>
    </row>
    <row r="35" spans="1:13" x14ac:dyDescent="0.2">
      <c r="A35" s="38"/>
      <c r="B35" s="11" t="s">
        <v>22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40"/>
    </row>
    <row r="36" spans="1:13" x14ac:dyDescent="0.2">
      <c r="A36" s="38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40"/>
    </row>
    <row r="37" spans="1:13" x14ac:dyDescent="0.2">
      <c r="A37" s="38"/>
      <c r="B37" s="11" t="s">
        <v>92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40"/>
    </row>
    <row r="38" spans="1:13" x14ac:dyDescent="0.2">
      <c r="A38" s="38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40"/>
    </row>
    <row r="39" spans="1:13" x14ac:dyDescent="0.2">
      <c r="A39" s="38"/>
      <c r="B39" s="11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40"/>
    </row>
    <row r="40" spans="1:13" x14ac:dyDescent="0.2">
      <c r="A40" s="38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40"/>
    </row>
    <row r="41" spans="1:13" x14ac:dyDescent="0.2">
      <c r="A41" s="38"/>
      <c r="B41" s="11"/>
      <c r="C41" s="28" t="s">
        <v>37</v>
      </c>
      <c r="D41" s="28" t="s">
        <v>38</v>
      </c>
      <c r="E41" s="28" t="s">
        <v>77</v>
      </c>
      <c r="F41" s="11"/>
      <c r="G41" s="11"/>
      <c r="H41" s="11"/>
      <c r="I41" s="11"/>
      <c r="J41" s="11"/>
      <c r="K41" s="11"/>
      <c r="L41" s="11"/>
      <c r="M41" s="40"/>
    </row>
    <row r="42" spans="1:13" x14ac:dyDescent="0.2">
      <c r="A42" s="38"/>
      <c r="B42" s="11"/>
      <c r="C42" s="41" t="s">
        <v>25</v>
      </c>
      <c r="D42" s="41" t="s">
        <v>18</v>
      </c>
      <c r="E42" s="41" t="s">
        <v>40</v>
      </c>
      <c r="F42" s="11"/>
      <c r="G42" s="11"/>
      <c r="H42" s="11"/>
      <c r="I42" s="11"/>
      <c r="J42" s="11"/>
      <c r="K42" s="11"/>
      <c r="L42" s="11"/>
      <c r="M42" s="40"/>
    </row>
    <row r="43" spans="1:13" x14ac:dyDescent="0.2">
      <c r="A43" s="38"/>
      <c r="B43" s="11"/>
      <c r="C43" s="35" t="s">
        <v>31</v>
      </c>
      <c r="D43" s="35" t="s">
        <v>41</v>
      </c>
      <c r="E43" s="35" t="s">
        <v>42</v>
      </c>
      <c r="F43" s="11"/>
      <c r="G43" s="11"/>
      <c r="H43" s="11"/>
      <c r="I43" s="11"/>
      <c r="J43" s="11"/>
      <c r="K43" s="11"/>
      <c r="L43" s="11"/>
      <c r="M43" s="40"/>
    </row>
    <row r="44" spans="1:13" x14ac:dyDescent="0.2">
      <c r="A44" s="38"/>
      <c r="B44" s="11"/>
      <c r="C44" s="50">
        <f>IF(I15=" ",0,I15)</f>
        <v>72</v>
      </c>
      <c r="D44" s="51">
        <f>IF(G33=" ",0,G33)</f>
        <v>17</v>
      </c>
      <c r="E44" s="51">
        <f>C44-D44</f>
        <v>55</v>
      </c>
      <c r="F44" s="11"/>
      <c r="G44" s="11"/>
      <c r="H44" s="11"/>
      <c r="I44" s="11"/>
      <c r="J44" s="11"/>
      <c r="K44" s="11"/>
      <c r="L44" s="11"/>
      <c r="M44" s="40"/>
    </row>
    <row r="45" spans="1:13" x14ac:dyDescent="0.2">
      <c r="A45" s="38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40"/>
    </row>
    <row r="46" spans="1:13" x14ac:dyDescent="0.2">
      <c r="A46" s="38"/>
      <c r="B46" s="11" t="s">
        <v>78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40"/>
    </row>
    <row r="47" spans="1:13" x14ac:dyDescent="0.2">
      <c r="A47" s="38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40"/>
    </row>
    <row r="48" spans="1:13" x14ac:dyDescent="0.2">
      <c r="A48" s="38"/>
      <c r="B48" s="11"/>
      <c r="C48" s="28" t="s">
        <v>6</v>
      </c>
      <c r="D48" s="28" t="s">
        <v>6</v>
      </c>
      <c r="E48" s="28" t="s">
        <v>43</v>
      </c>
      <c r="F48" s="11"/>
      <c r="G48" s="11"/>
      <c r="H48" s="11"/>
      <c r="I48" s="11"/>
      <c r="J48" s="11"/>
      <c r="K48" s="11"/>
      <c r="L48" s="11"/>
      <c r="M48" s="40"/>
    </row>
    <row r="49" spans="1:13" x14ac:dyDescent="0.2">
      <c r="A49" s="38"/>
      <c r="B49" s="11"/>
      <c r="C49" s="41" t="s">
        <v>39</v>
      </c>
      <c r="D49" s="41" t="s">
        <v>39</v>
      </c>
      <c r="E49" s="41" t="s">
        <v>44</v>
      </c>
      <c r="F49" s="11"/>
      <c r="G49" s="11"/>
      <c r="H49" s="11"/>
      <c r="I49" s="11"/>
      <c r="J49" s="11"/>
      <c r="K49" s="11"/>
      <c r="L49" s="11"/>
      <c r="M49" s="40"/>
    </row>
    <row r="50" spans="1:13" ht="13.5" thickBot="1" x14ac:dyDescent="0.25">
      <c r="A50" s="38"/>
      <c r="B50" s="11"/>
      <c r="C50" s="41" t="s">
        <v>24</v>
      </c>
      <c r="D50" s="35" t="s">
        <v>55</v>
      </c>
      <c r="E50" s="35" t="s">
        <v>42</v>
      </c>
      <c r="F50" s="11"/>
      <c r="G50" s="11"/>
      <c r="H50" s="11"/>
      <c r="I50" s="11"/>
      <c r="J50" s="11"/>
      <c r="K50" s="11"/>
      <c r="L50" s="11"/>
      <c r="M50" s="40"/>
    </row>
    <row r="51" spans="1:13" ht="13.5" thickBot="1" x14ac:dyDescent="0.25">
      <c r="A51" s="26"/>
      <c r="B51" s="11"/>
      <c r="C51" s="96">
        <v>29900</v>
      </c>
      <c r="D51" s="109">
        <f>IF(OR(C51=" ",C15=" ",C15=0),0,C51/(1.08*C15))</f>
        <v>2.386653895274585</v>
      </c>
      <c r="E51" s="48">
        <f>E44-D51</f>
        <v>52.613346104725416</v>
      </c>
      <c r="F51" s="11"/>
      <c r="G51" s="11" t="s">
        <v>26</v>
      </c>
      <c r="H51" s="9"/>
      <c r="I51" s="9"/>
      <c r="J51" s="9"/>
      <c r="K51" s="9"/>
      <c r="L51" s="11"/>
      <c r="M51" s="13"/>
    </row>
    <row r="52" spans="1:13" x14ac:dyDescent="0.2">
      <c r="A52" s="38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40"/>
    </row>
    <row r="53" spans="1:13" x14ac:dyDescent="0.2">
      <c r="A53" s="38"/>
      <c r="B53" s="11" t="s">
        <v>80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40"/>
    </row>
    <row r="54" spans="1:13" x14ac:dyDescent="0.2">
      <c r="A54" s="38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40"/>
    </row>
    <row r="55" spans="1:13" x14ac:dyDescent="0.2">
      <c r="A55" s="38"/>
      <c r="B55" s="11" t="s">
        <v>81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40"/>
    </row>
    <row r="56" spans="1:13" x14ac:dyDescent="0.2">
      <c r="A56" s="38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40"/>
    </row>
    <row r="57" spans="1:13" x14ac:dyDescent="0.2">
      <c r="A57" s="38"/>
      <c r="B57" s="11"/>
      <c r="C57" s="31" t="s">
        <v>46</v>
      </c>
      <c r="D57" s="30"/>
      <c r="E57" s="28" t="s">
        <v>34</v>
      </c>
      <c r="F57" s="11"/>
      <c r="G57" s="11"/>
      <c r="H57" s="11"/>
      <c r="I57" s="11"/>
      <c r="J57" s="11"/>
      <c r="K57" s="11"/>
      <c r="L57" s="11"/>
      <c r="M57" s="40"/>
    </row>
    <row r="58" spans="1:13" ht="13.5" thickBot="1" x14ac:dyDescent="0.25">
      <c r="A58" s="38"/>
      <c r="B58" s="11"/>
      <c r="C58" s="35" t="s">
        <v>31</v>
      </c>
      <c r="D58" s="41" t="s">
        <v>47</v>
      </c>
      <c r="E58" s="41" t="s">
        <v>57</v>
      </c>
      <c r="F58" s="11"/>
      <c r="G58" s="11"/>
      <c r="H58" s="11"/>
      <c r="I58" s="11"/>
      <c r="J58" s="11"/>
      <c r="K58" s="11"/>
      <c r="L58" s="11"/>
      <c r="M58" s="40"/>
    </row>
    <row r="59" spans="1:13" ht="13.5" thickBot="1" x14ac:dyDescent="0.25">
      <c r="A59" s="38"/>
      <c r="B59" s="11"/>
      <c r="C59" s="110">
        <f>E51</f>
        <v>52.613346104725416</v>
      </c>
      <c r="D59" s="101">
        <v>51</v>
      </c>
      <c r="E59" s="103">
        <v>21.04</v>
      </c>
      <c r="F59" s="11"/>
      <c r="G59" s="11"/>
      <c r="H59" s="11"/>
      <c r="I59" s="11"/>
      <c r="J59" s="11"/>
      <c r="K59" s="11"/>
      <c r="L59" s="11"/>
      <c r="M59" s="40"/>
    </row>
    <row r="60" spans="1:13" x14ac:dyDescent="0.2">
      <c r="A60" s="38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40"/>
    </row>
    <row r="61" spans="1:13" x14ac:dyDescent="0.2">
      <c r="A61" s="38"/>
      <c r="B61" s="11" t="s">
        <v>82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40"/>
    </row>
    <row r="62" spans="1:13" x14ac:dyDescent="0.2">
      <c r="A62" s="38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40"/>
    </row>
    <row r="63" spans="1:13" x14ac:dyDescent="0.2">
      <c r="A63" s="38"/>
      <c r="B63" s="11" t="s">
        <v>83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40"/>
    </row>
    <row r="64" spans="1:13" x14ac:dyDescent="0.2">
      <c r="A64" s="26"/>
      <c r="B64" s="11"/>
      <c r="C64" s="11"/>
      <c r="D64" s="11"/>
      <c r="E64" s="9"/>
      <c r="F64" s="11"/>
      <c r="G64" s="11"/>
      <c r="H64" s="9"/>
      <c r="I64" s="9"/>
      <c r="J64" s="9"/>
      <c r="K64" s="9"/>
      <c r="L64" s="11"/>
      <c r="M64" s="13"/>
    </row>
    <row r="65" spans="1:13" x14ac:dyDescent="0.2">
      <c r="A65" s="26"/>
      <c r="B65" s="11"/>
      <c r="C65" s="28"/>
      <c r="D65" s="11"/>
      <c r="E65" s="9"/>
      <c r="F65" s="11"/>
      <c r="G65" s="11"/>
      <c r="H65" s="9"/>
      <c r="I65" s="9"/>
      <c r="J65" s="9"/>
      <c r="K65" s="9"/>
      <c r="L65" s="11"/>
      <c r="M65" s="13"/>
    </row>
    <row r="66" spans="1:13" x14ac:dyDescent="0.2">
      <c r="A66" s="26"/>
      <c r="B66" s="11"/>
      <c r="C66" s="35" t="s">
        <v>35</v>
      </c>
      <c r="E66" s="9"/>
      <c r="F66" s="11"/>
      <c r="G66" s="11"/>
      <c r="H66" s="9"/>
      <c r="I66" s="9"/>
      <c r="J66" s="9"/>
      <c r="K66" s="9"/>
      <c r="L66" s="11"/>
      <c r="M66" s="13"/>
    </row>
    <row r="67" spans="1:13" x14ac:dyDescent="0.2">
      <c r="A67" s="26"/>
      <c r="B67" s="11"/>
      <c r="C67" s="44">
        <f>IF(OR(E33+F33=0,E33=" ",F33= " "),0,E33/(E33+F33))</f>
        <v>0.86034359112564696</v>
      </c>
      <c r="D67" s="53"/>
      <c r="F67" s="11"/>
      <c r="G67" s="11"/>
      <c r="H67" s="9"/>
      <c r="I67" s="9"/>
      <c r="J67" s="9"/>
      <c r="K67" s="9"/>
      <c r="L67" s="11"/>
      <c r="M67" s="13"/>
    </row>
    <row r="68" spans="1:13" x14ac:dyDescent="0.2">
      <c r="A68" s="26"/>
      <c r="B68" s="9"/>
      <c r="C68" s="11"/>
      <c r="D68" s="11"/>
      <c r="E68" s="9"/>
      <c r="F68" s="11"/>
      <c r="G68" s="11"/>
      <c r="H68" s="9"/>
      <c r="I68" s="9"/>
      <c r="J68" s="9"/>
      <c r="K68" s="9"/>
      <c r="L68" s="11"/>
      <c r="M68" s="13"/>
    </row>
    <row r="69" spans="1:13" x14ac:dyDescent="0.2">
      <c r="A69" s="38"/>
      <c r="B69" s="11" t="s">
        <v>36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40"/>
    </row>
    <row r="70" spans="1:13" x14ac:dyDescent="0.2">
      <c r="A70" s="38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40"/>
    </row>
    <row r="71" spans="1:13" x14ac:dyDescent="0.2">
      <c r="A71" s="38"/>
      <c r="B71" s="11" t="s">
        <v>84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40"/>
    </row>
    <row r="72" spans="1:13" x14ac:dyDescent="0.2">
      <c r="A72" s="38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40"/>
    </row>
    <row r="73" spans="1:13" x14ac:dyDescent="0.2">
      <c r="A73" s="38"/>
      <c r="B73" s="11" t="s">
        <v>85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40"/>
    </row>
    <row r="74" spans="1:13" x14ac:dyDescent="0.2">
      <c r="A74" s="38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40"/>
    </row>
    <row r="75" spans="1:13" x14ac:dyDescent="0.2">
      <c r="A75" s="38"/>
      <c r="B75" s="11" t="s">
        <v>86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40"/>
    </row>
    <row r="76" spans="1:13" x14ac:dyDescent="0.2">
      <c r="A76" s="38"/>
      <c r="B76" s="11"/>
      <c r="C76" s="11" t="s">
        <v>45</v>
      </c>
      <c r="D76" s="11"/>
      <c r="E76" s="11"/>
      <c r="F76" s="11"/>
      <c r="G76" s="11"/>
      <c r="H76" s="11"/>
      <c r="I76" s="11"/>
      <c r="J76" s="11"/>
      <c r="K76" s="11"/>
      <c r="L76" s="11"/>
      <c r="M76" s="40"/>
    </row>
    <row r="77" spans="1:13" x14ac:dyDescent="0.2">
      <c r="A77" s="38"/>
      <c r="B77" s="11"/>
      <c r="C77" s="11" t="s">
        <v>102</v>
      </c>
      <c r="D77" s="11"/>
      <c r="E77" s="11"/>
      <c r="F77" s="11"/>
      <c r="G77" s="11"/>
      <c r="H77" s="11"/>
      <c r="I77" s="11"/>
      <c r="J77" s="11"/>
      <c r="K77" s="11"/>
      <c r="L77" s="11"/>
      <c r="M77" s="40"/>
    </row>
    <row r="78" spans="1:13" x14ac:dyDescent="0.2">
      <c r="A78" s="38"/>
      <c r="B78" s="11"/>
      <c r="C78" s="11" t="s">
        <v>103</v>
      </c>
      <c r="D78" s="11"/>
      <c r="E78" s="11"/>
      <c r="F78" s="11"/>
      <c r="G78" s="11"/>
      <c r="H78" s="11"/>
      <c r="I78" s="11"/>
      <c r="J78" s="11"/>
      <c r="K78" s="11"/>
      <c r="L78" s="11"/>
      <c r="M78" s="40"/>
    </row>
    <row r="79" spans="1:13" x14ac:dyDescent="0.2">
      <c r="A79" s="38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40"/>
    </row>
    <row r="80" spans="1:13" x14ac:dyDescent="0.2">
      <c r="A80" s="38"/>
      <c r="B80" s="11" t="s">
        <v>87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40"/>
    </row>
    <row r="81" spans="1:13" x14ac:dyDescent="0.2">
      <c r="A81" s="38"/>
      <c r="B81" s="11"/>
      <c r="C81" s="11"/>
      <c r="D81" s="11"/>
      <c r="E81" s="9"/>
      <c r="F81" s="11"/>
      <c r="G81" s="11"/>
      <c r="H81" s="11"/>
      <c r="I81" s="11"/>
      <c r="J81" s="11"/>
      <c r="K81" s="11"/>
      <c r="L81" s="11"/>
      <c r="M81" s="52"/>
    </row>
    <row r="82" spans="1:13" x14ac:dyDescent="0.2">
      <c r="A82" s="38"/>
      <c r="C82" s="28" t="s">
        <v>8</v>
      </c>
      <c r="D82" s="28" t="s">
        <v>8</v>
      </c>
      <c r="E82" s="28" t="s">
        <v>8</v>
      </c>
      <c r="F82" s="28" t="s">
        <v>8</v>
      </c>
      <c r="G82" s="28" t="s">
        <v>8</v>
      </c>
      <c r="H82" s="28" t="s">
        <v>8</v>
      </c>
      <c r="I82" s="28" t="s">
        <v>23</v>
      </c>
      <c r="J82" s="11"/>
      <c r="K82" s="11"/>
      <c r="L82" s="11"/>
      <c r="M82" s="52"/>
    </row>
    <row r="83" spans="1:13" x14ac:dyDescent="0.2">
      <c r="A83" s="38"/>
      <c r="C83" s="41" t="s">
        <v>54</v>
      </c>
      <c r="D83" s="41" t="s">
        <v>54</v>
      </c>
      <c r="E83" s="41" t="s">
        <v>54</v>
      </c>
      <c r="F83" s="41" t="s">
        <v>39</v>
      </c>
      <c r="G83" s="41" t="s">
        <v>39</v>
      </c>
      <c r="H83" s="41" t="s">
        <v>39</v>
      </c>
      <c r="I83" s="41" t="s">
        <v>8</v>
      </c>
      <c r="J83" s="11"/>
      <c r="K83" s="11"/>
      <c r="L83" s="11"/>
      <c r="M83" s="52"/>
    </row>
    <row r="84" spans="1:13" ht="13.5" thickBot="1" x14ac:dyDescent="0.25">
      <c r="A84" s="38"/>
      <c r="C84" s="41" t="s">
        <v>10</v>
      </c>
      <c r="D84" s="41" t="s">
        <v>24</v>
      </c>
      <c r="E84" s="35" t="s">
        <v>21</v>
      </c>
      <c r="F84" s="41" t="s">
        <v>10</v>
      </c>
      <c r="G84" s="41" t="s">
        <v>24</v>
      </c>
      <c r="H84" s="35" t="s">
        <v>21</v>
      </c>
      <c r="I84" s="35" t="s">
        <v>25</v>
      </c>
      <c r="J84" s="11"/>
      <c r="K84" s="11"/>
      <c r="L84" s="11"/>
      <c r="M84" s="52"/>
    </row>
    <row r="85" spans="1:13" ht="13.5" thickBot="1" x14ac:dyDescent="0.25">
      <c r="A85" s="38"/>
      <c r="C85" s="96">
        <v>10637</v>
      </c>
      <c r="D85" s="96">
        <v>61406</v>
      </c>
      <c r="E85" s="111">
        <f>IF(OR(D85=" ",C85=0),0,((D85)/(1.08*C85)))</f>
        <v>5.3452484166031216</v>
      </c>
      <c r="F85" s="96">
        <v>10637</v>
      </c>
      <c r="G85" s="96">
        <v>19100</v>
      </c>
      <c r="H85" s="109">
        <f>IF(OR(G85=" ",F85=0),0,((G85)/(1.08*F85)))</f>
        <v>1.6626102458574019</v>
      </c>
      <c r="I85" s="48">
        <f>IF(L15=" ",0,I15+E85+H85)</f>
        <v>79.007858662460535</v>
      </c>
      <c r="J85" s="11"/>
      <c r="K85" s="11" t="s">
        <v>26</v>
      </c>
      <c r="L85" s="11"/>
      <c r="M85" s="52"/>
    </row>
    <row r="86" spans="1:13" x14ac:dyDescent="0.2">
      <c r="A86" s="38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40"/>
    </row>
    <row r="87" spans="1:13" x14ac:dyDescent="0.2">
      <c r="A87" s="38"/>
      <c r="B87" s="11" t="s">
        <v>89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40"/>
    </row>
    <row r="88" spans="1:13" x14ac:dyDescent="0.2">
      <c r="A88" s="38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40"/>
    </row>
    <row r="89" spans="1:13" x14ac:dyDescent="0.2">
      <c r="A89" s="38"/>
      <c r="B89" s="11" t="s">
        <v>88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40"/>
    </row>
    <row r="90" spans="1:13" x14ac:dyDescent="0.2">
      <c r="A90" s="38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40"/>
    </row>
    <row r="91" spans="1:13" x14ac:dyDescent="0.2">
      <c r="A91" s="38"/>
      <c r="B91" s="11"/>
      <c r="C91" s="28" t="s">
        <v>8</v>
      </c>
      <c r="D91" s="28"/>
      <c r="E91" s="11"/>
      <c r="F91" s="28" t="s">
        <v>7</v>
      </c>
      <c r="G91" s="28"/>
      <c r="H91" s="11"/>
      <c r="I91" s="31" t="s">
        <v>27</v>
      </c>
      <c r="J91" s="30"/>
      <c r="K91" s="11"/>
      <c r="L91" s="11"/>
      <c r="M91" s="40"/>
    </row>
    <row r="92" spans="1:13" ht="13.5" thickBot="1" x14ac:dyDescent="0.25">
      <c r="A92" s="38"/>
      <c r="B92" s="11"/>
      <c r="C92" s="35" t="s">
        <v>25</v>
      </c>
      <c r="D92" s="35" t="s">
        <v>28</v>
      </c>
      <c r="E92" s="43" t="s">
        <v>29</v>
      </c>
      <c r="F92" s="35" t="s">
        <v>25</v>
      </c>
      <c r="G92" s="35" t="s">
        <v>11</v>
      </c>
      <c r="H92" s="43" t="s">
        <v>30</v>
      </c>
      <c r="I92" s="35" t="s">
        <v>31</v>
      </c>
      <c r="J92" s="41" t="s">
        <v>32</v>
      </c>
      <c r="K92" s="11" t="s">
        <v>33</v>
      </c>
      <c r="L92" s="11"/>
      <c r="M92" s="40"/>
    </row>
    <row r="93" spans="1:13" ht="13.5" thickBot="1" x14ac:dyDescent="0.25">
      <c r="A93" s="38"/>
      <c r="B93" s="11"/>
      <c r="C93" s="48">
        <f>I85</f>
        <v>79.007858662460535</v>
      </c>
      <c r="D93" s="49">
        <f>IF(D15=" ",0,1-D15)</f>
        <v>0.6538793103448276</v>
      </c>
      <c r="E93" s="11"/>
      <c r="F93" s="48">
        <f>IF(G15=" ",0,G15)</f>
        <v>93</v>
      </c>
      <c r="G93" s="49">
        <f>IF(D15=" ",0,D15)</f>
        <v>0.3461206896551724</v>
      </c>
      <c r="H93" s="11"/>
      <c r="I93" s="110">
        <f>(C93*D93)+(F93*G93)</f>
        <v>83.850828271962342</v>
      </c>
      <c r="J93" s="101">
        <v>68.2</v>
      </c>
      <c r="K93" s="11"/>
      <c r="L93" s="11"/>
      <c r="M93" s="40"/>
    </row>
    <row r="94" spans="1:13" x14ac:dyDescent="0.2">
      <c r="A94" s="38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40"/>
    </row>
    <row r="95" spans="1:13" x14ac:dyDescent="0.2">
      <c r="A95" s="38"/>
      <c r="B95" s="11" t="s">
        <v>93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40"/>
    </row>
    <row r="96" spans="1:13" x14ac:dyDescent="0.2">
      <c r="A96" s="38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40"/>
    </row>
    <row r="97" spans="1:13" x14ac:dyDescent="0.2">
      <c r="A97" s="38"/>
      <c r="B97" s="11"/>
      <c r="C97" s="28" t="s">
        <v>34</v>
      </c>
      <c r="D97" s="11"/>
      <c r="E97" s="11"/>
      <c r="F97" s="11"/>
      <c r="G97" s="11"/>
      <c r="H97" s="11"/>
      <c r="I97" s="11"/>
      <c r="J97" s="11"/>
      <c r="K97" s="11"/>
      <c r="L97" s="11"/>
      <c r="M97" s="40"/>
    </row>
    <row r="98" spans="1:13" ht="13.5" thickBot="1" x14ac:dyDescent="0.25">
      <c r="A98" s="38"/>
      <c r="B98" s="11"/>
      <c r="C98" s="41" t="s">
        <v>56</v>
      </c>
      <c r="D98" s="11"/>
      <c r="E98" s="11"/>
      <c r="F98" s="11"/>
      <c r="G98" s="11"/>
      <c r="H98" s="11"/>
      <c r="I98" s="11"/>
      <c r="J98" s="11"/>
      <c r="K98" s="11"/>
      <c r="L98" s="11"/>
      <c r="M98" s="40"/>
    </row>
    <row r="99" spans="1:13" ht="13.5" thickBot="1" x14ac:dyDescent="0.25">
      <c r="A99" s="38"/>
      <c r="B99" s="11"/>
      <c r="C99" s="112">
        <v>30.85</v>
      </c>
      <c r="D99" s="11"/>
      <c r="E99" s="11"/>
      <c r="F99" s="11"/>
      <c r="G99" s="11"/>
      <c r="H99" s="11"/>
      <c r="I99" s="11"/>
      <c r="J99" s="11"/>
      <c r="K99" s="11"/>
      <c r="L99" s="11"/>
      <c r="M99" s="40"/>
    </row>
    <row r="100" spans="1:13" x14ac:dyDescent="0.2">
      <c r="A100" s="38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40"/>
    </row>
    <row r="101" spans="1:13" x14ac:dyDescent="0.2">
      <c r="A101" s="38"/>
      <c r="B101" s="11" t="s">
        <v>90</v>
      </c>
      <c r="C101" s="11"/>
      <c r="D101" s="11"/>
      <c r="E101" s="11"/>
      <c r="F101" s="11"/>
      <c r="G101" s="11"/>
      <c r="H101" s="11"/>
      <c r="I101" s="11"/>
      <c r="J101" s="11"/>
      <c r="K101" s="9"/>
      <c r="L101" s="11"/>
      <c r="M101" s="40"/>
    </row>
    <row r="102" spans="1:13" x14ac:dyDescent="0.2">
      <c r="A102" s="38"/>
      <c r="B102" s="11"/>
      <c r="C102" s="11"/>
      <c r="D102" s="11"/>
      <c r="E102" s="11"/>
      <c r="F102" s="11"/>
      <c r="G102" s="11"/>
      <c r="H102" s="11"/>
      <c r="I102" s="11"/>
      <c r="J102" s="11"/>
      <c r="K102" s="9"/>
      <c r="L102" s="11"/>
      <c r="M102" s="40"/>
    </row>
    <row r="103" spans="1:13" x14ac:dyDescent="0.2">
      <c r="A103" s="38"/>
      <c r="B103" s="11"/>
      <c r="C103" s="27" t="s">
        <v>6</v>
      </c>
      <c r="D103" s="11"/>
      <c r="E103" s="28" t="s">
        <v>58</v>
      </c>
      <c r="F103" s="11"/>
      <c r="G103" s="28" t="s">
        <v>48</v>
      </c>
      <c r="H103" s="11"/>
      <c r="I103" s="28" t="s">
        <v>48</v>
      </c>
      <c r="J103" s="9"/>
      <c r="K103" s="9"/>
      <c r="L103" s="11"/>
      <c r="M103" s="40"/>
    </row>
    <row r="104" spans="1:13" x14ac:dyDescent="0.2">
      <c r="A104" s="38"/>
      <c r="B104" s="11"/>
      <c r="C104" s="34" t="s">
        <v>10</v>
      </c>
      <c r="D104" s="11"/>
      <c r="E104" s="35" t="s">
        <v>49</v>
      </c>
      <c r="F104" s="11"/>
      <c r="G104" s="35" t="s">
        <v>24</v>
      </c>
      <c r="H104" s="11"/>
      <c r="I104" s="35" t="s">
        <v>50</v>
      </c>
      <c r="J104" s="9"/>
      <c r="K104" s="9"/>
      <c r="L104" s="11"/>
      <c r="M104" s="40"/>
    </row>
    <row r="105" spans="1:13" x14ac:dyDescent="0.2">
      <c r="A105" s="38"/>
      <c r="B105" s="11"/>
      <c r="C105" s="39">
        <f>IF(C15=" ",0,C15)</f>
        <v>11600</v>
      </c>
      <c r="D105" s="43" t="s">
        <v>51</v>
      </c>
      <c r="E105" s="42">
        <f>IF(OR(C99=" ",E59=" "),0,C99-E59)</f>
        <v>9.8100000000000023</v>
      </c>
      <c r="F105" s="43" t="s">
        <v>30</v>
      </c>
      <c r="G105" s="39">
        <f>ROUND(C105*4.45*E105,-1)</f>
        <v>506390</v>
      </c>
      <c r="H105" s="43" t="s">
        <v>52</v>
      </c>
      <c r="I105" s="42">
        <f>G105/12000</f>
        <v>42.199166666666663</v>
      </c>
      <c r="J105" s="9"/>
      <c r="K105" s="9"/>
      <c r="L105" s="11"/>
      <c r="M105" s="40"/>
    </row>
    <row r="106" spans="1:13" x14ac:dyDescent="0.2">
      <c r="A106" s="38"/>
      <c r="B106" s="11"/>
      <c r="C106" s="11"/>
      <c r="D106" s="11"/>
      <c r="E106" s="11"/>
      <c r="F106" s="11"/>
      <c r="G106" s="11"/>
      <c r="H106" s="11"/>
      <c r="I106" s="11"/>
      <c r="J106" s="11"/>
      <c r="K106" s="9"/>
      <c r="L106" s="11"/>
      <c r="M106" s="40"/>
    </row>
    <row r="107" spans="1:13" x14ac:dyDescent="0.2">
      <c r="A107" s="38"/>
      <c r="B107" s="11" t="s">
        <v>91</v>
      </c>
      <c r="C107" s="11"/>
      <c r="D107" s="11"/>
      <c r="E107" s="11"/>
      <c r="F107" s="11"/>
      <c r="G107" s="11"/>
      <c r="H107" s="11"/>
      <c r="I107" s="11"/>
      <c r="J107" s="11"/>
      <c r="K107" s="9"/>
      <c r="L107" s="11"/>
      <c r="M107" s="40"/>
    </row>
    <row r="108" spans="1:13" x14ac:dyDescent="0.2">
      <c r="A108" s="38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40"/>
    </row>
    <row r="109" spans="1:13" x14ac:dyDescent="0.2">
      <c r="A109" s="38"/>
      <c r="B109" s="11"/>
      <c r="C109" s="11" t="s">
        <v>53</v>
      </c>
      <c r="D109" s="11"/>
      <c r="E109" s="45">
        <f>IF(C105=0,0,C105/I105)</f>
        <v>274.88694484488241</v>
      </c>
      <c r="F109" s="11"/>
      <c r="G109" s="11"/>
      <c r="H109" s="11"/>
      <c r="I109" s="11"/>
      <c r="J109" s="11"/>
      <c r="K109" s="11"/>
      <c r="L109" s="11"/>
      <c r="M109" s="40"/>
    </row>
    <row r="110" spans="1:13" ht="13.5" thickBot="1" x14ac:dyDescent="0.25">
      <c r="A110" s="26"/>
      <c r="B110" s="9"/>
      <c r="C110" s="11"/>
      <c r="D110" s="11"/>
      <c r="E110" s="9"/>
      <c r="F110" s="11"/>
      <c r="G110" s="11"/>
      <c r="H110" s="9"/>
      <c r="I110" s="9"/>
      <c r="J110" s="9"/>
      <c r="K110" s="9"/>
      <c r="L110" s="11"/>
      <c r="M110" s="13"/>
    </row>
    <row r="111" spans="1:13" x14ac:dyDescent="0.2">
      <c r="A111" s="68"/>
      <c r="B111" s="69" t="s">
        <v>59</v>
      </c>
      <c r="C111" s="70"/>
      <c r="D111" s="70"/>
      <c r="E111" s="71"/>
      <c r="F111" s="70"/>
      <c r="G111" s="70"/>
      <c r="H111" s="71"/>
      <c r="I111" s="71"/>
      <c r="J111" s="71"/>
      <c r="K111" s="71"/>
      <c r="L111" s="70"/>
      <c r="M111" s="72"/>
    </row>
    <row r="112" spans="1:13" x14ac:dyDescent="0.2">
      <c r="A112" s="73"/>
      <c r="B112" s="53"/>
      <c r="C112" s="11"/>
      <c r="D112" s="11"/>
      <c r="E112" s="9"/>
      <c r="F112" s="11"/>
      <c r="G112" s="11"/>
      <c r="H112" s="9"/>
      <c r="I112" s="9"/>
      <c r="J112" s="9"/>
      <c r="K112" s="9"/>
      <c r="L112" s="11"/>
      <c r="M112" s="74"/>
    </row>
    <row r="113" spans="1:13" x14ac:dyDescent="0.2">
      <c r="A113" s="73"/>
      <c r="B113" s="9" t="s">
        <v>5</v>
      </c>
      <c r="C113" s="11"/>
      <c r="D113" s="11"/>
      <c r="E113" s="53"/>
      <c r="F113" s="11"/>
      <c r="G113" s="11"/>
      <c r="H113" s="9"/>
      <c r="I113" s="9"/>
      <c r="J113" s="9"/>
      <c r="K113" s="9"/>
      <c r="L113" s="11"/>
      <c r="M113" s="74"/>
    </row>
    <row r="114" spans="1:13" x14ac:dyDescent="0.2">
      <c r="A114" s="73"/>
      <c r="B114" s="9"/>
      <c r="C114" s="11"/>
      <c r="D114" s="11"/>
      <c r="E114" s="9"/>
      <c r="F114" s="11"/>
      <c r="G114" s="11"/>
      <c r="H114" s="9"/>
      <c r="I114" s="9"/>
      <c r="J114" s="9"/>
      <c r="K114" s="9"/>
      <c r="L114" s="11"/>
      <c r="M114" s="74"/>
    </row>
    <row r="115" spans="1:13" x14ac:dyDescent="0.2">
      <c r="A115" s="73"/>
      <c r="B115" s="9"/>
      <c r="C115" s="27" t="s">
        <v>6</v>
      </c>
      <c r="D115" s="28"/>
      <c r="E115" s="28" t="s">
        <v>7</v>
      </c>
      <c r="F115" s="28" t="s">
        <v>8</v>
      </c>
      <c r="G115" s="29" t="s">
        <v>9</v>
      </c>
      <c r="H115" s="30"/>
      <c r="I115" s="31" t="s">
        <v>108</v>
      </c>
      <c r="J115" s="32"/>
      <c r="K115" s="33"/>
      <c r="L115" s="11"/>
      <c r="M115" s="74"/>
    </row>
    <row r="116" spans="1:13" ht="39" thickBot="1" x14ac:dyDescent="0.25">
      <c r="A116" s="73"/>
      <c r="B116" s="9"/>
      <c r="C116" s="114" t="s">
        <v>10</v>
      </c>
      <c r="D116" s="35" t="s">
        <v>11</v>
      </c>
      <c r="E116" s="35" t="s">
        <v>10</v>
      </c>
      <c r="F116" s="35" t="s">
        <v>10</v>
      </c>
      <c r="G116" s="27" t="s">
        <v>12</v>
      </c>
      <c r="H116" s="37" t="s">
        <v>13</v>
      </c>
      <c r="I116" s="92" t="s">
        <v>109</v>
      </c>
      <c r="J116" s="54" t="s">
        <v>72</v>
      </c>
      <c r="K116" s="62" t="s">
        <v>64</v>
      </c>
      <c r="L116" s="11"/>
      <c r="M116" s="74"/>
    </row>
    <row r="117" spans="1:13" ht="13.5" thickBot="1" x14ac:dyDescent="0.25">
      <c r="A117" s="75"/>
      <c r="B117" s="9" t="s">
        <v>111</v>
      </c>
      <c r="C117" s="96">
        <v>0</v>
      </c>
      <c r="D117" s="113" t="e">
        <f>+E117/C117</f>
        <v>#DIV/0!</v>
      </c>
      <c r="E117" s="94">
        <f>+E15</f>
        <v>4015</v>
      </c>
      <c r="F117" s="115">
        <f>IF(C117=" ",0,C117-E117)</f>
        <v>-4015</v>
      </c>
      <c r="G117" s="101">
        <v>0</v>
      </c>
      <c r="H117" s="100" t="s">
        <v>60</v>
      </c>
      <c r="I117" s="47">
        <v>72</v>
      </c>
      <c r="J117" s="116">
        <v>55</v>
      </c>
      <c r="K117" s="96">
        <v>0</v>
      </c>
      <c r="L117" s="11"/>
      <c r="M117" s="52"/>
    </row>
    <row r="118" spans="1:13" ht="13.5" thickBot="1" x14ac:dyDescent="0.25">
      <c r="A118" s="75"/>
      <c r="B118" s="9" t="s">
        <v>112</v>
      </c>
      <c r="C118" s="96">
        <v>0</v>
      </c>
      <c r="D118" s="113" t="e">
        <f>+E118/C118</f>
        <v>#DIV/0!</v>
      </c>
      <c r="E118" s="94">
        <f>+E15</f>
        <v>4015</v>
      </c>
      <c r="F118" s="115">
        <f>IF(C118=" ",0,C118-E118)</f>
        <v>-4015</v>
      </c>
      <c r="G118" s="101">
        <v>0</v>
      </c>
      <c r="H118" s="100" t="s">
        <v>60</v>
      </c>
      <c r="I118" s="47">
        <v>72</v>
      </c>
      <c r="J118" s="116">
        <v>55</v>
      </c>
      <c r="K118" s="96">
        <v>0</v>
      </c>
      <c r="L118" s="11"/>
      <c r="M118" s="52"/>
    </row>
    <row r="119" spans="1:13" x14ac:dyDescent="0.2">
      <c r="A119" s="75"/>
      <c r="B119" s="9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52"/>
    </row>
    <row r="120" spans="1:13" x14ac:dyDescent="0.2">
      <c r="A120" s="75"/>
      <c r="B120" s="11" t="s">
        <v>61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52"/>
    </row>
    <row r="121" spans="1:13" x14ac:dyDescent="0.2">
      <c r="A121" s="75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52"/>
    </row>
    <row r="122" spans="1:13" x14ac:dyDescent="0.2">
      <c r="A122" s="75"/>
      <c r="B122" s="11"/>
      <c r="C122" s="28" t="s">
        <v>8</v>
      </c>
      <c r="D122" s="28"/>
      <c r="E122" s="11"/>
      <c r="F122" s="28" t="s">
        <v>7</v>
      </c>
      <c r="G122" s="28"/>
      <c r="H122" s="11"/>
      <c r="I122" s="31" t="s">
        <v>27</v>
      </c>
      <c r="J122" s="30"/>
      <c r="K122" s="11"/>
      <c r="L122" s="11"/>
      <c r="M122" s="52"/>
    </row>
    <row r="123" spans="1:13" x14ac:dyDescent="0.2">
      <c r="A123" s="75"/>
      <c r="B123" s="11"/>
      <c r="C123" s="35" t="s">
        <v>25</v>
      </c>
      <c r="D123" s="35" t="s">
        <v>28</v>
      </c>
      <c r="E123" s="43" t="s">
        <v>29</v>
      </c>
      <c r="F123" s="35" t="s">
        <v>25</v>
      </c>
      <c r="G123" s="35" t="s">
        <v>11</v>
      </c>
      <c r="H123" s="43" t="s">
        <v>30</v>
      </c>
      <c r="I123" s="35" t="s">
        <v>31</v>
      </c>
      <c r="J123" s="35" t="s">
        <v>47</v>
      </c>
      <c r="K123" s="11"/>
      <c r="L123" s="11"/>
      <c r="M123" s="52"/>
    </row>
    <row r="124" spans="1:13" x14ac:dyDescent="0.2">
      <c r="A124" s="75"/>
      <c r="B124" s="9" t="s">
        <v>111</v>
      </c>
      <c r="C124" s="48">
        <f>+I117</f>
        <v>72</v>
      </c>
      <c r="D124" s="49" t="e">
        <f>IF(D117=" ",0,1-D117)</f>
        <v>#DIV/0!</v>
      </c>
      <c r="E124" s="11"/>
      <c r="F124" s="48">
        <f>IF(G117=" ",0,G117)</f>
        <v>0</v>
      </c>
      <c r="G124" s="49" t="e">
        <f>IF(D117=" ",0,D117)</f>
        <v>#DIV/0!</v>
      </c>
      <c r="H124" s="11"/>
      <c r="I124" s="48" t="e">
        <f>(C124*D124)+(F124*G124)</f>
        <v>#DIV/0!</v>
      </c>
      <c r="J124" s="47" t="s">
        <v>60</v>
      </c>
      <c r="K124" s="11"/>
      <c r="L124" s="11"/>
      <c r="M124" s="52"/>
    </row>
    <row r="125" spans="1:13" x14ac:dyDescent="0.2">
      <c r="A125" s="75"/>
      <c r="B125" s="9" t="s">
        <v>112</v>
      </c>
      <c r="C125" s="48">
        <f>+I118</f>
        <v>72</v>
      </c>
      <c r="D125" s="49" t="e">
        <f>IF(D118=" ",0,1-D118)</f>
        <v>#DIV/0!</v>
      </c>
      <c r="E125" s="11"/>
      <c r="F125" s="48">
        <f>IF(G118=" ",0,G118)</f>
        <v>0</v>
      </c>
      <c r="G125" s="49" t="e">
        <f>IF(D118=" ",0,D118)</f>
        <v>#DIV/0!</v>
      </c>
      <c r="H125" s="11"/>
      <c r="I125" s="48" t="e">
        <f>(C125*D125)+(F125*G125)</f>
        <v>#DIV/0!</v>
      </c>
      <c r="J125" s="47" t="s">
        <v>60</v>
      </c>
      <c r="K125" s="11"/>
      <c r="L125" s="11"/>
      <c r="M125" s="52"/>
    </row>
    <row r="126" spans="1:13" x14ac:dyDescent="0.2">
      <c r="A126" s="73"/>
      <c r="B126" s="9"/>
      <c r="C126" s="11"/>
      <c r="D126" s="11"/>
      <c r="E126" s="9"/>
      <c r="F126" s="11"/>
      <c r="G126" s="11"/>
      <c r="H126" s="9"/>
      <c r="I126" s="9"/>
      <c r="J126" s="9"/>
      <c r="K126" s="9"/>
      <c r="L126" s="11"/>
      <c r="M126" s="74"/>
    </row>
    <row r="127" spans="1:13" x14ac:dyDescent="0.2">
      <c r="A127" s="73"/>
      <c r="B127" s="9" t="s">
        <v>71</v>
      </c>
      <c r="C127" s="11"/>
      <c r="D127" s="11"/>
      <c r="E127" s="9"/>
      <c r="F127" s="11"/>
      <c r="G127" s="11"/>
      <c r="H127" s="9" t="s">
        <v>75</v>
      </c>
      <c r="I127" s="9"/>
      <c r="J127" s="9"/>
      <c r="K127" s="9"/>
      <c r="L127" s="11"/>
      <c r="M127" s="74"/>
    </row>
    <row r="128" spans="1:13" x14ac:dyDescent="0.2">
      <c r="A128" s="73"/>
      <c r="B128" s="9"/>
      <c r="C128" s="11"/>
      <c r="D128" s="11"/>
      <c r="E128" s="9"/>
      <c r="F128" s="11"/>
      <c r="G128" s="56"/>
      <c r="H128" s="9"/>
      <c r="I128" s="9"/>
      <c r="J128" s="9"/>
      <c r="K128" s="9"/>
      <c r="L128" s="11"/>
      <c r="M128" s="74"/>
    </row>
    <row r="129" spans="1:13" ht="51" x14ac:dyDescent="0.2">
      <c r="A129" s="73"/>
      <c r="B129" s="9"/>
      <c r="C129" s="61" t="s">
        <v>73</v>
      </c>
      <c r="D129" s="64" t="s">
        <v>74</v>
      </c>
      <c r="E129" s="85" t="s">
        <v>62</v>
      </c>
      <c r="F129" s="57"/>
      <c r="G129" s="61" t="s">
        <v>65</v>
      </c>
      <c r="H129" s="9"/>
      <c r="I129" s="9"/>
      <c r="J129" s="9"/>
      <c r="K129" s="9"/>
      <c r="L129" s="11"/>
      <c r="M129" s="74"/>
    </row>
    <row r="130" spans="1:13" x14ac:dyDescent="0.2">
      <c r="A130" s="73"/>
      <c r="B130" s="9" t="s">
        <v>111</v>
      </c>
      <c r="C130" s="58" t="e">
        <f>+J117-I124</f>
        <v>#DIV/0!</v>
      </c>
      <c r="D130" s="59">
        <f>C117</f>
        <v>0</v>
      </c>
      <c r="E130" s="117">
        <v>1.085</v>
      </c>
      <c r="F130" s="57"/>
      <c r="G130" s="60" t="e">
        <f>+D130*C130*E130</f>
        <v>#DIV/0!</v>
      </c>
      <c r="H130" s="9"/>
      <c r="I130" s="9"/>
      <c r="J130" s="9"/>
      <c r="K130" s="9"/>
      <c r="L130" s="11"/>
      <c r="M130" s="74"/>
    </row>
    <row r="131" spans="1:13" x14ac:dyDescent="0.2">
      <c r="A131" s="73"/>
      <c r="B131" s="9" t="s">
        <v>112</v>
      </c>
      <c r="C131" s="58" t="e">
        <f>+J118-I125</f>
        <v>#DIV/0!</v>
      </c>
      <c r="D131" s="59">
        <f>C118</f>
        <v>0</v>
      </c>
      <c r="E131" s="117">
        <v>1.085</v>
      </c>
      <c r="F131" s="57"/>
      <c r="G131" s="60" t="e">
        <f>+D131*C131*E131</f>
        <v>#DIV/0!</v>
      </c>
      <c r="H131" s="9"/>
      <c r="I131" s="9"/>
      <c r="J131" s="9"/>
      <c r="K131" s="9"/>
      <c r="L131" s="11"/>
      <c r="M131" s="74"/>
    </row>
    <row r="132" spans="1:13" x14ac:dyDescent="0.2">
      <c r="A132" s="73"/>
      <c r="B132" s="9"/>
      <c r="C132" s="11"/>
      <c r="D132" s="11"/>
      <c r="E132" s="9"/>
      <c r="F132" s="11"/>
      <c r="G132" s="11"/>
      <c r="H132" s="9"/>
      <c r="I132" s="9"/>
      <c r="J132" s="9"/>
      <c r="K132" s="9"/>
      <c r="L132" s="11"/>
      <c r="M132" s="74"/>
    </row>
    <row r="133" spans="1:13" x14ac:dyDescent="0.2">
      <c r="A133" s="73"/>
      <c r="B133" s="9" t="s">
        <v>63</v>
      </c>
      <c r="C133" s="11"/>
      <c r="D133" s="11"/>
      <c r="E133" s="9"/>
      <c r="F133" s="11"/>
      <c r="G133" s="11"/>
      <c r="H133" s="9"/>
      <c r="I133" s="9"/>
      <c r="J133" s="9"/>
      <c r="K133" s="9"/>
      <c r="L133" s="11"/>
      <c r="M133" s="74"/>
    </row>
    <row r="134" spans="1:13" x14ac:dyDescent="0.2">
      <c r="A134" s="73"/>
      <c r="B134" s="9"/>
      <c r="C134" s="11"/>
      <c r="D134" s="11"/>
      <c r="E134" s="9"/>
      <c r="F134" s="11"/>
      <c r="G134" s="11"/>
      <c r="H134" s="9"/>
      <c r="I134" s="9"/>
      <c r="J134" s="9"/>
      <c r="K134" s="9"/>
      <c r="L134" s="11"/>
      <c r="M134" s="74"/>
    </row>
    <row r="135" spans="1:13" ht="51.75" thickBot="1" x14ac:dyDescent="0.25">
      <c r="A135" s="73"/>
      <c r="B135" s="9"/>
      <c r="C135" s="61" t="s">
        <v>65</v>
      </c>
      <c r="D135" s="43" t="s">
        <v>66</v>
      </c>
      <c r="E135" s="118" t="s">
        <v>104</v>
      </c>
      <c r="F135" s="43" t="s">
        <v>29</v>
      </c>
      <c r="G135" s="62" t="s">
        <v>64</v>
      </c>
      <c r="H135" s="76" t="s">
        <v>66</v>
      </c>
      <c r="I135" s="118" t="s">
        <v>104</v>
      </c>
      <c r="J135" s="76" t="s">
        <v>30</v>
      </c>
      <c r="K135" s="65" t="s">
        <v>67</v>
      </c>
      <c r="L135" s="11"/>
      <c r="M135" s="74"/>
    </row>
    <row r="136" spans="1:13" ht="13.5" thickBot="1" x14ac:dyDescent="0.25">
      <c r="A136" s="73"/>
      <c r="B136" s="9" t="s">
        <v>111</v>
      </c>
      <c r="C136" s="59" t="e">
        <f>+G130</f>
        <v>#DIV/0!</v>
      </c>
      <c r="D136" s="43"/>
      <c r="E136" s="119">
        <v>0</v>
      </c>
      <c r="F136" s="43"/>
      <c r="G136" s="82">
        <f>+K117</f>
        <v>0</v>
      </c>
      <c r="H136" s="9"/>
      <c r="I136" s="120">
        <v>0</v>
      </c>
      <c r="J136" s="9"/>
      <c r="K136" s="67" t="e">
        <f>+(C136*E136)+(G136*I136)</f>
        <v>#DIV/0!</v>
      </c>
      <c r="L136" s="11"/>
      <c r="M136" s="74"/>
    </row>
    <row r="137" spans="1:13" ht="13.5" thickBot="1" x14ac:dyDescent="0.25">
      <c r="A137" s="73"/>
      <c r="B137" s="9" t="s">
        <v>112</v>
      </c>
      <c r="C137" s="59" t="e">
        <f>+G131</f>
        <v>#DIV/0!</v>
      </c>
      <c r="D137" s="43"/>
      <c r="E137" s="119">
        <v>0</v>
      </c>
      <c r="F137" s="43"/>
      <c r="G137" s="82">
        <f>+K118</f>
        <v>0</v>
      </c>
      <c r="H137" s="9"/>
      <c r="I137" s="120">
        <v>0</v>
      </c>
      <c r="J137" s="9"/>
      <c r="K137" s="67" t="e">
        <f>+(C137*E137)+(G137*I137)</f>
        <v>#DIV/0!</v>
      </c>
      <c r="L137" s="11"/>
      <c r="M137" s="74"/>
    </row>
    <row r="138" spans="1:13" x14ac:dyDescent="0.2">
      <c r="A138" s="73"/>
      <c r="B138" s="9"/>
      <c r="C138" s="55"/>
      <c r="D138" s="11"/>
      <c r="E138" s="9"/>
      <c r="F138" s="11"/>
      <c r="G138" s="55"/>
      <c r="H138" s="9"/>
      <c r="I138" s="9"/>
      <c r="J138" s="9"/>
      <c r="K138" s="9"/>
      <c r="L138" s="11"/>
      <c r="M138" s="74"/>
    </row>
    <row r="139" spans="1:13" x14ac:dyDescent="0.2">
      <c r="A139" s="73"/>
      <c r="B139" s="9" t="s">
        <v>76</v>
      </c>
      <c r="C139" s="11"/>
      <c r="D139" s="11"/>
      <c r="E139" s="9"/>
      <c r="F139" s="11"/>
      <c r="G139" s="11"/>
      <c r="H139" s="9"/>
      <c r="I139" s="9"/>
      <c r="J139" s="9"/>
      <c r="K139" s="9"/>
      <c r="L139" s="11"/>
      <c r="M139" s="74"/>
    </row>
    <row r="140" spans="1:13" x14ac:dyDescent="0.2">
      <c r="A140" s="73"/>
      <c r="B140" s="9"/>
      <c r="C140" s="11"/>
      <c r="D140" s="11"/>
      <c r="E140" s="9"/>
      <c r="F140" s="11"/>
      <c r="G140" s="11"/>
      <c r="H140" s="9"/>
      <c r="I140" s="9"/>
      <c r="J140" s="9"/>
      <c r="K140" s="9"/>
      <c r="L140" s="11"/>
      <c r="M140" s="74"/>
    </row>
    <row r="141" spans="1:13" ht="51" x14ac:dyDescent="0.2">
      <c r="A141" s="73"/>
      <c r="B141" s="9"/>
      <c r="C141" s="81" t="s">
        <v>68</v>
      </c>
      <c r="D141" s="83" t="s">
        <v>69</v>
      </c>
      <c r="E141" s="63" t="s">
        <v>70</v>
      </c>
      <c r="F141" s="43" t="s">
        <v>30</v>
      </c>
      <c r="G141" s="61" t="s">
        <v>113</v>
      </c>
      <c r="H141" s="76"/>
      <c r="I141" s="76"/>
      <c r="J141" s="9"/>
      <c r="K141" s="9"/>
      <c r="L141" s="11"/>
      <c r="M141" s="74"/>
    </row>
    <row r="142" spans="1:13" x14ac:dyDescent="0.2">
      <c r="A142" s="73"/>
      <c r="B142" s="9" t="s">
        <v>111</v>
      </c>
      <c r="C142" s="82" t="e">
        <f>K136</f>
        <v>#DIV/0!</v>
      </c>
      <c r="D142" s="43"/>
      <c r="E142" s="66">
        <f>+C117*1.085</f>
        <v>0</v>
      </c>
      <c r="F142" s="43"/>
      <c r="G142" s="93" t="e">
        <f>(C142/E142)+I124</f>
        <v>#DIV/0!</v>
      </c>
      <c r="H142" s="76"/>
      <c r="I142" s="76"/>
      <c r="J142" s="9"/>
      <c r="K142" s="9"/>
      <c r="L142" s="11"/>
      <c r="M142" s="74"/>
    </row>
    <row r="143" spans="1:13" x14ac:dyDescent="0.2">
      <c r="A143" s="73"/>
      <c r="B143" s="9" t="s">
        <v>112</v>
      </c>
      <c r="C143" s="82" t="e">
        <f>K137</f>
        <v>#DIV/0!</v>
      </c>
      <c r="D143" s="43"/>
      <c r="E143" s="66">
        <f>+C118*1.085</f>
        <v>0</v>
      </c>
      <c r="F143" s="43"/>
      <c r="G143" s="84" t="e">
        <f>(C143/E143)+I125</f>
        <v>#DIV/0!</v>
      </c>
      <c r="H143" s="76"/>
      <c r="I143" s="76"/>
      <c r="J143" s="9"/>
      <c r="K143" s="9"/>
      <c r="L143" s="11"/>
      <c r="M143" s="74"/>
    </row>
    <row r="144" spans="1:13" ht="13.5" thickBot="1" x14ac:dyDescent="0.25">
      <c r="A144" s="77"/>
      <c r="B144" s="78"/>
      <c r="C144" s="79"/>
      <c r="D144" s="79"/>
      <c r="E144" s="78"/>
      <c r="F144" s="79"/>
      <c r="G144" s="79"/>
      <c r="H144" s="78"/>
      <c r="I144" s="78"/>
      <c r="J144" s="78"/>
      <c r="K144" s="78"/>
      <c r="L144" s="79"/>
      <c r="M144" s="80"/>
    </row>
  </sheetData>
  <mergeCells count="1">
    <mergeCell ref="G13:H13"/>
  </mergeCells>
  <phoneticPr fontId="0" type="noConversion"/>
  <conditionalFormatting sqref="G142">
    <cfRule type="cellIs" dxfId="1" priority="1" stopIfTrue="1" operator="greaterThan">
      <formula>$I$15+15</formula>
    </cfRule>
  </conditionalFormatting>
  <conditionalFormatting sqref="G143">
    <cfRule type="cellIs" dxfId="0" priority="2" stopIfTrue="1" operator="greaterThan">
      <formula>$I$15+15</formula>
    </cfRule>
  </conditionalFormatting>
  <printOptions horizontalCentered="1"/>
  <pageMargins left="0.75" right="0.25" top="0.25" bottom="0.5" header="0.5" footer="0.25"/>
  <pageSetup paperSize="17" scale="5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tab1</vt:lpstr>
      <vt:lpstr>tab1!Print_Area</vt:lpstr>
    </vt:vector>
  </TitlesOfParts>
  <Company>Peter Basso Associates,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jsteltenpohl</dc:creator>
  <cp:lastModifiedBy>Mathew Coalson</cp:lastModifiedBy>
  <cp:lastPrinted>2007-01-12T21:03:08Z</cp:lastPrinted>
  <dcterms:created xsi:type="dcterms:W3CDTF">2002-01-16T13:20:00Z</dcterms:created>
  <dcterms:modified xsi:type="dcterms:W3CDTF">2021-02-26T14:59:28Z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lpwstr>400.000000000000</vt:lpwstr>
  </property>
  <property fmtid="{D5CDD505-2E9C-101B-9397-08002B2CF9AE}" pid="3" name="Discipline">
    <vt:lpwstr>Mechanical</vt:lpwstr>
  </property>
  <property fmtid="{D5CDD505-2E9C-101B-9397-08002B2CF9AE}" pid="4" name="SPSDescription">
    <vt:lpwstr/>
  </property>
  <property fmtid="{D5CDD505-2E9C-101B-9397-08002B2CF9AE}" pid="5" name="ParentListItemID">
    <vt:lpwstr/>
  </property>
  <property fmtid="{D5CDD505-2E9C-101B-9397-08002B2CF9AE}" pid="6" name="Owner">
    <vt:lpwstr/>
  </property>
  <property fmtid="{D5CDD505-2E9C-101B-9397-08002B2CF9AE}" pid="7" name="ParentReplicationObjectID">
    <vt:lpwstr/>
  </property>
  <property fmtid="{D5CDD505-2E9C-101B-9397-08002B2CF9AE}" pid="8" name="Category0">
    <vt:lpwstr>HVAC - Air</vt:lpwstr>
  </property>
  <property fmtid="{D5CDD505-2E9C-101B-9397-08002B2CF9AE}" pid="9" name="Status">
    <vt:lpwstr/>
  </property>
</Properties>
</file>